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C:\Users\mobuayo.pedroegbe\APTIM\Entergy Energy Efficiency Programs - ENO Internal File Folders\Engineering\Tools\Entergy Customer Calculators\2019 APTracks Updated C&amp;I Calculators\"/>
    </mc:Choice>
  </mc:AlternateContent>
  <xr:revisionPtr revIDLastSave="0" documentId="13_ncr:1_{A76DD4F3-6EF7-4847-B142-DAE0D4826C3D}" xr6:coauthVersionLast="36" xr6:coauthVersionMax="36" xr10:uidLastSave="{00000000-0000-0000-0000-000000000000}"/>
  <workbookProtection workbookAlgorithmName="SHA-512" workbookHashValue="xnV7yFCA7+JH/a4aw8SgG2PQuDyXrDNGE295RAoCo24NrUEp3Yx+gjMsvnSyJ5B9DRbSgADERrgu+eRQNnhTdA==" workbookSaltValue="c3QzHx4Bd9+yYPDZFVZuJg==" workbookSpinCount="100000" lockStructure="1"/>
  <bookViews>
    <workbookView xWindow="0" yWindow="0" windowWidth="12800" windowHeight="6350" tabRatio="883" xr2:uid="{00000000-000D-0000-FFFF-FFFF00000000}"/>
  </bookViews>
  <sheets>
    <sheet name="Instructions" sheetId="2" r:id="rId1"/>
    <sheet name="Lighting Qualifications" sheetId="1" r:id="rId2"/>
    <sheet name="Project Input" sheetId="3" r:id="rId3"/>
    <sheet name="Custom Hours" sheetId="6" r:id="rId4"/>
    <sheet name="Fixture Table" sheetId="10" r:id="rId5"/>
    <sheet name="Review" sheetId="11" state="hidden" r:id="rId6"/>
    <sheet name="Tables &amp; Ranges" sheetId="5" state="hidden" r:id="rId7"/>
    <sheet name="Summary_Pre" sheetId="13" state="hidden" r:id="rId8"/>
    <sheet name="Summary Post" sheetId="17" state="hidden" r:id="rId9"/>
    <sheet name="Summary" sheetId="8" state="hidden" r:id="rId10"/>
    <sheet name="APTracks Summary" sheetId="19" state="hidden" r:id="rId11"/>
    <sheet name="GECo Outputs" sheetId="18" state="hidden" r:id="rId12"/>
    <sheet name="Test List" sheetId="12" state="hidden" r:id="rId13"/>
    <sheet name="Change Log" sheetId="9" state="hidden" r:id="rId14"/>
  </sheets>
  <definedNames>
    <definedName name="_xlnm._FilterDatabase" localSheetId="11" hidden="1">'GECo Outputs'!$A$1:$N$817</definedName>
    <definedName name="Avg_KWh_Rate">Instructions!$C$21</definedName>
    <definedName name="Cell_Protect">'Tables &amp; Ranges'!$B$3</definedName>
    <definedName name="CF_Contols">Table10[Value]</definedName>
    <definedName name="GECO_ELEC_RATIO">'GECo Outputs'!$C$2</definedName>
    <definedName name="GECO_GAS_RATIO">'GECo Outputs'!$C$3</definedName>
    <definedName name="kWh_Incentive_Rate">'Tables &amp; Ranges'!$B$1</definedName>
    <definedName name="Max_Incentive">'Tables &amp; Ranges'!$B$2</definedName>
    <definedName name="Measure1_Age">'Summary Post'!$R$4</definedName>
    <definedName name="Measure1_Comments">'Summary Post'!$U$4</definedName>
    <definedName name="Measure1_Cost">'Summary Post'!$C$4</definedName>
    <definedName name="Measure1_DemandSavings">'Summary Post'!$J$4</definedName>
    <definedName name="Measure1_Description">'Summary Post'!$T$4</definedName>
    <definedName name="Measure1_Efficiency">'Summary Post'!$O$4</definedName>
    <definedName name="Measure1_ElectricCostSavings">'Summary Post'!$K$4</definedName>
    <definedName name="Measure1_Incentive">'Summary Post'!$L$4</definedName>
    <definedName name="Measure1_kWhSavings">'Summary Post'!$I$4</definedName>
    <definedName name="Measure1_Location">'Summary Post'!#REF!</definedName>
    <definedName name="Measure1_Payback">'Summary Post'!$M$4</definedName>
    <definedName name="Measure1_Quantity">'Summary Post'!$D$4</definedName>
    <definedName name="Measure1_Replaced">'Summary Post'!$S$4</definedName>
    <definedName name="Measure1_SerialNumber">'Summary Post'!$Q$4</definedName>
    <definedName name="Measure1_ShortDescription">'Summary Post'!$E$4</definedName>
    <definedName name="Measure1_Size">'Summary Post'!$N$4</definedName>
    <definedName name="Measure1_Status">'Summary Post'!$F$4</definedName>
    <definedName name="Measure1_Type">'Summary Post'!$B$4</definedName>
    <definedName name="Measure1_UsefulLife">'Summary Post'!$P$4</definedName>
    <definedName name="Measure10_Age">'Summary Post'!$R$13</definedName>
    <definedName name="Measure10_Comments">'Summary Post'!$U$13</definedName>
    <definedName name="Measure10_Cost">'Summary Post'!$C$13</definedName>
    <definedName name="Measure10_DemandSavings">'Summary Post'!$J$13</definedName>
    <definedName name="Measure10_Description">'Summary Post'!$T$13</definedName>
    <definedName name="Measure10_Efficiency">'Summary Post'!$O$13</definedName>
    <definedName name="Measure10_ElectricCostSavings">'Summary Post'!$K$13</definedName>
    <definedName name="Measure10_Incentive">'Summary Post'!$L$13</definedName>
    <definedName name="Measure10_kWhSavings">'Summary Post'!$I$13</definedName>
    <definedName name="Measure10_Location">'Summary Post'!#REF!</definedName>
    <definedName name="Measure10_Payback">'Summary Post'!$M$13</definedName>
    <definedName name="Measure10_Quantity">'Summary Post'!$D$13</definedName>
    <definedName name="Measure10_Replaced">'Summary Post'!$S$13</definedName>
    <definedName name="Measure10_SerialNumber">'Summary Post'!$Q$13</definedName>
    <definedName name="Measure10_ShortDescription">'Summary Post'!$E$13</definedName>
    <definedName name="Measure10_Size">'Summary Post'!$N$13</definedName>
    <definedName name="Measure10_Status">'Summary Post'!$F$13</definedName>
    <definedName name="Measure10_Type">'Summary Post'!$B$13</definedName>
    <definedName name="Measure10_UsefulLife">'Summary Post'!$P$13</definedName>
    <definedName name="Measure11_Age">'Summary Post'!$R$14</definedName>
    <definedName name="Measure11_CNC">'Summary Post'!$Z$14</definedName>
    <definedName name="Measure11_Comments">'Summary Post'!$U$14</definedName>
    <definedName name="Measure11_Cost">'Summary Post'!$C$14</definedName>
    <definedName name="Measure11_DemandSavings">'Summary Post'!$J$14</definedName>
    <definedName name="Measure11_Description">'Summary Post'!$T$14</definedName>
    <definedName name="Measure11_Efficiency">'Summary Post'!$O$14</definedName>
    <definedName name="Measure11_ElectricCostSavings">'Summary Post'!$K$14</definedName>
    <definedName name="Measure11_Incentive">'Summary Post'!$L$14</definedName>
    <definedName name="Measure11_kWhSavings">'Summary Post'!$I$14</definedName>
    <definedName name="Measure11_Location">'Summary Post'!#REF!</definedName>
    <definedName name="Measure11_Payback">'Summary Post'!$M$14</definedName>
    <definedName name="Measure11_Quantity">'Summary Post'!$D$14</definedName>
    <definedName name="Measure11_Replaced">'Summary Post'!$S$14</definedName>
    <definedName name="Measure11_SerialNumber">'Summary Post'!$Q$14</definedName>
    <definedName name="Measure11_ShortDescription">'Summary Post'!$E$14</definedName>
    <definedName name="Measure11_Size">'Summary Post'!$N$14</definedName>
    <definedName name="Measure11_Status">'Summary Post'!$F$14</definedName>
    <definedName name="Measure11_Type">'Summary Post'!$B$14</definedName>
    <definedName name="Measure11_UsefulLife">'Summary Post'!$P$14</definedName>
    <definedName name="Measure12_Age">'Summary Post'!$R$15</definedName>
    <definedName name="Measure12_CNC">'Summary Post'!$Z$15</definedName>
    <definedName name="Measure12_Comments">'Summary Post'!$U$15</definedName>
    <definedName name="Measure12_Cost">'Summary Post'!$C$15</definedName>
    <definedName name="Measure12_DemandSavings">'Summary Post'!$J$15</definedName>
    <definedName name="Measure12_Description">'Summary Post'!$T$15</definedName>
    <definedName name="Measure12_Efficiency">'Summary Post'!$O$15</definedName>
    <definedName name="Measure12_ElectricCostSavings">'Summary Post'!$K$15</definedName>
    <definedName name="Measure12_Incentive">'Summary Post'!$L$15</definedName>
    <definedName name="Measure12_kWhSavings">'Summary Post'!$I$15</definedName>
    <definedName name="Measure12_Location">'Summary Post'!#REF!</definedName>
    <definedName name="Measure12_Payback">'Summary Post'!$M$15</definedName>
    <definedName name="Measure12_Quantity">'Summary Post'!$D$15</definedName>
    <definedName name="Measure12_Replaced">'Summary Post'!$S$15</definedName>
    <definedName name="Measure12_SerialNumber">'Summary Post'!$Q$15</definedName>
    <definedName name="Measure12_ShortDescription">'Summary Post'!$E$15</definedName>
    <definedName name="Measure12_Size">'Summary Post'!$N$15</definedName>
    <definedName name="Measure12_Status">'Summary Post'!$F$15</definedName>
    <definedName name="Measure12_Type">'Summary Post'!$B$15</definedName>
    <definedName name="Measure12_UsefulLife">'Summary Post'!$P$15</definedName>
    <definedName name="Measure13_Age">'Summary Post'!$R$16</definedName>
    <definedName name="Measure13_CNC">'Summary Post'!$Z$16</definedName>
    <definedName name="Measure13_Comments">'Summary Post'!$U$16</definedName>
    <definedName name="Measure13_Cost">'Summary Post'!$C$16</definedName>
    <definedName name="Measure13_DemandSavings">'Summary Post'!$J$16</definedName>
    <definedName name="Measure13_Description">'Summary Post'!$T$16</definedName>
    <definedName name="Measure13_Efficiency">'Summary Post'!$O$16</definedName>
    <definedName name="Measure13_ElectricCostSavings">'Summary Post'!$K$16</definedName>
    <definedName name="Measure13_Incentive">'Summary Post'!$L$16</definedName>
    <definedName name="Measure13_kWhSavings">'Summary Post'!$I$16</definedName>
    <definedName name="Measure13_Location">'Summary Post'!#REF!</definedName>
    <definedName name="Measure13_Payback">'Summary Post'!$M$16</definedName>
    <definedName name="Measure13_Quantity">'Summary Post'!$D$16</definedName>
    <definedName name="Measure13_Replaced">'Summary Post'!$S$16</definedName>
    <definedName name="Measure13_SerialNumber">'Summary Post'!$Q$16</definedName>
    <definedName name="Measure13_ShortDescription">'Summary Post'!$E$16</definedName>
    <definedName name="Measure13_Size">'Summary Post'!$N$16</definedName>
    <definedName name="Measure13_Status">'Summary Post'!$F$16</definedName>
    <definedName name="Measure13_Type">'Summary Post'!$B$16</definedName>
    <definedName name="Measure13_UsefulLife">'Summary Post'!$P$16</definedName>
    <definedName name="Measure14_Age">'Summary Post'!$R$17</definedName>
    <definedName name="Measure14_CNC">'Summary Post'!$Z$17</definedName>
    <definedName name="Measure14_Comments">'Summary Post'!$U$17</definedName>
    <definedName name="Measure14_Cost">'Summary Post'!$C$17</definedName>
    <definedName name="Measure14_DemandSavings">'Summary Post'!$J$17</definedName>
    <definedName name="Measure14_Description">'Summary Post'!$T$17</definedName>
    <definedName name="Measure14_Efficiency">'Summary Post'!$O$17</definedName>
    <definedName name="Measure14_ElectricCostSavings">'Summary Post'!$K$17</definedName>
    <definedName name="Measure14_Incentive">'Summary Post'!$L$17</definedName>
    <definedName name="Measure14_kWhSavings">'Summary Post'!$I$17</definedName>
    <definedName name="Measure14_Location">'Summary Post'!#REF!</definedName>
    <definedName name="Measure14_Payback">'Summary Post'!$M$17</definedName>
    <definedName name="Measure14_Quantity">'Summary Post'!$D$17</definedName>
    <definedName name="Measure14_Replaced">'Summary Post'!$S$17</definedName>
    <definedName name="Measure14_SerialNumber">'Summary Post'!$Q$17</definedName>
    <definedName name="Measure14_ShortDescription">'Summary Post'!$E$17</definedName>
    <definedName name="Measure14_Size">'Summary Post'!$N$17</definedName>
    <definedName name="Measure14_Status">'Summary Post'!$F$17</definedName>
    <definedName name="Measure14_Type">'Summary Post'!$B$17</definedName>
    <definedName name="Measure14_UsefulLife">'Summary Post'!$P$17</definedName>
    <definedName name="Measure15_Age">'Summary Post'!$R$18</definedName>
    <definedName name="Measure15_CNC">'Summary Post'!$Z$18</definedName>
    <definedName name="Measure15_Comments">'Summary Post'!$U$18</definedName>
    <definedName name="Measure15_Cost">'Summary Post'!$C$18</definedName>
    <definedName name="Measure15_DemandSavings">'Summary Post'!$J$18</definedName>
    <definedName name="Measure15_Description">'Summary Post'!$T$18</definedName>
    <definedName name="Measure15_Efficiency">'Summary Post'!$O$18</definedName>
    <definedName name="Measure15_ElectricCostSavings">'Summary Post'!$K$18</definedName>
    <definedName name="Measure15_Incentive">'Summary Post'!$L$18</definedName>
    <definedName name="Measure15_kWhSavings">'Summary Post'!$I$18</definedName>
    <definedName name="Measure15_Location">'Summary Post'!#REF!</definedName>
    <definedName name="Measure15_Payback">'Summary Post'!$M$18</definedName>
    <definedName name="Measure15_Quantity">'Summary Post'!$D$18</definedName>
    <definedName name="Measure15_Replaced">'Summary Post'!$S$18</definedName>
    <definedName name="Measure15_SerialNumber">'Summary Post'!$Q$18</definedName>
    <definedName name="Measure15_ShortDescription">'Summary Post'!$E$18</definedName>
    <definedName name="Measure15_Size">'Summary Post'!$N$18</definedName>
    <definedName name="Measure15_Status">'Summary Post'!$F$18</definedName>
    <definedName name="Measure15_Type">'Summary Post'!$B$18</definedName>
    <definedName name="Measure15_UsefulLife">'Summary Post'!$P$18</definedName>
    <definedName name="Measure16_Age">'Summary Post'!$R$19</definedName>
    <definedName name="Measure16_CNC">'Summary Post'!$Z$19</definedName>
    <definedName name="Measure16_Comments">'Summary Post'!$U$19</definedName>
    <definedName name="Measure16_Cost">'Summary Post'!$C$19</definedName>
    <definedName name="Measure16_DemandSavings">'Summary Post'!$J$19</definedName>
    <definedName name="Measure16_Description">'Summary Post'!$T$19</definedName>
    <definedName name="Measure16_Efficiency">'Summary Post'!$O$19</definedName>
    <definedName name="Measure16_ElectricCostSavings">'Summary Post'!$K$19</definedName>
    <definedName name="Measure16_Incentive">'Summary Post'!$L$19</definedName>
    <definedName name="Measure16_kWhSavings">'Summary Post'!$I$19</definedName>
    <definedName name="Measure16_Location">'Summary Post'!#REF!</definedName>
    <definedName name="Measure16_Payback">'Summary Post'!$M$19</definedName>
    <definedName name="Measure16_Quantity">'Summary Post'!$D$19</definedName>
    <definedName name="Measure16_Replaced">'Summary Post'!$S$19</definedName>
    <definedName name="Measure16_SerialNumber">'Summary Post'!$Q$19</definedName>
    <definedName name="Measure16_ShortDescription">'Summary Post'!$E$19</definedName>
    <definedName name="Measure16_Size">'Summary Post'!$N$19</definedName>
    <definedName name="Measure16_Status">'Summary Post'!$F$19</definedName>
    <definedName name="Measure16_Type">'Summary Post'!$B$19</definedName>
    <definedName name="Measure16_UsefulLife">'Summary Post'!$P$19</definedName>
    <definedName name="Measure17_Age">'Summary Post'!$R$20</definedName>
    <definedName name="Measure17_CNC">'Summary Post'!$Z$20</definedName>
    <definedName name="Measure17_Comments">'Summary Post'!$U$20</definedName>
    <definedName name="Measure17_Cost">'Summary Post'!$C$20</definedName>
    <definedName name="Measure17_DemandSavings">'Summary Post'!$J$20</definedName>
    <definedName name="Measure17_Description">'Summary Post'!$T$20</definedName>
    <definedName name="Measure17_Efficiency">'Summary Post'!$O$20</definedName>
    <definedName name="Measure17_ElectricCostSavings">'Summary Post'!$K$20</definedName>
    <definedName name="Measure17_Incentive">'Summary Post'!$L$20</definedName>
    <definedName name="Measure17_kWhSavings">'Summary Post'!$I$20</definedName>
    <definedName name="Measure17_Location">'Summary Post'!#REF!</definedName>
    <definedName name="Measure17_Payback">'Summary Post'!$M$20</definedName>
    <definedName name="Measure17_Quantity">'Summary Post'!$D$20</definedName>
    <definedName name="Measure17_Replaced">'Summary Post'!$S$20</definedName>
    <definedName name="Measure17_SerialNumber">'Summary Post'!$Q$20</definedName>
    <definedName name="Measure17_ShortDescription">'Summary Post'!$E$20</definedName>
    <definedName name="Measure17_Size">'Summary Post'!$N$20</definedName>
    <definedName name="Measure17_Status">'Summary Post'!$F$20</definedName>
    <definedName name="Measure17_Type">'Summary Post'!$B$20</definedName>
    <definedName name="Measure17_UsefulLife">'Summary Post'!$P$20</definedName>
    <definedName name="Measure18_Age">'Summary Post'!$R$21</definedName>
    <definedName name="Measure18_CNC">'Summary Post'!$Z$21</definedName>
    <definedName name="Measure18_Comments">'Summary Post'!$U$21</definedName>
    <definedName name="Measure18_Cost">'Summary Post'!$C$21</definedName>
    <definedName name="Measure18_DemandSavings">'Summary Post'!$J$21</definedName>
    <definedName name="Measure18_Description">'Summary Post'!$T$21</definedName>
    <definedName name="Measure18_Efficiency">'Summary Post'!$O$21</definedName>
    <definedName name="Measure18_ElectricCostSavings">'Summary Post'!$K$21</definedName>
    <definedName name="Measure18_Incentive">'Summary Post'!$L$21</definedName>
    <definedName name="Measure18_kWhSavings">'Summary Post'!$I$21</definedName>
    <definedName name="Measure18_Location">'Summary Post'!#REF!</definedName>
    <definedName name="Measure18_Payback">'Summary Post'!$M$21</definedName>
    <definedName name="Measure18_Quantity">'Summary Post'!$D$21</definedName>
    <definedName name="Measure18_Replaced">'Summary Post'!$S$21</definedName>
    <definedName name="Measure18_SerialNumber">'Summary Post'!$Q$21</definedName>
    <definedName name="Measure18_ShortDescription">'Summary Post'!$E$21</definedName>
    <definedName name="Measure18_Size">'Summary Post'!$N$21</definedName>
    <definedName name="Measure18_Status">'Summary Post'!$F$21</definedName>
    <definedName name="Measure18_Type">'Summary Post'!$B$21</definedName>
    <definedName name="Measure18_UsefulLife">'Summary Post'!$P$21</definedName>
    <definedName name="Measure19_Age">'Summary Post'!$R$22</definedName>
    <definedName name="Measure19_CNC">'Summary Post'!$Z$22</definedName>
    <definedName name="Measure19_Comments">'Summary Post'!$U$22</definedName>
    <definedName name="Measure19_Cost">'Summary Post'!$C$22</definedName>
    <definedName name="Measure19_DemandSavings">'Summary Post'!$J$22</definedName>
    <definedName name="Measure19_Description">'Summary Post'!$T$22</definedName>
    <definedName name="Measure19_Efficiency">'Summary Post'!$O$22</definedName>
    <definedName name="Measure19_ElectricCostSavings">'Summary Post'!$K$22</definedName>
    <definedName name="Measure19_Incentive">'Summary Post'!$L$22</definedName>
    <definedName name="Measure19_kWhSavings">'Summary Post'!$I$22</definedName>
    <definedName name="Measure19_Location">'Summary Post'!#REF!</definedName>
    <definedName name="Measure19_Payback">'Summary Post'!$M$22</definedName>
    <definedName name="Measure19_Quantity">'Summary Post'!$D$22</definedName>
    <definedName name="Measure19_Replaced">'Summary Post'!$S$22</definedName>
    <definedName name="Measure19_SerialNumber">'Summary Post'!$Q$22</definedName>
    <definedName name="Measure19_ShortDescription">'Summary Post'!$E$22</definedName>
    <definedName name="Measure19_Size">'Summary Post'!$N$22</definedName>
    <definedName name="Measure19_Status">'Summary Post'!$F$22</definedName>
    <definedName name="Measure19_Type">'Summary Post'!$B$22</definedName>
    <definedName name="Measure19_UsefulLife">'Summary Post'!$P$22</definedName>
    <definedName name="Measure2_Age">'Summary Post'!$R$5</definedName>
    <definedName name="Measure2_Comments">'Summary Post'!$U$5</definedName>
    <definedName name="Measure2_Cost">'Summary Post'!$C$5</definedName>
    <definedName name="Measure2_DemandSavings">'Summary Post'!$J$5</definedName>
    <definedName name="Measure2_Description">'Summary Post'!$T$5</definedName>
    <definedName name="Measure2_Efficiency">'Summary Post'!$O$5</definedName>
    <definedName name="Measure2_ElectricCostSavings">'Summary Post'!$K$5</definedName>
    <definedName name="Measure2_Incentive">'Summary Post'!$L$5</definedName>
    <definedName name="Measure2_kWhSavings">'Summary Post'!$I$5</definedName>
    <definedName name="Measure2_Location">'Summary Post'!#REF!</definedName>
    <definedName name="Measure2_Payback">'Summary Post'!$M$5</definedName>
    <definedName name="Measure2_Quantity">'Summary Post'!$D$5</definedName>
    <definedName name="Measure2_Replaced">'Summary Post'!$S$5</definedName>
    <definedName name="Measure2_SerialNumber">'Summary Post'!$Q$5</definedName>
    <definedName name="Measure2_ShortDescription">'Summary Post'!$E$5</definedName>
    <definedName name="Measure2_Size">'Summary Post'!$N$5</definedName>
    <definedName name="Measure2_Status">'Summary Post'!$F$5</definedName>
    <definedName name="Measure2_Type">'Summary Post'!$B$5</definedName>
    <definedName name="Measure2_UsefulLife">'Summary Post'!$P$5</definedName>
    <definedName name="Measure20_Age">'Summary Post'!$R$23</definedName>
    <definedName name="Measure20_CNC">'Summary Post'!$Z$23</definedName>
    <definedName name="Measure20_Comments">'Summary Post'!$U$23</definedName>
    <definedName name="Measure20_Cost">'Summary Post'!$C$23</definedName>
    <definedName name="Measure20_DemandSavings">'Summary Post'!$J$23</definedName>
    <definedName name="Measure20_Description">'Summary Post'!$T$23</definedName>
    <definedName name="Measure20_Efficiency">'Summary Post'!$O$23</definedName>
    <definedName name="Measure20_ElectricCostSavings">'Summary Post'!$K$23</definedName>
    <definedName name="Measure20_Incentive">'Summary Post'!$L$23</definedName>
    <definedName name="Measure20_kWhSavings">'Summary Post'!$I$23</definedName>
    <definedName name="Measure20_Location">'Summary Post'!#REF!</definedName>
    <definedName name="Measure20_Payback">'Summary Post'!$M$23</definedName>
    <definedName name="Measure20_Quantity">'Summary Post'!$D$23</definedName>
    <definedName name="Measure20_Replaced">'Summary Post'!$S$23</definedName>
    <definedName name="Measure20_SerialNumber">'Summary Post'!$Q$23</definedName>
    <definedName name="Measure20_ShortDescription">'Summary Post'!$E$23</definedName>
    <definedName name="Measure20_Size">'Summary Post'!$N$23</definedName>
    <definedName name="Measure20_Status">'Summary Post'!$F$23</definedName>
    <definedName name="Measure20_Type">'Summary Post'!$B$23</definedName>
    <definedName name="Measure20_UsefulLife">'Summary Post'!$P$23</definedName>
    <definedName name="Measure21_Age">'Summary Post'!$R$24</definedName>
    <definedName name="Measure21_CNC">'Summary Post'!$Z$24</definedName>
    <definedName name="Measure21_Comments">'Summary Post'!$U$24</definedName>
    <definedName name="Measure21_Cost">'Summary Post'!$C$24</definedName>
    <definedName name="Measure21_DemandSavings">'Summary Post'!$J$24</definedName>
    <definedName name="Measure21_Description">'Summary Post'!$T$24</definedName>
    <definedName name="Measure21_Efficiency">'Summary Post'!$O$24</definedName>
    <definedName name="Measure21_ElectricCostSavings">'Summary Post'!$K$24</definedName>
    <definedName name="Measure21_Incentive">'Summary Post'!$L$24</definedName>
    <definedName name="Measure21_kWhSavings">'Summary Post'!$I$24</definedName>
    <definedName name="Measure21_Location">'Summary Post'!#REF!</definedName>
    <definedName name="Measure21_Payback">'Summary Post'!$M$24</definedName>
    <definedName name="Measure21_Quantity">'Summary Post'!$D$24</definedName>
    <definedName name="Measure21_Replaced">'Summary Post'!$S$24</definedName>
    <definedName name="Measure21_SerialNumber">'Summary Post'!$Q$24</definedName>
    <definedName name="Measure21_ShortDescription">'Summary Post'!$E$24</definedName>
    <definedName name="Measure21_Size">'Summary Post'!$N$24</definedName>
    <definedName name="Measure21_Status">'Summary Post'!$F$24</definedName>
    <definedName name="Measure21_Type">'Summary Post'!$B$24</definedName>
    <definedName name="Measure21_UsefulLife">'Summary Post'!$P$24</definedName>
    <definedName name="Measure22_Age">'Summary Post'!$R$25</definedName>
    <definedName name="Measure22_CNC">'Summary Post'!$Z$25</definedName>
    <definedName name="Measure22_Comments">'Summary Post'!$U$25</definedName>
    <definedName name="Measure22_Cost">'Summary Post'!$C$25</definedName>
    <definedName name="Measure22_DemandSavings">'Summary Post'!$J$25</definedName>
    <definedName name="Measure22_Description">'Summary Post'!$T$25</definedName>
    <definedName name="Measure22_Efficiency">'Summary Post'!$O$25</definedName>
    <definedName name="Measure22_ElectricCostSavings">'Summary Post'!$K$25</definedName>
    <definedName name="Measure22_Incentive">'Summary Post'!$L$25</definedName>
    <definedName name="Measure22_kWhSavings">'Summary Post'!$I$25</definedName>
    <definedName name="Measure22_Location">'Summary Post'!#REF!</definedName>
    <definedName name="Measure22_Payback">'Summary Post'!$M$25</definedName>
    <definedName name="Measure22_Quantity">'Summary Post'!$D$25</definedName>
    <definedName name="Measure22_Replaced">'Summary Post'!$S$25</definedName>
    <definedName name="Measure22_SerialNumber">'Summary Post'!$Q$25</definedName>
    <definedName name="Measure22_ShortDescription">'Summary Post'!$E$25</definedName>
    <definedName name="Measure22_Size">'Summary Post'!$N$25</definedName>
    <definedName name="Measure22_Status">'Summary Post'!$F$25</definedName>
    <definedName name="Measure22_Type">'Summary Post'!$B$25</definedName>
    <definedName name="Measure22_UsefulLife">'Summary Post'!$P$25</definedName>
    <definedName name="Measure23_Age">'Summary Post'!$R$26</definedName>
    <definedName name="Measure23_CNC">'Summary Post'!$Z$26</definedName>
    <definedName name="Measure23_Comments">'Summary Post'!$U$26</definedName>
    <definedName name="Measure23_Cost">'Summary Post'!$C$26</definedName>
    <definedName name="Measure23_DemandSavings">'Summary Post'!$J$26</definedName>
    <definedName name="Measure23_Description">'Summary Post'!$T$26</definedName>
    <definedName name="Measure23_Efficiency">'Summary Post'!$O$26</definedName>
    <definedName name="Measure23_ElectricCostSavings">'Summary Post'!$K$26</definedName>
    <definedName name="Measure23_Incentive">'Summary Post'!$L$26</definedName>
    <definedName name="Measure23_kWhSavings">'Summary Post'!$I$26</definedName>
    <definedName name="Measure23_Location">'Summary Post'!#REF!</definedName>
    <definedName name="Measure23_Payback">'Summary Post'!$M$26</definedName>
    <definedName name="Measure23_Quantity">'Summary Post'!$D$26</definedName>
    <definedName name="Measure23_Replaced">'Summary Post'!$S$26</definedName>
    <definedName name="Measure23_SerialNumber">'Summary Post'!$Q$26</definedName>
    <definedName name="Measure23_ShortDescription">'Summary Post'!$E$26</definedName>
    <definedName name="Measure23_Size">'Summary Post'!$N$26</definedName>
    <definedName name="Measure23_Status">'Summary Post'!$F$26</definedName>
    <definedName name="Measure23_Type">'Summary Post'!$B$26</definedName>
    <definedName name="Measure23_UsefulLife">'Summary Post'!$P$26</definedName>
    <definedName name="Measure24_Age">'Summary Post'!$R$27</definedName>
    <definedName name="Measure24_CNC">'Summary Post'!$Z$27</definedName>
    <definedName name="Measure24_Comments">'Summary Post'!$U$27</definedName>
    <definedName name="Measure24_Cost">'Summary Post'!$C$27</definedName>
    <definedName name="Measure24_DemandSavings">'Summary Post'!$J$27</definedName>
    <definedName name="Measure24_Description">'Summary Post'!$T$27</definedName>
    <definedName name="Measure24_Efficiency">'Summary Post'!$O$27</definedName>
    <definedName name="Measure24_ElectricCostSavings">'Summary Post'!$K$27</definedName>
    <definedName name="Measure24_Incentive">'Summary Post'!$L$27</definedName>
    <definedName name="Measure24_kWhSavings">'Summary Post'!$I$27</definedName>
    <definedName name="Measure24_Location">'Summary Post'!#REF!</definedName>
    <definedName name="Measure24_Payback">'Summary Post'!$M$27</definedName>
    <definedName name="Measure24_Quantity">'Summary Post'!$D$27</definedName>
    <definedName name="Measure24_Replaced">'Summary Post'!$S$27</definedName>
    <definedName name="Measure24_SerialNumber">'Summary Post'!$Q$27</definedName>
    <definedName name="Measure24_ShortDescription">'Summary Post'!$E$27</definedName>
    <definedName name="Measure24_Size">'Summary Post'!$N$27</definedName>
    <definedName name="Measure24_Status">'Summary Post'!$F$27</definedName>
    <definedName name="Measure24_Type">'Summary Post'!$B$27</definedName>
    <definedName name="Measure24_UsefulLife">'Summary Post'!$P$27</definedName>
    <definedName name="Measure25_Age">'Summary Post'!$R$28</definedName>
    <definedName name="Measure25_CNC">'Summary Post'!$Z$28</definedName>
    <definedName name="Measure25_Comments">'Summary Post'!$U$28</definedName>
    <definedName name="Measure25_Cost">'Summary Post'!$C$28</definedName>
    <definedName name="Measure25_DemandSavings">'Summary Post'!$J$28</definedName>
    <definedName name="Measure25_Description">'Summary Post'!$T$28</definedName>
    <definedName name="Measure25_Efficiency">'Summary Post'!$O$28</definedName>
    <definedName name="Measure25_ElectricCostSavings">'Summary Post'!$K$28</definedName>
    <definedName name="Measure25_Incentive">'Summary Post'!$L$28</definedName>
    <definedName name="Measure25_kWhSavings">'Summary Post'!$I$28</definedName>
    <definedName name="Measure25_Location">'Summary Post'!#REF!</definedName>
    <definedName name="Measure25_Payback">'Summary Post'!$M$28</definedName>
    <definedName name="Measure25_Quantity">'Summary Post'!$D$28</definedName>
    <definedName name="Measure25_Replaced">'Summary Post'!$S$28</definedName>
    <definedName name="Measure25_SerialNumber">'Summary Post'!$Q$28</definedName>
    <definedName name="Measure25_ShortDescription">'Summary Post'!$E$28</definedName>
    <definedName name="Measure25_Size">'Summary Post'!$N$28</definedName>
    <definedName name="Measure25_Status">'Summary Post'!$F$28</definedName>
    <definedName name="Measure25_Type">'Summary Post'!$B$28</definedName>
    <definedName name="Measure25_UsefulLife">'Summary Post'!$P$28</definedName>
    <definedName name="Measure26_Age">'Summary Post'!$R$29</definedName>
    <definedName name="Measure26_CNC">'Summary Post'!$Z$29</definedName>
    <definedName name="Measure26_Comments">'Summary Post'!$U$29</definedName>
    <definedName name="Measure26_Cost">'Summary Post'!$C$29</definedName>
    <definedName name="Measure26_DemandSavings">'Summary Post'!$J$29</definedName>
    <definedName name="Measure26_Description">'Summary Post'!$T$29</definedName>
    <definedName name="Measure26_Efficiency">'Summary Post'!$O$29</definedName>
    <definedName name="Measure26_ElectricCostSavings">'Summary Post'!$K$29</definedName>
    <definedName name="Measure26_Incentive">'Summary Post'!$L$29</definedName>
    <definedName name="Measure26_kWhSavings">'Summary Post'!$I$29</definedName>
    <definedName name="Measure26_Location">'Summary Post'!#REF!</definedName>
    <definedName name="Measure26_Payback">'Summary Post'!$M$29</definedName>
    <definedName name="Measure26_Quantity">'Summary Post'!$D$29</definedName>
    <definedName name="Measure26_Replaced">'Summary Post'!$S$29</definedName>
    <definedName name="Measure26_SerialNumber">'Summary Post'!$Q$29</definedName>
    <definedName name="Measure26_ShortDescription">'Summary Post'!$E$29</definedName>
    <definedName name="Measure26_Size">'Summary Post'!$N$29</definedName>
    <definedName name="Measure26_Status">'Summary Post'!$F$29</definedName>
    <definedName name="Measure26_Type">'Summary Post'!$B$29</definedName>
    <definedName name="Measure26_UsefulLife">'Summary Post'!$P$29</definedName>
    <definedName name="Measure27_Age">'Summary Post'!$R$30</definedName>
    <definedName name="Measure27_CNC">'Summary Post'!$Z$30</definedName>
    <definedName name="Measure27_Comments">'Summary Post'!$U$30</definedName>
    <definedName name="Measure27_Cost">'Summary Post'!$C$30</definedName>
    <definedName name="Measure27_DemandSavings">'Summary Post'!$J$30</definedName>
    <definedName name="Measure27_Description">'Summary Post'!$T$30</definedName>
    <definedName name="Measure27_Efficiency">'Summary Post'!$O$30</definedName>
    <definedName name="Measure27_ElectricCostSavings">'Summary Post'!$K$30</definedName>
    <definedName name="Measure27_Incentive">'Summary Post'!$L$30</definedName>
    <definedName name="Measure27_kWhSavings">'Summary Post'!$I$30</definedName>
    <definedName name="Measure27_Location">'Summary Post'!#REF!</definedName>
    <definedName name="Measure27_Payback">'Summary Post'!$M$30</definedName>
    <definedName name="Measure27_Quantity">'Summary Post'!$D$30</definedName>
    <definedName name="Measure27_Replaced">'Summary Post'!$S$30</definedName>
    <definedName name="Measure27_SerialNumber">'Summary Post'!$Q$30</definedName>
    <definedName name="Measure27_ShortDescription">'Summary Post'!$E$30</definedName>
    <definedName name="Measure27_Size">'Summary Post'!$N$30</definedName>
    <definedName name="Measure27_Status">'Summary Post'!$F$30</definedName>
    <definedName name="Measure27_Type">'Summary Post'!$B$30</definedName>
    <definedName name="Measure27_UsefulLife">'Summary Post'!$P$30</definedName>
    <definedName name="Measure28_Age">'Summary Post'!$R$31</definedName>
    <definedName name="Measure28_CNC">'Summary Post'!$Z$31</definedName>
    <definedName name="Measure28_Comments">'Summary Post'!$U$31</definedName>
    <definedName name="Measure28_Cost">'Summary Post'!$C$31</definedName>
    <definedName name="Measure28_DemandSavings">'Summary Post'!$J$31</definedName>
    <definedName name="Measure28_Description">'Summary Post'!$T$31</definedName>
    <definedName name="Measure28_Efficiency">'Summary Post'!$O$31</definedName>
    <definedName name="Measure28_ElectricCostSavings">'Summary Post'!$K$31</definedName>
    <definedName name="Measure28_Incentive">'Summary Post'!$L$31</definedName>
    <definedName name="Measure28_kWhSavings">'Summary Post'!$I$31</definedName>
    <definedName name="Measure28_Location">'Summary Post'!#REF!</definedName>
    <definedName name="Measure28_Payback">'Summary Post'!$M$31</definedName>
    <definedName name="Measure28_Quantity">'Summary Post'!$D$31</definedName>
    <definedName name="Measure28_Replaced">'Summary Post'!$S$31</definedName>
    <definedName name="Measure28_SerialNumber">'Summary Post'!$Q$31</definedName>
    <definedName name="Measure28_ShortDescription">'Summary Post'!$E$31</definedName>
    <definedName name="Measure28_Size">'Summary Post'!$N$31</definedName>
    <definedName name="Measure28_Status">'Summary Post'!$F$31</definedName>
    <definedName name="Measure28_Type">'Summary Post'!$B$31</definedName>
    <definedName name="Measure28_UsefulLife">'Summary Post'!$P$31</definedName>
    <definedName name="Measure29_Age">'Summary Post'!$R$32</definedName>
    <definedName name="Measure29_CNC">'Summary Post'!$Z$32</definedName>
    <definedName name="Measure29_Comments">'Summary Post'!$U$32</definedName>
    <definedName name="Measure29_Cost">'Summary Post'!$C$32</definedName>
    <definedName name="Measure29_DemandSavings">'Summary Post'!$J$32</definedName>
    <definedName name="Measure29_Description">'Summary Post'!$T$32</definedName>
    <definedName name="Measure29_Efficiency">'Summary Post'!$O$32</definedName>
    <definedName name="Measure29_ElectricCostSavings">'Summary Post'!$K$32</definedName>
    <definedName name="Measure29_Incentive">'Summary Post'!$L$32</definedName>
    <definedName name="Measure29_kWhSavings">'Summary Post'!$I$32</definedName>
    <definedName name="Measure29_Location">'Summary Post'!#REF!</definedName>
    <definedName name="Measure29_Payback">'Summary Post'!$M$32</definedName>
    <definedName name="Measure29_Quantity">'Summary Post'!$D$32</definedName>
    <definedName name="Measure29_Replaced">'Summary Post'!$S$32</definedName>
    <definedName name="Measure29_SerialNumber">'Summary Post'!$Q$32</definedName>
    <definedName name="Measure29_ShortDescription">'Summary Post'!$E$32</definedName>
    <definedName name="Measure29_Size">'Summary Post'!$N$32</definedName>
    <definedName name="Measure29_Status">'Summary Post'!$F$32</definedName>
    <definedName name="Measure29_Type">'Summary Post'!$B$32</definedName>
    <definedName name="Measure29_UsefulLife">'Summary Post'!$P$32</definedName>
    <definedName name="Measure3_Age">'Summary Post'!$R$6</definedName>
    <definedName name="Measure3_Comments">'Summary Post'!$U$6</definedName>
    <definedName name="Measure3_Cost">'Summary Post'!$C$6</definedName>
    <definedName name="Measure3_DemandSavings">'Summary Post'!$J$6</definedName>
    <definedName name="Measure3_Description">'Summary Post'!$T$6</definedName>
    <definedName name="Measure3_Efficiency">'Summary Post'!$O$6</definedName>
    <definedName name="Measure3_ElectricCostSavings">'Summary Post'!$K$6</definedName>
    <definedName name="Measure3_Incentive">'Summary Post'!$L$6</definedName>
    <definedName name="Measure3_kWhSavings">'Summary Post'!$I$6</definedName>
    <definedName name="Measure3_Location">'Summary Post'!#REF!</definedName>
    <definedName name="Measure3_Payback">'Summary Post'!$M$6</definedName>
    <definedName name="Measure3_Quantity">'Summary Post'!$D$6</definedName>
    <definedName name="Measure3_Replaced">'Summary Post'!$S$6</definedName>
    <definedName name="Measure3_SerialNumber">'Summary Post'!$Q$6</definedName>
    <definedName name="Measure3_ShortDescription">'Summary Post'!$E$6</definedName>
    <definedName name="Measure3_Size">'Summary Post'!$N$6</definedName>
    <definedName name="Measure3_Status">'Summary Post'!$F$6</definedName>
    <definedName name="Measure3_Type">'Summary Post'!$B$6</definedName>
    <definedName name="Measure3_UsefulLife">'Summary Post'!$P$6</definedName>
    <definedName name="Measure30_Age">'Summary Post'!$R$33</definedName>
    <definedName name="Measure30_Comments">'Summary Post'!$U$33</definedName>
    <definedName name="Measure30_Cost">'Summary Post'!$C$33</definedName>
    <definedName name="Measure30_DemandSavings">'Summary Post'!$J$33</definedName>
    <definedName name="Measure30_Description">'Summary Post'!$T$33</definedName>
    <definedName name="Measure30_Efficiency">'Summary Post'!$O$33</definedName>
    <definedName name="Measure30_ElectricCostSavings">'Summary Post'!$K$33</definedName>
    <definedName name="Measure30_Incentive">'Summary Post'!$L$33</definedName>
    <definedName name="Measure30_kWhSavings">'Summary Post'!$I$33</definedName>
    <definedName name="Measure30_Location">'Summary Post'!#REF!</definedName>
    <definedName name="Measure30_Payback">'Summary Post'!$M$33</definedName>
    <definedName name="Measure30_Quantity">'Summary Post'!$D$33</definedName>
    <definedName name="Measure30_Replaced">'Summary Post'!$S$33</definedName>
    <definedName name="Measure30_SerialNumber">'Summary Post'!$Q$33</definedName>
    <definedName name="Measure30_ShortDescription">'Summary Post'!$E$33</definedName>
    <definedName name="Measure30_Size">'Summary Post'!$N$33</definedName>
    <definedName name="Measure30_Status">'Summary Post'!$F$33</definedName>
    <definedName name="Measure30_Type">'Summary Post'!$B$33</definedName>
    <definedName name="Measure30_UsefulLife">'Summary Post'!$P$33</definedName>
    <definedName name="Measure31_Age">'Summary Post'!$R$34</definedName>
    <definedName name="Measure31_CNC">'Summary Post'!$Z$34</definedName>
    <definedName name="Measure31_Comments">'Summary Post'!$U$34</definedName>
    <definedName name="Measure31_Cost">'Summary Post'!$C$34</definedName>
    <definedName name="Measure31_DemandSavings">'Summary Post'!$J$34</definedName>
    <definedName name="Measure31_Description">'Summary Post'!$T$34</definedName>
    <definedName name="Measure31_Efficiency">'Summary Post'!$O$34</definedName>
    <definedName name="Measure31_ElectricCostSavings">'Summary Post'!$K$34</definedName>
    <definedName name="Measure31_Incentive">'Summary Post'!$L$34</definedName>
    <definedName name="Measure31_kWhSavings">'Summary Post'!$I$34</definedName>
    <definedName name="Measure31_Location">'Summary Post'!#REF!</definedName>
    <definedName name="Measure31_Payback">'Summary Post'!$M$34</definedName>
    <definedName name="Measure31_Quantity">'Summary Post'!$D$34</definedName>
    <definedName name="Measure31_Replaced">'Summary Post'!$S$34</definedName>
    <definedName name="Measure31_SerialNumber">'Summary Post'!$Q$34</definedName>
    <definedName name="Measure31_ShortDescription">'Summary Post'!$E$34</definedName>
    <definedName name="Measure31_Size">'Summary Post'!$N$34</definedName>
    <definedName name="Measure31_Status">'Summary Post'!$F$34</definedName>
    <definedName name="Measure31_Type">'Summary Post'!$B$34</definedName>
    <definedName name="Measure31_UsefulLife">'Summary Post'!$P$34</definedName>
    <definedName name="Measure32_Age">'Summary Post'!$R$35</definedName>
    <definedName name="Measure32_CNC">'Summary Post'!$Z$35</definedName>
    <definedName name="Measure32_Comments">'Summary Post'!$U$35</definedName>
    <definedName name="Measure32_Cost">'Summary Post'!$C$35</definedName>
    <definedName name="Measure32_DemandSavings">'Summary Post'!$J$35</definedName>
    <definedName name="Measure32_Description">'Summary Post'!$T$35</definedName>
    <definedName name="Measure32_Efficiency">'Summary Post'!$O$35</definedName>
    <definedName name="Measure32_ElectricCostSavings">'Summary Post'!$K$35</definedName>
    <definedName name="Measure32_Incentive">'Summary Post'!$L$35</definedName>
    <definedName name="Measure32_kWhSavings">'Summary Post'!$I$35</definedName>
    <definedName name="Measure32_Location">'Summary Post'!#REF!</definedName>
    <definedName name="Measure32_Payback">'Summary Post'!$M$35</definedName>
    <definedName name="Measure32_Quantity">'Summary Post'!$D$35</definedName>
    <definedName name="Measure32_Replaced">'Summary Post'!$S$35</definedName>
    <definedName name="Measure32_SerialNumber">'Summary Post'!$Q$35</definedName>
    <definedName name="Measure32_ShortDescription">'Summary Post'!$E$35</definedName>
    <definedName name="Measure32_Size">'Summary Post'!$N$35</definedName>
    <definedName name="Measure32_Status">'Summary Post'!$F$35</definedName>
    <definedName name="Measure32_Type">'Summary Post'!$B$35</definedName>
    <definedName name="Measure32_UsefulLife">'Summary Post'!$P$35</definedName>
    <definedName name="Measure33_Age">'Summary Post'!$R$36</definedName>
    <definedName name="Measure33_CNC">'Summary Post'!$Z$36</definedName>
    <definedName name="Measure33_Comments">'Summary Post'!$U$36</definedName>
    <definedName name="Measure33_Cost">'Summary Post'!$C$36</definedName>
    <definedName name="Measure33_DemandSavings">'Summary Post'!$J$36</definedName>
    <definedName name="Measure33_Description">'Summary Post'!$T$36</definedName>
    <definedName name="Measure33_Efficiency">'Summary Post'!$O$36</definedName>
    <definedName name="Measure33_ElectricCostSavings">'Summary Post'!$K$36</definedName>
    <definedName name="Measure33_Incentive">'Summary Post'!$L$36</definedName>
    <definedName name="Measure33_kWhSavings">'Summary Post'!$I$36</definedName>
    <definedName name="Measure33_Location">'Summary Post'!#REF!</definedName>
    <definedName name="Measure33_Payback">'Summary Post'!$M$36</definedName>
    <definedName name="Measure33_Quantity">'Summary Post'!$D$36</definedName>
    <definedName name="Measure33_Replaced">'Summary Post'!$S$36</definedName>
    <definedName name="Measure33_SerialNumber">'Summary Post'!$Q$36</definedName>
    <definedName name="Measure33_ShortDescription">'Summary Post'!$E$36</definedName>
    <definedName name="Measure33_Size">'Summary Post'!$N$36</definedName>
    <definedName name="Measure33_Status">'Summary Post'!$F$36</definedName>
    <definedName name="Measure33_Type">'Summary Post'!$B$36</definedName>
    <definedName name="Measure33_UsefulLife">'Summary Post'!$P$36</definedName>
    <definedName name="Measure34_Age">'Summary Post'!$R$37</definedName>
    <definedName name="Measure34_CNC">'Summary Post'!$Z$37</definedName>
    <definedName name="Measure34_Comments">'Summary Post'!$U$37</definedName>
    <definedName name="Measure34_Cost">'Summary Post'!$C$37</definedName>
    <definedName name="Measure34_DemandSavings">'Summary Post'!$J$37</definedName>
    <definedName name="Measure34_Description">'Summary Post'!$T$37</definedName>
    <definedName name="Measure34_Efficiency">'Summary Post'!$O$37</definedName>
    <definedName name="Measure34_ElectricCostSavings">'Summary Post'!$K$37</definedName>
    <definedName name="Measure34_Incentive">'Summary Post'!$L$37</definedName>
    <definedName name="Measure34_kWhSavings">'Summary Post'!$I$37</definedName>
    <definedName name="Measure34_Location">'Summary Post'!#REF!</definedName>
    <definedName name="Measure34_Payback">'Summary Post'!$M$37</definedName>
    <definedName name="Measure34_Quantity">'Summary Post'!$D$37</definedName>
    <definedName name="Measure34_Replaced">'Summary Post'!$S$37</definedName>
    <definedName name="Measure34_SerialNumber">'Summary Post'!$Q$37</definedName>
    <definedName name="Measure34_ShortDescription">'Summary Post'!$E$37</definedName>
    <definedName name="Measure34_Size">'Summary Post'!$N$37</definedName>
    <definedName name="Measure34_Status">'Summary Post'!$F$37</definedName>
    <definedName name="Measure34_Type">'Summary Post'!$B$37</definedName>
    <definedName name="Measure34_UsefulLife">'Summary Post'!$P$37</definedName>
    <definedName name="Measure35_Age">'Summary Post'!$R$38</definedName>
    <definedName name="Measure35_CNC">'Summary Post'!$Z$38</definedName>
    <definedName name="Measure35_Comments">'Summary Post'!$U$38</definedName>
    <definedName name="Measure35_Cost">'Summary Post'!$C$38</definedName>
    <definedName name="Measure35_DemandSavings">'Summary Post'!$J$38</definedName>
    <definedName name="Measure35_Description">'Summary Post'!$T$38</definedName>
    <definedName name="Measure35_Efficiency">'Summary Post'!$O$38</definedName>
    <definedName name="Measure35_ElectricCostSavings">'Summary Post'!$K$38</definedName>
    <definedName name="Measure35_Incentive">'Summary Post'!$L$38</definedName>
    <definedName name="Measure35_kWhSavings">'Summary Post'!$I$38</definedName>
    <definedName name="Measure35_Location">'Summary Post'!#REF!</definedName>
    <definedName name="Measure35_Payback">'Summary Post'!$M$38</definedName>
    <definedName name="Measure35_Quantity">'Summary Post'!$D$38</definedName>
    <definedName name="Measure35_Replaced">'Summary Post'!$S$38</definedName>
    <definedName name="Measure35_SerialNumber">'Summary Post'!$Q$38</definedName>
    <definedName name="Measure35_ShortDescription">'Summary Post'!$E$38</definedName>
    <definedName name="Measure35_Size">'Summary Post'!$N$38</definedName>
    <definedName name="Measure35_Status">'Summary Post'!$F$38</definedName>
    <definedName name="Measure35_Type">'Summary Post'!$B$38</definedName>
    <definedName name="Measure35_UsefulLife">'Summary Post'!$P$38</definedName>
    <definedName name="Measure36_Age">'Summary Post'!$R$39</definedName>
    <definedName name="Measure36_CNC">'Summary Post'!$Z$39</definedName>
    <definedName name="Measure36_Comments">'Summary Post'!$U$39</definedName>
    <definedName name="Measure36_Cost">'Summary Post'!$C$39</definedName>
    <definedName name="Measure36_DemandSavings">'Summary Post'!$J$39</definedName>
    <definedName name="Measure36_Description">'Summary Post'!$T$39</definedName>
    <definedName name="Measure36_Efficiency">'Summary Post'!$O$39</definedName>
    <definedName name="Measure36_ElectricCostSavings">'Summary Post'!$K$39</definedName>
    <definedName name="Measure36_Incentive">'Summary Post'!$L$39</definedName>
    <definedName name="Measure36_kWhSavings">'Summary Post'!$I$39</definedName>
    <definedName name="Measure36_Location">'Summary Post'!#REF!</definedName>
    <definedName name="Measure36_Payback">'Summary Post'!$M$39</definedName>
    <definedName name="Measure36_Quantity">'Summary Post'!$D$39</definedName>
    <definedName name="Measure36_Replaced">'Summary Post'!$S$39</definedName>
    <definedName name="Measure36_SerialNumber">'Summary Post'!$Q$39</definedName>
    <definedName name="Measure36_ShortDescription">'Summary Post'!$E$39</definedName>
    <definedName name="Measure36_Size">'Summary Post'!$N$39</definedName>
    <definedName name="Measure36_Status">'Summary Post'!$F$39</definedName>
    <definedName name="Measure36_Type">'Summary Post'!$B$39</definedName>
    <definedName name="Measure36_UsefulLife">'Summary Post'!$P$39</definedName>
    <definedName name="Measure37_Age">'Summary Post'!$R$40</definedName>
    <definedName name="Measure37_CNC">'Summary Post'!$Z$40</definedName>
    <definedName name="Measure37_Comments">'Summary Post'!$U$40</definedName>
    <definedName name="Measure37_Cost">'Summary Post'!$C$40</definedName>
    <definedName name="Measure37_DemandSavings">'Summary Post'!$J$40</definedName>
    <definedName name="Measure37_Description">'Summary Post'!$T$40</definedName>
    <definedName name="Measure37_Efficiency">'Summary Post'!$O$40</definedName>
    <definedName name="Measure37_ElectricCostSavings">'Summary Post'!$K$40</definedName>
    <definedName name="Measure37_Incentive">'Summary Post'!$L$40</definedName>
    <definedName name="Measure37_kWhSavings">'Summary Post'!$I$40</definedName>
    <definedName name="Measure37_Location">'Summary Post'!#REF!</definedName>
    <definedName name="Measure37_Payback">'Summary Post'!$M$40</definedName>
    <definedName name="Measure37_Quantity">'Summary Post'!$D$40</definedName>
    <definedName name="Measure37_Replaced">'Summary Post'!$S$40</definedName>
    <definedName name="Measure37_SerialNumber">'Summary Post'!$Q$40</definedName>
    <definedName name="Measure37_ShortDescription">'Summary Post'!$E$40</definedName>
    <definedName name="Measure37_Size">'Summary Post'!$N$40</definedName>
    <definedName name="Measure37_Status">'Summary Post'!$F$40</definedName>
    <definedName name="Measure37_Type">'Summary Post'!$B$40</definedName>
    <definedName name="Measure37_UsefulLife">'Summary Post'!$P$40</definedName>
    <definedName name="Measure38_Age">'Summary Post'!$R$41</definedName>
    <definedName name="Measure38_CNC">'Summary Post'!$Z$41</definedName>
    <definedName name="Measure38_Comments">'Summary Post'!$U$41</definedName>
    <definedName name="Measure38_Cost">'Summary Post'!$C$41</definedName>
    <definedName name="Measure38_DemandSavings">'Summary Post'!$J$41</definedName>
    <definedName name="Measure38_Description">'Summary Post'!$T$41</definedName>
    <definedName name="Measure38_Efficiency">'Summary Post'!$O$41</definedName>
    <definedName name="Measure38_ElectricCostSavings">'Summary Post'!$K$41</definedName>
    <definedName name="Measure38_Incentive">'Summary Post'!$L$41</definedName>
    <definedName name="Measure38_kWhSavings">'Summary Post'!$I$41</definedName>
    <definedName name="Measure38_Location">'Summary Post'!#REF!</definedName>
    <definedName name="Measure38_Payback">'Summary Post'!$M$41</definedName>
    <definedName name="Measure38_Quantity">'Summary Post'!$D$41</definedName>
    <definedName name="Measure38_Replaced">'Summary Post'!$S$41</definedName>
    <definedName name="Measure38_SerialNumber">'Summary Post'!$Q$41</definedName>
    <definedName name="Measure38_ShortDescription">'Summary Post'!$E$41</definedName>
    <definedName name="Measure38_Size">'Summary Post'!$N$41</definedName>
    <definedName name="Measure38_Status">'Summary Post'!$F$41</definedName>
    <definedName name="Measure38_Type">'Summary Post'!$B$41</definedName>
    <definedName name="Measure38_UsefulLife">'Summary Post'!$P$41</definedName>
    <definedName name="Measure39_Age">'Summary Post'!$R$42</definedName>
    <definedName name="Measure39_CNC">'Summary Post'!$Z$42</definedName>
    <definedName name="Measure39_Comments">'Summary Post'!$U$42</definedName>
    <definedName name="Measure39_Cost">'Summary Post'!$C$42</definedName>
    <definedName name="Measure39_DemandSavings">'Summary Post'!$J$42</definedName>
    <definedName name="Measure39_Description">'Summary Post'!$T$42</definedName>
    <definedName name="Measure39_Efficiency">'Summary Post'!$O$42</definedName>
    <definedName name="Measure39_ElectricCostSavings">'Summary Post'!$K$42</definedName>
    <definedName name="Measure39_Incentive">'Summary Post'!$L$42</definedName>
    <definedName name="Measure39_kWhSavings">'Summary Post'!$I$42</definedName>
    <definedName name="Measure39_Location">'Summary Post'!#REF!</definedName>
    <definedName name="Measure39_Payback">'Summary Post'!$M$42</definedName>
    <definedName name="Measure39_Quantity">'Summary Post'!$D$42</definedName>
    <definedName name="Measure39_Replaced">'Summary Post'!$S$42</definedName>
    <definedName name="Measure39_SerialNumber">'Summary Post'!$Q$42</definedName>
    <definedName name="Measure39_ShortDescription">'Summary Post'!$E$42</definedName>
    <definedName name="Measure39_Size">'Summary Post'!$N$42</definedName>
    <definedName name="Measure39_Status">'Summary Post'!$F$42</definedName>
    <definedName name="Measure39_Type">'Summary Post'!$B$42</definedName>
    <definedName name="Measure39_UsefulLife">'Summary Post'!$P$42</definedName>
    <definedName name="Measure4_Age">'Summary Post'!$R$7</definedName>
    <definedName name="Measure4_CNC">'Summary Post'!$Z$7</definedName>
    <definedName name="Measure4_Comments">'Summary Post'!$U$7</definedName>
    <definedName name="Measure4_Cost">'Summary Post'!$C$7</definedName>
    <definedName name="Measure4_DemandSavings">'Summary Post'!$J$7</definedName>
    <definedName name="Measure4_Description">'Summary Post'!$T$7</definedName>
    <definedName name="Measure4_Efficiency">'Summary Post'!$O$7</definedName>
    <definedName name="Measure4_ElectricCostSavings">'Summary Post'!$K$7</definedName>
    <definedName name="Measure4_Incentive">'Summary Post'!$L$7</definedName>
    <definedName name="Measure4_kWhSavings">'Summary Post'!$I$7</definedName>
    <definedName name="Measure4_Location">'Summary Post'!#REF!</definedName>
    <definedName name="Measure4_Payback">'Summary Post'!$M$7</definedName>
    <definedName name="Measure4_Quantity">'Summary Post'!$D$7</definedName>
    <definedName name="Measure4_Replaced">'Summary Post'!$S$7</definedName>
    <definedName name="Measure4_SerialNumber">'Summary Post'!$Q$7</definedName>
    <definedName name="Measure4_ShortDescription">'Summary Post'!$E$7</definedName>
    <definedName name="Measure4_Size">'Summary Post'!$N$7</definedName>
    <definedName name="Measure4_Status">'Summary Post'!$F$7</definedName>
    <definedName name="Measure4_Type">'Summary Post'!$B$7</definedName>
    <definedName name="Measure4_UsefulLife">'Summary Post'!$P$7</definedName>
    <definedName name="Measure40_Age">'Summary Post'!$R$43</definedName>
    <definedName name="Measure40_Comments">'Summary Post'!$U$43</definedName>
    <definedName name="Measure40_Cost">'Summary Post'!$C$43</definedName>
    <definedName name="Measure40_DemandSavings">'Summary Post'!$J$43</definedName>
    <definedName name="Measure40_Description">'Summary Post'!$T$43</definedName>
    <definedName name="Measure40_Efficiency">'Summary Post'!$O$43</definedName>
    <definedName name="Measure40_ElectricCostSavings">'Summary Post'!$K$43</definedName>
    <definedName name="Measure40_Incentive">'Summary Post'!$L$43</definedName>
    <definedName name="Measure40_kWhSavings">'Summary Post'!$I$43</definedName>
    <definedName name="Measure40_Location">'Summary Post'!#REF!</definedName>
    <definedName name="Measure40_Payback">'Summary Post'!$M$43</definedName>
    <definedName name="Measure40_Quantity">'Summary Post'!$D$43</definedName>
    <definedName name="Measure40_Replaced">'Summary Post'!$S$43</definedName>
    <definedName name="Measure40_SerialNumber">'Summary Post'!$Q$43</definedName>
    <definedName name="Measure40_ShortDescription">'Summary Post'!$E$43</definedName>
    <definedName name="Measure40_Size">'Summary Post'!$N$43</definedName>
    <definedName name="Measure40_Status">'Summary Post'!$F$43</definedName>
    <definedName name="Measure40_Type">'Summary Post'!$B$43</definedName>
    <definedName name="Measure40_UsefulLife">'Summary Post'!$P$43</definedName>
    <definedName name="Measure41_Age">'Summary Post'!$R$44</definedName>
    <definedName name="Measure41_CNC">'Summary Post'!$Z$44</definedName>
    <definedName name="Measure41_Comments">'Summary Post'!$U$44</definedName>
    <definedName name="Measure41_Cost">'Summary Post'!$C$44</definedName>
    <definedName name="Measure41_DemandSavings">'Summary Post'!$J$44</definedName>
    <definedName name="Measure41_Description">'Summary Post'!$T$44</definedName>
    <definedName name="Measure41_Efficiency">'Summary Post'!$O$44</definedName>
    <definedName name="Measure41_ElectricCostSavings">'Summary Post'!$K$44</definedName>
    <definedName name="Measure41_Incentive">'Summary Post'!$L$44</definedName>
    <definedName name="Measure41_kWhSavings">'Summary Post'!$I$44</definedName>
    <definedName name="Measure41_Location">'Summary Post'!#REF!</definedName>
    <definedName name="Measure41_Payback">'Summary Post'!$M$44</definedName>
    <definedName name="Measure41_Quantity">'Summary Post'!$D$44</definedName>
    <definedName name="Measure41_Replaced">'Summary Post'!$S$44</definedName>
    <definedName name="Measure41_SerialNumber">'Summary Post'!$Q$44</definedName>
    <definedName name="Measure41_ShortDescription">'Summary Post'!$E$44</definedName>
    <definedName name="Measure41_Size">'Summary Post'!$N$44</definedName>
    <definedName name="Measure41_Status">'Summary Post'!$F$44</definedName>
    <definedName name="Measure41_Type">'Summary Post'!$B$44</definedName>
    <definedName name="Measure41_UsefulLife">'Summary Post'!$P$44</definedName>
    <definedName name="Measure42_Age">'Summary Post'!$R$45</definedName>
    <definedName name="Measure42_CNC">'Summary Post'!$Z$45</definedName>
    <definedName name="Measure42_Comments">'Summary Post'!$U$45</definedName>
    <definedName name="Measure42_Cost">'Summary Post'!$C$45</definedName>
    <definedName name="Measure42_DemandSavings">'Summary Post'!$J$45</definedName>
    <definedName name="Measure42_Description">'Summary Post'!$T$45</definedName>
    <definedName name="Measure42_Efficiency">'Summary Post'!$O$45</definedName>
    <definedName name="Measure42_ElectricCostSavings">'Summary Post'!$K$45</definedName>
    <definedName name="Measure42_Incentive">'Summary Post'!$L$45</definedName>
    <definedName name="Measure42_kWhSavings">'Summary Post'!$I$45</definedName>
    <definedName name="Measure42_Location">'Summary Post'!#REF!</definedName>
    <definedName name="Measure42_Payback">'Summary Post'!$M$45</definedName>
    <definedName name="Measure42_Quantity">'Summary Post'!$D$45</definedName>
    <definedName name="Measure42_Replaced">'Summary Post'!$S$45</definedName>
    <definedName name="Measure42_SerialNumber">'Summary Post'!$Q$45</definedName>
    <definedName name="Measure42_ShortDescription">'Summary Post'!$E$45</definedName>
    <definedName name="Measure42_Size">'Summary Post'!$N$45</definedName>
    <definedName name="Measure42_Status">'Summary Post'!$F$45</definedName>
    <definedName name="Measure42_Type">'Summary Post'!$B$45</definedName>
    <definedName name="Measure42_UsefulLife">'Summary Post'!$P$45</definedName>
    <definedName name="Measure43_Age">'Summary Post'!$R$46</definedName>
    <definedName name="Measure43_CNC">'Summary Post'!$Z$46</definedName>
    <definedName name="Measure43_Comments">'Summary Post'!$U$46</definedName>
    <definedName name="Measure43_Cost">'Summary Post'!$C$46</definedName>
    <definedName name="Measure43_DemandSavings">'Summary Post'!$J$46</definedName>
    <definedName name="Measure43_Description">'Summary Post'!$T$46</definedName>
    <definedName name="Measure43_Efficiency">'Summary Post'!$O$46</definedName>
    <definedName name="Measure43_ElectricCostSavings">'Summary Post'!$K$46</definedName>
    <definedName name="Measure43_Incentive">'Summary Post'!$L$46</definedName>
    <definedName name="Measure43_kWhSavings">'Summary Post'!$I$46</definedName>
    <definedName name="Measure43_Location">'Summary Post'!#REF!</definedName>
    <definedName name="Measure43_Payback">'Summary Post'!$M$46</definedName>
    <definedName name="Measure43_Quantity">'Summary Post'!$D$46</definedName>
    <definedName name="Measure43_Replaced">'Summary Post'!$S$46</definedName>
    <definedName name="Measure43_SerialNumber">'Summary Post'!$Q$46</definedName>
    <definedName name="Measure43_ShortDescription">'Summary Post'!$E$46</definedName>
    <definedName name="Measure43_Size">'Summary Post'!$N$46</definedName>
    <definedName name="Measure43_Status">'Summary Post'!$F$46</definedName>
    <definedName name="Measure43_Type">'Summary Post'!$B$46</definedName>
    <definedName name="Measure43_UsefulLife">'Summary Post'!$P$46</definedName>
    <definedName name="Measure44_Age">'Summary Post'!$R$47</definedName>
    <definedName name="Measure44_CNC">'Summary Post'!$Z$47</definedName>
    <definedName name="Measure44_Comments">'Summary Post'!$U$47</definedName>
    <definedName name="Measure44_Cost">'Summary Post'!$C$47</definedName>
    <definedName name="Measure44_DemandSavings">'Summary Post'!$J$47</definedName>
    <definedName name="Measure44_Description">'Summary Post'!$T$47</definedName>
    <definedName name="Measure44_Efficiency">'Summary Post'!$O$47</definedName>
    <definedName name="Measure44_ElectricCostSavings">'Summary Post'!$K$47</definedName>
    <definedName name="Measure44_Incentive">'Summary Post'!$L$47</definedName>
    <definedName name="Measure44_kWhSavings">'Summary Post'!$I$47</definedName>
    <definedName name="Measure44_Location">'Summary Post'!#REF!</definedName>
    <definedName name="Measure44_Payback">'Summary Post'!$M$47</definedName>
    <definedName name="Measure44_Quantity">'Summary Post'!$D$47</definedName>
    <definedName name="Measure44_Replaced">'Summary Post'!$S$47</definedName>
    <definedName name="Measure44_SerialNumber">'Summary Post'!$Q$47</definedName>
    <definedName name="Measure44_ShortDescription">'Summary Post'!$E$47</definedName>
    <definedName name="Measure44_Size">'Summary Post'!$N$47</definedName>
    <definedName name="Measure44_Status">'Summary Post'!$F$47</definedName>
    <definedName name="Measure44_Type">'Summary Post'!$B$47</definedName>
    <definedName name="Measure44_UsefulLife">'Summary Post'!$P$47</definedName>
    <definedName name="Measure45_Age">'Summary Post'!$R$48</definedName>
    <definedName name="Measure45_CNC">'Summary Post'!$Z$48</definedName>
    <definedName name="Measure45_Comments">'Summary Post'!$U$48</definedName>
    <definedName name="Measure45_Cost">'Summary Post'!$C$48</definedName>
    <definedName name="Measure45_DemandSavings">'Summary Post'!$J$48</definedName>
    <definedName name="Measure45_Description">'Summary Post'!$T$48</definedName>
    <definedName name="Measure45_Efficiency">'Summary Post'!$O$48</definedName>
    <definedName name="Measure45_ElectricCostSavings">'Summary Post'!$K$48</definedName>
    <definedName name="Measure45_Incentive">'Summary Post'!$L$48</definedName>
    <definedName name="Measure45_kWhSavings">'Summary Post'!$I$48</definedName>
    <definedName name="Measure45_Location">'Summary Post'!#REF!</definedName>
    <definedName name="Measure45_Payback">'Summary Post'!$M$48</definedName>
    <definedName name="Measure45_Quantity">'Summary Post'!$D$48</definedName>
    <definedName name="Measure45_Replaced">'Summary Post'!$S$48</definedName>
    <definedName name="Measure45_SerialNumber">'Summary Post'!$Q$48</definedName>
    <definedName name="Measure45_ShortDescription">'Summary Post'!$E$48</definedName>
    <definedName name="Measure45_Size">'Summary Post'!$N$48</definedName>
    <definedName name="Measure45_Status">'Summary Post'!$F$48</definedName>
    <definedName name="Measure45_Type">'Summary Post'!$B$48</definedName>
    <definedName name="Measure45_UsefulLife">'Summary Post'!$P$48</definedName>
    <definedName name="Measure46_Age">'Summary Post'!$R$49</definedName>
    <definedName name="Measure46_CNC">'Summary Post'!$Z$49</definedName>
    <definedName name="Measure46_Comments">'Summary Post'!$U$49</definedName>
    <definedName name="Measure46_Cost">'Summary Post'!$C$49</definedName>
    <definedName name="Measure46_DemandSavings">'Summary Post'!$J$49</definedName>
    <definedName name="Measure46_Description">'Summary Post'!$T$49</definedName>
    <definedName name="Measure46_Efficiency">'Summary Post'!$O$49</definedName>
    <definedName name="Measure46_ElectricCostSavings">'Summary Post'!$K$49</definedName>
    <definedName name="Measure46_Incentive">'Summary Post'!$L$49</definedName>
    <definedName name="Measure46_kWhSavings">'Summary Post'!$I$49</definedName>
    <definedName name="Measure46_Location">'Summary Post'!#REF!</definedName>
    <definedName name="Measure46_Payback">'Summary Post'!$M$49</definedName>
    <definedName name="Measure46_Quantity">'Summary Post'!$D$49</definedName>
    <definedName name="Measure46_Replaced">'Summary Post'!$S$49</definedName>
    <definedName name="Measure46_SerialNumber">'Summary Post'!$Q$49</definedName>
    <definedName name="Measure46_ShortDescription">'Summary Post'!$E$49</definedName>
    <definedName name="Measure46_Size">'Summary Post'!$N$49</definedName>
    <definedName name="Measure46_Status">'Summary Post'!$F$49</definedName>
    <definedName name="Measure46_Type">'Summary Post'!$B$49</definedName>
    <definedName name="Measure46_UsefulLife">'Summary Post'!$P$49</definedName>
    <definedName name="Measure47_Age">'Summary Post'!$R$50</definedName>
    <definedName name="Measure47_CNC">'Summary Post'!$Z$50</definedName>
    <definedName name="Measure47_Comments">'Summary Post'!$U$50</definedName>
    <definedName name="Measure47_Cost">'Summary Post'!$C$50</definedName>
    <definedName name="Measure47_DemandSavings">'Summary Post'!$J$50</definedName>
    <definedName name="Measure47_Description">'Summary Post'!$T$50</definedName>
    <definedName name="Measure47_Efficiency">'Summary Post'!$O$50</definedName>
    <definedName name="Measure47_ElectricCostSavings">'Summary Post'!$K$50</definedName>
    <definedName name="Measure47_Incentive">'Summary Post'!$L$50</definedName>
    <definedName name="Measure47_kWhSavings">'Summary Post'!$I$50</definedName>
    <definedName name="Measure47_Location">'Summary Post'!#REF!</definedName>
    <definedName name="Measure47_Payback">'Summary Post'!$M$50</definedName>
    <definedName name="Measure47_Quantity">'Summary Post'!$D$50</definedName>
    <definedName name="Measure47_Replaced">'Summary Post'!$S$50</definedName>
    <definedName name="Measure47_SerialNumber">'Summary Post'!$Q$50</definedName>
    <definedName name="Measure47_ShortDescription">'Summary Post'!$E$50</definedName>
    <definedName name="Measure47_Size">'Summary Post'!$N$50</definedName>
    <definedName name="Measure47_Status">'Summary Post'!$F$50</definedName>
    <definedName name="Measure47_Type">'Summary Post'!$B$50</definedName>
    <definedName name="Measure47_UsefulLife">'Summary Post'!$P$50</definedName>
    <definedName name="Measure48_Age">'Summary Post'!$R$51</definedName>
    <definedName name="Measure48_CNC">'Summary Post'!$Z$51</definedName>
    <definedName name="Measure48_Comments">'Summary Post'!$U$51</definedName>
    <definedName name="Measure48_Cost">'Summary Post'!$C$51</definedName>
    <definedName name="Measure48_DemandSavings">'Summary Post'!$J$51</definedName>
    <definedName name="Measure48_Description">'Summary Post'!$T$51</definedName>
    <definedName name="Measure48_Efficiency">'Summary Post'!$O$51</definedName>
    <definedName name="Measure48_ElectricCostSavings">'Summary Post'!$K$51</definedName>
    <definedName name="Measure48_Incentive">'Summary Post'!$L$51</definedName>
    <definedName name="Measure48_kWhSavings">'Summary Post'!$I$51</definedName>
    <definedName name="Measure48_Location">'Summary Post'!#REF!</definedName>
    <definedName name="Measure48_Payback">'Summary Post'!$M$51</definedName>
    <definedName name="Measure48_Quantity">'Summary Post'!$D$51</definedName>
    <definedName name="Measure48_Replaced">'Summary Post'!$S$51</definedName>
    <definedName name="Measure48_SerialNumber">'Summary Post'!$Q$51</definedName>
    <definedName name="Measure48_ShortDescription">'Summary Post'!$E$51</definedName>
    <definedName name="Measure48_Size">'Summary Post'!$N$51</definedName>
    <definedName name="Measure48_Status">'Summary Post'!$F$51</definedName>
    <definedName name="Measure48_Type">'Summary Post'!$B$51</definedName>
    <definedName name="Measure48_UsefulLife">'Summary Post'!$P$51</definedName>
    <definedName name="Measure49_Age">'Summary Post'!$R$52</definedName>
    <definedName name="Measure49_CNC">'Summary Post'!$Z$52</definedName>
    <definedName name="Measure49_Comments">'Summary Post'!$U$52</definedName>
    <definedName name="Measure49_Cost">'Summary Post'!$C$52</definedName>
    <definedName name="Measure49_DemandSavings">'Summary Post'!$J$52</definedName>
    <definedName name="Measure49_Description">'Summary Post'!$T$52</definedName>
    <definedName name="Measure49_Efficiency">'Summary Post'!$O$52</definedName>
    <definedName name="Measure49_ElectricCostSavings">'Summary Post'!$K$52</definedName>
    <definedName name="Measure49_Incentive">'Summary Post'!$L$52</definedName>
    <definedName name="Measure49_kWhSavings">'Summary Post'!$I$52</definedName>
    <definedName name="Measure49_Location">'Summary Post'!#REF!</definedName>
    <definedName name="Measure49_Payback">'Summary Post'!$M$52</definedName>
    <definedName name="Measure49_Quantity">'Summary Post'!$D$52</definedName>
    <definedName name="Measure49_Replaced">'Summary Post'!$S$52</definedName>
    <definedName name="Measure49_SerialNumber">'Summary Post'!$Q$52</definedName>
    <definedName name="Measure49_ShortDescription">'Summary Post'!$E$52</definedName>
    <definedName name="Measure49_Size">'Summary Post'!$N$52</definedName>
    <definedName name="Measure49_Status">'Summary Post'!$F$52</definedName>
    <definedName name="Measure49_Type">'Summary Post'!$B$52</definedName>
    <definedName name="Measure49_UsefulLife">'Summary Post'!$P$52</definedName>
    <definedName name="Measure5_Age">'Summary Post'!$R$8</definedName>
    <definedName name="Measure5_CNC">'Summary Post'!$Z$8</definedName>
    <definedName name="Measure5_Comments">'Summary Post'!$U$8</definedName>
    <definedName name="Measure5_Cost">'Summary Post'!$C$8</definedName>
    <definedName name="Measure5_DemandSavings">'Summary Post'!$J$8</definedName>
    <definedName name="Measure5_Description">'Summary Post'!$T$8</definedName>
    <definedName name="Measure5_Efficiency">'Summary Post'!$O$8</definedName>
    <definedName name="Measure5_ElectricCostSavings">'Summary Post'!$K$8</definedName>
    <definedName name="Measure5_Incentive">'Summary Post'!$L$8</definedName>
    <definedName name="Measure5_kWhSavings">'Summary Post'!$I$8</definedName>
    <definedName name="Measure5_Location">'Summary Post'!#REF!</definedName>
    <definedName name="Measure5_Payback">'Summary Post'!$M$8</definedName>
    <definedName name="Measure5_Quantity">'Summary Post'!$D$8</definedName>
    <definedName name="Measure5_Replaced">'Summary Post'!$S$8</definedName>
    <definedName name="Measure5_SerialNumber">'Summary Post'!$Q$8</definedName>
    <definedName name="Measure5_ShortDescription">'Summary Post'!$E$8</definedName>
    <definedName name="Measure5_Size">'Summary Post'!$N$8</definedName>
    <definedName name="Measure5_Status">'Summary Post'!$F$8</definedName>
    <definedName name="Measure5_Type">'Summary Post'!$B$8</definedName>
    <definedName name="Measure5_UsefulLife">'Summary Post'!$P$8</definedName>
    <definedName name="Measure50_Age">'Summary Post'!$R$53</definedName>
    <definedName name="Measure50_Comments">'Summary Post'!$U$53</definedName>
    <definedName name="Measure50_Cost">'Summary Post'!$C$53</definedName>
    <definedName name="Measure50_DemandSavings">'Summary Post'!$J$53</definedName>
    <definedName name="Measure50_Description">'Summary Post'!$T$53</definedName>
    <definedName name="Measure50_Efficiency">'Summary Post'!$O$53</definedName>
    <definedName name="Measure50_ElectricCostSavings">'Summary Post'!$K$53</definedName>
    <definedName name="Measure50_Incentive">'Summary Post'!$L$53</definedName>
    <definedName name="Measure50_kWhSavings">'Summary Post'!$I$53</definedName>
    <definedName name="Measure50_Location">'Summary Post'!#REF!</definedName>
    <definedName name="Measure50_Payback">'Summary Post'!$M$53</definedName>
    <definedName name="Measure50_Quantity">'Summary Post'!$D$53</definedName>
    <definedName name="Measure50_Replaced">'Summary Post'!$S$53</definedName>
    <definedName name="Measure50_SerialNumber">'Summary Post'!$Q$53</definedName>
    <definedName name="Measure50_ShortDescription">'Summary Post'!$E$53</definedName>
    <definedName name="Measure50_Size">'Summary Post'!$N$53</definedName>
    <definedName name="Measure50_Status">'Summary Post'!$F$53</definedName>
    <definedName name="Measure50_Type">'Summary Post'!$B$53</definedName>
    <definedName name="Measure50_UsefulLife">'Summary Post'!$P$53</definedName>
    <definedName name="Measure6_Age">'Summary Post'!$R$9</definedName>
    <definedName name="Measure6_CNC">'Summary Post'!$Z$9</definedName>
    <definedName name="Measure6_Comments">'Summary Post'!$U$9</definedName>
    <definedName name="Measure6_Cost">'Summary Post'!$C$9</definedName>
    <definedName name="Measure6_DemandSavings">'Summary Post'!$J$9</definedName>
    <definedName name="Measure6_Description">'Summary Post'!$T$9</definedName>
    <definedName name="Measure6_Efficiency">'Summary Post'!$O$9</definedName>
    <definedName name="Measure6_ElectricCostSavings">'Summary Post'!$K$9</definedName>
    <definedName name="Measure6_Incentive">'Summary Post'!$L$9</definedName>
    <definedName name="Measure6_kWhSavings">'Summary Post'!$I$9</definedName>
    <definedName name="Measure6_Location">'Summary Post'!#REF!</definedName>
    <definedName name="Measure6_Payback">'Summary Post'!$M$9</definedName>
    <definedName name="Measure6_Quantity">'Summary Post'!$D$9</definedName>
    <definedName name="Measure6_Replaced">'Summary Post'!$S$9</definedName>
    <definedName name="Measure6_SerialNumber">'Summary Post'!$Q$9</definedName>
    <definedName name="Measure6_ShortDescription">'Summary Post'!$E$9</definedName>
    <definedName name="Measure6_Size">'Summary Post'!$N$9</definedName>
    <definedName name="Measure6_Status">'Summary Post'!$F$9</definedName>
    <definedName name="Measure6_Type">'Summary Post'!$B$9</definedName>
    <definedName name="Measure6_UsefulLife">'Summary Post'!$P$9</definedName>
    <definedName name="Measure7_Age">'Summary Post'!$R$10</definedName>
    <definedName name="Measure7_CNC">'Summary Post'!$Z$10</definedName>
    <definedName name="Measure7_Comments">'Summary Post'!$U$10</definedName>
    <definedName name="Measure7_Cost">'Summary Post'!$C$10</definedName>
    <definedName name="Measure7_DemandSavings">'Summary Post'!$J$10</definedName>
    <definedName name="Measure7_Description">'Summary Post'!$T$10</definedName>
    <definedName name="Measure7_Efficiency">'Summary Post'!$O$10</definedName>
    <definedName name="Measure7_ElectricCostSavings">'Summary Post'!$K$10</definedName>
    <definedName name="Measure7_Incentive">'Summary Post'!$L$10</definedName>
    <definedName name="Measure7_kWhSavings">'Summary Post'!$I$10</definedName>
    <definedName name="Measure7_Location">'Summary Post'!#REF!</definedName>
    <definedName name="Measure7_Payback">'Summary Post'!$M$10</definedName>
    <definedName name="Measure7_Quantity">'Summary Post'!$D$10</definedName>
    <definedName name="Measure7_Replaced">'Summary Post'!$S$10</definedName>
    <definedName name="Measure7_SerialNumber">'Summary Post'!$Q$10</definedName>
    <definedName name="Measure7_ShortDescription">'Summary Post'!$E$10</definedName>
    <definedName name="Measure7_Size">'Summary Post'!$N$10</definedName>
    <definedName name="Measure7_Status">'Summary Post'!$F$10</definedName>
    <definedName name="Measure7_Type">'Summary Post'!$B$10</definedName>
    <definedName name="Measure7_UsefulLife">'Summary Post'!$P$10</definedName>
    <definedName name="Measure8_Age">'Summary Post'!$R$11</definedName>
    <definedName name="Measure8_CNC">'Summary Post'!$Z$11</definedName>
    <definedName name="Measure8_Comments">'Summary Post'!$U$11</definedName>
    <definedName name="Measure8_Cost">'Summary Post'!$C$11</definedName>
    <definedName name="Measure8_DemandSavings">'Summary Post'!$J$11</definedName>
    <definedName name="Measure8_Description">'Summary Post'!$T$11</definedName>
    <definedName name="Measure8_Efficiency">'Summary Post'!$O$11</definedName>
    <definedName name="Measure8_ElectricCostSavings">'Summary Post'!$K$11</definedName>
    <definedName name="Measure8_Incentive">'Summary Post'!$L$11</definedName>
    <definedName name="Measure8_kWhSavings">'Summary Post'!$I$11</definedName>
    <definedName name="Measure8_Location">'Summary Post'!#REF!</definedName>
    <definedName name="Measure8_Payback">'Summary Post'!$M$11</definedName>
    <definedName name="Measure8_Quantity">'Summary Post'!$D$11</definedName>
    <definedName name="Measure8_Replaced">'Summary Post'!$S$11</definedName>
    <definedName name="Measure8_SerialNumber">'Summary Post'!$Q$11</definedName>
    <definedName name="Measure8_ShortDescription">'Summary Post'!$E$11</definedName>
    <definedName name="Measure8_Size">'Summary Post'!$N$11</definedName>
    <definedName name="Measure8_Status">'Summary Post'!$F$11</definedName>
    <definedName name="Measure8_Type">'Summary Post'!$B$11</definedName>
    <definedName name="Measure8_UsefulLife">'Summary Post'!$P$11</definedName>
    <definedName name="Measure9_Age">'Summary Post'!$R$12</definedName>
    <definedName name="Measure9_CNC">'Summary Post'!$Z$12</definedName>
    <definedName name="Measure9_Comments">'Summary Post'!$U$12</definedName>
    <definedName name="Measure9_Cost">'Summary Post'!$C$12</definedName>
    <definedName name="Measure9_DemandSavings">'Summary Post'!$J$12</definedName>
    <definedName name="Measure9_Description">'Summary Post'!$T$12</definedName>
    <definedName name="Measure9_Efficiency">'Summary Post'!$O$12</definedName>
    <definedName name="Measure9_ElectricCostSavings">'Summary Post'!$K$12</definedName>
    <definedName name="Measure9_Incentive">'Summary Post'!$L$12</definedName>
    <definedName name="Measure9_kWhSavings">'Summary Post'!$I$12</definedName>
    <definedName name="Measure9_Location">'Summary Post'!#REF!</definedName>
    <definedName name="Measure9_Payback">'Summary Post'!$M$12</definedName>
    <definedName name="Measure9_Quantity">'Summary Post'!$D$12</definedName>
    <definedName name="Measure9_Replaced">'Summary Post'!$S$12</definedName>
    <definedName name="Measure9_SerialNumber">'Summary Post'!$Q$12</definedName>
    <definedName name="Measure9_ShortDescription">'Summary Post'!$E$12</definedName>
    <definedName name="Measure9_Size">'Summary Post'!$N$12</definedName>
    <definedName name="Measure9_Status">'Summary Post'!$F$12</definedName>
    <definedName name="Measure9_Type">'Summary Post'!$B$12</definedName>
    <definedName name="Measure9_UsefulLife">'Summary Post'!$P$12</definedName>
    <definedName name="Pres.">Review!$BZ$4:$BZ$8</definedName>
    <definedName name="Ratio_Coke">#REF!</definedName>
    <definedName name="Ratio_Diesel">#REF!</definedName>
    <definedName name="Ratio_DistrictChilledWater">#REF!</definedName>
    <definedName name="Ratio_DistrictHotWater">#REF!</definedName>
    <definedName name="Ratio_DistrictSteam">#REF!</definedName>
    <definedName name="Ratio_FuelOilFiveSix">#REF!</definedName>
    <definedName name="Ratio_FuelOilFour">#REF!</definedName>
    <definedName name="Ratio_FuelOilOne">#REF!</definedName>
    <definedName name="Ratio_FuelOilTwo">#REF!</definedName>
    <definedName name="Ratio_Propane">#REF!</definedName>
    <definedName name="Retrofit">'Tables &amp; Ranges'!$A$38:$A$69</definedName>
    <definedName name="Total_Cost">'Summary Post'!$C$54</definedName>
    <definedName name="Total_DemandSavings">'Summary Post'!$J$54</definedName>
    <definedName name="Total_ElectricCostSavings">'Summary Post'!$K$54</definedName>
    <definedName name="Total_Incentive">'Summary Post'!$L$54</definedName>
    <definedName name="Total_kWhSavings">'Summary Post'!$I$54</definedName>
    <definedName name="Validate">Review!$BY$4:$BY$5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5" i="13" l="1"/>
  <c r="V6" i="13"/>
  <c r="V7" i="13"/>
  <c r="V8" i="13"/>
  <c r="V9" i="13"/>
  <c r="V10" i="13"/>
  <c r="V11" i="13"/>
  <c r="V12" i="13"/>
  <c r="V13" i="13"/>
  <c r="V14" i="13"/>
  <c r="V15" i="13"/>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100" i="13"/>
  <c r="V101" i="13"/>
  <c r="V102" i="13"/>
  <c r="V103" i="13"/>
  <c r="V104" i="13"/>
  <c r="V105"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V158" i="13"/>
  <c r="V159" i="13"/>
  <c r="V160" i="13"/>
  <c r="V161" i="13"/>
  <c r="V162" i="13"/>
  <c r="V163" i="13"/>
  <c r="V164" i="13"/>
  <c r="V165" i="13"/>
  <c r="V166" i="13"/>
  <c r="V167" i="13"/>
  <c r="V168" i="13"/>
  <c r="V169" i="13"/>
  <c r="V170" i="13"/>
  <c r="V171" i="13"/>
  <c r="V172" i="13"/>
  <c r="V173" i="13"/>
  <c r="V174" i="13"/>
  <c r="V175" i="13"/>
  <c r="V176" i="13"/>
  <c r="V177" i="13"/>
  <c r="V178" i="13"/>
  <c r="V179" i="13"/>
  <c r="V180" i="13"/>
  <c r="V181" i="13"/>
  <c r="V182" i="13"/>
  <c r="V183" i="13"/>
  <c r="V184" i="13"/>
  <c r="V185" i="13"/>
  <c r="V186" i="13"/>
  <c r="V187" i="13"/>
  <c r="V188" i="13"/>
  <c r="V189" i="13"/>
  <c r="V190" i="13"/>
  <c r="V191" i="13"/>
  <c r="V192" i="13"/>
  <c r="V193" i="13"/>
  <c r="V194" i="13"/>
  <c r="V195" i="13"/>
  <c r="V196" i="13"/>
  <c r="V197" i="13"/>
  <c r="V198" i="13"/>
  <c r="V199" i="13"/>
  <c r="V200" i="13"/>
  <c r="V201" i="13"/>
  <c r="V202" i="13"/>
  <c r="V203" i="13"/>
  <c r="V204" i="13"/>
  <c r="V205" i="13"/>
  <c r="V206" i="13"/>
  <c r="V207" i="13"/>
  <c r="V208" i="13"/>
  <c r="V209" i="13"/>
  <c r="V210" i="13"/>
  <c r="V211" i="13"/>
  <c r="V212" i="13"/>
  <c r="V213" i="13"/>
  <c r="V214" i="13"/>
  <c r="V215" i="13"/>
  <c r="V216" i="13"/>
  <c r="V217" i="13"/>
  <c r="V218" i="13"/>
  <c r="V219" i="13"/>
  <c r="V220" i="13"/>
  <c r="V221" i="13"/>
  <c r="V222" i="13"/>
  <c r="V223" i="13"/>
  <c r="V224" i="13"/>
  <c r="V225" i="13"/>
  <c r="V226" i="13"/>
  <c r="V227" i="13"/>
  <c r="V228" i="13"/>
  <c r="V229" i="13"/>
  <c r="V230" i="13"/>
  <c r="V231" i="13"/>
  <c r="V232" i="13"/>
  <c r="V233" i="13"/>
  <c r="V234" i="13"/>
  <c r="V235" i="13"/>
  <c r="V236" i="13"/>
  <c r="V237" i="13"/>
  <c r="V238" i="13"/>
  <c r="V239" i="13"/>
  <c r="V240" i="13"/>
  <c r="V241" i="13"/>
  <c r="V242" i="13"/>
  <c r="V243" i="13"/>
  <c r="V244" i="13"/>
  <c r="V245" i="13"/>
  <c r="V246" i="13"/>
  <c r="V247" i="13"/>
  <c r="V248" i="13"/>
  <c r="V249" i="13"/>
  <c r="V250" i="13"/>
  <c r="V251" i="13"/>
  <c r="V252" i="13"/>
  <c r="V253" i="13"/>
  <c r="V254" i="13"/>
  <c r="V255" i="13"/>
  <c r="V256" i="13"/>
  <c r="V257" i="13"/>
  <c r="V258" i="13"/>
  <c r="V259" i="13"/>
  <c r="V260" i="13"/>
  <c r="V261" i="13"/>
  <c r="V262" i="13"/>
  <c r="V263" i="13"/>
  <c r="V264" i="13"/>
  <c r="V265" i="13"/>
  <c r="V266" i="13"/>
  <c r="V267" i="13"/>
  <c r="V268" i="13"/>
  <c r="V269" i="13"/>
  <c r="V270" i="13"/>
  <c r="V271" i="13"/>
  <c r="V272" i="13"/>
  <c r="V273" i="13"/>
  <c r="V274" i="13"/>
  <c r="V275" i="13"/>
  <c r="V276" i="13"/>
  <c r="V277" i="13"/>
  <c r="V278" i="13"/>
  <c r="V279" i="13"/>
  <c r="V280" i="13"/>
  <c r="V281" i="13"/>
  <c r="V282" i="13"/>
  <c r="V283" i="13"/>
  <c r="V284" i="13"/>
  <c r="V285" i="13"/>
  <c r="V286" i="13"/>
  <c r="V287" i="13"/>
  <c r="V288" i="13"/>
  <c r="V289" i="13"/>
  <c r="V290" i="13"/>
  <c r="V291" i="13"/>
  <c r="V292" i="13"/>
  <c r="V293" i="13"/>
  <c r="V294" i="13"/>
  <c r="V295" i="13"/>
  <c r="V296" i="13"/>
  <c r="V297" i="13"/>
  <c r="V298" i="13"/>
  <c r="V299" i="13"/>
  <c r="V300" i="13"/>
  <c r="V301" i="13"/>
  <c r="V302" i="13"/>
  <c r="V303" i="13"/>
  <c r="V4" i="13"/>
  <c r="AC7" i="3" l="1"/>
  <c r="AC8" i="3"/>
  <c r="AC9" i="3"/>
  <c r="AC15" i="3"/>
  <c r="AC18" i="3"/>
  <c r="AC19" i="3"/>
  <c r="AC21" i="3"/>
  <c r="AC27" i="3"/>
  <c r="AC32" i="3"/>
  <c r="AC39" i="3"/>
  <c r="AC46"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L3" i="10" l="1"/>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6" i="10"/>
  <c r="L1287" i="10"/>
  <c r="L1288" i="10"/>
  <c r="L1289" i="10"/>
  <c r="L1290" i="10"/>
  <c r="L1291" i="10"/>
  <c r="L1292" i="10"/>
  <c r="L1293" i="10"/>
  <c r="L1294" i="10"/>
  <c r="L1295" i="10"/>
  <c r="L1296" i="10"/>
  <c r="L1297" i="10"/>
  <c r="L1298" i="10"/>
  <c r="L1299" i="10"/>
  <c r="L1300" i="10"/>
  <c r="L1301" i="10"/>
  <c r="L1302" i="10"/>
  <c r="L1303" i="10"/>
  <c r="L1304" i="10"/>
  <c r="L1305" i="10"/>
  <c r="L1306" i="10"/>
  <c r="L1307" i="10"/>
  <c r="L1308" i="10"/>
  <c r="L1309" i="10"/>
  <c r="L1310" i="10"/>
  <c r="L1311" i="10"/>
  <c r="L1312" i="10"/>
  <c r="L1313" i="10"/>
  <c r="L1314" i="10"/>
  <c r="L1315" i="10"/>
  <c r="L1316" i="10"/>
  <c r="L1317" i="10"/>
  <c r="L1318" i="10"/>
  <c r="L1319" i="10"/>
  <c r="L1320" i="10"/>
  <c r="L1321" i="10"/>
  <c r="L1322" i="10"/>
  <c r="L1323" i="10"/>
  <c r="L1324" i="10"/>
  <c r="L1325" i="10"/>
  <c r="L1326" i="10"/>
  <c r="L1327" i="10"/>
  <c r="L1328" i="10"/>
  <c r="L1329" i="10"/>
  <c r="L1330" i="10"/>
  <c r="L1331" i="10"/>
  <c r="L1332" i="10"/>
  <c r="L1333" i="10"/>
  <c r="L1334" i="10"/>
  <c r="L1335" i="10"/>
  <c r="L1336" i="10"/>
  <c r="L1337" i="10"/>
  <c r="L1338" i="10"/>
  <c r="L1339" i="10"/>
  <c r="L1340" i="10"/>
  <c r="L1341" i="10"/>
  <c r="L1342" i="10"/>
  <c r="L1343" i="10"/>
  <c r="L1344" i="10"/>
  <c r="L1345" i="10"/>
  <c r="L1346" i="10"/>
  <c r="L1347" i="10"/>
  <c r="L1348" i="10"/>
  <c r="L1349" i="10"/>
  <c r="L1350" i="10"/>
  <c r="L1351" i="10"/>
  <c r="L1352" i="10"/>
  <c r="L1353" i="10"/>
  <c r="L1354" i="10"/>
  <c r="L1355" i="10"/>
  <c r="L1356" i="10"/>
  <c r="L1357" i="10"/>
  <c r="L1358" i="10"/>
  <c r="L1359" i="10"/>
  <c r="L1360" i="10"/>
  <c r="L1361" i="10"/>
  <c r="L1362" i="10"/>
  <c r="L1363" i="10"/>
  <c r="L1364" i="10"/>
  <c r="L1365" i="10"/>
  <c r="L1366" i="10"/>
  <c r="L1367" i="10"/>
  <c r="L1368" i="10"/>
  <c r="L1369" i="10"/>
  <c r="L1370" i="10"/>
  <c r="L1371" i="10"/>
  <c r="L1372" i="10"/>
  <c r="L1373" i="10"/>
  <c r="L1374" i="10"/>
  <c r="L1375" i="10"/>
  <c r="L1376" i="10"/>
  <c r="L1377" i="10"/>
  <c r="L1378" i="10"/>
  <c r="L1379" i="10"/>
  <c r="L1380" i="10"/>
  <c r="L1381" i="10"/>
  <c r="L1382" i="10"/>
  <c r="L1383" i="10"/>
  <c r="L1384" i="10"/>
  <c r="L1385" i="10"/>
  <c r="L1386" i="10"/>
  <c r="L1387" i="10"/>
  <c r="L1388" i="10"/>
  <c r="L1389" i="10"/>
  <c r="L1390" i="10"/>
  <c r="L1391" i="10"/>
  <c r="L1392" i="10"/>
  <c r="L1393" i="10"/>
  <c r="L1394" i="10"/>
  <c r="L1395" i="10"/>
  <c r="L1396" i="10"/>
  <c r="L1397" i="10"/>
  <c r="L1398" i="10"/>
  <c r="L1399" i="10"/>
  <c r="L1400" i="10"/>
  <c r="L1401" i="10"/>
  <c r="L1402" i="10"/>
  <c r="L1403" i="10"/>
  <c r="L1404" i="10"/>
  <c r="L1405" i="10"/>
  <c r="L1406" i="10"/>
  <c r="L1407" i="10"/>
  <c r="L1408" i="10"/>
  <c r="L1409" i="10"/>
  <c r="L1410" i="10"/>
  <c r="L1411" i="10"/>
  <c r="L1412" i="10"/>
  <c r="L1413" i="10"/>
  <c r="L1414" i="10"/>
  <c r="L1415" i="10"/>
  <c r="L1416" i="10"/>
  <c r="L1417" i="10"/>
  <c r="L1418" i="10"/>
  <c r="L1419" i="10"/>
  <c r="L1420" i="10"/>
  <c r="L1421" i="10"/>
  <c r="L1422" i="10"/>
  <c r="L1423" i="10"/>
  <c r="L1424" i="10"/>
  <c r="L1425" i="10"/>
  <c r="L1426" i="10"/>
  <c r="L1427" i="10"/>
  <c r="L1428" i="10"/>
  <c r="L1429" i="10"/>
  <c r="L1430" i="10"/>
  <c r="L1431" i="10"/>
  <c r="L1432" i="10"/>
  <c r="L1433" i="10"/>
  <c r="L1434" i="10"/>
  <c r="L1435" i="10"/>
  <c r="L1436" i="10"/>
  <c r="L1437" i="10"/>
  <c r="L1438" i="10"/>
  <c r="L1439" i="10"/>
  <c r="L1440" i="10"/>
  <c r="L1441" i="10"/>
  <c r="L1442" i="10"/>
  <c r="L1443" i="10"/>
  <c r="L1444" i="10"/>
  <c r="L1445" i="10"/>
  <c r="L1446" i="10"/>
  <c r="L1447" i="10"/>
  <c r="L1448" i="10"/>
  <c r="L1449" i="10"/>
  <c r="L1450" i="10"/>
  <c r="L1451" i="10"/>
  <c r="L1452" i="10"/>
  <c r="L1453" i="10"/>
  <c r="L1454" i="10"/>
  <c r="L1455" i="10"/>
  <c r="L1456" i="10"/>
  <c r="L1457" i="10"/>
  <c r="L1458" i="10"/>
  <c r="L1459" i="10"/>
  <c r="L1460" i="10"/>
  <c r="L1461" i="10"/>
  <c r="L1462" i="10"/>
  <c r="L1463" i="10"/>
  <c r="L1464" i="10"/>
  <c r="L1465" i="10"/>
  <c r="L1466" i="10"/>
  <c r="L1467" i="10"/>
  <c r="L1468" i="10"/>
  <c r="L1469" i="10"/>
  <c r="L1470" i="10"/>
  <c r="L1471" i="10"/>
  <c r="L1472" i="10"/>
  <c r="L1473" i="10"/>
  <c r="L1474" i="10"/>
  <c r="L1475" i="10"/>
  <c r="L1476" i="10"/>
  <c r="L1477" i="10"/>
  <c r="L1478" i="10"/>
  <c r="L1479" i="10"/>
  <c r="L1480" i="10"/>
  <c r="L1481" i="10"/>
  <c r="L1482" i="10"/>
  <c r="L1483" i="10"/>
  <c r="L1484" i="10"/>
  <c r="L1485" i="10"/>
  <c r="L1486" i="10"/>
  <c r="L1487" i="10"/>
  <c r="L1488" i="10"/>
  <c r="L1489" i="10"/>
  <c r="L1490" i="10"/>
  <c r="L1491" i="10"/>
  <c r="L1492" i="10"/>
  <c r="L1493" i="10"/>
  <c r="L1494" i="10"/>
  <c r="L1495" i="10"/>
  <c r="L1496" i="10"/>
  <c r="L1497" i="10"/>
  <c r="L1498" i="10"/>
  <c r="L1499" i="10"/>
  <c r="L1500" i="10"/>
  <c r="L1501" i="10"/>
  <c r="L1502" i="10"/>
  <c r="L1503" i="10"/>
  <c r="L1504" i="10"/>
  <c r="L1505" i="10"/>
  <c r="L1506" i="10"/>
  <c r="L1507" i="10"/>
  <c r="L1508" i="10"/>
  <c r="L1509" i="10"/>
  <c r="L1510" i="10"/>
  <c r="L1511" i="10"/>
  <c r="L1512" i="10"/>
  <c r="L1513" i="10"/>
  <c r="L1514" i="10"/>
  <c r="L1515" i="10"/>
  <c r="L1516" i="10"/>
  <c r="L1517" i="10"/>
  <c r="L1518" i="10"/>
  <c r="L1519" i="10"/>
  <c r="L1520" i="10"/>
  <c r="L1521" i="10"/>
  <c r="L1522" i="10"/>
  <c r="L1523" i="10"/>
  <c r="L1524" i="10"/>
  <c r="L1525" i="10"/>
  <c r="L1526" i="10"/>
  <c r="L1527" i="10"/>
  <c r="L1528" i="10"/>
  <c r="L1529" i="10"/>
  <c r="L1530" i="10"/>
  <c r="L1531" i="10"/>
  <c r="L1532" i="10"/>
  <c r="L1533" i="10"/>
  <c r="L1534" i="10"/>
  <c r="L1535" i="10"/>
  <c r="L1536" i="10"/>
  <c r="L1537" i="10"/>
  <c r="L1538" i="10"/>
  <c r="L1539" i="10"/>
  <c r="L1540" i="10"/>
  <c r="L1541" i="10"/>
  <c r="L1542" i="10"/>
  <c r="L1543" i="10"/>
  <c r="L1544" i="10"/>
  <c r="L1545" i="10"/>
  <c r="L1546" i="10"/>
  <c r="L1547" i="10"/>
  <c r="L1548" i="10"/>
  <c r="L1549" i="10"/>
  <c r="L1550" i="10"/>
  <c r="L1551" i="10"/>
  <c r="L1552" i="10"/>
  <c r="L1553" i="10"/>
  <c r="L1554" i="10"/>
  <c r="L1555" i="10"/>
  <c r="L1556" i="10"/>
  <c r="L1557" i="10"/>
  <c r="L1558" i="10"/>
  <c r="L1559" i="10"/>
  <c r="L1560" i="10"/>
  <c r="L1561" i="10"/>
  <c r="L1562" i="10"/>
  <c r="L1563" i="10"/>
  <c r="L1564" i="10"/>
  <c r="L1565" i="10"/>
  <c r="L1566" i="10"/>
  <c r="L1567" i="10"/>
  <c r="L1568" i="10"/>
  <c r="L1569" i="10"/>
  <c r="L1570" i="10"/>
  <c r="L1571" i="10"/>
  <c r="L1572" i="10"/>
  <c r="L1573" i="10"/>
  <c r="L1574" i="10"/>
  <c r="L1575" i="10"/>
  <c r="L1576" i="10"/>
  <c r="L1577" i="10"/>
  <c r="L1578" i="10"/>
  <c r="L1579" i="10"/>
  <c r="L1580" i="10"/>
  <c r="L1581" i="10"/>
  <c r="L1582" i="10"/>
  <c r="L1583" i="10"/>
  <c r="L1584" i="10"/>
  <c r="L1585" i="10"/>
  <c r="L1586" i="10"/>
  <c r="L1587" i="10"/>
  <c r="L1588" i="10"/>
  <c r="L1589" i="10"/>
  <c r="L1590" i="10"/>
  <c r="L1591" i="10"/>
  <c r="L1592" i="10"/>
  <c r="L1593" i="10"/>
  <c r="L1594" i="10"/>
  <c r="L1595" i="10"/>
  <c r="L1596" i="10"/>
  <c r="L1597" i="10"/>
  <c r="L1598" i="10"/>
  <c r="L1599" i="10"/>
  <c r="L1600" i="10"/>
  <c r="L1601" i="10"/>
  <c r="L1602" i="10"/>
  <c r="L1603" i="10"/>
  <c r="L1604" i="10"/>
  <c r="L1605" i="10"/>
  <c r="L1606" i="10"/>
  <c r="L1607" i="10"/>
  <c r="L1608" i="10"/>
  <c r="L1609" i="10"/>
  <c r="L1610" i="10"/>
  <c r="L1611" i="10"/>
  <c r="L1612" i="10"/>
  <c r="L1613" i="10"/>
  <c r="L1614" i="10"/>
  <c r="L1615" i="10"/>
  <c r="L1616" i="10"/>
  <c r="L1617" i="10"/>
  <c r="L1618" i="10"/>
  <c r="L1619" i="10"/>
  <c r="L1620" i="10"/>
  <c r="L1621" i="10"/>
  <c r="L1622" i="10"/>
  <c r="L1623" i="10"/>
  <c r="L1624" i="10"/>
  <c r="L1625" i="10"/>
  <c r="L1626" i="10"/>
  <c r="L1627" i="10"/>
  <c r="L1628" i="10"/>
  <c r="L1629" i="10"/>
  <c r="L1630" i="10"/>
  <c r="L1631" i="10"/>
  <c r="L1632" i="10"/>
  <c r="L1633" i="10"/>
  <c r="L1634" i="10"/>
  <c r="L1635" i="10"/>
  <c r="L1636" i="10"/>
  <c r="L1637" i="10"/>
  <c r="L1638" i="10"/>
  <c r="L1639" i="10"/>
  <c r="L1640" i="10"/>
  <c r="L1641" i="10"/>
  <c r="L1642" i="10"/>
  <c r="L1643" i="10"/>
  <c r="L1644" i="10"/>
  <c r="L1645" i="10"/>
  <c r="L1646" i="10"/>
  <c r="L1647" i="10"/>
  <c r="L1648" i="10"/>
  <c r="L1649" i="10"/>
  <c r="L1650" i="10"/>
  <c r="L1651" i="10"/>
  <c r="L1652" i="10"/>
  <c r="L1653" i="10"/>
  <c r="L1654" i="10"/>
  <c r="L1655" i="10"/>
  <c r="L1656" i="10"/>
  <c r="L1657" i="10"/>
  <c r="L1658" i="10"/>
  <c r="L1659" i="10"/>
  <c r="L1660" i="10"/>
  <c r="L1661" i="10"/>
  <c r="L1662" i="10"/>
  <c r="L1663" i="10"/>
  <c r="L1664" i="10"/>
  <c r="L1665" i="10"/>
  <c r="L1666" i="10"/>
  <c r="L1667" i="10"/>
  <c r="L1668" i="10"/>
  <c r="L1669" i="10"/>
  <c r="L1670" i="10"/>
  <c r="L1671" i="10"/>
  <c r="L1672" i="10"/>
  <c r="L1673" i="10"/>
  <c r="L1674" i="10"/>
  <c r="L1675" i="10"/>
  <c r="L1676" i="10"/>
  <c r="L1677" i="10"/>
  <c r="L1678" i="10"/>
  <c r="L1679" i="10"/>
  <c r="L1680" i="10"/>
  <c r="L1681" i="10"/>
  <c r="L1682" i="10"/>
  <c r="L1683" i="10"/>
  <c r="L1684" i="10"/>
  <c r="L1685" i="10"/>
  <c r="L1686" i="10"/>
  <c r="L1687" i="10"/>
  <c r="L1688" i="10"/>
  <c r="L1689" i="10"/>
  <c r="L1690" i="10"/>
  <c r="L1691" i="10"/>
  <c r="L1692" i="10"/>
  <c r="L1693" i="10"/>
  <c r="L1694" i="10"/>
  <c r="L1695" i="10"/>
  <c r="L1696" i="10"/>
  <c r="L1697" i="10"/>
  <c r="L1698" i="10"/>
  <c r="L1699" i="10"/>
  <c r="L1700" i="10"/>
  <c r="L1701" i="10"/>
  <c r="L1702" i="10"/>
  <c r="L1703" i="10"/>
  <c r="L1704" i="10"/>
  <c r="L1705" i="10"/>
  <c r="L1706" i="10"/>
  <c r="L1707" i="10"/>
  <c r="L1708" i="10"/>
  <c r="L1709" i="10"/>
  <c r="L1710" i="10"/>
  <c r="L1711" i="10"/>
  <c r="L1712" i="10"/>
  <c r="L1713" i="10"/>
  <c r="L1714" i="10"/>
  <c r="L1715" i="10"/>
  <c r="L1716" i="10"/>
  <c r="L1717" i="10"/>
  <c r="L1718" i="10"/>
  <c r="L1719" i="10"/>
  <c r="L1720" i="10"/>
  <c r="L1721" i="10"/>
  <c r="L1722" i="10"/>
  <c r="L1723" i="10"/>
  <c r="L1724" i="10"/>
  <c r="L1725" i="10"/>
  <c r="L1726" i="10"/>
  <c r="L1727" i="10"/>
  <c r="L1728" i="10"/>
  <c r="L1729" i="10"/>
  <c r="L1730" i="10"/>
  <c r="L1731" i="10"/>
  <c r="L1732" i="10"/>
  <c r="L1733" i="10"/>
  <c r="L1734" i="10"/>
  <c r="L1735" i="10"/>
  <c r="L1736" i="10"/>
  <c r="L1737" i="10"/>
  <c r="L1738" i="10"/>
  <c r="L1739" i="10"/>
  <c r="L1740" i="10"/>
  <c r="L1741" i="10"/>
  <c r="L1742" i="10"/>
  <c r="L1743" i="10"/>
  <c r="L1744" i="10"/>
  <c r="L1745" i="10"/>
  <c r="L1746" i="10"/>
  <c r="L1747" i="10"/>
  <c r="L1748" i="10"/>
  <c r="L1749" i="10"/>
  <c r="L1750" i="10"/>
  <c r="L1751" i="10"/>
  <c r="L1752" i="10"/>
  <c r="L1753" i="10"/>
  <c r="L1754" i="10"/>
  <c r="L1755" i="10"/>
  <c r="L1756" i="10"/>
  <c r="L1757" i="10"/>
  <c r="L1758" i="10"/>
  <c r="L1759" i="10"/>
  <c r="L1760" i="10"/>
  <c r="L1761" i="10"/>
  <c r="L1762" i="10"/>
  <c r="L1763" i="10"/>
  <c r="L1764" i="10"/>
  <c r="L1765" i="10"/>
  <c r="L1766" i="10"/>
  <c r="L1767" i="10"/>
  <c r="L1768" i="10"/>
  <c r="L1769" i="10"/>
  <c r="L1770" i="10"/>
  <c r="L1771" i="10"/>
  <c r="L1772" i="10"/>
  <c r="L1773" i="10"/>
  <c r="L1774" i="10"/>
  <c r="L1775" i="10"/>
  <c r="L1776" i="10"/>
  <c r="L1777" i="10"/>
  <c r="L1778" i="10"/>
  <c r="L1779" i="10"/>
  <c r="L1780" i="10"/>
  <c r="L1781" i="10"/>
  <c r="L1782" i="10"/>
  <c r="L1783" i="10"/>
  <c r="L1784" i="10"/>
  <c r="L1785" i="10"/>
  <c r="B8" i="19" l="1"/>
  <c r="B7" i="19"/>
  <c r="B6" i="19"/>
  <c r="B5" i="19"/>
  <c r="C301" i="13" l="1"/>
  <c r="L301" i="13" s="1"/>
  <c r="D301" i="13"/>
  <c r="C302" i="13"/>
  <c r="L302" i="13" s="1"/>
  <c r="D302" i="13"/>
  <c r="C303" i="13"/>
  <c r="L303" i="13" s="1"/>
  <c r="D303" i="13"/>
  <c r="G301" i="13"/>
  <c r="U301" i="13"/>
  <c r="G302" i="13"/>
  <c r="U302" i="13"/>
  <c r="G303" i="13"/>
  <c r="U303" i="13"/>
  <c r="U4" i="11" l="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197" i="11"/>
  <c r="T198" i="11"/>
  <c r="T199" i="11"/>
  <c r="T200" i="11"/>
  <c r="T201" i="11"/>
  <c r="T202" i="11"/>
  <c r="T203" i="11"/>
  <c r="T204" i="11"/>
  <c r="T205" i="11"/>
  <c r="T206" i="11"/>
  <c r="T207" i="11"/>
  <c r="T208" i="11"/>
  <c r="T209" i="11"/>
  <c r="T210" i="11"/>
  <c r="T211" i="11"/>
  <c r="T212" i="11"/>
  <c r="T213" i="11"/>
  <c r="T214" i="11"/>
  <c r="T215" i="11"/>
  <c r="T216" i="11"/>
  <c r="T217" i="11"/>
  <c r="T218" i="11"/>
  <c r="T219" i="11"/>
  <c r="T220" i="11"/>
  <c r="T221" i="11"/>
  <c r="T222" i="11"/>
  <c r="T223" i="11"/>
  <c r="T224" i="11"/>
  <c r="T225" i="11"/>
  <c r="T226" i="11"/>
  <c r="T227" i="11"/>
  <c r="T228" i="11"/>
  <c r="T229" i="11"/>
  <c r="T230" i="11"/>
  <c r="T231" i="11"/>
  <c r="T232" i="11"/>
  <c r="T233" i="11"/>
  <c r="T234" i="11"/>
  <c r="T235" i="11"/>
  <c r="T236" i="11"/>
  <c r="T237" i="11"/>
  <c r="T238" i="11"/>
  <c r="T239" i="11"/>
  <c r="T240" i="11"/>
  <c r="T241" i="11"/>
  <c r="T242" i="11"/>
  <c r="T243" i="11"/>
  <c r="T244" i="11"/>
  <c r="T245" i="11"/>
  <c r="T246" i="11"/>
  <c r="T247" i="11"/>
  <c r="T248" i="11"/>
  <c r="T249" i="11"/>
  <c r="T250" i="11"/>
  <c r="T251" i="11"/>
  <c r="T252" i="11"/>
  <c r="T253" i="11"/>
  <c r="T254" i="11"/>
  <c r="T255" i="11"/>
  <c r="T256" i="11"/>
  <c r="T257" i="11"/>
  <c r="T258" i="11"/>
  <c r="T259" i="11"/>
  <c r="T260" i="11"/>
  <c r="T261" i="11"/>
  <c r="T262" i="11"/>
  <c r="T263" i="11"/>
  <c r="T264" i="11"/>
  <c r="T265" i="11"/>
  <c r="T266" i="11"/>
  <c r="T267" i="11"/>
  <c r="T268" i="11"/>
  <c r="T269" i="11"/>
  <c r="T270" i="11"/>
  <c r="T271" i="11"/>
  <c r="T272" i="11"/>
  <c r="T273" i="11"/>
  <c r="T274" i="1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O4" i="11"/>
  <c r="O5" i="11"/>
  <c r="O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O301" i="11"/>
  <c r="O302" i="11"/>
  <c r="O30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K4"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I4" i="11"/>
  <c r="E4" i="13" s="1"/>
  <c r="I5" i="11"/>
  <c r="E5" i="13" s="1"/>
  <c r="I6" i="11"/>
  <c r="E6" i="13" s="1"/>
  <c r="I7" i="11"/>
  <c r="E7" i="13" s="1"/>
  <c r="I8" i="11"/>
  <c r="E8" i="13" s="1"/>
  <c r="I9" i="11"/>
  <c r="E9" i="13" s="1"/>
  <c r="I10" i="11"/>
  <c r="E10" i="13" s="1"/>
  <c r="I11" i="11"/>
  <c r="E11" i="13" s="1"/>
  <c r="I12" i="11"/>
  <c r="E12" i="13" s="1"/>
  <c r="I13" i="11"/>
  <c r="E13" i="13" s="1"/>
  <c r="I14" i="11"/>
  <c r="E14" i="13" s="1"/>
  <c r="I15" i="11"/>
  <c r="E15" i="13" s="1"/>
  <c r="I16" i="11"/>
  <c r="E16" i="13" s="1"/>
  <c r="I17" i="11"/>
  <c r="E17" i="13" s="1"/>
  <c r="I18" i="11"/>
  <c r="E18" i="13" s="1"/>
  <c r="I19" i="11"/>
  <c r="E19" i="13" s="1"/>
  <c r="I20" i="11"/>
  <c r="E20" i="13" s="1"/>
  <c r="I21" i="11"/>
  <c r="E21" i="13" s="1"/>
  <c r="I22" i="11"/>
  <c r="E22" i="13" s="1"/>
  <c r="I23" i="11"/>
  <c r="E23" i="13" s="1"/>
  <c r="I24" i="11"/>
  <c r="E24" i="13" s="1"/>
  <c r="I25" i="11"/>
  <c r="E25" i="13" s="1"/>
  <c r="I26" i="11"/>
  <c r="E26" i="13" s="1"/>
  <c r="I27" i="11"/>
  <c r="E27" i="13" s="1"/>
  <c r="I28" i="11"/>
  <c r="E28" i="13" s="1"/>
  <c r="I29" i="11"/>
  <c r="E29" i="13" s="1"/>
  <c r="I30" i="11"/>
  <c r="E30" i="13" s="1"/>
  <c r="I31" i="11"/>
  <c r="E31" i="13" s="1"/>
  <c r="I32" i="11"/>
  <c r="E32" i="13" s="1"/>
  <c r="I33" i="11"/>
  <c r="E33" i="13" s="1"/>
  <c r="I34" i="11"/>
  <c r="E34" i="13" s="1"/>
  <c r="I35" i="11"/>
  <c r="E35" i="13" s="1"/>
  <c r="I36" i="11"/>
  <c r="E36" i="13" s="1"/>
  <c r="I37" i="11"/>
  <c r="E37" i="13" s="1"/>
  <c r="I38" i="11"/>
  <c r="E38" i="13" s="1"/>
  <c r="I39" i="11"/>
  <c r="E39" i="13" s="1"/>
  <c r="I40" i="11"/>
  <c r="E40" i="13" s="1"/>
  <c r="I41" i="11"/>
  <c r="E41" i="13" s="1"/>
  <c r="I42" i="11"/>
  <c r="E42" i="13" s="1"/>
  <c r="I43" i="11"/>
  <c r="E43" i="13" s="1"/>
  <c r="I44" i="11"/>
  <c r="E44" i="13" s="1"/>
  <c r="I45" i="11"/>
  <c r="E45" i="13" s="1"/>
  <c r="I46" i="11"/>
  <c r="E46" i="13" s="1"/>
  <c r="I47" i="11"/>
  <c r="E47" i="13" s="1"/>
  <c r="I48" i="11"/>
  <c r="E48" i="13" s="1"/>
  <c r="I49" i="11"/>
  <c r="E49" i="13" s="1"/>
  <c r="I50" i="11"/>
  <c r="E50" i="13" s="1"/>
  <c r="I51" i="11"/>
  <c r="E51" i="13" s="1"/>
  <c r="I52" i="11"/>
  <c r="E52" i="13" s="1"/>
  <c r="I53" i="11"/>
  <c r="E53" i="13" s="1"/>
  <c r="I54" i="11"/>
  <c r="E54" i="13" s="1"/>
  <c r="I55" i="11"/>
  <c r="E55" i="13" s="1"/>
  <c r="I56" i="11"/>
  <c r="E56" i="13" s="1"/>
  <c r="I57" i="11"/>
  <c r="E57" i="13" s="1"/>
  <c r="I58" i="11"/>
  <c r="E58" i="13" s="1"/>
  <c r="I59" i="11"/>
  <c r="E59" i="13" s="1"/>
  <c r="I60" i="11"/>
  <c r="E60" i="13" s="1"/>
  <c r="I61" i="11"/>
  <c r="E61" i="13" s="1"/>
  <c r="I62" i="11"/>
  <c r="E62" i="13" s="1"/>
  <c r="I63" i="11"/>
  <c r="E63" i="13" s="1"/>
  <c r="I64" i="11"/>
  <c r="E64" i="13" s="1"/>
  <c r="I65" i="11"/>
  <c r="E65" i="13" s="1"/>
  <c r="I66" i="11"/>
  <c r="E66" i="13" s="1"/>
  <c r="I67" i="11"/>
  <c r="E67" i="13" s="1"/>
  <c r="I68" i="11"/>
  <c r="E68" i="13" s="1"/>
  <c r="I69" i="11"/>
  <c r="E69" i="13" s="1"/>
  <c r="I70" i="11"/>
  <c r="E70" i="13" s="1"/>
  <c r="I71" i="11"/>
  <c r="E71" i="13" s="1"/>
  <c r="I72" i="11"/>
  <c r="E72" i="13" s="1"/>
  <c r="I73" i="11"/>
  <c r="E73" i="13" s="1"/>
  <c r="I74" i="11"/>
  <c r="E74" i="13" s="1"/>
  <c r="I75" i="11"/>
  <c r="E75" i="13" s="1"/>
  <c r="I76" i="11"/>
  <c r="E76" i="13" s="1"/>
  <c r="I77" i="11"/>
  <c r="E77" i="13" s="1"/>
  <c r="I78" i="11"/>
  <c r="E78" i="13" s="1"/>
  <c r="I79" i="11"/>
  <c r="E79" i="13" s="1"/>
  <c r="I80" i="11"/>
  <c r="E80" i="13" s="1"/>
  <c r="I81" i="11"/>
  <c r="E81" i="13" s="1"/>
  <c r="I82" i="11"/>
  <c r="E82" i="13" s="1"/>
  <c r="I83" i="11"/>
  <c r="E83" i="13" s="1"/>
  <c r="I84" i="11"/>
  <c r="E84" i="13" s="1"/>
  <c r="I85" i="11"/>
  <c r="E85" i="13" s="1"/>
  <c r="I86" i="11"/>
  <c r="E86" i="13" s="1"/>
  <c r="I87" i="11"/>
  <c r="E87" i="13" s="1"/>
  <c r="I88" i="11"/>
  <c r="E88" i="13" s="1"/>
  <c r="I89" i="11"/>
  <c r="E89" i="13" s="1"/>
  <c r="I90" i="11"/>
  <c r="E90" i="13" s="1"/>
  <c r="I91" i="11"/>
  <c r="E91" i="13" s="1"/>
  <c r="I92" i="11"/>
  <c r="E92" i="13" s="1"/>
  <c r="I93" i="11"/>
  <c r="E93" i="13" s="1"/>
  <c r="I94" i="11"/>
  <c r="E94" i="13" s="1"/>
  <c r="I95" i="11"/>
  <c r="E95" i="13" s="1"/>
  <c r="I96" i="11"/>
  <c r="E96" i="13" s="1"/>
  <c r="I97" i="11"/>
  <c r="E97" i="13" s="1"/>
  <c r="I98" i="11"/>
  <c r="E98" i="13" s="1"/>
  <c r="I99" i="11"/>
  <c r="E99" i="13" s="1"/>
  <c r="I100" i="11"/>
  <c r="E100" i="13" s="1"/>
  <c r="I101" i="11"/>
  <c r="E101" i="13" s="1"/>
  <c r="I102" i="11"/>
  <c r="E102" i="13" s="1"/>
  <c r="I103" i="11"/>
  <c r="E103" i="13" s="1"/>
  <c r="I104" i="11"/>
  <c r="E104" i="13" s="1"/>
  <c r="I105" i="11"/>
  <c r="E105" i="13" s="1"/>
  <c r="I106" i="11"/>
  <c r="E106" i="13" s="1"/>
  <c r="I107" i="11"/>
  <c r="E107" i="13" s="1"/>
  <c r="I108" i="11"/>
  <c r="E108" i="13" s="1"/>
  <c r="I109" i="11"/>
  <c r="E109" i="13" s="1"/>
  <c r="I110" i="11"/>
  <c r="E110" i="13" s="1"/>
  <c r="I111" i="11"/>
  <c r="E111" i="13" s="1"/>
  <c r="I112" i="11"/>
  <c r="E112" i="13" s="1"/>
  <c r="I113" i="11"/>
  <c r="E113" i="13" s="1"/>
  <c r="I114" i="11"/>
  <c r="E114" i="13" s="1"/>
  <c r="I115" i="11"/>
  <c r="E115" i="13" s="1"/>
  <c r="I116" i="11"/>
  <c r="E116" i="13" s="1"/>
  <c r="I117" i="11"/>
  <c r="E117" i="13" s="1"/>
  <c r="I118" i="11"/>
  <c r="E118" i="13" s="1"/>
  <c r="I119" i="11"/>
  <c r="E119" i="13" s="1"/>
  <c r="I120" i="11"/>
  <c r="E120" i="13" s="1"/>
  <c r="I121" i="11"/>
  <c r="E121" i="13" s="1"/>
  <c r="I122" i="11"/>
  <c r="E122" i="13" s="1"/>
  <c r="I123" i="11"/>
  <c r="E123" i="13" s="1"/>
  <c r="I124" i="11"/>
  <c r="E124" i="13" s="1"/>
  <c r="I125" i="11"/>
  <c r="E125" i="13" s="1"/>
  <c r="I126" i="11"/>
  <c r="E126" i="13" s="1"/>
  <c r="I127" i="11"/>
  <c r="E127" i="13" s="1"/>
  <c r="I128" i="11"/>
  <c r="E128" i="13" s="1"/>
  <c r="I129" i="11"/>
  <c r="E129" i="13" s="1"/>
  <c r="I130" i="11"/>
  <c r="E130" i="13" s="1"/>
  <c r="I131" i="11"/>
  <c r="E131" i="13" s="1"/>
  <c r="I132" i="11"/>
  <c r="E132" i="13" s="1"/>
  <c r="I133" i="11"/>
  <c r="E133" i="13" s="1"/>
  <c r="I134" i="11"/>
  <c r="E134" i="13" s="1"/>
  <c r="I135" i="11"/>
  <c r="E135" i="13" s="1"/>
  <c r="I136" i="11"/>
  <c r="E136" i="13" s="1"/>
  <c r="I137" i="11"/>
  <c r="E137" i="13" s="1"/>
  <c r="I138" i="11"/>
  <c r="E138" i="13" s="1"/>
  <c r="I139" i="11"/>
  <c r="E139" i="13" s="1"/>
  <c r="I140" i="11"/>
  <c r="E140" i="13" s="1"/>
  <c r="I141" i="11"/>
  <c r="E141" i="13" s="1"/>
  <c r="I142" i="11"/>
  <c r="E142" i="13" s="1"/>
  <c r="I143" i="11"/>
  <c r="E143" i="13" s="1"/>
  <c r="I144" i="11"/>
  <c r="E144" i="13" s="1"/>
  <c r="I145" i="11"/>
  <c r="E145" i="13" s="1"/>
  <c r="I146" i="11"/>
  <c r="E146" i="13" s="1"/>
  <c r="I147" i="11"/>
  <c r="E147" i="13" s="1"/>
  <c r="I148" i="11"/>
  <c r="E148" i="13" s="1"/>
  <c r="I149" i="11"/>
  <c r="E149" i="13" s="1"/>
  <c r="I150" i="11"/>
  <c r="E150" i="13" s="1"/>
  <c r="I151" i="11"/>
  <c r="E151" i="13" s="1"/>
  <c r="I152" i="11"/>
  <c r="E152" i="13" s="1"/>
  <c r="I153" i="11"/>
  <c r="E153" i="13" s="1"/>
  <c r="I154" i="11"/>
  <c r="E154" i="13" s="1"/>
  <c r="I155" i="11"/>
  <c r="E155" i="13" s="1"/>
  <c r="I156" i="11"/>
  <c r="E156" i="13" s="1"/>
  <c r="I157" i="11"/>
  <c r="E157" i="13" s="1"/>
  <c r="I158" i="11"/>
  <c r="E158" i="13" s="1"/>
  <c r="I159" i="11"/>
  <c r="E159" i="13" s="1"/>
  <c r="I160" i="11"/>
  <c r="E160" i="13" s="1"/>
  <c r="I161" i="11"/>
  <c r="E161" i="13" s="1"/>
  <c r="I162" i="11"/>
  <c r="E162" i="13" s="1"/>
  <c r="I163" i="11"/>
  <c r="E163" i="13" s="1"/>
  <c r="I164" i="11"/>
  <c r="E164" i="13" s="1"/>
  <c r="I165" i="11"/>
  <c r="E165" i="13" s="1"/>
  <c r="I166" i="11"/>
  <c r="E166" i="13" s="1"/>
  <c r="I167" i="11"/>
  <c r="E167" i="13" s="1"/>
  <c r="I168" i="11"/>
  <c r="E168" i="13" s="1"/>
  <c r="I169" i="11"/>
  <c r="E169" i="13" s="1"/>
  <c r="I170" i="11"/>
  <c r="E170" i="13" s="1"/>
  <c r="I171" i="11"/>
  <c r="E171" i="13" s="1"/>
  <c r="I172" i="11"/>
  <c r="E172" i="13" s="1"/>
  <c r="I173" i="11"/>
  <c r="E173" i="13" s="1"/>
  <c r="I174" i="11"/>
  <c r="E174" i="13" s="1"/>
  <c r="I175" i="11"/>
  <c r="E175" i="13" s="1"/>
  <c r="I176" i="11"/>
  <c r="E176" i="13" s="1"/>
  <c r="I177" i="11"/>
  <c r="E177" i="13" s="1"/>
  <c r="I178" i="11"/>
  <c r="E178" i="13" s="1"/>
  <c r="I179" i="11"/>
  <c r="E179" i="13" s="1"/>
  <c r="I180" i="11"/>
  <c r="E180" i="13" s="1"/>
  <c r="I181" i="11"/>
  <c r="E181" i="13" s="1"/>
  <c r="I182" i="11"/>
  <c r="E182" i="13" s="1"/>
  <c r="I183" i="11"/>
  <c r="E183" i="13" s="1"/>
  <c r="I184" i="11"/>
  <c r="E184" i="13" s="1"/>
  <c r="I185" i="11"/>
  <c r="E185" i="13" s="1"/>
  <c r="I186" i="11"/>
  <c r="E186" i="13" s="1"/>
  <c r="I187" i="11"/>
  <c r="E187" i="13" s="1"/>
  <c r="I188" i="11"/>
  <c r="E188" i="13" s="1"/>
  <c r="I189" i="11"/>
  <c r="E189" i="13" s="1"/>
  <c r="I190" i="11"/>
  <c r="E190" i="13" s="1"/>
  <c r="I191" i="11"/>
  <c r="E191" i="13" s="1"/>
  <c r="I192" i="11"/>
  <c r="E192" i="13" s="1"/>
  <c r="I193" i="11"/>
  <c r="E193" i="13" s="1"/>
  <c r="I194" i="11"/>
  <c r="E194" i="13" s="1"/>
  <c r="I195" i="11"/>
  <c r="E195" i="13" s="1"/>
  <c r="I196" i="11"/>
  <c r="E196" i="13" s="1"/>
  <c r="I197" i="11"/>
  <c r="E197" i="13" s="1"/>
  <c r="I198" i="11"/>
  <c r="E198" i="13" s="1"/>
  <c r="I199" i="11"/>
  <c r="E199" i="13" s="1"/>
  <c r="I200" i="11"/>
  <c r="E200" i="13" s="1"/>
  <c r="I201" i="11"/>
  <c r="E201" i="13" s="1"/>
  <c r="I202" i="11"/>
  <c r="E202" i="13" s="1"/>
  <c r="I203" i="11"/>
  <c r="E203" i="13" s="1"/>
  <c r="I204" i="11"/>
  <c r="E204" i="13" s="1"/>
  <c r="I205" i="11"/>
  <c r="E205" i="13" s="1"/>
  <c r="I206" i="11"/>
  <c r="E206" i="13" s="1"/>
  <c r="I207" i="11"/>
  <c r="E207" i="13" s="1"/>
  <c r="I208" i="11"/>
  <c r="E208" i="13" s="1"/>
  <c r="I209" i="11"/>
  <c r="E209" i="13" s="1"/>
  <c r="I210" i="11"/>
  <c r="E210" i="13" s="1"/>
  <c r="I211" i="11"/>
  <c r="E211" i="13" s="1"/>
  <c r="I212" i="11"/>
  <c r="E212" i="13" s="1"/>
  <c r="I213" i="11"/>
  <c r="E213" i="13" s="1"/>
  <c r="I214" i="11"/>
  <c r="E214" i="13" s="1"/>
  <c r="I215" i="11"/>
  <c r="E215" i="13" s="1"/>
  <c r="I216" i="11"/>
  <c r="E216" i="13" s="1"/>
  <c r="I217" i="11"/>
  <c r="E217" i="13" s="1"/>
  <c r="I218" i="11"/>
  <c r="E218" i="13" s="1"/>
  <c r="I219" i="11"/>
  <c r="E219" i="13" s="1"/>
  <c r="I220" i="11"/>
  <c r="E220" i="13" s="1"/>
  <c r="I221" i="11"/>
  <c r="E221" i="13" s="1"/>
  <c r="I222" i="11"/>
  <c r="E222" i="13" s="1"/>
  <c r="I223" i="11"/>
  <c r="E223" i="13" s="1"/>
  <c r="I224" i="11"/>
  <c r="E224" i="13" s="1"/>
  <c r="I225" i="11"/>
  <c r="E225" i="13" s="1"/>
  <c r="I226" i="11"/>
  <c r="E226" i="13" s="1"/>
  <c r="I227" i="11"/>
  <c r="E227" i="13" s="1"/>
  <c r="I228" i="11"/>
  <c r="E228" i="13" s="1"/>
  <c r="I229" i="11"/>
  <c r="E229" i="13" s="1"/>
  <c r="I230" i="11"/>
  <c r="E230" i="13" s="1"/>
  <c r="I231" i="11"/>
  <c r="E231" i="13" s="1"/>
  <c r="I232" i="11"/>
  <c r="E232" i="13" s="1"/>
  <c r="I233" i="11"/>
  <c r="E233" i="13" s="1"/>
  <c r="I234" i="11"/>
  <c r="E234" i="13" s="1"/>
  <c r="I235" i="11"/>
  <c r="E235" i="13" s="1"/>
  <c r="I236" i="11"/>
  <c r="E236" i="13" s="1"/>
  <c r="I237" i="11"/>
  <c r="E237" i="13" s="1"/>
  <c r="I238" i="11"/>
  <c r="E238" i="13" s="1"/>
  <c r="I239" i="11"/>
  <c r="E239" i="13" s="1"/>
  <c r="I240" i="11"/>
  <c r="E240" i="13" s="1"/>
  <c r="I241" i="11"/>
  <c r="E241" i="13" s="1"/>
  <c r="I242" i="11"/>
  <c r="E242" i="13" s="1"/>
  <c r="I243" i="11"/>
  <c r="E243" i="13" s="1"/>
  <c r="I244" i="11"/>
  <c r="E244" i="13" s="1"/>
  <c r="I245" i="11"/>
  <c r="E245" i="13" s="1"/>
  <c r="I246" i="11"/>
  <c r="E246" i="13" s="1"/>
  <c r="I247" i="11"/>
  <c r="E247" i="13" s="1"/>
  <c r="I248" i="11"/>
  <c r="E248" i="13" s="1"/>
  <c r="I249" i="11"/>
  <c r="E249" i="13" s="1"/>
  <c r="I250" i="11"/>
  <c r="E250" i="13" s="1"/>
  <c r="I251" i="11"/>
  <c r="E251" i="13" s="1"/>
  <c r="I252" i="11"/>
  <c r="E252" i="13" s="1"/>
  <c r="I253" i="11"/>
  <c r="E253" i="13" s="1"/>
  <c r="I254" i="11"/>
  <c r="E254" i="13" s="1"/>
  <c r="I255" i="11"/>
  <c r="E255" i="13" s="1"/>
  <c r="I256" i="11"/>
  <c r="E256" i="13" s="1"/>
  <c r="I257" i="11"/>
  <c r="E257" i="13" s="1"/>
  <c r="I258" i="11"/>
  <c r="E258" i="13" s="1"/>
  <c r="I259" i="11"/>
  <c r="E259" i="13" s="1"/>
  <c r="I260" i="11"/>
  <c r="E260" i="13" s="1"/>
  <c r="I261" i="11"/>
  <c r="E261" i="13" s="1"/>
  <c r="I262" i="11"/>
  <c r="E262" i="13" s="1"/>
  <c r="I263" i="11"/>
  <c r="E263" i="13" s="1"/>
  <c r="I264" i="11"/>
  <c r="E264" i="13" s="1"/>
  <c r="I265" i="11"/>
  <c r="E265" i="13" s="1"/>
  <c r="I266" i="11"/>
  <c r="E266" i="13" s="1"/>
  <c r="I267" i="11"/>
  <c r="E267" i="13" s="1"/>
  <c r="I268" i="11"/>
  <c r="E268" i="13" s="1"/>
  <c r="I269" i="11"/>
  <c r="E269" i="13" s="1"/>
  <c r="I270" i="11"/>
  <c r="E270" i="13" s="1"/>
  <c r="I271" i="11"/>
  <c r="E271" i="13" s="1"/>
  <c r="I272" i="11"/>
  <c r="E272" i="13" s="1"/>
  <c r="I273" i="11"/>
  <c r="E273" i="13" s="1"/>
  <c r="I274" i="11"/>
  <c r="E274" i="13" s="1"/>
  <c r="I275" i="11"/>
  <c r="E275" i="13" s="1"/>
  <c r="I276" i="11"/>
  <c r="E276" i="13" s="1"/>
  <c r="I277" i="11"/>
  <c r="E277" i="13" s="1"/>
  <c r="I278" i="11"/>
  <c r="E278" i="13" s="1"/>
  <c r="I279" i="11"/>
  <c r="E279" i="13" s="1"/>
  <c r="I280" i="11"/>
  <c r="E280" i="13" s="1"/>
  <c r="I281" i="11"/>
  <c r="E281" i="13" s="1"/>
  <c r="I282" i="11"/>
  <c r="E282" i="13" s="1"/>
  <c r="I283" i="11"/>
  <c r="E283" i="13" s="1"/>
  <c r="I284" i="11"/>
  <c r="E284" i="13" s="1"/>
  <c r="I285" i="11"/>
  <c r="E285" i="13" s="1"/>
  <c r="I286" i="11"/>
  <c r="E286" i="13" s="1"/>
  <c r="I287" i="11"/>
  <c r="E287" i="13" s="1"/>
  <c r="I288" i="11"/>
  <c r="E288" i="13" s="1"/>
  <c r="I289" i="11"/>
  <c r="E289" i="13" s="1"/>
  <c r="I290" i="11"/>
  <c r="E290" i="13" s="1"/>
  <c r="I291" i="11"/>
  <c r="E291" i="13" s="1"/>
  <c r="I292" i="11"/>
  <c r="E292" i="13" s="1"/>
  <c r="I293" i="11"/>
  <c r="E293" i="13" s="1"/>
  <c r="I294" i="11"/>
  <c r="E294" i="13" s="1"/>
  <c r="I295" i="11"/>
  <c r="E295" i="13" s="1"/>
  <c r="I296" i="11"/>
  <c r="E296" i="13" s="1"/>
  <c r="I297" i="11"/>
  <c r="E297" i="13" s="1"/>
  <c r="I298" i="11"/>
  <c r="E298" i="13" s="1"/>
  <c r="I299" i="11"/>
  <c r="E299" i="13" s="1"/>
  <c r="I300" i="11"/>
  <c r="E300" i="13" s="1"/>
  <c r="I301" i="11"/>
  <c r="E301" i="13" s="1"/>
  <c r="I302" i="11"/>
  <c r="E302" i="13" s="1"/>
  <c r="I303" i="11"/>
  <c r="E303" i="13" s="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F302" i="13" l="1"/>
  <c r="F303" i="13"/>
  <c r="F301" i="13"/>
  <c r="D21" i="18"/>
  <c r="D22" i="18"/>
  <c r="D23" i="18"/>
  <c r="D24" i="18"/>
  <c r="D25" i="18"/>
  <c r="D26" i="18"/>
  <c r="D37" i="18"/>
  <c r="D38" i="18"/>
  <c r="D39" i="18"/>
  <c r="D40" i="18"/>
  <c r="D41" i="18"/>
  <c r="D42" i="18"/>
  <c r="D53" i="18"/>
  <c r="D54" i="18"/>
  <c r="D55" i="18"/>
  <c r="D56" i="18"/>
  <c r="D57" i="18"/>
  <c r="D58" i="18"/>
  <c r="D69" i="18"/>
  <c r="D70" i="18"/>
  <c r="D71" i="18"/>
  <c r="D72" i="18"/>
  <c r="D73" i="18"/>
  <c r="D74" i="18"/>
  <c r="D85" i="18"/>
  <c r="D86" i="18"/>
  <c r="D87" i="18"/>
  <c r="D88" i="18"/>
  <c r="D89" i="18"/>
  <c r="D90" i="18"/>
  <c r="D101" i="18"/>
  <c r="D102" i="18"/>
  <c r="D103" i="18"/>
  <c r="D104" i="18"/>
  <c r="D105" i="18"/>
  <c r="D106" i="18"/>
  <c r="D117" i="18"/>
  <c r="D118" i="18"/>
  <c r="D119" i="18"/>
  <c r="D120" i="18"/>
  <c r="D121" i="18"/>
  <c r="D122" i="18"/>
  <c r="D133" i="18"/>
  <c r="D134" i="18"/>
  <c r="D135" i="18"/>
  <c r="D136" i="18"/>
  <c r="D137" i="18"/>
  <c r="D138" i="18"/>
  <c r="D149" i="18"/>
  <c r="D150" i="18"/>
  <c r="D151" i="18"/>
  <c r="D152" i="18"/>
  <c r="D153" i="18"/>
  <c r="D154" i="18"/>
  <c r="D165" i="18"/>
  <c r="D166" i="18"/>
  <c r="D167" i="18"/>
  <c r="D168" i="18"/>
  <c r="D169" i="18"/>
  <c r="D170" i="18"/>
  <c r="D181" i="18"/>
  <c r="D182" i="18"/>
  <c r="D183" i="18"/>
  <c r="D184" i="18"/>
  <c r="D185" i="18"/>
  <c r="D186" i="18"/>
  <c r="D197" i="18"/>
  <c r="D198" i="18"/>
  <c r="D199" i="18"/>
  <c r="D200" i="18"/>
  <c r="D201" i="18"/>
  <c r="D202" i="18"/>
  <c r="D213" i="18"/>
  <c r="D214" i="18"/>
  <c r="D215" i="18"/>
  <c r="D216" i="18"/>
  <c r="D217" i="18"/>
  <c r="D218" i="18"/>
  <c r="D229" i="18"/>
  <c r="D230" i="18"/>
  <c r="D231" i="18"/>
  <c r="D232" i="18"/>
  <c r="D233" i="18"/>
  <c r="D234" i="18"/>
  <c r="D245" i="18"/>
  <c r="D246" i="18"/>
  <c r="D247" i="18"/>
  <c r="D248" i="18"/>
  <c r="D249" i="18"/>
  <c r="D250" i="18"/>
  <c r="D261" i="18"/>
  <c r="D262" i="18"/>
  <c r="D263" i="18"/>
  <c r="D264" i="18"/>
  <c r="D265" i="18"/>
  <c r="D266" i="18"/>
  <c r="D277" i="18"/>
  <c r="D278" i="18"/>
  <c r="D279" i="18"/>
  <c r="D280" i="18"/>
  <c r="D281" i="18"/>
  <c r="D282" i="18"/>
  <c r="D293" i="18"/>
  <c r="D294" i="18"/>
  <c r="D295" i="18"/>
  <c r="D296" i="18"/>
  <c r="D297" i="18"/>
  <c r="D298" i="18"/>
  <c r="D309" i="18"/>
  <c r="D310" i="18"/>
  <c r="D311" i="18"/>
  <c r="D312" i="18"/>
  <c r="D313" i="18"/>
  <c r="D314" i="18"/>
  <c r="D325" i="18"/>
  <c r="D326" i="18"/>
  <c r="D327" i="18"/>
  <c r="D328" i="18"/>
  <c r="D329" i="18"/>
  <c r="D330" i="18"/>
  <c r="D341" i="18"/>
  <c r="D342" i="18"/>
  <c r="D343" i="18"/>
  <c r="D344" i="18"/>
  <c r="D345" i="18"/>
  <c r="D346" i="18"/>
  <c r="D357" i="18"/>
  <c r="D358" i="18"/>
  <c r="D359" i="18"/>
  <c r="D360" i="18"/>
  <c r="D361" i="18"/>
  <c r="D362" i="18"/>
  <c r="D373" i="18"/>
  <c r="D374" i="18"/>
  <c r="D375" i="18"/>
  <c r="D376" i="18"/>
  <c r="D377" i="18"/>
  <c r="D378" i="18"/>
  <c r="D389" i="18"/>
  <c r="D390" i="18"/>
  <c r="D391" i="18"/>
  <c r="D392" i="18"/>
  <c r="D393" i="18"/>
  <c r="D394" i="18"/>
  <c r="D405" i="18"/>
  <c r="D406" i="18"/>
  <c r="D407" i="18"/>
  <c r="D408" i="18"/>
  <c r="D409" i="18"/>
  <c r="D410" i="18"/>
  <c r="D421" i="18"/>
  <c r="D422" i="18"/>
  <c r="D423" i="18"/>
  <c r="D424" i="18"/>
  <c r="D425" i="18"/>
  <c r="D426" i="18"/>
  <c r="D437" i="18"/>
  <c r="D438" i="18"/>
  <c r="D439" i="18"/>
  <c r="D440" i="18"/>
  <c r="D441" i="18"/>
  <c r="D442" i="18"/>
  <c r="D453" i="18"/>
  <c r="D454" i="18"/>
  <c r="D455" i="18"/>
  <c r="D456" i="18"/>
  <c r="D457" i="18"/>
  <c r="D458" i="18"/>
  <c r="D469" i="18"/>
  <c r="D470" i="18"/>
  <c r="D471" i="18"/>
  <c r="D472" i="18"/>
  <c r="D473" i="18"/>
  <c r="D474" i="18"/>
  <c r="D485" i="18"/>
  <c r="D486" i="18"/>
  <c r="D487" i="18"/>
  <c r="D488" i="18"/>
  <c r="D489" i="18"/>
  <c r="D490" i="18"/>
  <c r="D501" i="18"/>
  <c r="D502" i="18"/>
  <c r="D503" i="18"/>
  <c r="D504" i="18"/>
  <c r="D505" i="18"/>
  <c r="D506" i="18"/>
  <c r="D517" i="18"/>
  <c r="D518" i="18"/>
  <c r="D519" i="18"/>
  <c r="D520" i="18"/>
  <c r="D521" i="18"/>
  <c r="D522" i="18"/>
  <c r="D533" i="18"/>
  <c r="D534" i="18"/>
  <c r="D535" i="18"/>
  <c r="D536" i="18"/>
  <c r="D537" i="18"/>
  <c r="D538" i="18"/>
  <c r="D549" i="18"/>
  <c r="D550" i="18"/>
  <c r="D551" i="18"/>
  <c r="D552" i="18"/>
  <c r="D553" i="18"/>
  <c r="D554" i="18"/>
  <c r="D565" i="18"/>
  <c r="D566" i="18"/>
  <c r="D567" i="18"/>
  <c r="D568" i="18"/>
  <c r="D569" i="18"/>
  <c r="D570" i="18"/>
  <c r="D581" i="18"/>
  <c r="D582" i="18"/>
  <c r="D583" i="18"/>
  <c r="D584" i="18"/>
  <c r="D585" i="18"/>
  <c r="D586" i="18"/>
  <c r="D597" i="18"/>
  <c r="D598" i="18"/>
  <c r="D599" i="18"/>
  <c r="D600" i="18"/>
  <c r="D601" i="18"/>
  <c r="D602" i="18"/>
  <c r="D613" i="18"/>
  <c r="D614" i="18"/>
  <c r="D615" i="18"/>
  <c r="D616" i="18"/>
  <c r="D617" i="18"/>
  <c r="D618" i="18"/>
  <c r="D629" i="18"/>
  <c r="D630" i="18"/>
  <c r="D631" i="18"/>
  <c r="D632" i="18"/>
  <c r="D633" i="18"/>
  <c r="D634" i="18"/>
  <c r="D645" i="18"/>
  <c r="D646" i="18"/>
  <c r="D647" i="18"/>
  <c r="D648" i="18"/>
  <c r="D649" i="18"/>
  <c r="D650" i="18"/>
  <c r="D661" i="18"/>
  <c r="D662" i="18"/>
  <c r="D663" i="18"/>
  <c r="D664" i="18"/>
  <c r="D665" i="18"/>
  <c r="D666" i="18"/>
  <c r="D677" i="18"/>
  <c r="D678" i="18"/>
  <c r="D679" i="18"/>
  <c r="D680" i="18"/>
  <c r="D681" i="18"/>
  <c r="D682" i="18"/>
  <c r="D693" i="18"/>
  <c r="D694" i="18"/>
  <c r="D695" i="18"/>
  <c r="D696" i="18"/>
  <c r="D697" i="18"/>
  <c r="D698" i="18"/>
  <c r="D709" i="18"/>
  <c r="D710" i="18"/>
  <c r="D711" i="18"/>
  <c r="D712" i="18"/>
  <c r="D713" i="18"/>
  <c r="D714" i="18"/>
  <c r="D725" i="18"/>
  <c r="D726" i="18"/>
  <c r="D727" i="18"/>
  <c r="D728" i="18"/>
  <c r="D729" i="18"/>
  <c r="D730" i="18"/>
  <c r="D741" i="18"/>
  <c r="D742" i="18"/>
  <c r="D743" i="18"/>
  <c r="D744" i="18"/>
  <c r="D745" i="18"/>
  <c r="D746" i="18"/>
  <c r="D757" i="18"/>
  <c r="D758" i="18"/>
  <c r="D759" i="18"/>
  <c r="D760" i="18"/>
  <c r="D761" i="18"/>
  <c r="D762" i="18"/>
  <c r="D773" i="18"/>
  <c r="D774" i="18"/>
  <c r="D775" i="18"/>
  <c r="D776" i="18"/>
  <c r="D777" i="18"/>
  <c r="D778" i="18"/>
  <c r="D789" i="18"/>
  <c r="D790" i="18"/>
  <c r="D791" i="18"/>
  <c r="D792" i="18"/>
  <c r="D793" i="18"/>
  <c r="D794" i="18"/>
  <c r="D805" i="18"/>
  <c r="D806" i="18"/>
  <c r="D807" i="18"/>
  <c r="D808" i="18"/>
  <c r="D809" i="18"/>
  <c r="D810" i="18"/>
  <c r="A21" i="18"/>
  <c r="A22" i="18"/>
  <c r="A23" i="18"/>
  <c r="A24" i="18"/>
  <c r="A25" i="18"/>
  <c r="A26" i="18"/>
  <c r="A37" i="18"/>
  <c r="A38" i="18"/>
  <c r="A39" i="18"/>
  <c r="A40" i="18"/>
  <c r="A41" i="18"/>
  <c r="A42" i="18"/>
  <c r="A53" i="18"/>
  <c r="A54" i="18"/>
  <c r="A55" i="18"/>
  <c r="A56" i="18"/>
  <c r="A57" i="18"/>
  <c r="A58" i="18"/>
  <c r="A69" i="18"/>
  <c r="A70" i="18"/>
  <c r="A71" i="18"/>
  <c r="A72" i="18"/>
  <c r="A73" i="18"/>
  <c r="A74" i="18"/>
  <c r="A85" i="18"/>
  <c r="A86" i="18"/>
  <c r="A87" i="18"/>
  <c r="A88" i="18"/>
  <c r="A89" i="18"/>
  <c r="A90" i="18"/>
  <c r="A101" i="18"/>
  <c r="A102" i="18"/>
  <c r="A103" i="18"/>
  <c r="A104" i="18"/>
  <c r="A105" i="18"/>
  <c r="A106" i="18"/>
  <c r="A117" i="18"/>
  <c r="A118" i="18"/>
  <c r="A119" i="18"/>
  <c r="A120" i="18"/>
  <c r="A121" i="18"/>
  <c r="A122" i="18"/>
  <c r="A133" i="18"/>
  <c r="A134" i="18"/>
  <c r="A135" i="18"/>
  <c r="A136" i="18"/>
  <c r="A137" i="18"/>
  <c r="A138" i="18"/>
  <c r="A149" i="18"/>
  <c r="A150" i="18"/>
  <c r="A151" i="18"/>
  <c r="A152" i="18"/>
  <c r="A153" i="18"/>
  <c r="A154" i="18"/>
  <c r="A165" i="18"/>
  <c r="A166" i="18"/>
  <c r="A167" i="18"/>
  <c r="A168" i="18"/>
  <c r="A169" i="18"/>
  <c r="A170" i="18"/>
  <c r="A181" i="18"/>
  <c r="A182" i="18"/>
  <c r="A183" i="18"/>
  <c r="A184" i="18"/>
  <c r="A185" i="18"/>
  <c r="A186" i="18"/>
  <c r="A197" i="18"/>
  <c r="A198" i="18"/>
  <c r="A199" i="18"/>
  <c r="A200" i="18"/>
  <c r="A201" i="18"/>
  <c r="A202" i="18"/>
  <c r="A213" i="18"/>
  <c r="A214" i="18"/>
  <c r="A215" i="18"/>
  <c r="A216" i="18"/>
  <c r="A217" i="18"/>
  <c r="A218" i="18"/>
  <c r="A229" i="18"/>
  <c r="A230" i="18"/>
  <c r="A231" i="18"/>
  <c r="A232" i="18"/>
  <c r="A233" i="18"/>
  <c r="A234" i="18"/>
  <c r="A245" i="18"/>
  <c r="A246" i="18"/>
  <c r="A247" i="18"/>
  <c r="A248" i="18"/>
  <c r="A249" i="18"/>
  <c r="A250" i="18"/>
  <c r="A261" i="18"/>
  <c r="A262" i="18"/>
  <c r="A263" i="18"/>
  <c r="A264" i="18"/>
  <c r="A265" i="18"/>
  <c r="A266" i="18"/>
  <c r="A277" i="18"/>
  <c r="A278" i="18"/>
  <c r="A279" i="18"/>
  <c r="A280" i="18"/>
  <c r="A281" i="18"/>
  <c r="A282" i="18"/>
  <c r="A293" i="18"/>
  <c r="A294" i="18"/>
  <c r="A295" i="18"/>
  <c r="A296" i="18"/>
  <c r="A297" i="18"/>
  <c r="A298" i="18"/>
  <c r="A309" i="18"/>
  <c r="A310" i="18"/>
  <c r="A311" i="18"/>
  <c r="A312" i="18"/>
  <c r="A313" i="18"/>
  <c r="A314" i="18"/>
  <c r="A325" i="18"/>
  <c r="A326" i="18"/>
  <c r="A327" i="18"/>
  <c r="A328" i="18"/>
  <c r="A329" i="18"/>
  <c r="A330" i="18"/>
  <c r="A341" i="18"/>
  <c r="A342" i="18"/>
  <c r="A343" i="18"/>
  <c r="A344" i="18"/>
  <c r="A345" i="18"/>
  <c r="A346" i="18"/>
  <c r="A357" i="18"/>
  <c r="A358" i="18"/>
  <c r="A359" i="18"/>
  <c r="A360" i="18"/>
  <c r="A361" i="18"/>
  <c r="A362" i="18"/>
  <c r="A373" i="18"/>
  <c r="A374" i="18"/>
  <c r="A375" i="18"/>
  <c r="A376" i="18"/>
  <c r="A377" i="18"/>
  <c r="A378" i="18"/>
  <c r="A389" i="18"/>
  <c r="A390" i="18"/>
  <c r="A391" i="18"/>
  <c r="A392" i="18"/>
  <c r="A393" i="18"/>
  <c r="A394" i="18"/>
  <c r="A405" i="18"/>
  <c r="A406" i="18"/>
  <c r="A407" i="18"/>
  <c r="A408" i="18"/>
  <c r="A409" i="18"/>
  <c r="A410" i="18"/>
  <c r="A421" i="18"/>
  <c r="A422" i="18"/>
  <c r="A423" i="18"/>
  <c r="A424" i="18"/>
  <c r="A425" i="18"/>
  <c r="A426" i="18"/>
  <c r="A437" i="18"/>
  <c r="A438" i="18"/>
  <c r="A439" i="18"/>
  <c r="A440" i="18"/>
  <c r="A441" i="18"/>
  <c r="A442" i="18"/>
  <c r="A453" i="18"/>
  <c r="A454" i="18"/>
  <c r="A455" i="18"/>
  <c r="A456" i="18"/>
  <c r="A457" i="18"/>
  <c r="A458" i="18"/>
  <c r="A469" i="18"/>
  <c r="A470" i="18"/>
  <c r="A471" i="18"/>
  <c r="A472" i="18"/>
  <c r="A473" i="18"/>
  <c r="A474" i="18"/>
  <c r="A485" i="18"/>
  <c r="A486" i="18"/>
  <c r="A487" i="18"/>
  <c r="A488" i="18"/>
  <c r="A489" i="18"/>
  <c r="A490" i="18"/>
  <c r="A501" i="18"/>
  <c r="A502" i="18"/>
  <c r="A503" i="18"/>
  <c r="A504" i="18"/>
  <c r="A505" i="18"/>
  <c r="A506" i="18"/>
  <c r="A517" i="18"/>
  <c r="A518" i="18"/>
  <c r="A519" i="18"/>
  <c r="A520" i="18"/>
  <c r="A521" i="18"/>
  <c r="A522" i="18"/>
  <c r="A533" i="18"/>
  <c r="A534" i="18"/>
  <c r="A535" i="18"/>
  <c r="A536" i="18"/>
  <c r="A537" i="18"/>
  <c r="A538" i="18"/>
  <c r="A549" i="18"/>
  <c r="A550" i="18"/>
  <c r="A551" i="18"/>
  <c r="A552" i="18"/>
  <c r="A553" i="18"/>
  <c r="A554" i="18"/>
  <c r="A565" i="18"/>
  <c r="A566" i="18"/>
  <c r="A567" i="18"/>
  <c r="A568" i="18"/>
  <c r="A569" i="18"/>
  <c r="A570" i="18"/>
  <c r="A581" i="18"/>
  <c r="A582" i="18"/>
  <c r="A583" i="18"/>
  <c r="A584" i="18"/>
  <c r="A585" i="18"/>
  <c r="A586" i="18"/>
  <c r="A597" i="18"/>
  <c r="A598" i="18"/>
  <c r="A599" i="18"/>
  <c r="A600" i="18"/>
  <c r="A601" i="18"/>
  <c r="A602" i="18"/>
  <c r="A613" i="18"/>
  <c r="A614" i="18"/>
  <c r="A615" i="18"/>
  <c r="A616" i="18"/>
  <c r="A617" i="18"/>
  <c r="A618" i="18"/>
  <c r="A629" i="18"/>
  <c r="A630" i="18"/>
  <c r="A631" i="18"/>
  <c r="A632" i="18"/>
  <c r="A633" i="18"/>
  <c r="A634" i="18"/>
  <c r="A645" i="18"/>
  <c r="A646" i="18"/>
  <c r="A647" i="18"/>
  <c r="A648" i="18"/>
  <c r="A649" i="18"/>
  <c r="A650" i="18"/>
  <c r="A661" i="18"/>
  <c r="A662" i="18"/>
  <c r="A663" i="18"/>
  <c r="A664" i="18"/>
  <c r="A665" i="18"/>
  <c r="A666" i="18"/>
  <c r="A677" i="18"/>
  <c r="A678" i="18"/>
  <c r="A679" i="18"/>
  <c r="A680" i="18"/>
  <c r="A681" i="18"/>
  <c r="A682" i="18"/>
  <c r="A693" i="18"/>
  <c r="A694" i="18"/>
  <c r="A695" i="18"/>
  <c r="A696" i="18"/>
  <c r="A697" i="18"/>
  <c r="A698" i="18"/>
  <c r="A709" i="18"/>
  <c r="A710" i="18"/>
  <c r="A711" i="18"/>
  <c r="A712" i="18"/>
  <c r="A713" i="18"/>
  <c r="A714" i="18"/>
  <c r="A725" i="18"/>
  <c r="A726" i="18"/>
  <c r="A727" i="18"/>
  <c r="A728" i="18"/>
  <c r="A729" i="18"/>
  <c r="A730" i="18"/>
  <c r="A741" i="18"/>
  <c r="A742" i="18"/>
  <c r="A743" i="18"/>
  <c r="A744" i="18"/>
  <c r="A745" i="18"/>
  <c r="A746" i="18"/>
  <c r="A757" i="18"/>
  <c r="A758" i="18"/>
  <c r="A759" i="18"/>
  <c r="A760" i="18"/>
  <c r="A761" i="18"/>
  <c r="A762" i="18"/>
  <c r="A773" i="18"/>
  <c r="A774" i="18"/>
  <c r="A775" i="18"/>
  <c r="A776" i="18"/>
  <c r="A777" i="18"/>
  <c r="A778" i="18"/>
  <c r="A789" i="18"/>
  <c r="A790" i="18"/>
  <c r="A791" i="18"/>
  <c r="A792" i="18"/>
  <c r="A793" i="18"/>
  <c r="A794" i="18"/>
  <c r="A805" i="18"/>
  <c r="A806" i="18"/>
  <c r="A807" i="18"/>
  <c r="A808" i="18"/>
  <c r="A809" i="18"/>
  <c r="A810" i="18"/>
  <c r="P5" i="3" l="1"/>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M186" i="11" l="1"/>
  <c r="M178" i="11"/>
  <c r="M302" i="11"/>
  <c r="M294" i="11"/>
  <c r="M290" i="11"/>
  <c r="M282" i="11"/>
  <c r="M274" i="11"/>
  <c r="M266" i="11"/>
  <c r="M262" i="11"/>
  <c r="M254" i="11"/>
  <c r="M246" i="11"/>
  <c r="M242" i="11"/>
  <c r="M234" i="11"/>
  <c r="M230" i="11"/>
  <c r="M222" i="11"/>
  <c r="M214" i="11"/>
  <c r="M206" i="11"/>
  <c r="M182" i="11"/>
  <c r="M298" i="11"/>
  <c r="M286" i="11"/>
  <c r="M278" i="11"/>
  <c r="M270" i="11"/>
  <c r="M258" i="11"/>
  <c r="M250" i="11"/>
  <c r="M238" i="11"/>
  <c r="M226" i="11"/>
  <c r="M218" i="11"/>
  <c r="M210" i="11"/>
  <c r="M202" i="11"/>
  <c r="M198" i="11"/>
  <c r="M194" i="11"/>
  <c r="M190" i="11"/>
  <c r="M174" i="11"/>
  <c r="M170" i="11"/>
  <c r="M166" i="11"/>
  <c r="M162" i="11"/>
  <c r="M158" i="11"/>
  <c r="M154" i="11"/>
  <c r="M150" i="11"/>
  <c r="M146" i="11"/>
  <c r="M142" i="11"/>
  <c r="M138" i="11"/>
  <c r="M134" i="11"/>
  <c r="M130" i="11"/>
  <c r="M126" i="11"/>
  <c r="M122" i="11"/>
  <c r="M118" i="11"/>
  <c r="M114" i="11"/>
  <c r="M110" i="11"/>
  <c r="M106" i="11"/>
  <c r="M102" i="11"/>
  <c r="M98" i="11"/>
  <c r="M94" i="11"/>
  <c r="M90" i="11"/>
  <c r="M86" i="11"/>
  <c r="M82" i="11"/>
  <c r="M78" i="11"/>
  <c r="M74" i="11"/>
  <c r="M70" i="11"/>
  <c r="M66" i="11"/>
  <c r="M62" i="11"/>
  <c r="M58" i="11"/>
  <c r="M54" i="11"/>
  <c r="M301" i="11"/>
  <c r="M297" i="11"/>
  <c r="M293" i="11"/>
  <c r="M289" i="11"/>
  <c r="M285" i="11"/>
  <c r="M281" i="11"/>
  <c r="M277" i="11"/>
  <c r="M273" i="11"/>
  <c r="M269" i="11"/>
  <c r="M265" i="11"/>
  <c r="M261" i="11"/>
  <c r="M257" i="11"/>
  <c r="M253" i="11"/>
  <c r="M249" i="11"/>
  <c r="M245" i="11"/>
  <c r="M241" i="11"/>
  <c r="M237" i="11"/>
  <c r="M233" i="11"/>
  <c r="M229" i="11"/>
  <c r="M225" i="11"/>
  <c r="M221" i="11"/>
  <c r="M217" i="11"/>
  <c r="M213" i="11"/>
  <c r="M209" i="11"/>
  <c r="M205" i="11"/>
  <c r="M201" i="11"/>
  <c r="M197" i="11"/>
  <c r="M193" i="11"/>
  <c r="M189" i="11"/>
  <c r="M185" i="11"/>
  <c r="M181" i="11"/>
  <c r="M177" i="11"/>
  <c r="M173" i="11"/>
  <c r="M169" i="11"/>
  <c r="M165" i="11"/>
  <c r="M161" i="11"/>
  <c r="M157" i="11"/>
  <c r="M153" i="11"/>
  <c r="M149" i="11"/>
  <c r="M145" i="11"/>
  <c r="M141" i="11"/>
  <c r="M137" i="11"/>
  <c r="M133" i="11"/>
  <c r="M129" i="11"/>
  <c r="M125" i="11"/>
  <c r="M121" i="11"/>
  <c r="M117" i="11"/>
  <c r="M113" i="11"/>
  <c r="M109" i="11"/>
  <c r="M105" i="11"/>
  <c r="M101" i="11"/>
  <c r="M97" i="11"/>
  <c r="M93" i="11"/>
  <c r="M89" i="11"/>
  <c r="M85" i="11"/>
  <c r="M81" i="11"/>
  <c r="M77" i="11"/>
  <c r="M73" i="11"/>
  <c r="M69" i="11"/>
  <c r="M65" i="11"/>
  <c r="M61" i="11"/>
  <c r="M57" i="11"/>
  <c r="M53" i="11"/>
  <c r="M49" i="11"/>
  <c r="M45" i="11"/>
  <c r="M41" i="11"/>
  <c r="M37" i="11"/>
  <c r="M33" i="11"/>
  <c r="M29" i="11"/>
  <c r="M25" i="11"/>
  <c r="M21" i="11"/>
  <c r="M17" i="11"/>
  <c r="M13" i="11"/>
  <c r="M9" i="11"/>
  <c r="M300" i="11"/>
  <c r="M296" i="11"/>
  <c r="M292" i="11"/>
  <c r="M288" i="11"/>
  <c r="M284" i="11"/>
  <c r="M280" i="11"/>
  <c r="M276" i="11"/>
  <c r="M272" i="11"/>
  <c r="M268" i="11"/>
  <c r="M264" i="11"/>
  <c r="M260" i="11"/>
  <c r="M256" i="11"/>
  <c r="M252" i="11"/>
  <c r="M248" i="11"/>
  <c r="M244" i="11"/>
  <c r="M240" i="11"/>
  <c r="M236" i="11"/>
  <c r="M232" i="11"/>
  <c r="M228" i="11"/>
  <c r="M224" i="11"/>
  <c r="M220" i="11"/>
  <c r="M216" i="11"/>
  <c r="M212" i="11"/>
  <c r="M208" i="11"/>
  <c r="M204" i="11"/>
  <c r="M200" i="11"/>
  <c r="M196" i="11"/>
  <c r="M192" i="11"/>
  <c r="M188" i="11"/>
  <c r="M184" i="11"/>
  <c r="M180" i="11"/>
  <c r="M176" i="11"/>
  <c r="M172" i="11"/>
  <c r="M168" i="11"/>
  <c r="M164" i="11"/>
  <c r="M160" i="11"/>
  <c r="M156" i="11"/>
  <c r="M152" i="11"/>
  <c r="M148" i="11"/>
  <c r="M144" i="11"/>
  <c r="M140" i="11"/>
  <c r="M136" i="11"/>
  <c r="M132" i="11"/>
  <c r="M128" i="11"/>
  <c r="M124" i="11"/>
  <c r="M120" i="11"/>
  <c r="M116" i="11"/>
  <c r="M112" i="11"/>
  <c r="M108" i="11"/>
  <c r="M104" i="11"/>
  <c r="M100" i="11"/>
  <c r="M96" i="11"/>
  <c r="M92" i="11"/>
  <c r="M88" i="11"/>
  <c r="M84" i="11"/>
  <c r="M80" i="11"/>
  <c r="M76" i="11"/>
  <c r="M72" i="11"/>
  <c r="M68" i="11"/>
  <c r="M64" i="11"/>
  <c r="M60" i="11"/>
  <c r="M56" i="11"/>
  <c r="M52" i="11"/>
  <c r="M48" i="11"/>
  <c r="M44" i="11"/>
  <c r="M40" i="11"/>
  <c r="M36" i="11"/>
  <c r="M32" i="11"/>
  <c r="M28" i="11"/>
  <c r="M24" i="11"/>
  <c r="M20" i="11"/>
  <c r="M16" i="11"/>
  <c r="M12" i="11"/>
  <c r="M8" i="11"/>
  <c r="M303" i="11"/>
  <c r="M299" i="11"/>
  <c r="M295" i="11"/>
  <c r="M291" i="11"/>
  <c r="M287" i="11"/>
  <c r="M283" i="11"/>
  <c r="M279" i="11"/>
  <c r="M275" i="11"/>
  <c r="M271" i="11"/>
  <c r="M267" i="11"/>
  <c r="M263" i="11"/>
  <c r="M259" i="11"/>
  <c r="M255" i="11"/>
  <c r="M251" i="11"/>
  <c r="M247" i="11"/>
  <c r="M243" i="11"/>
  <c r="M239" i="11"/>
  <c r="M235" i="11"/>
  <c r="M231" i="11"/>
  <c r="M227" i="11"/>
  <c r="M223" i="11"/>
  <c r="M219" i="11"/>
  <c r="M215" i="11"/>
  <c r="M211" i="11"/>
  <c r="M207" i="11"/>
  <c r="M203" i="11"/>
  <c r="M199" i="11"/>
  <c r="M195" i="11"/>
  <c r="M191" i="11"/>
  <c r="M187" i="11"/>
  <c r="M183" i="11"/>
  <c r="M179" i="11"/>
  <c r="M175" i="11"/>
  <c r="M171" i="11"/>
  <c r="M167" i="11"/>
  <c r="M163" i="11"/>
  <c r="M159" i="11"/>
  <c r="M155" i="11"/>
  <c r="M151" i="11"/>
  <c r="M147" i="11"/>
  <c r="M143" i="11"/>
  <c r="M139" i="11"/>
  <c r="M135" i="11"/>
  <c r="M131" i="11"/>
  <c r="M127" i="11"/>
  <c r="M123" i="11"/>
  <c r="M119" i="11"/>
  <c r="M115" i="11"/>
  <c r="M111" i="11"/>
  <c r="M107" i="11"/>
  <c r="M103" i="11"/>
  <c r="M99" i="11"/>
  <c r="M95" i="11"/>
  <c r="M91" i="11"/>
  <c r="M87" i="11"/>
  <c r="M83" i="11"/>
  <c r="M79" i="11"/>
  <c r="M75" i="11"/>
  <c r="M71" i="11"/>
  <c r="M67" i="11"/>
  <c r="M63" i="11"/>
  <c r="M59" i="11"/>
  <c r="M55" i="11"/>
  <c r="M51" i="11"/>
  <c r="M47" i="11"/>
  <c r="M43" i="11"/>
  <c r="M39" i="11"/>
  <c r="M35" i="11"/>
  <c r="M31" i="11"/>
  <c r="M27" i="11"/>
  <c r="M23" i="11"/>
  <c r="M19" i="11"/>
  <c r="M15" i="11"/>
  <c r="M11" i="11"/>
  <c r="M7" i="11"/>
  <c r="M50" i="11"/>
  <c r="M46" i="11"/>
  <c r="M42" i="11"/>
  <c r="M38" i="11"/>
  <c r="M34" i="11"/>
  <c r="M30" i="11"/>
  <c r="M26" i="11"/>
  <c r="M22" i="11"/>
  <c r="M18" i="11"/>
  <c r="M14" i="11"/>
  <c r="M10" i="11"/>
  <c r="M6" i="11"/>
  <c r="M5" i="11"/>
  <c r="F23" i="17"/>
  <c r="G319" i="18" s="1"/>
  <c r="F4" i="17"/>
  <c r="G15" i="18" s="1"/>
  <c r="Y6" i="3"/>
  <c r="J6" i="3"/>
  <c r="AC6" i="11"/>
  <c r="AG6" i="11"/>
  <c r="Y4" i="3"/>
  <c r="AE4" i="11"/>
  <c r="AA4" i="11"/>
  <c r="F24" i="17"/>
  <c r="G335" i="18" s="1"/>
  <c r="F25" i="17"/>
  <c r="G351" i="18" s="1"/>
  <c r="F26" i="17"/>
  <c r="G367" i="18" s="1"/>
  <c r="F27" i="17"/>
  <c r="G383" i="18" s="1"/>
  <c r="F28" i="17"/>
  <c r="G399" i="18" s="1"/>
  <c r="F29" i="17"/>
  <c r="G415" i="18" s="1"/>
  <c r="F30" i="17"/>
  <c r="G431" i="18" s="1"/>
  <c r="F31" i="17"/>
  <c r="G447" i="18" s="1"/>
  <c r="F32" i="17"/>
  <c r="G463" i="18" s="1"/>
  <c r="F33" i="17"/>
  <c r="G479" i="18" s="1"/>
  <c r="F34" i="17"/>
  <c r="G495" i="18" s="1"/>
  <c r="F35" i="17"/>
  <c r="G511" i="18" s="1"/>
  <c r="F36" i="17"/>
  <c r="G527" i="18" s="1"/>
  <c r="F37" i="17"/>
  <c r="G543" i="18" s="1"/>
  <c r="F38" i="17"/>
  <c r="G559" i="18" s="1"/>
  <c r="F39" i="17"/>
  <c r="G575" i="18" s="1"/>
  <c r="F40" i="17"/>
  <c r="G591" i="18" s="1"/>
  <c r="F41" i="17"/>
  <c r="G607" i="18" s="1"/>
  <c r="F42" i="17"/>
  <c r="G623" i="18" s="1"/>
  <c r="F43" i="17"/>
  <c r="G639" i="18" s="1"/>
  <c r="F44" i="17"/>
  <c r="G655" i="18" s="1"/>
  <c r="F45" i="17"/>
  <c r="G671" i="18" s="1"/>
  <c r="F46" i="17"/>
  <c r="G687" i="18" s="1"/>
  <c r="F47" i="17"/>
  <c r="G703" i="18" s="1"/>
  <c r="F48" i="17"/>
  <c r="G719" i="18" s="1"/>
  <c r="F49" i="17"/>
  <c r="G735" i="18" s="1"/>
  <c r="F50" i="17"/>
  <c r="G751" i="18" s="1"/>
  <c r="F51" i="17"/>
  <c r="G767" i="18" s="1"/>
  <c r="F52" i="17"/>
  <c r="G783" i="18" s="1"/>
  <c r="F53" i="17"/>
  <c r="G799" i="18" s="1"/>
  <c r="F14" i="17"/>
  <c r="G175" i="18" s="1"/>
  <c r="F15" i="17"/>
  <c r="G191" i="18" s="1"/>
  <c r="F16" i="17"/>
  <c r="G207" i="18" s="1"/>
  <c r="F17" i="17"/>
  <c r="G223" i="18" s="1"/>
  <c r="F18" i="17"/>
  <c r="G239" i="18" s="1"/>
  <c r="F19" i="17"/>
  <c r="G255" i="18" s="1"/>
  <c r="F20" i="17"/>
  <c r="G271" i="18" s="1"/>
  <c r="F21" i="17"/>
  <c r="G287" i="18" s="1"/>
  <c r="F22" i="17"/>
  <c r="G303" i="18" s="1"/>
  <c r="J7" i="3"/>
  <c r="J8" i="3"/>
  <c r="J9" i="3"/>
  <c r="J10" i="3"/>
  <c r="J11" i="3"/>
  <c r="J12" i="3"/>
  <c r="J13" i="3"/>
  <c r="J14" i="3"/>
  <c r="J15" i="3"/>
  <c r="J16" i="3"/>
  <c r="J17" i="3"/>
  <c r="J18" i="3"/>
  <c r="J19" i="3"/>
  <c r="U300" i="13"/>
  <c r="G300" i="13"/>
  <c r="D300" i="13"/>
  <c r="C300" i="13"/>
  <c r="L300" i="13" s="1"/>
  <c r="U299" i="13"/>
  <c r="C299" i="13"/>
  <c r="L299" i="13" s="1"/>
  <c r="G299" i="13"/>
  <c r="D299" i="13"/>
  <c r="U298" i="13"/>
  <c r="G298" i="13"/>
  <c r="D298" i="13"/>
  <c r="C298" i="13"/>
  <c r="L298" i="13" s="1"/>
  <c r="U297" i="13"/>
  <c r="G297" i="13"/>
  <c r="D297" i="13"/>
  <c r="C297" i="13"/>
  <c r="L297" i="13" s="1"/>
  <c r="U296" i="13"/>
  <c r="G296" i="13"/>
  <c r="D296" i="13"/>
  <c r="C296" i="13"/>
  <c r="L296" i="13" s="1"/>
  <c r="U295" i="13"/>
  <c r="G295" i="13"/>
  <c r="D295" i="13"/>
  <c r="C295" i="13"/>
  <c r="L295" i="13" s="1"/>
  <c r="U294" i="13"/>
  <c r="G294" i="13"/>
  <c r="D294" i="13"/>
  <c r="C294" i="13"/>
  <c r="L294" i="13" s="1"/>
  <c r="U293" i="13"/>
  <c r="G293" i="13"/>
  <c r="D293" i="13"/>
  <c r="C293" i="13"/>
  <c r="L293" i="13" s="1"/>
  <c r="U292" i="13"/>
  <c r="G292" i="13"/>
  <c r="D292" i="13"/>
  <c r="C292" i="13"/>
  <c r="L292" i="13" s="1"/>
  <c r="U291" i="13"/>
  <c r="G291" i="13"/>
  <c r="D291" i="13"/>
  <c r="C291" i="13"/>
  <c r="L291" i="13" s="1"/>
  <c r="U290" i="13"/>
  <c r="G290" i="13"/>
  <c r="D290" i="13"/>
  <c r="C290" i="13"/>
  <c r="L290" i="13" s="1"/>
  <c r="U289" i="13"/>
  <c r="G289" i="13"/>
  <c r="D289" i="13"/>
  <c r="C289" i="13"/>
  <c r="L289" i="13" s="1"/>
  <c r="U288" i="13"/>
  <c r="G288" i="13"/>
  <c r="D288" i="13"/>
  <c r="C288" i="13"/>
  <c r="L288" i="13" s="1"/>
  <c r="U287" i="13"/>
  <c r="G287" i="13"/>
  <c r="D287" i="13"/>
  <c r="C287" i="13"/>
  <c r="L287" i="13" s="1"/>
  <c r="U286" i="13"/>
  <c r="G286" i="13"/>
  <c r="D286" i="13"/>
  <c r="C286" i="13"/>
  <c r="L286" i="13" s="1"/>
  <c r="U285" i="13"/>
  <c r="G285" i="13"/>
  <c r="D285" i="13"/>
  <c r="C285" i="13"/>
  <c r="L285" i="13" s="1"/>
  <c r="U284" i="13"/>
  <c r="G284" i="13"/>
  <c r="D284" i="13"/>
  <c r="C284" i="13"/>
  <c r="L284" i="13" s="1"/>
  <c r="U283" i="13"/>
  <c r="G283" i="13"/>
  <c r="D283" i="13"/>
  <c r="C283" i="13"/>
  <c r="L283" i="13" s="1"/>
  <c r="U282" i="13"/>
  <c r="G282" i="13"/>
  <c r="D282" i="13"/>
  <c r="C282" i="13"/>
  <c r="L282" i="13" s="1"/>
  <c r="U281" i="13"/>
  <c r="G281" i="13"/>
  <c r="D281" i="13"/>
  <c r="C281" i="13"/>
  <c r="L281" i="13" s="1"/>
  <c r="U280" i="13"/>
  <c r="G280" i="13"/>
  <c r="D280" i="13"/>
  <c r="C280" i="13"/>
  <c r="L280" i="13" s="1"/>
  <c r="U279" i="13"/>
  <c r="C279" i="13"/>
  <c r="L279" i="13" s="1"/>
  <c r="G279" i="13"/>
  <c r="D279" i="13"/>
  <c r="U278" i="13"/>
  <c r="C278" i="13"/>
  <c r="L278" i="13" s="1"/>
  <c r="G278" i="13"/>
  <c r="D278" i="13"/>
  <c r="U277" i="13"/>
  <c r="G277" i="13"/>
  <c r="D277" i="13"/>
  <c r="C277" i="13"/>
  <c r="L277" i="13" s="1"/>
  <c r="U276" i="13"/>
  <c r="G276" i="13"/>
  <c r="D276" i="13"/>
  <c r="C276" i="13"/>
  <c r="L276" i="13" s="1"/>
  <c r="U275" i="13"/>
  <c r="G275" i="13"/>
  <c r="D275" i="13"/>
  <c r="C275" i="13"/>
  <c r="L275" i="13" s="1"/>
  <c r="U274" i="13"/>
  <c r="G274" i="13"/>
  <c r="D274" i="13"/>
  <c r="C274" i="13"/>
  <c r="L274" i="13" s="1"/>
  <c r="U273" i="13"/>
  <c r="G273" i="13"/>
  <c r="D273" i="13"/>
  <c r="C273" i="13"/>
  <c r="L273" i="13" s="1"/>
  <c r="U272" i="13"/>
  <c r="G272" i="13"/>
  <c r="D272" i="13"/>
  <c r="C272" i="13"/>
  <c r="L272" i="13" s="1"/>
  <c r="U271" i="13"/>
  <c r="G271" i="13"/>
  <c r="D271" i="13"/>
  <c r="C271" i="13"/>
  <c r="L271" i="13" s="1"/>
  <c r="U270" i="13"/>
  <c r="C270" i="13"/>
  <c r="L270" i="13" s="1"/>
  <c r="G270" i="13"/>
  <c r="D270" i="13"/>
  <c r="U269" i="13"/>
  <c r="G269" i="13"/>
  <c r="D269" i="13"/>
  <c r="C269" i="13"/>
  <c r="L269" i="13" s="1"/>
  <c r="U268" i="13"/>
  <c r="G268" i="13"/>
  <c r="D268" i="13"/>
  <c r="C268" i="13"/>
  <c r="L268" i="13" s="1"/>
  <c r="U267" i="13"/>
  <c r="C267" i="13"/>
  <c r="L267" i="13" s="1"/>
  <c r="G267" i="13"/>
  <c r="D267" i="13"/>
  <c r="U266" i="13"/>
  <c r="G266" i="13"/>
  <c r="D266" i="13"/>
  <c r="C266" i="13"/>
  <c r="L266" i="13" s="1"/>
  <c r="U265" i="13"/>
  <c r="G265" i="13"/>
  <c r="D265" i="13"/>
  <c r="C265" i="13"/>
  <c r="L265" i="13" s="1"/>
  <c r="U264" i="13"/>
  <c r="G264" i="13"/>
  <c r="D264" i="13"/>
  <c r="C264" i="13"/>
  <c r="L264" i="13" s="1"/>
  <c r="U263" i="13"/>
  <c r="G263" i="13"/>
  <c r="D263" i="13"/>
  <c r="C263" i="13"/>
  <c r="L263" i="13" s="1"/>
  <c r="U262" i="13"/>
  <c r="G262" i="13"/>
  <c r="D262" i="13"/>
  <c r="C262" i="13"/>
  <c r="L262" i="13" s="1"/>
  <c r="U261" i="13"/>
  <c r="G261" i="13"/>
  <c r="D261" i="13"/>
  <c r="C261" i="13"/>
  <c r="L261" i="13" s="1"/>
  <c r="U260" i="13"/>
  <c r="G260" i="13"/>
  <c r="D260" i="13"/>
  <c r="C260" i="13"/>
  <c r="L260" i="13" s="1"/>
  <c r="U259" i="13"/>
  <c r="C259" i="13"/>
  <c r="L259" i="13" s="1"/>
  <c r="G259" i="13"/>
  <c r="D259" i="13"/>
  <c r="U258" i="13"/>
  <c r="G258" i="13"/>
  <c r="D258" i="13"/>
  <c r="C258" i="13"/>
  <c r="L258" i="13" s="1"/>
  <c r="U257" i="13"/>
  <c r="G257" i="13"/>
  <c r="D257" i="13"/>
  <c r="C257" i="13"/>
  <c r="L257" i="13" s="1"/>
  <c r="U256" i="13"/>
  <c r="G256" i="13"/>
  <c r="D256" i="13"/>
  <c r="C256" i="13"/>
  <c r="L256" i="13" s="1"/>
  <c r="U255" i="13"/>
  <c r="C255" i="13"/>
  <c r="L255" i="13" s="1"/>
  <c r="G255" i="13"/>
  <c r="D255" i="13"/>
  <c r="U254" i="13"/>
  <c r="G254" i="13"/>
  <c r="D254" i="13"/>
  <c r="C254" i="13"/>
  <c r="L254" i="13" s="1"/>
  <c r="U253" i="13"/>
  <c r="G253" i="13"/>
  <c r="D253" i="13"/>
  <c r="C253" i="13"/>
  <c r="L253" i="13" s="1"/>
  <c r="U252" i="13"/>
  <c r="G252" i="13"/>
  <c r="D252" i="13"/>
  <c r="C252" i="13"/>
  <c r="L252" i="13" s="1"/>
  <c r="U251" i="13"/>
  <c r="G251" i="13"/>
  <c r="D251" i="13"/>
  <c r="C251" i="13"/>
  <c r="L251" i="13" s="1"/>
  <c r="U250" i="13"/>
  <c r="G250" i="13"/>
  <c r="D250" i="13"/>
  <c r="C250" i="13"/>
  <c r="L250" i="13" s="1"/>
  <c r="U249" i="13"/>
  <c r="G249" i="13"/>
  <c r="D249" i="13"/>
  <c r="C249" i="13"/>
  <c r="L249" i="13" s="1"/>
  <c r="U248" i="13"/>
  <c r="G248" i="13"/>
  <c r="D248" i="13"/>
  <c r="C248" i="13"/>
  <c r="L248" i="13" s="1"/>
  <c r="U247" i="13"/>
  <c r="C247" i="13"/>
  <c r="L247" i="13" s="1"/>
  <c r="G247" i="13"/>
  <c r="D247" i="13"/>
  <c r="U246" i="13"/>
  <c r="C246" i="13"/>
  <c r="L246" i="13" s="1"/>
  <c r="G246" i="13"/>
  <c r="D246" i="13"/>
  <c r="U245" i="13"/>
  <c r="G245" i="13"/>
  <c r="D245" i="13"/>
  <c r="C245" i="13"/>
  <c r="L245" i="13" s="1"/>
  <c r="U244" i="13"/>
  <c r="G244" i="13"/>
  <c r="D244" i="13"/>
  <c r="C244" i="13"/>
  <c r="L244" i="13" s="1"/>
  <c r="U243" i="13"/>
  <c r="G243" i="13"/>
  <c r="D243" i="13"/>
  <c r="C243" i="13"/>
  <c r="L243" i="13" s="1"/>
  <c r="U242" i="13"/>
  <c r="G242" i="13"/>
  <c r="D242" i="13"/>
  <c r="C242" i="13"/>
  <c r="L242" i="13" s="1"/>
  <c r="U241" i="13"/>
  <c r="G241" i="13"/>
  <c r="D241" i="13"/>
  <c r="C241" i="13"/>
  <c r="L241" i="13" s="1"/>
  <c r="U240" i="13"/>
  <c r="G240" i="13"/>
  <c r="D240" i="13"/>
  <c r="C240" i="13"/>
  <c r="L240" i="13" s="1"/>
  <c r="U239" i="13"/>
  <c r="G239" i="13"/>
  <c r="D239" i="13"/>
  <c r="C239" i="13"/>
  <c r="L239" i="13" s="1"/>
  <c r="U238" i="13"/>
  <c r="G238" i="13"/>
  <c r="D238" i="13"/>
  <c r="C238" i="13"/>
  <c r="L238" i="13" s="1"/>
  <c r="U237" i="13"/>
  <c r="G237" i="13"/>
  <c r="D237" i="13"/>
  <c r="C237" i="13"/>
  <c r="L237" i="13" s="1"/>
  <c r="U236" i="13"/>
  <c r="G236" i="13"/>
  <c r="D236" i="13"/>
  <c r="C236" i="13"/>
  <c r="L236" i="13" s="1"/>
  <c r="U235" i="13"/>
  <c r="C235" i="13"/>
  <c r="L235" i="13" s="1"/>
  <c r="G235" i="13"/>
  <c r="D235" i="13"/>
  <c r="U234" i="13"/>
  <c r="G234" i="13"/>
  <c r="D234" i="13"/>
  <c r="C234" i="13"/>
  <c r="L234" i="13" s="1"/>
  <c r="U233" i="13"/>
  <c r="G233" i="13"/>
  <c r="D233" i="13"/>
  <c r="C233" i="13"/>
  <c r="L233" i="13" s="1"/>
  <c r="U232" i="13"/>
  <c r="G232" i="13"/>
  <c r="D232" i="13"/>
  <c r="C232" i="13"/>
  <c r="L232" i="13" s="1"/>
  <c r="U231" i="13"/>
  <c r="C231" i="13"/>
  <c r="L231" i="13" s="1"/>
  <c r="G231" i="13"/>
  <c r="D231" i="13"/>
  <c r="U230" i="13"/>
  <c r="G230" i="13"/>
  <c r="D230" i="13"/>
  <c r="C230" i="13"/>
  <c r="L230" i="13" s="1"/>
  <c r="U229" i="13"/>
  <c r="G229" i="13"/>
  <c r="D229" i="13"/>
  <c r="C229" i="13"/>
  <c r="L229" i="13" s="1"/>
  <c r="U228" i="13"/>
  <c r="G228" i="13"/>
  <c r="D228" i="13"/>
  <c r="C228" i="13"/>
  <c r="L228" i="13" s="1"/>
  <c r="U227" i="13"/>
  <c r="C227" i="13"/>
  <c r="L227" i="13" s="1"/>
  <c r="G227" i="13"/>
  <c r="D227" i="13"/>
  <c r="U226" i="13"/>
  <c r="G226" i="13"/>
  <c r="D226" i="13"/>
  <c r="C226" i="13"/>
  <c r="L226" i="13" s="1"/>
  <c r="U225" i="13"/>
  <c r="G225" i="13"/>
  <c r="D225" i="13"/>
  <c r="C225" i="13"/>
  <c r="L225" i="13" s="1"/>
  <c r="U224" i="13"/>
  <c r="G224" i="13"/>
  <c r="D224" i="13"/>
  <c r="C224" i="13"/>
  <c r="L224" i="13" s="1"/>
  <c r="U223" i="13"/>
  <c r="C223" i="13"/>
  <c r="L223" i="13" s="1"/>
  <c r="G223" i="13"/>
  <c r="D223" i="13"/>
  <c r="U222" i="13"/>
  <c r="C222" i="13"/>
  <c r="L222" i="13" s="1"/>
  <c r="G222" i="13"/>
  <c r="D222" i="13"/>
  <c r="U221" i="13"/>
  <c r="G221" i="13"/>
  <c r="D221" i="13"/>
  <c r="C221" i="13"/>
  <c r="L221" i="13" s="1"/>
  <c r="U220" i="13"/>
  <c r="G220" i="13"/>
  <c r="D220" i="13"/>
  <c r="C220" i="13"/>
  <c r="L220" i="13" s="1"/>
  <c r="U219" i="13"/>
  <c r="G219" i="13"/>
  <c r="D219" i="13"/>
  <c r="C219" i="13"/>
  <c r="L219" i="13" s="1"/>
  <c r="U218" i="13"/>
  <c r="C218" i="13"/>
  <c r="L218" i="13" s="1"/>
  <c r="G218" i="13"/>
  <c r="D218" i="13"/>
  <c r="U217" i="13"/>
  <c r="G217" i="13"/>
  <c r="D217" i="13"/>
  <c r="C217" i="13"/>
  <c r="L217" i="13" s="1"/>
  <c r="U216" i="13"/>
  <c r="G216" i="13"/>
  <c r="D216" i="13"/>
  <c r="C216" i="13"/>
  <c r="L216" i="13" s="1"/>
  <c r="U215" i="13"/>
  <c r="C215" i="13"/>
  <c r="L215" i="13" s="1"/>
  <c r="G215" i="13"/>
  <c r="D215" i="13"/>
  <c r="U214" i="13"/>
  <c r="G214" i="13"/>
  <c r="D214" i="13"/>
  <c r="C214" i="13"/>
  <c r="L214" i="13" s="1"/>
  <c r="U213" i="13"/>
  <c r="G213" i="13"/>
  <c r="D213" i="13"/>
  <c r="C213" i="13"/>
  <c r="L213" i="13" s="1"/>
  <c r="U212" i="13"/>
  <c r="G212" i="13"/>
  <c r="D212" i="13"/>
  <c r="C212" i="13"/>
  <c r="L212" i="13" s="1"/>
  <c r="U211" i="13"/>
  <c r="G211" i="13"/>
  <c r="D211" i="13"/>
  <c r="C211" i="13"/>
  <c r="L211" i="13" s="1"/>
  <c r="U210" i="13"/>
  <c r="G210" i="13"/>
  <c r="D210" i="13"/>
  <c r="C210" i="13"/>
  <c r="L210" i="13" s="1"/>
  <c r="U209" i="13"/>
  <c r="G209" i="13"/>
  <c r="D209" i="13"/>
  <c r="C209" i="13"/>
  <c r="L209" i="13" s="1"/>
  <c r="U208" i="13"/>
  <c r="G208" i="13"/>
  <c r="D208" i="13"/>
  <c r="C208" i="13"/>
  <c r="L208" i="13" s="1"/>
  <c r="U207" i="13"/>
  <c r="C207" i="13"/>
  <c r="L207" i="13" s="1"/>
  <c r="G207" i="13"/>
  <c r="D207" i="13"/>
  <c r="U206" i="13"/>
  <c r="C206" i="13"/>
  <c r="L206" i="13" s="1"/>
  <c r="G206" i="13"/>
  <c r="D206" i="13"/>
  <c r="U205" i="13"/>
  <c r="G205" i="13"/>
  <c r="D205" i="13"/>
  <c r="C205" i="13"/>
  <c r="L205" i="13" s="1"/>
  <c r="U204" i="13"/>
  <c r="G204" i="13"/>
  <c r="D204" i="13"/>
  <c r="C204" i="13"/>
  <c r="L204" i="13" s="1"/>
  <c r="U203" i="13"/>
  <c r="G203" i="13"/>
  <c r="D203" i="13"/>
  <c r="C203" i="13"/>
  <c r="L203" i="13" s="1"/>
  <c r="U202" i="13"/>
  <c r="C202" i="13"/>
  <c r="L202" i="13" s="1"/>
  <c r="G202" i="13"/>
  <c r="D202" i="13"/>
  <c r="U201" i="13"/>
  <c r="G201" i="13"/>
  <c r="D201" i="13"/>
  <c r="C201" i="13"/>
  <c r="L201" i="13" s="1"/>
  <c r="U200" i="13"/>
  <c r="G200" i="13"/>
  <c r="D200" i="13"/>
  <c r="C200" i="13"/>
  <c r="L200" i="13" s="1"/>
  <c r="U199" i="13"/>
  <c r="C199" i="13"/>
  <c r="L199" i="13" s="1"/>
  <c r="G199" i="13"/>
  <c r="D199" i="13"/>
  <c r="U198" i="13"/>
  <c r="G198" i="13"/>
  <c r="D198" i="13"/>
  <c r="C198" i="13"/>
  <c r="L198" i="13" s="1"/>
  <c r="U197" i="13"/>
  <c r="G197" i="13"/>
  <c r="D197" i="13"/>
  <c r="C197" i="13"/>
  <c r="L197" i="13" s="1"/>
  <c r="U196" i="13"/>
  <c r="G196" i="13"/>
  <c r="D196" i="13"/>
  <c r="C196" i="13"/>
  <c r="L196" i="13" s="1"/>
  <c r="U195" i="13"/>
  <c r="G195" i="13"/>
  <c r="D195" i="13"/>
  <c r="C195" i="13"/>
  <c r="L195" i="13" s="1"/>
  <c r="U194" i="13"/>
  <c r="G194" i="13"/>
  <c r="D194" i="13"/>
  <c r="C194" i="13"/>
  <c r="L194" i="13" s="1"/>
  <c r="U193" i="13"/>
  <c r="C193" i="13"/>
  <c r="L193" i="13" s="1"/>
  <c r="G193" i="13"/>
  <c r="D193" i="13"/>
  <c r="U192" i="13"/>
  <c r="G192" i="13"/>
  <c r="D192" i="13"/>
  <c r="C192" i="13"/>
  <c r="L192" i="13" s="1"/>
  <c r="U191" i="13"/>
  <c r="C191" i="13"/>
  <c r="L191" i="13" s="1"/>
  <c r="G191" i="13"/>
  <c r="D191" i="13"/>
  <c r="U190" i="13"/>
  <c r="C190" i="13"/>
  <c r="L190" i="13" s="1"/>
  <c r="G190" i="13"/>
  <c r="D190" i="13"/>
  <c r="U189" i="13"/>
  <c r="G189" i="13"/>
  <c r="D189" i="13"/>
  <c r="C189" i="13"/>
  <c r="L189" i="13" s="1"/>
  <c r="U188" i="13"/>
  <c r="G188" i="13"/>
  <c r="D188" i="13"/>
  <c r="C188" i="13"/>
  <c r="L188" i="13" s="1"/>
  <c r="U187" i="13"/>
  <c r="G187" i="13"/>
  <c r="D187" i="13"/>
  <c r="C187" i="13"/>
  <c r="L187" i="13" s="1"/>
  <c r="U186" i="13"/>
  <c r="C186" i="13"/>
  <c r="L186" i="13" s="1"/>
  <c r="G186" i="13"/>
  <c r="D186" i="13"/>
  <c r="U185" i="13"/>
  <c r="G185" i="13"/>
  <c r="D185" i="13"/>
  <c r="C185" i="13"/>
  <c r="L185" i="13" s="1"/>
  <c r="U184" i="13"/>
  <c r="G184" i="13"/>
  <c r="D184" i="13"/>
  <c r="C184" i="13"/>
  <c r="L184" i="13" s="1"/>
  <c r="U183" i="13"/>
  <c r="C183" i="13"/>
  <c r="L183" i="13" s="1"/>
  <c r="G183" i="13"/>
  <c r="D183" i="13"/>
  <c r="U182" i="13"/>
  <c r="G182" i="13"/>
  <c r="D182" i="13"/>
  <c r="C182" i="13"/>
  <c r="L182" i="13" s="1"/>
  <c r="U181" i="13"/>
  <c r="G181" i="13"/>
  <c r="D181" i="13"/>
  <c r="C181" i="13"/>
  <c r="L181" i="13" s="1"/>
  <c r="U180" i="13"/>
  <c r="G180" i="13"/>
  <c r="D180" i="13"/>
  <c r="C180" i="13"/>
  <c r="L180" i="13" s="1"/>
  <c r="U179" i="13"/>
  <c r="G179" i="13"/>
  <c r="D179" i="13"/>
  <c r="C179" i="13"/>
  <c r="L179" i="13" s="1"/>
  <c r="U178" i="13"/>
  <c r="G178" i="13"/>
  <c r="D178" i="13"/>
  <c r="C178" i="13"/>
  <c r="L178" i="13" s="1"/>
  <c r="U177" i="13"/>
  <c r="G177" i="13"/>
  <c r="D177" i="13"/>
  <c r="C177" i="13"/>
  <c r="L177" i="13" s="1"/>
  <c r="U176" i="13"/>
  <c r="G176" i="13"/>
  <c r="D176" i="13"/>
  <c r="C176" i="13"/>
  <c r="L176" i="13" s="1"/>
  <c r="U175" i="13"/>
  <c r="C175" i="13"/>
  <c r="L175" i="13" s="1"/>
  <c r="G175" i="13"/>
  <c r="D175" i="13"/>
  <c r="U174" i="13"/>
  <c r="C174" i="13"/>
  <c r="L174" i="13" s="1"/>
  <c r="G174" i="13"/>
  <c r="D174" i="13"/>
  <c r="U173" i="13"/>
  <c r="G173" i="13"/>
  <c r="D173" i="13"/>
  <c r="C173" i="13"/>
  <c r="L173" i="13" s="1"/>
  <c r="U172" i="13"/>
  <c r="G172" i="13"/>
  <c r="D172" i="13"/>
  <c r="C172" i="13"/>
  <c r="L172" i="13" s="1"/>
  <c r="U171" i="13"/>
  <c r="G171" i="13"/>
  <c r="D171" i="13"/>
  <c r="C171" i="13"/>
  <c r="L171" i="13" s="1"/>
  <c r="U170" i="13"/>
  <c r="C170" i="13"/>
  <c r="L170" i="13" s="1"/>
  <c r="G170" i="13"/>
  <c r="D170" i="13"/>
  <c r="U169" i="13"/>
  <c r="G169" i="13"/>
  <c r="D169" i="13"/>
  <c r="C169" i="13"/>
  <c r="L169" i="13" s="1"/>
  <c r="U168" i="13"/>
  <c r="G168" i="13"/>
  <c r="D168" i="13"/>
  <c r="C168" i="13"/>
  <c r="L168" i="13" s="1"/>
  <c r="U167" i="13"/>
  <c r="C167" i="13"/>
  <c r="L167" i="13" s="1"/>
  <c r="G167" i="13"/>
  <c r="D167" i="13"/>
  <c r="U166" i="13"/>
  <c r="G166" i="13"/>
  <c r="D166" i="13"/>
  <c r="C166" i="13"/>
  <c r="L166" i="13" s="1"/>
  <c r="U165" i="13"/>
  <c r="G165" i="13"/>
  <c r="D165" i="13"/>
  <c r="C165" i="13"/>
  <c r="L165" i="13" s="1"/>
  <c r="U164" i="13"/>
  <c r="G164" i="13"/>
  <c r="D164" i="13"/>
  <c r="C164" i="13"/>
  <c r="L164" i="13" s="1"/>
  <c r="U163" i="13"/>
  <c r="G163" i="13"/>
  <c r="D163" i="13"/>
  <c r="C163" i="13"/>
  <c r="L163" i="13" s="1"/>
  <c r="U162" i="13"/>
  <c r="G162" i="13"/>
  <c r="D162" i="13"/>
  <c r="C162" i="13"/>
  <c r="L162" i="13" s="1"/>
  <c r="U161" i="13"/>
  <c r="G161" i="13"/>
  <c r="D161" i="13"/>
  <c r="C161" i="13"/>
  <c r="L161" i="13" s="1"/>
  <c r="U160" i="13"/>
  <c r="G160" i="13"/>
  <c r="D160" i="13"/>
  <c r="C160" i="13"/>
  <c r="L160" i="13" s="1"/>
  <c r="U159" i="13"/>
  <c r="C159" i="13"/>
  <c r="L159" i="13" s="1"/>
  <c r="G159" i="13"/>
  <c r="D159" i="13"/>
  <c r="U158" i="13"/>
  <c r="G158" i="13"/>
  <c r="D158" i="13"/>
  <c r="C158" i="13"/>
  <c r="L158" i="13" s="1"/>
  <c r="U157" i="13"/>
  <c r="C157" i="13"/>
  <c r="L157" i="13" s="1"/>
  <c r="G157" i="13"/>
  <c r="D157" i="13"/>
  <c r="U156" i="13"/>
  <c r="G156" i="13"/>
  <c r="D156" i="13"/>
  <c r="C156" i="13"/>
  <c r="L156" i="13" s="1"/>
  <c r="U155" i="13"/>
  <c r="G155" i="13"/>
  <c r="D155" i="13"/>
  <c r="C155" i="13"/>
  <c r="L155" i="13" s="1"/>
  <c r="U154" i="13"/>
  <c r="G154" i="13"/>
  <c r="D154" i="13"/>
  <c r="C154" i="13"/>
  <c r="L154" i="13" s="1"/>
  <c r="U153" i="13"/>
  <c r="G153" i="13"/>
  <c r="D153" i="13"/>
  <c r="C153" i="13"/>
  <c r="L153" i="13" s="1"/>
  <c r="U152" i="13"/>
  <c r="G152" i="13"/>
  <c r="D152" i="13"/>
  <c r="C152" i="13"/>
  <c r="L152" i="13" s="1"/>
  <c r="U151" i="13"/>
  <c r="C151" i="13"/>
  <c r="L151" i="13" s="1"/>
  <c r="G151" i="13"/>
  <c r="D151" i="13"/>
  <c r="U150" i="13"/>
  <c r="G150" i="13"/>
  <c r="D150" i="13"/>
  <c r="C150" i="13"/>
  <c r="L150" i="13" s="1"/>
  <c r="U149" i="13"/>
  <c r="G149" i="13"/>
  <c r="D149" i="13"/>
  <c r="C149" i="13"/>
  <c r="L149" i="13" s="1"/>
  <c r="U148" i="13"/>
  <c r="G148" i="13"/>
  <c r="D148" i="13"/>
  <c r="C148" i="13"/>
  <c r="L148" i="13" s="1"/>
  <c r="U147" i="13"/>
  <c r="C147" i="13"/>
  <c r="L147" i="13" s="1"/>
  <c r="G147" i="13"/>
  <c r="D147" i="13"/>
  <c r="U146" i="13"/>
  <c r="G146" i="13"/>
  <c r="D146" i="13"/>
  <c r="C146" i="13"/>
  <c r="L146" i="13" s="1"/>
  <c r="U145" i="13"/>
  <c r="G145" i="13"/>
  <c r="D145" i="13"/>
  <c r="C145" i="13"/>
  <c r="L145" i="13" s="1"/>
  <c r="U144" i="13"/>
  <c r="G144" i="13"/>
  <c r="D144" i="13"/>
  <c r="C144" i="13"/>
  <c r="L144" i="13" s="1"/>
  <c r="U143" i="13"/>
  <c r="G143" i="13"/>
  <c r="D143" i="13"/>
  <c r="C143" i="13"/>
  <c r="L143" i="13" s="1"/>
  <c r="U142" i="13"/>
  <c r="C142" i="13"/>
  <c r="L142" i="13" s="1"/>
  <c r="G142" i="13"/>
  <c r="D142" i="13"/>
  <c r="U141" i="13"/>
  <c r="C141" i="13"/>
  <c r="L141" i="13" s="1"/>
  <c r="G141" i="13"/>
  <c r="D141" i="13"/>
  <c r="U140" i="13"/>
  <c r="G140" i="13"/>
  <c r="D140" i="13"/>
  <c r="C140" i="13"/>
  <c r="L140" i="13" s="1"/>
  <c r="U139" i="13"/>
  <c r="G139" i="13"/>
  <c r="D139" i="13"/>
  <c r="C139" i="13"/>
  <c r="L139" i="13" s="1"/>
  <c r="U138" i="13"/>
  <c r="G138" i="13"/>
  <c r="D138" i="13"/>
  <c r="C138" i="13"/>
  <c r="L138" i="13" s="1"/>
  <c r="U137" i="13"/>
  <c r="G137" i="13"/>
  <c r="D137" i="13"/>
  <c r="C137" i="13"/>
  <c r="L137" i="13" s="1"/>
  <c r="U136" i="13"/>
  <c r="G136" i="13"/>
  <c r="D136" i="13"/>
  <c r="C136" i="13"/>
  <c r="L136" i="13" s="1"/>
  <c r="U135" i="13"/>
  <c r="C135" i="13"/>
  <c r="L135" i="13" s="1"/>
  <c r="G135" i="13"/>
  <c r="D135" i="13"/>
  <c r="U134" i="13"/>
  <c r="G134" i="13"/>
  <c r="D134" i="13"/>
  <c r="C134" i="13"/>
  <c r="L134" i="13" s="1"/>
  <c r="U133" i="13"/>
  <c r="G133" i="13"/>
  <c r="D133" i="13"/>
  <c r="C133" i="13"/>
  <c r="L133" i="13" s="1"/>
  <c r="U132" i="13"/>
  <c r="G132" i="13"/>
  <c r="D132" i="13"/>
  <c r="C132" i="13"/>
  <c r="L132" i="13" s="1"/>
  <c r="U131" i="13"/>
  <c r="C131" i="13"/>
  <c r="L131" i="13" s="1"/>
  <c r="G131" i="13"/>
  <c r="D131" i="13"/>
  <c r="U130" i="13"/>
  <c r="G130" i="13"/>
  <c r="D130" i="13"/>
  <c r="C130" i="13"/>
  <c r="L130" i="13" s="1"/>
  <c r="U129" i="13"/>
  <c r="G129" i="13"/>
  <c r="D129" i="13"/>
  <c r="C129" i="13"/>
  <c r="L129" i="13" s="1"/>
  <c r="U128" i="13"/>
  <c r="G128" i="13"/>
  <c r="D128" i="13"/>
  <c r="C128" i="13"/>
  <c r="L128" i="13" s="1"/>
  <c r="U127" i="13"/>
  <c r="G127" i="13"/>
  <c r="D127" i="13"/>
  <c r="C127" i="13"/>
  <c r="L127" i="13" s="1"/>
  <c r="U126" i="13"/>
  <c r="C126" i="13"/>
  <c r="L126" i="13" s="1"/>
  <c r="G126" i="13"/>
  <c r="D126" i="13"/>
  <c r="U125" i="13"/>
  <c r="C125" i="13"/>
  <c r="L125" i="13" s="1"/>
  <c r="G125" i="13"/>
  <c r="D125" i="13"/>
  <c r="U124" i="13"/>
  <c r="G124" i="13"/>
  <c r="D124" i="13"/>
  <c r="C124" i="13"/>
  <c r="L124" i="13" s="1"/>
  <c r="U123" i="13"/>
  <c r="G123" i="13"/>
  <c r="D123" i="13"/>
  <c r="C123" i="13"/>
  <c r="L123" i="13" s="1"/>
  <c r="U122" i="13"/>
  <c r="G122" i="13"/>
  <c r="D122" i="13"/>
  <c r="C122" i="13"/>
  <c r="L122" i="13" s="1"/>
  <c r="U121" i="13"/>
  <c r="G121" i="13"/>
  <c r="D121" i="13"/>
  <c r="C121" i="13"/>
  <c r="L121" i="13" s="1"/>
  <c r="U120" i="13"/>
  <c r="G120" i="13"/>
  <c r="D120" i="13"/>
  <c r="C120" i="13"/>
  <c r="L120" i="13" s="1"/>
  <c r="U119" i="13"/>
  <c r="C119" i="13"/>
  <c r="L119" i="13" s="1"/>
  <c r="G119" i="13"/>
  <c r="D119" i="13"/>
  <c r="U118" i="13"/>
  <c r="G118" i="13"/>
  <c r="D118" i="13"/>
  <c r="C118" i="13"/>
  <c r="L118" i="13" s="1"/>
  <c r="U117" i="13"/>
  <c r="G117" i="13"/>
  <c r="D117" i="13"/>
  <c r="C117" i="13"/>
  <c r="L117" i="13" s="1"/>
  <c r="U116" i="13"/>
  <c r="G116" i="13"/>
  <c r="D116" i="13"/>
  <c r="C116" i="13"/>
  <c r="L116" i="13" s="1"/>
  <c r="U115" i="13"/>
  <c r="C115" i="13"/>
  <c r="L115" i="13" s="1"/>
  <c r="G115" i="13"/>
  <c r="D115" i="13"/>
  <c r="U114" i="13"/>
  <c r="G114" i="13"/>
  <c r="D114" i="13"/>
  <c r="C114" i="13"/>
  <c r="L114" i="13" s="1"/>
  <c r="U113" i="13"/>
  <c r="C113" i="13"/>
  <c r="L113" i="13" s="1"/>
  <c r="G113" i="13"/>
  <c r="D113" i="13"/>
  <c r="U112" i="13"/>
  <c r="G112" i="13"/>
  <c r="D112" i="13"/>
  <c r="C112" i="13"/>
  <c r="L112" i="13" s="1"/>
  <c r="U111" i="13"/>
  <c r="G111" i="13"/>
  <c r="D111" i="13"/>
  <c r="C111" i="13"/>
  <c r="L111" i="13" s="1"/>
  <c r="U110" i="13"/>
  <c r="C110" i="13"/>
  <c r="L110" i="13" s="1"/>
  <c r="G110" i="13"/>
  <c r="D110" i="13"/>
  <c r="U109" i="13"/>
  <c r="C109" i="13"/>
  <c r="L109" i="13" s="1"/>
  <c r="G109" i="13"/>
  <c r="D109" i="13"/>
  <c r="U108" i="13"/>
  <c r="G108" i="13"/>
  <c r="D108" i="13"/>
  <c r="C108" i="13"/>
  <c r="L108" i="13" s="1"/>
  <c r="U107" i="13"/>
  <c r="C107" i="13"/>
  <c r="L107" i="13" s="1"/>
  <c r="G107" i="13"/>
  <c r="D107" i="13"/>
  <c r="U106" i="13"/>
  <c r="G106" i="13"/>
  <c r="D106" i="13"/>
  <c r="C106" i="13"/>
  <c r="L106" i="13" s="1"/>
  <c r="U105" i="13"/>
  <c r="G105" i="13"/>
  <c r="D105" i="13"/>
  <c r="C105" i="13"/>
  <c r="L105" i="13" s="1"/>
  <c r="U104" i="13"/>
  <c r="G104" i="13"/>
  <c r="D104" i="13"/>
  <c r="C104" i="13"/>
  <c r="L104" i="13" s="1"/>
  <c r="U103" i="13"/>
  <c r="C103" i="13"/>
  <c r="L103" i="13" s="1"/>
  <c r="G103" i="13"/>
  <c r="D103" i="13"/>
  <c r="U102" i="13"/>
  <c r="G102" i="13"/>
  <c r="D102" i="13"/>
  <c r="C102" i="13"/>
  <c r="L102" i="13" s="1"/>
  <c r="U101" i="13"/>
  <c r="G101" i="13"/>
  <c r="D101" i="13"/>
  <c r="C101" i="13"/>
  <c r="L101" i="13" s="1"/>
  <c r="U100" i="13"/>
  <c r="G100" i="13"/>
  <c r="D100" i="13"/>
  <c r="C100" i="13"/>
  <c r="L100" i="13" s="1"/>
  <c r="U99" i="13"/>
  <c r="C99" i="13"/>
  <c r="L99" i="13" s="1"/>
  <c r="G99" i="13"/>
  <c r="D99" i="13"/>
  <c r="U98" i="13"/>
  <c r="G98" i="13"/>
  <c r="D98" i="13"/>
  <c r="C98" i="13"/>
  <c r="L98" i="13" s="1"/>
  <c r="U97" i="13"/>
  <c r="C97" i="13"/>
  <c r="L97" i="13" s="1"/>
  <c r="G97" i="13"/>
  <c r="D97" i="13"/>
  <c r="U96" i="13"/>
  <c r="G96" i="13"/>
  <c r="D96" i="13"/>
  <c r="C96" i="13"/>
  <c r="L96" i="13" s="1"/>
  <c r="U95" i="13"/>
  <c r="G95" i="13"/>
  <c r="D95" i="13"/>
  <c r="C95" i="13"/>
  <c r="L95" i="13" s="1"/>
  <c r="U94" i="13"/>
  <c r="C94" i="13"/>
  <c r="L94" i="13" s="1"/>
  <c r="G94" i="13"/>
  <c r="D94" i="13"/>
  <c r="U93" i="13"/>
  <c r="C93" i="13"/>
  <c r="L93" i="13" s="1"/>
  <c r="G93" i="13"/>
  <c r="D93" i="13"/>
  <c r="U92" i="13"/>
  <c r="G92" i="13"/>
  <c r="D92" i="13"/>
  <c r="C92" i="13"/>
  <c r="L92" i="13" s="1"/>
  <c r="U91" i="13"/>
  <c r="C91" i="13"/>
  <c r="L91" i="13" s="1"/>
  <c r="G91" i="13"/>
  <c r="D91" i="13"/>
  <c r="U90" i="13"/>
  <c r="G90" i="13"/>
  <c r="D90" i="13"/>
  <c r="C90" i="13"/>
  <c r="L90" i="13" s="1"/>
  <c r="U89" i="13"/>
  <c r="G89" i="13"/>
  <c r="D89" i="13"/>
  <c r="C89" i="13"/>
  <c r="L89" i="13" s="1"/>
  <c r="U88" i="13"/>
  <c r="G88" i="13"/>
  <c r="D88" i="13"/>
  <c r="C88" i="13"/>
  <c r="L88" i="13" s="1"/>
  <c r="U87" i="13"/>
  <c r="C87" i="13"/>
  <c r="L87" i="13" s="1"/>
  <c r="G87" i="13"/>
  <c r="D87" i="13"/>
  <c r="U86" i="13"/>
  <c r="G86" i="13"/>
  <c r="D86" i="13"/>
  <c r="C86" i="13"/>
  <c r="L86" i="13" s="1"/>
  <c r="U85" i="13"/>
  <c r="G85" i="13"/>
  <c r="D85" i="13"/>
  <c r="C85" i="13"/>
  <c r="L85" i="13" s="1"/>
  <c r="U84" i="13"/>
  <c r="G84" i="13"/>
  <c r="D84" i="13"/>
  <c r="C84" i="13"/>
  <c r="L84" i="13" s="1"/>
  <c r="U83" i="13"/>
  <c r="C83" i="13"/>
  <c r="L83" i="13" s="1"/>
  <c r="G83" i="13"/>
  <c r="D83" i="13"/>
  <c r="U82" i="13"/>
  <c r="G82" i="13"/>
  <c r="D82" i="13"/>
  <c r="C82" i="13"/>
  <c r="L82" i="13" s="1"/>
  <c r="U81" i="13"/>
  <c r="C81" i="13"/>
  <c r="L81" i="13" s="1"/>
  <c r="G81" i="13"/>
  <c r="D81" i="13"/>
  <c r="U80" i="13"/>
  <c r="G80" i="13"/>
  <c r="D80" i="13"/>
  <c r="C80" i="13"/>
  <c r="L80" i="13" s="1"/>
  <c r="U79" i="13"/>
  <c r="G79" i="13"/>
  <c r="D79" i="13"/>
  <c r="C79" i="13"/>
  <c r="L79" i="13" s="1"/>
  <c r="U78" i="13"/>
  <c r="C78" i="13"/>
  <c r="L78" i="13" s="1"/>
  <c r="G78" i="13"/>
  <c r="D78" i="13"/>
  <c r="U77" i="13"/>
  <c r="C77" i="13"/>
  <c r="L77" i="13" s="1"/>
  <c r="G77" i="13"/>
  <c r="D77" i="13"/>
  <c r="U76" i="13"/>
  <c r="G76" i="13"/>
  <c r="D76" i="13"/>
  <c r="C76" i="13"/>
  <c r="L76" i="13" s="1"/>
  <c r="U75" i="13"/>
  <c r="C75" i="13"/>
  <c r="L75" i="13" s="1"/>
  <c r="G75" i="13"/>
  <c r="D75" i="13"/>
  <c r="U74" i="13"/>
  <c r="G74" i="13"/>
  <c r="D74" i="13"/>
  <c r="C74" i="13"/>
  <c r="L74" i="13" s="1"/>
  <c r="U73" i="13"/>
  <c r="G73" i="13"/>
  <c r="D73" i="13"/>
  <c r="C73" i="13"/>
  <c r="L73" i="13" s="1"/>
  <c r="U72" i="13"/>
  <c r="G72" i="13"/>
  <c r="D72" i="13"/>
  <c r="C72" i="13"/>
  <c r="L72" i="13" s="1"/>
  <c r="U71" i="13"/>
  <c r="C71" i="13"/>
  <c r="L71" i="13" s="1"/>
  <c r="G71" i="13"/>
  <c r="D71" i="13"/>
  <c r="U70" i="13"/>
  <c r="G70" i="13"/>
  <c r="D70" i="13"/>
  <c r="C70" i="13"/>
  <c r="L70" i="13" s="1"/>
  <c r="U69" i="13"/>
  <c r="G69" i="13"/>
  <c r="D69" i="13"/>
  <c r="C69" i="13"/>
  <c r="L69" i="13" s="1"/>
  <c r="U68" i="13"/>
  <c r="G68" i="13"/>
  <c r="D68" i="13"/>
  <c r="C68" i="13"/>
  <c r="L68" i="13" s="1"/>
  <c r="U67" i="13"/>
  <c r="C67" i="13"/>
  <c r="L67" i="13" s="1"/>
  <c r="G67" i="13"/>
  <c r="D67" i="13"/>
  <c r="U66" i="13"/>
  <c r="G66" i="13"/>
  <c r="D66" i="13"/>
  <c r="C66" i="13"/>
  <c r="U65" i="13"/>
  <c r="C65" i="13"/>
  <c r="L65" i="13" s="1"/>
  <c r="G65" i="13"/>
  <c r="D65" i="13"/>
  <c r="U64" i="13"/>
  <c r="G64" i="13"/>
  <c r="D64" i="13"/>
  <c r="C64" i="13"/>
  <c r="L64" i="13" s="1"/>
  <c r="U63" i="13"/>
  <c r="G63" i="13"/>
  <c r="D63" i="13"/>
  <c r="C63" i="13"/>
  <c r="L63" i="13" s="1"/>
  <c r="U62" i="13"/>
  <c r="C62" i="13"/>
  <c r="L62" i="13" s="1"/>
  <c r="G62" i="13"/>
  <c r="D62" i="13"/>
  <c r="U61" i="13"/>
  <c r="C61" i="13"/>
  <c r="L61" i="13" s="1"/>
  <c r="G61" i="13"/>
  <c r="D61" i="13"/>
  <c r="U60" i="13"/>
  <c r="G60" i="13"/>
  <c r="D60" i="13"/>
  <c r="C60" i="13"/>
  <c r="L60" i="13" s="1"/>
  <c r="U59" i="13"/>
  <c r="C59" i="13"/>
  <c r="L59" i="13" s="1"/>
  <c r="G59" i="13"/>
  <c r="D59" i="13"/>
  <c r="U58" i="13"/>
  <c r="G58" i="13"/>
  <c r="D58" i="13"/>
  <c r="C58" i="13"/>
  <c r="L58" i="13" s="1"/>
  <c r="U57" i="13"/>
  <c r="G57" i="13"/>
  <c r="D57" i="13"/>
  <c r="C57" i="13"/>
  <c r="L57" i="13" s="1"/>
  <c r="U56" i="13"/>
  <c r="G56" i="13"/>
  <c r="D56" i="13"/>
  <c r="C56" i="13"/>
  <c r="L56" i="13" s="1"/>
  <c r="U55" i="13"/>
  <c r="C55" i="13"/>
  <c r="L55" i="13" s="1"/>
  <c r="G55" i="13"/>
  <c r="D55" i="13"/>
  <c r="U54" i="13"/>
  <c r="G54" i="13"/>
  <c r="D54" i="13"/>
  <c r="C54" i="13"/>
  <c r="L54" i="13" s="1"/>
  <c r="U53" i="13"/>
  <c r="G53" i="13"/>
  <c r="D53" i="13"/>
  <c r="C53" i="13"/>
  <c r="L53" i="13" s="1"/>
  <c r="U52" i="13"/>
  <c r="G52" i="13"/>
  <c r="D52" i="13"/>
  <c r="C52" i="13"/>
  <c r="L52" i="13" s="1"/>
  <c r="U51" i="13"/>
  <c r="C51" i="13"/>
  <c r="L51" i="13" s="1"/>
  <c r="G51" i="13"/>
  <c r="D51" i="13"/>
  <c r="U50" i="13"/>
  <c r="G50" i="13"/>
  <c r="D50" i="13"/>
  <c r="C50" i="13"/>
  <c r="L50" i="13" s="1"/>
  <c r="U49" i="13"/>
  <c r="C49" i="13"/>
  <c r="L49" i="13" s="1"/>
  <c r="G49" i="13"/>
  <c r="D49" i="13"/>
  <c r="U48" i="13"/>
  <c r="G48" i="13"/>
  <c r="D48" i="13"/>
  <c r="C48" i="13"/>
  <c r="L48" i="13" s="1"/>
  <c r="U47" i="13"/>
  <c r="G47" i="13"/>
  <c r="D47" i="13"/>
  <c r="C47" i="13"/>
  <c r="L47" i="13" s="1"/>
  <c r="U46" i="13"/>
  <c r="C46" i="13"/>
  <c r="L46" i="13" s="1"/>
  <c r="G46" i="13"/>
  <c r="D46" i="13"/>
  <c r="U45" i="13"/>
  <c r="C45" i="13"/>
  <c r="L45" i="13" s="1"/>
  <c r="G45" i="13"/>
  <c r="D45" i="13"/>
  <c r="U44" i="13"/>
  <c r="G44" i="13"/>
  <c r="D44" i="13"/>
  <c r="C44" i="13"/>
  <c r="L44" i="13" s="1"/>
  <c r="U43" i="13"/>
  <c r="C43" i="13"/>
  <c r="L43" i="13" s="1"/>
  <c r="G43" i="13"/>
  <c r="D43" i="13"/>
  <c r="U42" i="13"/>
  <c r="G42" i="13"/>
  <c r="D42" i="13"/>
  <c r="C42" i="13"/>
  <c r="L42" i="13" s="1"/>
  <c r="U41" i="13"/>
  <c r="G41" i="13"/>
  <c r="D41" i="13"/>
  <c r="C41" i="13"/>
  <c r="L41" i="13" s="1"/>
  <c r="U40" i="13"/>
  <c r="G40" i="13"/>
  <c r="D40" i="13"/>
  <c r="C40" i="13"/>
  <c r="L40" i="13" s="1"/>
  <c r="U39" i="13"/>
  <c r="C39" i="13"/>
  <c r="L39" i="13" s="1"/>
  <c r="G39" i="13"/>
  <c r="D39" i="13"/>
  <c r="U38" i="13"/>
  <c r="G38" i="13"/>
  <c r="D38" i="13"/>
  <c r="C38" i="13"/>
  <c r="L38" i="13" s="1"/>
  <c r="B816" i="18"/>
  <c r="B815" i="18"/>
  <c r="C11" i="18"/>
  <c r="B11" i="18"/>
  <c r="B817" i="18"/>
  <c r="H799" i="18"/>
  <c r="E799" i="18"/>
  <c r="H783" i="18"/>
  <c r="E783" i="18"/>
  <c r="H767" i="18"/>
  <c r="E767" i="18"/>
  <c r="H751" i="18"/>
  <c r="E751" i="18"/>
  <c r="H735" i="18"/>
  <c r="E735" i="18"/>
  <c r="H719" i="18"/>
  <c r="E719" i="18"/>
  <c r="H703" i="18"/>
  <c r="E703" i="18"/>
  <c r="H687" i="18"/>
  <c r="E687" i="18"/>
  <c r="H671" i="18"/>
  <c r="E671" i="18"/>
  <c r="H655" i="18"/>
  <c r="E655" i="18"/>
  <c r="H639" i="18"/>
  <c r="E639" i="18"/>
  <c r="H623" i="18"/>
  <c r="E623" i="18"/>
  <c r="H607" i="18"/>
  <c r="E607" i="18"/>
  <c r="H591" i="18"/>
  <c r="E591" i="18"/>
  <c r="H575" i="18"/>
  <c r="E575" i="18"/>
  <c r="H559" i="18"/>
  <c r="E559" i="18"/>
  <c r="H543" i="18"/>
  <c r="E543" i="18"/>
  <c r="H527" i="18"/>
  <c r="E527" i="18"/>
  <c r="H511" i="18"/>
  <c r="E511" i="18"/>
  <c r="H495" i="18"/>
  <c r="E495" i="18"/>
  <c r="H479" i="18"/>
  <c r="E479" i="18"/>
  <c r="H463" i="18"/>
  <c r="E463" i="18"/>
  <c r="H447" i="18"/>
  <c r="E447" i="18"/>
  <c r="H431" i="18"/>
  <c r="E431" i="18"/>
  <c r="H415" i="18"/>
  <c r="E415" i="18"/>
  <c r="H399" i="18"/>
  <c r="E399" i="18"/>
  <c r="H383" i="18"/>
  <c r="E383" i="18"/>
  <c r="H367" i="18"/>
  <c r="E367" i="18"/>
  <c r="H351" i="18"/>
  <c r="E351" i="18"/>
  <c r="H335" i="18"/>
  <c r="E335" i="18"/>
  <c r="H319" i="18"/>
  <c r="E319" i="18"/>
  <c r="H303" i="18"/>
  <c r="E303" i="18"/>
  <c r="H287" i="18"/>
  <c r="E287" i="18"/>
  <c r="H271" i="18"/>
  <c r="E271" i="18"/>
  <c r="H255" i="18"/>
  <c r="E255" i="18"/>
  <c r="H239" i="18"/>
  <c r="E239" i="18"/>
  <c r="H223" i="18"/>
  <c r="E223" i="18"/>
  <c r="H207" i="18"/>
  <c r="E207" i="18"/>
  <c r="H191" i="18"/>
  <c r="E191" i="18"/>
  <c r="H175" i="18"/>
  <c r="E175" i="18"/>
  <c r="H159" i="18"/>
  <c r="E159" i="18"/>
  <c r="H143" i="18"/>
  <c r="E143" i="18"/>
  <c r="H127" i="18"/>
  <c r="E127" i="18"/>
  <c r="H111" i="18"/>
  <c r="E111" i="18"/>
  <c r="H95" i="18"/>
  <c r="E95" i="18"/>
  <c r="H79" i="18"/>
  <c r="E79" i="18"/>
  <c r="H63" i="18"/>
  <c r="E63" i="18"/>
  <c r="H47" i="18"/>
  <c r="E47" i="18"/>
  <c r="H31" i="18"/>
  <c r="E31" i="18"/>
  <c r="H15" i="18"/>
  <c r="E15" i="18"/>
  <c r="F13" i="17"/>
  <c r="G159" i="18" s="1"/>
  <c r="F12" i="17"/>
  <c r="G143" i="18" s="1"/>
  <c r="F11" i="17"/>
  <c r="G127" i="18" s="1"/>
  <c r="F10" i="17"/>
  <c r="G111" i="18" s="1"/>
  <c r="F9" i="17"/>
  <c r="G95" i="18" s="1"/>
  <c r="F8" i="17"/>
  <c r="G79" i="18" s="1"/>
  <c r="F7" i="17"/>
  <c r="G63" i="18" s="1"/>
  <c r="F6" i="17"/>
  <c r="G47" i="18" s="1"/>
  <c r="F5" i="17"/>
  <c r="G31" i="18" s="1"/>
  <c r="U5"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4" i="13"/>
  <c r="C5" i="13"/>
  <c r="C6" i="13"/>
  <c r="C7" i="13"/>
  <c r="L7" i="13" s="1"/>
  <c r="C8" i="13"/>
  <c r="L8" i="13" s="1"/>
  <c r="C9" i="13"/>
  <c r="L9" i="13" s="1"/>
  <c r="C10" i="13"/>
  <c r="L10" i="13" s="1"/>
  <c r="C11" i="13"/>
  <c r="L11" i="13" s="1"/>
  <c r="C12" i="13"/>
  <c r="L12" i="13" s="1"/>
  <c r="C13" i="13"/>
  <c r="L13" i="13" s="1"/>
  <c r="C14" i="13"/>
  <c r="L14" i="13" s="1"/>
  <c r="C15" i="13"/>
  <c r="L15" i="13" s="1"/>
  <c r="C16" i="13"/>
  <c r="L16" i="13" s="1"/>
  <c r="C17" i="13"/>
  <c r="L17" i="13" s="1"/>
  <c r="C18" i="13"/>
  <c r="L18" i="13" s="1"/>
  <c r="C19" i="13"/>
  <c r="L19" i="13" s="1"/>
  <c r="C20" i="13"/>
  <c r="L20" i="13" s="1"/>
  <c r="C21" i="13"/>
  <c r="L21" i="13" s="1"/>
  <c r="C22" i="13"/>
  <c r="L22" i="13" s="1"/>
  <c r="C23" i="13"/>
  <c r="L23" i="13" s="1"/>
  <c r="C24" i="13"/>
  <c r="L24" i="13" s="1"/>
  <c r="C25" i="13"/>
  <c r="L25" i="13" s="1"/>
  <c r="C26" i="13"/>
  <c r="L26" i="13" s="1"/>
  <c r="C27" i="13"/>
  <c r="L27" i="13" s="1"/>
  <c r="C28" i="13"/>
  <c r="L28" i="13" s="1"/>
  <c r="C29" i="13"/>
  <c r="L29" i="13" s="1"/>
  <c r="C30" i="13"/>
  <c r="L30" i="13" s="1"/>
  <c r="C31" i="13"/>
  <c r="L31" i="13" s="1"/>
  <c r="C32" i="13"/>
  <c r="L32" i="13" s="1"/>
  <c r="C33" i="13"/>
  <c r="L33" i="13" s="1"/>
  <c r="C34" i="13"/>
  <c r="L34" i="13" s="1"/>
  <c r="C35" i="13"/>
  <c r="L35" i="13" s="1"/>
  <c r="C36" i="13"/>
  <c r="L36" i="13" s="1"/>
  <c r="C37" i="13"/>
  <c r="L37" i="13" s="1"/>
  <c r="C4" i="13"/>
  <c r="G75" i="5"/>
  <c r="K77" i="5"/>
  <c r="G76" i="5"/>
  <c r="G77" i="5"/>
  <c r="G78" i="5"/>
  <c r="F9" i="13"/>
  <c r="F11" i="13"/>
  <c r="F12" i="13"/>
  <c r="F13" i="13"/>
  <c r="F18" i="13"/>
  <c r="F40" i="13"/>
  <c r="F44" i="13"/>
  <c r="F51" i="13"/>
  <c r="F53" i="13"/>
  <c r="F60" i="13"/>
  <c r="F63" i="13"/>
  <c r="F70" i="13"/>
  <c r="F74" i="13"/>
  <c r="F85" i="13"/>
  <c r="F86" i="13"/>
  <c r="F89" i="13"/>
  <c r="F91" i="13"/>
  <c r="F94" i="13"/>
  <c r="F105" i="13"/>
  <c r="F111" i="13"/>
  <c r="F112" i="13"/>
  <c r="F113" i="13"/>
  <c r="F121" i="13"/>
  <c r="F132" i="13"/>
  <c r="F142" i="13"/>
  <c r="F156" i="13"/>
  <c r="F157" i="13"/>
  <c r="F161" i="13"/>
  <c r="F166" i="13"/>
  <c r="F172" i="13"/>
  <c r="F181" i="13"/>
  <c r="F185" i="13"/>
  <c r="F186" i="13"/>
  <c r="F208" i="13"/>
  <c r="F212" i="13"/>
  <c r="F215" i="13"/>
  <c r="F220" i="13"/>
  <c r="F221" i="13"/>
  <c r="F222" i="13"/>
  <c r="F225" i="13"/>
  <c r="F231" i="13"/>
  <c r="F240" i="13"/>
  <c r="F257" i="13"/>
  <c r="F267" i="13"/>
  <c r="F271" i="13"/>
  <c r="F284" i="13"/>
  <c r="F289" i="13"/>
  <c r="AG8" i="11"/>
  <c r="AG12" i="11"/>
  <c r="AG14" i="11"/>
  <c r="AG32" i="11"/>
  <c r="AG44" i="11"/>
  <c r="AG48" i="11"/>
  <c r="AG52" i="11"/>
  <c r="AG61" i="11"/>
  <c r="AF62" i="11"/>
  <c r="AG64" i="11"/>
  <c r="AF73" i="11"/>
  <c r="AG76" i="11"/>
  <c r="AG77" i="11"/>
  <c r="AG78" i="11"/>
  <c r="AG82" i="11"/>
  <c r="AF84" i="11"/>
  <c r="AG93" i="11"/>
  <c r="AG96" i="11"/>
  <c r="AG98" i="11"/>
  <c r="AF105" i="11"/>
  <c r="AG108" i="11"/>
  <c r="AG114" i="11"/>
  <c r="AF116" i="11"/>
  <c r="AG125" i="11"/>
  <c r="AG130" i="11"/>
  <c r="AF137" i="11"/>
  <c r="AG140" i="11"/>
  <c r="AG141" i="11"/>
  <c r="AG146" i="11"/>
  <c r="AG157" i="11"/>
  <c r="AG160" i="11"/>
  <c r="AF169" i="11"/>
  <c r="AG172" i="11"/>
  <c r="AG178" i="11"/>
  <c r="AG189" i="11"/>
  <c r="AG192" i="11"/>
  <c r="AG194" i="11"/>
  <c r="AF201" i="11"/>
  <c r="AG204" i="11"/>
  <c r="AF205" i="11"/>
  <c r="AG210" i="11"/>
  <c r="AF212" i="11"/>
  <c r="AG221" i="11"/>
  <c r="AG226" i="11"/>
  <c r="AG228" i="11"/>
  <c r="AF233" i="11"/>
  <c r="AG242" i="11"/>
  <c r="AF244" i="11"/>
  <c r="AG250" i="11"/>
  <c r="AG253" i="11"/>
  <c r="AG258" i="11"/>
  <c r="AF260" i="11"/>
  <c r="AF265" i="11"/>
  <c r="AG269" i="11"/>
  <c r="AG274" i="11"/>
  <c r="AG276" i="11"/>
  <c r="AG285" i="11"/>
  <c r="AG290" i="11"/>
  <c r="AG292" i="11"/>
  <c r="AF297" i="11"/>
  <c r="AG298" i="11"/>
  <c r="J20" i="3"/>
  <c r="J21" i="3"/>
  <c r="J22" i="3"/>
  <c r="J23" i="3"/>
  <c r="J24" i="3"/>
  <c r="J25" i="3"/>
  <c r="J26" i="3"/>
  <c r="J27" i="3"/>
  <c r="J28" i="3"/>
  <c r="J29" i="3"/>
  <c r="J30" i="3"/>
  <c r="J31" i="3"/>
  <c r="J32" i="3"/>
  <c r="J33" i="3"/>
  <c r="J34" i="3"/>
  <c r="J35" i="3"/>
  <c r="J36" i="3"/>
  <c r="J38" i="3"/>
  <c r="J45" i="3"/>
  <c r="J46" i="3"/>
  <c r="J48" i="3"/>
  <c r="J49" i="3"/>
  <c r="J50" i="3"/>
  <c r="J51" i="3"/>
  <c r="J52" i="3"/>
  <c r="J53" i="3"/>
  <c r="J54" i="3"/>
  <c r="J55" i="3"/>
  <c r="J56" i="3"/>
  <c r="J57" i="3"/>
  <c r="J58" i="3"/>
  <c r="J59" i="3"/>
  <c r="J60" i="3"/>
  <c r="J61" i="3"/>
  <c r="J62" i="3"/>
  <c r="J63" i="3"/>
  <c r="J64" i="3"/>
  <c r="J65" i="3"/>
  <c r="J66" i="3"/>
  <c r="J67" i="3"/>
  <c r="J68" i="3"/>
  <c r="J69" i="3"/>
  <c r="J70" i="3"/>
  <c r="G70" i="11" s="1"/>
  <c r="AB70" i="11" s="1"/>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G294" i="11" s="1"/>
  <c r="AB294" i="11" s="1"/>
  <c r="J295" i="3"/>
  <c r="J296" i="3"/>
  <c r="J297" i="3"/>
  <c r="J298" i="3"/>
  <c r="J299" i="3"/>
  <c r="J300" i="3"/>
  <c r="J301" i="3"/>
  <c r="J302" i="3"/>
  <c r="J303" i="3"/>
  <c r="B1" i="5"/>
  <c r="P4" i="3"/>
  <c r="Y5"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B54" i="6"/>
  <c r="C54" i="6"/>
  <c r="D54" i="6" s="1"/>
  <c r="N54" i="6" s="1"/>
  <c r="B55" i="6"/>
  <c r="C55" i="6"/>
  <c r="D55" i="6" s="1"/>
  <c r="N55" i="6" s="1"/>
  <c r="B56" i="6"/>
  <c r="C56" i="6"/>
  <c r="D56" i="6" s="1"/>
  <c r="N56" i="6" s="1"/>
  <c r="B57" i="6"/>
  <c r="C57" i="6"/>
  <c r="D57" i="6" s="1"/>
  <c r="N57" i="6" s="1"/>
  <c r="B58" i="6"/>
  <c r="C58" i="6"/>
  <c r="D58" i="6" s="1"/>
  <c r="N58" i="6" s="1"/>
  <c r="B59" i="6"/>
  <c r="C59" i="6"/>
  <c r="D59" i="6" s="1"/>
  <c r="N59" i="6" s="1"/>
  <c r="B60" i="6"/>
  <c r="C60" i="6"/>
  <c r="D60" i="6" s="1"/>
  <c r="N60" i="6" s="1"/>
  <c r="B61" i="6"/>
  <c r="C61" i="6"/>
  <c r="D61" i="6" s="1"/>
  <c r="N61" i="6" s="1"/>
  <c r="B62" i="6"/>
  <c r="C62" i="6"/>
  <c r="D62" i="6" s="1"/>
  <c r="N62" i="6" s="1"/>
  <c r="B63" i="6"/>
  <c r="C63" i="6"/>
  <c r="D63" i="6" s="1"/>
  <c r="N63" i="6" s="1"/>
  <c r="B64" i="6"/>
  <c r="C64" i="6"/>
  <c r="D64" i="6" s="1"/>
  <c r="N64" i="6" s="1"/>
  <c r="B65" i="6"/>
  <c r="C65" i="6"/>
  <c r="D65" i="6" s="1"/>
  <c r="N65" i="6" s="1"/>
  <c r="B66" i="6"/>
  <c r="C66" i="6"/>
  <c r="D66" i="6" s="1"/>
  <c r="N66" i="6" s="1"/>
  <c r="B67" i="6"/>
  <c r="C67" i="6"/>
  <c r="D67" i="6" s="1"/>
  <c r="N67" i="6" s="1"/>
  <c r="B68" i="6"/>
  <c r="C68" i="6"/>
  <c r="D68" i="6" s="1"/>
  <c r="N68" i="6" s="1"/>
  <c r="B69" i="6"/>
  <c r="C69" i="6"/>
  <c r="D69" i="6" s="1"/>
  <c r="N69" i="6" s="1"/>
  <c r="B70" i="6"/>
  <c r="C70" i="6"/>
  <c r="D70" i="6" s="1"/>
  <c r="N70" i="6" s="1"/>
  <c r="B71" i="6"/>
  <c r="C71" i="6"/>
  <c r="D71" i="6" s="1"/>
  <c r="N71" i="6" s="1"/>
  <c r="B72" i="6"/>
  <c r="C72" i="6"/>
  <c r="D72" i="6" s="1"/>
  <c r="N72" i="6" s="1"/>
  <c r="B73" i="6"/>
  <c r="C73" i="6"/>
  <c r="D73" i="6" s="1"/>
  <c r="N73" i="6" s="1"/>
  <c r="B74" i="6"/>
  <c r="C74" i="6"/>
  <c r="D74" i="6" s="1"/>
  <c r="N74" i="6" s="1"/>
  <c r="B75" i="6"/>
  <c r="C75" i="6"/>
  <c r="D75" i="6" s="1"/>
  <c r="N75" i="6" s="1"/>
  <c r="B76" i="6"/>
  <c r="C76" i="6"/>
  <c r="D76" i="6" s="1"/>
  <c r="N76" i="6" s="1"/>
  <c r="B77" i="6"/>
  <c r="C77" i="6"/>
  <c r="D77" i="6" s="1"/>
  <c r="N77" i="6" s="1"/>
  <c r="B78" i="6"/>
  <c r="C78" i="6"/>
  <c r="D78" i="6" s="1"/>
  <c r="N78" i="6" s="1"/>
  <c r="B79" i="6"/>
  <c r="C79" i="6"/>
  <c r="D79" i="6" s="1"/>
  <c r="N79" i="6" s="1"/>
  <c r="B80" i="6"/>
  <c r="C80" i="6"/>
  <c r="D80" i="6" s="1"/>
  <c r="N80" i="6" s="1"/>
  <c r="B81" i="6"/>
  <c r="C81" i="6"/>
  <c r="D81" i="6" s="1"/>
  <c r="N81" i="6" s="1"/>
  <c r="B82" i="6"/>
  <c r="C82" i="6"/>
  <c r="D82" i="6" s="1"/>
  <c r="N82" i="6" s="1"/>
  <c r="B83" i="6"/>
  <c r="C83" i="6"/>
  <c r="D83" i="6" s="1"/>
  <c r="N83" i="6" s="1"/>
  <c r="B84" i="6"/>
  <c r="C84" i="6"/>
  <c r="D84" i="6" s="1"/>
  <c r="N84" i="6" s="1"/>
  <c r="B85" i="6"/>
  <c r="C85" i="6"/>
  <c r="D85" i="6" s="1"/>
  <c r="N85" i="6" s="1"/>
  <c r="B86" i="6"/>
  <c r="C86" i="6"/>
  <c r="D86" i="6" s="1"/>
  <c r="N86" i="6" s="1"/>
  <c r="B87" i="6"/>
  <c r="C87" i="6"/>
  <c r="D87" i="6" s="1"/>
  <c r="N87" i="6" s="1"/>
  <c r="B88" i="6"/>
  <c r="C88" i="6"/>
  <c r="D88" i="6" s="1"/>
  <c r="N88" i="6" s="1"/>
  <c r="B89" i="6"/>
  <c r="C89" i="6"/>
  <c r="D89" i="6" s="1"/>
  <c r="N89" i="6" s="1"/>
  <c r="B90" i="6"/>
  <c r="C90" i="6"/>
  <c r="D90" i="6" s="1"/>
  <c r="N90" i="6" s="1"/>
  <c r="B91" i="6"/>
  <c r="C91" i="6"/>
  <c r="D91" i="6" s="1"/>
  <c r="N91" i="6" s="1"/>
  <c r="B92" i="6"/>
  <c r="C92" i="6"/>
  <c r="D92" i="6" s="1"/>
  <c r="N92" i="6" s="1"/>
  <c r="B93" i="6"/>
  <c r="C93" i="6"/>
  <c r="D93" i="6" s="1"/>
  <c r="N93" i="6" s="1"/>
  <c r="B94" i="6"/>
  <c r="C94" i="6"/>
  <c r="D94" i="6" s="1"/>
  <c r="N94" i="6" s="1"/>
  <c r="B95" i="6"/>
  <c r="C95" i="6"/>
  <c r="D95" i="6" s="1"/>
  <c r="N95" i="6" s="1"/>
  <c r="B96" i="6"/>
  <c r="C96" i="6"/>
  <c r="D96" i="6" s="1"/>
  <c r="N96" i="6" s="1"/>
  <c r="B97" i="6"/>
  <c r="C97" i="6"/>
  <c r="D97" i="6" s="1"/>
  <c r="N97" i="6" s="1"/>
  <c r="B98" i="6"/>
  <c r="C98" i="6"/>
  <c r="D98" i="6" s="1"/>
  <c r="N98" i="6" s="1"/>
  <c r="B99" i="6"/>
  <c r="C99" i="6"/>
  <c r="D99" i="6" s="1"/>
  <c r="N99" i="6" s="1"/>
  <c r="B100" i="6"/>
  <c r="C100" i="6"/>
  <c r="D100" i="6" s="1"/>
  <c r="N100" i="6" s="1"/>
  <c r="B101" i="6"/>
  <c r="C101" i="6"/>
  <c r="D101" i="6" s="1"/>
  <c r="N101" i="6" s="1"/>
  <c r="B102" i="6"/>
  <c r="C102" i="6"/>
  <c r="D102" i="6" s="1"/>
  <c r="N102" i="6" s="1"/>
  <c r="B103" i="6"/>
  <c r="C103" i="6"/>
  <c r="D103" i="6" s="1"/>
  <c r="N103" i="6" s="1"/>
  <c r="B104" i="6"/>
  <c r="C104" i="6"/>
  <c r="D104" i="6" s="1"/>
  <c r="N104" i="6" s="1"/>
  <c r="B105" i="6"/>
  <c r="C105" i="6"/>
  <c r="D105" i="6" s="1"/>
  <c r="N105" i="6" s="1"/>
  <c r="B106" i="6"/>
  <c r="C106" i="6"/>
  <c r="D106" i="6" s="1"/>
  <c r="N106" i="6" s="1"/>
  <c r="B107" i="6"/>
  <c r="C107" i="6"/>
  <c r="D107" i="6" s="1"/>
  <c r="N107" i="6" s="1"/>
  <c r="B108" i="6"/>
  <c r="C108" i="6"/>
  <c r="D108" i="6" s="1"/>
  <c r="N108" i="6" s="1"/>
  <c r="B109" i="6"/>
  <c r="C109" i="6"/>
  <c r="D109" i="6" s="1"/>
  <c r="N109" i="6" s="1"/>
  <c r="B110" i="6"/>
  <c r="C110" i="6"/>
  <c r="D110" i="6" s="1"/>
  <c r="N110" i="6" s="1"/>
  <c r="B111" i="6"/>
  <c r="C111" i="6"/>
  <c r="D111" i="6" s="1"/>
  <c r="N111" i="6" s="1"/>
  <c r="B112" i="6"/>
  <c r="C112" i="6"/>
  <c r="D112" i="6" s="1"/>
  <c r="N112" i="6" s="1"/>
  <c r="B113" i="6"/>
  <c r="C113" i="6"/>
  <c r="D113" i="6" s="1"/>
  <c r="N113" i="6" s="1"/>
  <c r="B114" i="6"/>
  <c r="C114" i="6"/>
  <c r="D114" i="6" s="1"/>
  <c r="N114" i="6" s="1"/>
  <c r="B115" i="6"/>
  <c r="C115" i="6"/>
  <c r="D115" i="6" s="1"/>
  <c r="N115" i="6" s="1"/>
  <c r="B116" i="6"/>
  <c r="C116" i="6"/>
  <c r="D116" i="6" s="1"/>
  <c r="N116" i="6" s="1"/>
  <c r="B117" i="6"/>
  <c r="C117" i="6"/>
  <c r="D117" i="6" s="1"/>
  <c r="N117" i="6" s="1"/>
  <c r="B118" i="6"/>
  <c r="C118" i="6"/>
  <c r="D118" i="6" s="1"/>
  <c r="N118" i="6" s="1"/>
  <c r="B119" i="6"/>
  <c r="C119" i="6"/>
  <c r="D119" i="6" s="1"/>
  <c r="N119" i="6" s="1"/>
  <c r="B120" i="6"/>
  <c r="C120" i="6"/>
  <c r="D120" i="6" s="1"/>
  <c r="N120" i="6" s="1"/>
  <c r="B121" i="6"/>
  <c r="C121" i="6"/>
  <c r="D121" i="6" s="1"/>
  <c r="N121" i="6" s="1"/>
  <c r="B122" i="6"/>
  <c r="C122" i="6"/>
  <c r="D122" i="6" s="1"/>
  <c r="N122" i="6" s="1"/>
  <c r="B123" i="6"/>
  <c r="C123" i="6"/>
  <c r="D123" i="6" s="1"/>
  <c r="N123" i="6" s="1"/>
  <c r="B124" i="6"/>
  <c r="C124" i="6"/>
  <c r="D124" i="6" s="1"/>
  <c r="N124" i="6" s="1"/>
  <c r="B125" i="6"/>
  <c r="C125" i="6"/>
  <c r="D125" i="6" s="1"/>
  <c r="N125" i="6" s="1"/>
  <c r="B126" i="6"/>
  <c r="C126" i="6"/>
  <c r="D126" i="6" s="1"/>
  <c r="N126" i="6" s="1"/>
  <c r="B127" i="6"/>
  <c r="C127" i="6"/>
  <c r="D127" i="6" s="1"/>
  <c r="N127" i="6" s="1"/>
  <c r="B128" i="6"/>
  <c r="C128" i="6"/>
  <c r="D128" i="6" s="1"/>
  <c r="N128" i="6" s="1"/>
  <c r="B129" i="6"/>
  <c r="C129" i="6"/>
  <c r="D129" i="6" s="1"/>
  <c r="N129" i="6" s="1"/>
  <c r="B130" i="6"/>
  <c r="C130" i="6"/>
  <c r="D130" i="6" s="1"/>
  <c r="N130" i="6" s="1"/>
  <c r="B131" i="6"/>
  <c r="C131" i="6"/>
  <c r="D131" i="6" s="1"/>
  <c r="N131" i="6" s="1"/>
  <c r="B132" i="6"/>
  <c r="C132" i="6"/>
  <c r="D132" i="6" s="1"/>
  <c r="N132" i="6" s="1"/>
  <c r="B133" i="6"/>
  <c r="C133" i="6"/>
  <c r="D133" i="6" s="1"/>
  <c r="N133" i="6" s="1"/>
  <c r="B134" i="6"/>
  <c r="C134" i="6"/>
  <c r="D134" i="6" s="1"/>
  <c r="N134" i="6" s="1"/>
  <c r="B135" i="6"/>
  <c r="C135" i="6"/>
  <c r="D135" i="6" s="1"/>
  <c r="N135" i="6" s="1"/>
  <c r="B136" i="6"/>
  <c r="C136" i="6"/>
  <c r="D136" i="6" s="1"/>
  <c r="N136" i="6" s="1"/>
  <c r="B137" i="6"/>
  <c r="C137" i="6"/>
  <c r="D137" i="6" s="1"/>
  <c r="N137" i="6" s="1"/>
  <c r="B138" i="6"/>
  <c r="C138" i="6"/>
  <c r="D138" i="6" s="1"/>
  <c r="N138" i="6" s="1"/>
  <c r="B139" i="6"/>
  <c r="C139" i="6"/>
  <c r="D139" i="6" s="1"/>
  <c r="N139" i="6" s="1"/>
  <c r="B140" i="6"/>
  <c r="C140" i="6"/>
  <c r="D140" i="6" s="1"/>
  <c r="N140" i="6" s="1"/>
  <c r="B141" i="6"/>
  <c r="C141" i="6"/>
  <c r="D141" i="6" s="1"/>
  <c r="N141" i="6" s="1"/>
  <c r="B142" i="6"/>
  <c r="C142" i="6"/>
  <c r="D142" i="6" s="1"/>
  <c r="N142" i="6" s="1"/>
  <c r="B143" i="6"/>
  <c r="C143" i="6"/>
  <c r="D143" i="6" s="1"/>
  <c r="N143" i="6" s="1"/>
  <c r="B144" i="6"/>
  <c r="C144" i="6"/>
  <c r="D144" i="6" s="1"/>
  <c r="N144" i="6" s="1"/>
  <c r="B145" i="6"/>
  <c r="C145" i="6"/>
  <c r="D145" i="6" s="1"/>
  <c r="N145" i="6" s="1"/>
  <c r="B146" i="6"/>
  <c r="C146" i="6"/>
  <c r="D146" i="6" s="1"/>
  <c r="N146" i="6" s="1"/>
  <c r="B147" i="6"/>
  <c r="C147" i="6"/>
  <c r="D147" i="6" s="1"/>
  <c r="N147" i="6" s="1"/>
  <c r="B148" i="6"/>
  <c r="C148" i="6"/>
  <c r="D148" i="6" s="1"/>
  <c r="N148" i="6" s="1"/>
  <c r="B149" i="6"/>
  <c r="C149" i="6"/>
  <c r="D149" i="6" s="1"/>
  <c r="N149" i="6" s="1"/>
  <c r="B150" i="6"/>
  <c r="C150" i="6"/>
  <c r="D150" i="6" s="1"/>
  <c r="N150" i="6" s="1"/>
  <c r="B151" i="6"/>
  <c r="C151" i="6"/>
  <c r="D151" i="6" s="1"/>
  <c r="N151" i="6" s="1"/>
  <c r="B152" i="6"/>
  <c r="C152" i="6"/>
  <c r="D152" i="6" s="1"/>
  <c r="N152" i="6" s="1"/>
  <c r="B153" i="6"/>
  <c r="C153" i="6"/>
  <c r="D153" i="6" s="1"/>
  <c r="N153" i="6" s="1"/>
  <c r="B154" i="6"/>
  <c r="C154" i="6"/>
  <c r="D154" i="6" s="1"/>
  <c r="N154" i="6" s="1"/>
  <c r="B155" i="6"/>
  <c r="C155" i="6"/>
  <c r="D155" i="6" s="1"/>
  <c r="N155" i="6" s="1"/>
  <c r="B156" i="6"/>
  <c r="C156" i="6"/>
  <c r="D156" i="6" s="1"/>
  <c r="N156" i="6" s="1"/>
  <c r="B157" i="6"/>
  <c r="C157" i="6"/>
  <c r="D157" i="6" s="1"/>
  <c r="N157" i="6" s="1"/>
  <c r="B158" i="6"/>
  <c r="C158" i="6"/>
  <c r="D158" i="6" s="1"/>
  <c r="N158" i="6" s="1"/>
  <c r="B159" i="6"/>
  <c r="C159" i="6"/>
  <c r="D159" i="6" s="1"/>
  <c r="N159" i="6" s="1"/>
  <c r="B160" i="6"/>
  <c r="C160" i="6"/>
  <c r="D160" i="6" s="1"/>
  <c r="N160" i="6" s="1"/>
  <c r="B161" i="6"/>
  <c r="C161" i="6"/>
  <c r="D161" i="6" s="1"/>
  <c r="N161" i="6" s="1"/>
  <c r="B162" i="6"/>
  <c r="C162" i="6"/>
  <c r="D162" i="6" s="1"/>
  <c r="N162" i="6" s="1"/>
  <c r="B163" i="6"/>
  <c r="C163" i="6"/>
  <c r="D163" i="6" s="1"/>
  <c r="N163" i="6" s="1"/>
  <c r="B164" i="6"/>
  <c r="C164" i="6"/>
  <c r="D164" i="6" s="1"/>
  <c r="N164" i="6" s="1"/>
  <c r="B165" i="6"/>
  <c r="C165" i="6"/>
  <c r="D165" i="6" s="1"/>
  <c r="N165" i="6" s="1"/>
  <c r="B166" i="6"/>
  <c r="C166" i="6"/>
  <c r="D166" i="6" s="1"/>
  <c r="N166" i="6" s="1"/>
  <c r="B167" i="6"/>
  <c r="C167" i="6"/>
  <c r="D167" i="6" s="1"/>
  <c r="N167" i="6" s="1"/>
  <c r="B168" i="6"/>
  <c r="C168" i="6"/>
  <c r="D168" i="6" s="1"/>
  <c r="N168" i="6" s="1"/>
  <c r="B169" i="6"/>
  <c r="C169" i="6"/>
  <c r="D169" i="6" s="1"/>
  <c r="N169" i="6" s="1"/>
  <c r="B170" i="6"/>
  <c r="C170" i="6"/>
  <c r="D170" i="6" s="1"/>
  <c r="N170" i="6" s="1"/>
  <c r="B171" i="6"/>
  <c r="C171" i="6"/>
  <c r="D171" i="6" s="1"/>
  <c r="N171" i="6" s="1"/>
  <c r="B172" i="6"/>
  <c r="C172" i="6"/>
  <c r="D172" i="6" s="1"/>
  <c r="N172" i="6" s="1"/>
  <c r="B173" i="6"/>
  <c r="C173" i="6"/>
  <c r="D173" i="6" s="1"/>
  <c r="N173" i="6" s="1"/>
  <c r="B174" i="6"/>
  <c r="C174" i="6"/>
  <c r="D174" i="6" s="1"/>
  <c r="N174" i="6" s="1"/>
  <c r="B175" i="6"/>
  <c r="C175" i="6"/>
  <c r="D175" i="6" s="1"/>
  <c r="N175" i="6" s="1"/>
  <c r="B176" i="6"/>
  <c r="C176" i="6"/>
  <c r="D176" i="6" s="1"/>
  <c r="N176" i="6" s="1"/>
  <c r="B177" i="6"/>
  <c r="C177" i="6"/>
  <c r="D177" i="6" s="1"/>
  <c r="N177" i="6" s="1"/>
  <c r="B178" i="6"/>
  <c r="C178" i="6"/>
  <c r="D178" i="6" s="1"/>
  <c r="N178" i="6" s="1"/>
  <c r="B179" i="6"/>
  <c r="C179" i="6"/>
  <c r="D179" i="6" s="1"/>
  <c r="N179" i="6" s="1"/>
  <c r="B180" i="6"/>
  <c r="C180" i="6"/>
  <c r="D180" i="6" s="1"/>
  <c r="N180" i="6" s="1"/>
  <c r="B181" i="6"/>
  <c r="C181" i="6"/>
  <c r="D181" i="6" s="1"/>
  <c r="N181" i="6" s="1"/>
  <c r="B182" i="6"/>
  <c r="C182" i="6"/>
  <c r="D182" i="6" s="1"/>
  <c r="N182" i="6" s="1"/>
  <c r="B183" i="6"/>
  <c r="C183" i="6"/>
  <c r="D183" i="6" s="1"/>
  <c r="N183" i="6" s="1"/>
  <c r="B184" i="6"/>
  <c r="C184" i="6"/>
  <c r="D184" i="6" s="1"/>
  <c r="N184" i="6" s="1"/>
  <c r="B185" i="6"/>
  <c r="C185" i="6"/>
  <c r="D185" i="6" s="1"/>
  <c r="N185" i="6" s="1"/>
  <c r="B186" i="6"/>
  <c r="C186" i="6"/>
  <c r="D186" i="6" s="1"/>
  <c r="N186" i="6" s="1"/>
  <c r="B187" i="6"/>
  <c r="C187" i="6"/>
  <c r="D187" i="6" s="1"/>
  <c r="N187" i="6" s="1"/>
  <c r="B188" i="6"/>
  <c r="C188" i="6"/>
  <c r="D188" i="6" s="1"/>
  <c r="N188" i="6" s="1"/>
  <c r="B189" i="6"/>
  <c r="C189" i="6"/>
  <c r="D189" i="6" s="1"/>
  <c r="N189" i="6" s="1"/>
  <c r="B190" i="6"/>
  <c r="C190" i="6"/>
  <c r="D190" i="6" s="1"/>
  <c r="N190" i="6" s="1"/>
  <c r="B191" i="6"/>
  <c r="C191" i="6"/>
  <c r="D191" i="6" s="1"/>
  <c r="N191" i="6" s="1"/>
  <c r="B192" i="6"/>
  <c r="C192" i="6"/>
  <c r="D192" i="6" s="1"/>
  <c r="N192" i="6" s="1"/>
  <c r="B193" i="6"/>
  <c r="C193" i="6"/>
  <c r="D193" i="6" s="1"/>
  <c r="N193" i="6" s="1"/>
  <c r="B194" i="6"/>
  <c r="C194" i="6"/>
  <c r="D194" i="6" s="1"/>
  <c r="N194" i="6" s="1"/>
  <c r="B195" i="6"/>
  <c r="C195" i="6"/>
  <c r="D195" i="6" s="1"/>
  <c r="N195" i="6" s="1"/>
  <c r="B196" i="6"/>
  <c r="C196" i="6"/>
  <c r="D196" i="6" s="1"/>
  <c r="N196" i="6" s="1"/>
  <c r="B197" i="6"/>
  <c r="C197" i="6"/>
  <c r="D197" i="6" s="1"/>
  <c r="N197" i="6" s="1"/>
  <c r="W197" i="11" s="1"/>
  <c r="B198" i="6"/>
  <c r="C198" i="6"/>
  <c r="D198" i="6" s="1"/>
  <c r="N198" i="6" s="1"/>
  <c r="B199" i="6"/>
  <c r="C199" i="6"/>
  <c r="D199" i="6" s="1"/>
  <c r="N199" i="6" s="1"/>
  <c r="B200" i="6"/>
  <c r="C200" i="6"/>
  <c r="D200" i="6" s="1"/>
  <c r="N200" i="6" s="1"/>
  <c r="B201" i="6"/>
  <c r="C201" i="6"/>
  <c r="D201" i="6" s="1"/>
  <c r="N201" i="6" s="1"/>
  <c r="B202" i="6"/>
  <c r="C202" i="6"/>
  <c r="D202" i="6" s="1"/>
  <c r="N202" i="6" s="1"/>
  <c r="B203" i="6"/>
  <c r="C203" i="6"/>
  <c r="D203" i="6" s="1"/>
  <c r="N203" i="6" s="1"/>
  <c r="B204" i="6"/>
  <c r="C204" i="6"/>
  <c r="D204" i="6" s="1"/>
  <c r="N204" i="6" s="1"/>
  <c r="B205" i="6"/>
  <c r="C205" i="6"/>
  <c r="D205" i="6" s="1"/>
  <c r="N205" i="6" s="1"/>
  <c r="B206" i="6"/>
  <c r="C206" i="6"/>
  <c r="D206" i="6" s="1"/>
  <c r="N206" i="6" s="1"/>
  <c r="B207" i="6"/>
  <c r="C207" i="6"/>
  <c r="D207" i="6" s="1"/>
  <c r="N207" i="6" s="1"/>
  <c r="B208" i="6"/>
  <c r="C208" i="6"/>
  <c r="D208" i="6" s="1"/>
  <c r="N208" i="6" s="1"/>
  <c r="B209" i="6"/>
  <c r="C209" i="6"/>
  <c r="D209" i="6" s="1"/>
  <c r="N209" i="6" s="1"/>
  <c r="B210" i="6"/>
  <c r="C210" i="6"/>
  <c r="D210" i="6" s="1"/>
  <c r="N210" i="6" s="1"/>
  <c r="B211" i="6"/>
  <c r="C211" i="6"/>
  <c r="D211" i="6" s="1"/>
  <c r="N211" i="6" s="1"/>
  <c r="B212" i="6"/>
  <c r="C212" i="6"/>
  <c r="D212" i="6" s="1"/>
  <c r="N212" i="6" s="1"/>
  <c r="B213" i="6"/>
  <c r="C213" i="6"/>
  <c r="D213" i="6" s="1"/>
  <c r="N213" i="6" s="1"/>
  <c r="B214" i="6"/>
  <c r="C214" i="6"/>
  <c r="D214" i="6" s="1"/>
  <c r="N214" i="6" s="1"/>
  <c r="B215" i="6"/>
  <c r="C215" i="6"/>
  <c r="D215" i="6" s="1"/>
  <c r="N215" i="6" s="1"/>
  <c r="B216" i="6"/>
  <c r="C216" i="6"/>
  <c r="D216" i="6" s="1"/>
  <c r="N216" i="6" s="1"/>
  <c r="B217" i="6"/>
  <c r="C217" i="6"/>
  <c r="D217" i="6" s="1"/>
  <c r="N217" i="6" s="1"/>
  <c r="B218" i="6"/>
  <c r="C218" i="6"/>
  <c r="D218" i="6" s="1"/>
  <c r="N218" i="6" s="1"/>
  <c r="B219" i="6"/>
  <c r="C219" i="6"/>
  <c r="D219" i="6" s="1"/>
  <c r="N219" i="6" s="1"/>
  <c r="B220" i="6"/>
  <c r="C220" i="6"/>
  <c r="D220" i="6" s="1"/>
  <c r="N220" i="6" s="1"/>
  <c r="B221" i="6"/>
  <c r="C221" i="6"/>
  <c r="D221" i="6" s="1"/>
  <c r="N221" i="6" s="1"/>
  <c r="B222" i="6"/>
  <c r="C222" i="6"/>
  <c r="D222" i="6" s="1"/>
  <c r="N222" i="6" s="1"/>
  <c r="B223" i="6"/>
  <c r="C223" i="6"/>
  <c r="D223" i="6" s="1"/>
  <c r="N223" i="6" s="1"/>
  <c r="B224" i="6"/>
  <c r="C224" i="6"/>
  <c r="D224" i="6" s="1"/>
  <c r="N224" i="6" s="1"/>
  <c r="B225" i="6"/>
  <c r="C225" i="6"/>
  <c r="D225" i="6" s="1"/>
  <c r="N225" i="6" s="1"/>
  <c r="B226" i="6"/>
  <c r="C226" i="6"/>
  <c r="D226" i="6" s="1"/>
  <c r="N226" i="6" s="1"/>
  <c r="B227" i="6"/>
  <c r="C227" i="6"/>
  <c r="D227" i="6" s="1"/>
  <c r="N227" i="6" s="1"/>
  <c r="B228" i="6"/>
  <c r="C228" i="6"/>
  <c r="D228" i="6" s="1"/>
  <c r="N228" i="6" s="1"/>
  <c r="B229" i="6"/>
  <c r="C229" i="6"/>
  <c r="D229" i="6" s="1"/>
  <c r="N229" i="6" s="1"/>
  <c r="B230" i="6"/>
  <c r="C230" i="6"/>
  <c r="D230" i="6" s="1"/>
  <c r="N230" i="6" s="1"/>
  <c r="B231" i="6"/>
  <c r="C231" i="6"/>
  <c r="D231" i="6" s="1"/>
  <c r="N231" i="6" s="1"/>
  <c r="B232" i="6"/>
  <c r="C232" i="6"/>
  <c r="D232" i="6" s="1"/>
  <c r="N232" i="6" s="1"/>
  <c r="B233" i="6"/>
  <c r="C233" i="6"/>
  <c r="D233" i="6" s="1"/>
  <c r="N233" i="6" s="1"/>
  <c r="B234" i="6"/>
  <c r="C234" i="6"/>
  <c r="D234" i="6" s="1"/>
  <c r="N234" i="6" s="1"/>
  <c r="B235" i="6"/>
  <c r="C235" i="6"/>
  <c r="D235" i="6" s="1"/>
  <c r="N235" i="6" s="1"/>
  <c r="B236" i="6"/>
  <c r="C236" i="6"/>
  <c r="D236" i="6" s="1"/>
  <c r="N236" i="6" s="1"/>
  <c r="B237" i="6"/>
  <c r="C237" i="6"/>
  <c r="D237" i="6" s="1"/>
  <c r="N237" i="6" s="1"/>
  <c r="B238" i="6"/>
  <c r="C238" i="6"/>
  <c r="D238" i="6" s="1"/>
  <c r="N238" i="6" s="1"/>
  <c r="B239" i="6"/>
  <c r="C239" i="6"/>
  <c r="D239" i="6" s="1"/>
  <c r="N239" i="6" s="1"/>
  <c r="B240" i="6"/>
  <c r="C240" i="6"/>
  <c r="D240" i="6" s="1"/>
  <c r="N240" i="6" s="1"/>
  <c r="B241" i="6"/>
  <c r="C241" i="6"/>
  <c r="D241" i="6" s="1"/>
  <c r="N241" i="6" s="1"/>
  <c r="B242" i="6"/>
  <c r="C242" i="6"/>
  <c r="D242" i="6" s="1"/>
  <c r="N242" i="6" s="1"/>
  <c r="B243" i="6"/>
  <c r="C243" i="6"/>
  <c r="D243" i="6" s="1"/>
  <c r="N243" i="6" s="1"/>
  <c r="B244" i="6"/>
  <c r="C244" i="6"/>
  <c r="D244" i="6" s="1"/>
  <c r="N244" i="6" s="1"/>
  <c r="B245" i="6"/>
  <c r="C245" i="6"/>
  <c r="D245" i="6" s="1"/>
  <c r="N245" i="6" s="1"/>
  <c r="B246" i="6"/>
  <c r="C246" i="6"/>
  <c r="D246" i="6" s="1"/>
  <c r="N246" i="6" s="1"/>
  <c r="B247" i="6"/>
  <c r="C247" i="6"/>
  <c r="D247" i="6" s="1"/>
  <c r="N247" i="6" s="1"/>
  <c r="B248" i="6"/>
  <c r="C248" i="6"/>
  <c r="D248" i="6" s="1"/>
  <c r="N248" i="6" s="1"/>
  <c r="B249" i="6"/>
  <c r="C249" i="6"/>
  <c r="D249" i="6" s="1"/>
  <c r="N249" i="6" s="1"/>
  <c r="B250" i="6"/>
  <c r="C250" i="6"/>
  <c r="D250" i="6" s="1"/>
  <c r="N250" i="6" s="1"/>
  <c r="B251" i="6"/>
  <c r="C251" i="6"/>
  <c r="D251" i="6" s="1"/>
  <c r="N251" i="6" s="1"/>
  <c r="B252" i="6"/>
  <c r="C252" i="6"/>
  <c r="D252" i="6" s="1"/>
  <c r="N252" i="6" s="1"/>
  <c r="B253" i="6"/>
  <c r="C253" i="6"/>
  <c r="D253" i="6" s="1"/>
  <c r="N253" i="6" s="1"/>
  <c r="B254" i="6"/>
  <c r="C254" i="6"/>
  <c r="D254" i="6" s="1"/>
  <c r="N254" i="6" s="1"/>
  <c r="B255" i="6"/>
  <c r="C255" i="6"/>
  <c r="D255" i="6" s="1"/>
  <c r="N255" i="6" s="1"/>
  <c r="B256" i="6"/>
  <c r="C256" i="6"/>
  <c r="D256" i="6" s="1"/>
  <c r="N256" i="6" s="1"/>
  <c r="B257" i="6"/>
  <c r="C257" i="6"/>
  <c r="D257" i="6" s="1"/>
  <c r="N257" i="6" s="1"/>
  <c r="B258" i="6"/>
  <c r="C258" i="6"/>
  <c r="D258" i="6" s="1"/>
  <c r="N258" i="6" s="1"/>
  <c r="B259" i="6"/>
  <c r="C259" i="6"/>
  <c r="D259" i="6" s="1"/>
  <c r="N259" i="6" s="1"/>
  <c r="B260" i="6"/>
  <c r="C260" i="6"/>
  <c r="D260" i="6" s="1"/>
  <c r="N260" i="6" s="1"/>
  <c r="B261" i="6"/>
  <c r="C261" i="6"/>
  <c r="D261" i="6" s="1"/>
  <c r="N261" i="6" s="1"/>
  <c r="B262" i="6"/>
  <c r="C262" i="6"/>
  <c r="D262" i="6" s="1"/>
  <c r="N262" i="6" s="1"/>
  <c r="B263" i="6"/>
  <c r="C263" i="6"/>
  <c r="D263" i="6" s="1"/>
  <c r="N263" i="6" s="1"/>
  <c r="B264" i="6"/>
  <c r="C264" i="6"/>
  <c r="D264" i="6" s="1"/>
  <c r="N264" i="6" s="1"/>
  <c r="B265" i="6"/>
  <c r="C265" i="6"/>
  <c r="D265" i="6" s="1"/>
  <c r="N265" i="6" s="1"/>
  <c r="B266" i="6"/>
  <c r="C266" i="6"/>
  <c r="D266" i="6" s="1"/>
  <c r="N266" i="6" s="1"/>
  <c r="B267" i="6"/>
  <c r="C267" i="6"/>
  <c r="D267" i="6" s="1"/>
  <c r="N267" i="6" s="1"/>
  <c r="B268" i="6"/>
  <c r="C268" i="6"/>
  <c r="D268" i="6" s="1"/>
  <c r="N268" i="6" s="1"/>
  <c r="B269" i="6"/>
  <c r="C269" i="6"/>
  <c r="D269" i="6" s="1"/>
  <c r="N269" i="6" s="1"/>
  <c r="B270" i="6"/>
  <c r="C270" i="6"/>
  <c r="D270" i="6" s="1"/>
  <c r="N270" i="6" s="1"/>
  <c r="B271" i="6"/>
  <c r="C271" i="6"/>
  <c r="D271" i="6" s="1"/>
  <c r="N271" i="6" s="1"/>
  <c r="B272" i="6"/>
  <c r="C272" i="6"/>
  <c r="D272" i="6" s="1"/>
  <c r="N272" i="6" s="1"/>
  <c r="B273" i="6"/>
  <c r="C273" i="6"/>
  <c r="D273" i="6" s="1"/>
  <c r="N273" i="6" s="1"/>
  <c r="B274" i="6"/>
  <c r="C274" i="6"/>
  <c r="D274" i="6" s="1"/>
  <c r="N274" i="6" s="1"/>
  <c r="B275" i="6"/>
  <c r="C275" i="6"/>
  <c r="D275" i="6" s="1"/>
  <c r="N275" i="6" s="1"/>
  <c r="B276" i="6"/>
  <c r="C276" i="6"/>
  <c r="D276" i="6" s="1"/>
  <c r="N276" i="6" s="1"/>
  <c r="B277" i="6"/>
  <c r="C277" i="6"/>
  <c r="D277" i="6" s="1"/>
  <c r="N277" i="6" s="1"/>
  <c r="B278" i="6"/>
  <c r="C278" i="6"/>
  <c r="D278" i="6" s="1"/>
  <c r="N278" i="6" s="1"/>
  <c r="B279" i="6"/>
  <c r="C279" i="6"/>
  <c r="D279" i="6" s="1"/>
  <c r="N279" i="6" s="1"/>
  <c r="B280" i="6"/>
  <c r="C280" i="6"/>
  <c r="D280" i="6" s="1"/>
  <c r="N280" i="6" s="1"/>
  <c r="B281" i="6"/>
  <c r="C281" i="6"/>
  <c r="D281" i="6" s="1"/>
  <c r="N281" i="6" s="1"/>
  <c r="B282" i="6"/>
  <c r="C282" i="6"/>
  <c r="D282" i="6" s="1"/>
  <c r="N282" i="6" s="1"/>
  <c r="B283" i="6"/>
  <c r="C283" i="6"/>
  <c r="D283" i="6" s="1"/>
  <c r="N283" i="6" s="1"/>
  <c r="B284" i="6"/>
  <c r="C284" i="6"/>
  <c r="D284" i="6" s="1"/>
  <c r="N284" i="6" s="1"/>
  <c r="B285" i="6"/>
  <c r="C285" i="6"/>
  <c r="D285" i="6" s="1"/>
  <c r="N285" i="6" s="1"/>
  <c r="B286" i="6"/>
  <c r="C286" i="6"/>
  <c r="D286" i="6" s="1"/>
  <c r="N286" i="6" s="1"/>
  <c r="B287" i="6"/>
  <c r="C287" i="6"/>
  <c r="D287" i="6" s="1"/>
  <c r="N287" i="6" s="1"/>
  <c r="B288" i="6"/>
  <c r="C288" i="6"/>
  <c r="D288" i="6" s="1"/>
  <c r="N288" i="6" s="1"/>
  <c r="B289" i="6"/>
  <c r="C289" i="6"/>
  <c r="D289" i="6" s="1"/>
  <c r="N289" i="6" s="1"/>
  <c r="B290" i="6"/>
  <c r="C290" i="6"/>
  <c r="D290" i="6" s="1"/>
  <c r="N290" i="6" s="1"/>
  <c r="B291" i="6"/>
  <c r="C291" i="6"/>
  <c r="D291" i="6" s="1"/>
  <c r="N291" i="6" s="1"/>
  <c r="B292" i="6"/>
  <c r="C292" i="6"/>
  <c r="D292" i="6" s="1"/>
  <c r="N292" i="6" s="1"/>
  <c r="B293" i="6"/>
  <c r="C293" i="6"/>
  <c r="D293" i="6" s="1"/>
  <c r="N293" i="6" s="1"/>
  <c r="B294" i="6"/>
  <c r="C294" i="6"/>
  <c r="D294" i="6" s="1"/>
  <c r="N294" i="6" s="1"/>
  <c r="B295" i="6"/>
  <c r="C295" i="6"/>
  <c r="D295" i="6" s="1"/>
  <c r="N295" i="6" s="1"/>
  <c r="B296" i="6"/>
  <c r="C296" i="6"/>
  <c r="D296" i="6" s="1"/>
  <c r="N296" i="6" s="1"/>
  <c r="B297" i="6"/>
  <c r="C297" i="6"/>
  <c r="D297" i="6" s="1"/>
  <c r="N297" i="6" s="1"/>
  <c r="B298" i="6"/>
  <c r="C298" i="6"/>
  <c r="D298" i="6" s="1"/>
  <c r="N298" i="6" s="1"/>
  <c r="B299" i="6"/>
  <c r="C299" i="6"/>
  <c r="D299" i="6" s="1"/>
  <c r="N299" i="6" s="1"/>
  <c r="B300" i="6"/>
  <c r="C300" i="6"/>
  <c r="D300" i="6" s="1"/>
  <c r="N300" i="6" s="1"/>
  <c r="B301" i="6"/>
  <c r="C301" i="6"/>
  <c r="D301" i="6" s="1"/>
  <c r="N301" i="6" s="1"/>
  <c r="B302" i="6"/>
  <c r="C302" i="6"/>
  <c r="D302" i="6" s="1"/>
  <c r="N302" i="6" s="1"/>
  <c r="B303" i="6"/>
  <c r="C303" i="6"/>
  <c r="D303" i="6" s="1"/>
  <c r="N303" i="6" s="1"/>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BJ303" i="11"/>
  <c r="X303" i="11"/>
  <c r="AD303" i="11"/>
  <c r="BM303" i="11"/>
  <c r="BN303" i="11" s="1"/>
  <c r="AA303" i="11"/>
  <c r="BJ302" i="11"/>
  <c r="X302" i="11"/>
  <c r="AD302" i="11"/>
  <c r="BM302" i="11"/>
  <c r="BN302" i="11" s="1"/>
  <c r="AA302" i="11"/>
  <c r="BJ301" i="11"/>
  <c r="X301" i="11"/>
  <c r="BM301" i="11"/>
  <c r="BN301" i="11" s="1"/>
  <c r="AA301" i="11"/>
  <c r="BJ300" i="11"/>
  <c r="AE300" i="11"/>
  <c r="AA300" i="11"/>
  <c r="BJ299" i="11"/>
  <c r="AE299" i="11"/>
  <c r="BJ298" i="11"/>
  <c r="X298" i="11"/>
  <c r="AD298" i="11"/>
  <c r="AA298" i="11"/>
  <c r="BJ297" i="11"/>
  <c r="AE297" i="11"/>
  <c r="BM297" i="11"/>
  <c r="BN297" i="11" s="1"/>
  <c r="AA297" i="11"/>
  <c r="BJ296" i="11"/>
  <c r="AE296" i="11"/>
  <c r="BM296" i="11"/>
  <c r="BN296" i="11" s="1"/>
  <c r="AA296" i="11"/>
  <c r="BJ295" i="11"/>
  <c r="AE295" i="11"/>
  <c r="BM295" i="11"/>
  <c r="BN295" i="11" s="1"/>
  <c r="BJ294" i="11"/>
  <c r="X294" i="11"/>
  <c r="AD294" i="11"/>
  <c r="AA294" i="11"/>
  <c r="BJ293" i="11"/>
  <c r="X293" i="11"/>
  <c r="BM293" i="11"/>
  <c r="BN293" i="11" s="1"/>
  <c r="AA293" i="11"/>
  <c r="BJ292" i="11"/>
  <c r="AE292" i="11"/>
  <c r="AC292" i="11"/>
  <c r="BJ291" i="11"/>
  <c r="AD291" i="11"/>
  <c r="BJ290" i="11"/>
  <c r="X290" i="11"/>
  <c r="AD290" i="11"/>
  <c r="AC290" i="11"/>
  <c r="BJ289" i="11"/>
  <c r="X289" i="11"/>
  <c r="BM289" i="11"/>
  <c r="BN289" i="11" s="1"/>
  <c r="AA289" i="11"/>
  <c r="BJ288" i="11"/>
  <c r="AD288" i="11"/>
  <c r="BM288" i="11"/>
  <c r="BN288" i="11" s="1"/>
  <c r="AC288" i="11"/>
  <c r="BJ287" i="11"/>
  <c r="BM287" i="11"/>
  <c r="BN287" i="11" s="1"/>
  <c r="BJ286" i="11"/>
  <c r="AE286" i="11"/>
  <c r="BM286" i="11"/>
  <c r="BN286" i="11" s="1"/>
  <c r="AC286" i="11"/>
  <c r="BJ285" i="11"/>
  <c r="BM285" i="11"/>
  <c r="BN285" i="11" s="1"/>
  <c r="AC285" i="11"/>
  <c r="BJ284" i="11"/>
  <c r="AE284" i="11"/>
  <c r="BJ283" i="11"/>
  <c r="X283" i="11"/>
  <c r="AD283" i="11"/>
  <c r="AC283" i="11"/>
  <c r="BJ282" i="11"/>
  <c r="AD282" i="11"/>
  <c r="AC282" i="11"/>
  <c r="BJ281" i="11"/>
  <c r="AD281" i="11"/>
  <c r="BM281" i="11"/>
  <c r="BN281" i="11" s="1"/>
  <c r="AC281" i="11"/>
  <c r="BJ280" i="11"/>
  <c r="X280" i="11"/>
  <c r="AE280" i="11"/>
  <c r="BM280" i="11"/>
  <c r="BN280" i="11" s="1"/>
  <c r="AC280" i="11"/>
  <c r="BJ279" i="11"/>
  <c r="AD279" i="11"/>
  <c r="BM279" i="11"/>
  <c r="BN279" i="11" s="1"/>
  <c r="AA279" i="11"/>
  <c r="BJ278" i="11"/>
  <c r="AD278" i="11"/>
  <c r="BM278" i="11"/>
  <c r="BN278" i="11" s="1"/>
  <c r="AA278" i="11"/>
  <c r="BJ277" i="11"/>
  <c r="AD277" i="11"/>
  <c r="BM277" i="11"/>
  <c r="BN277" i="11" s="1"/>
  <c r="BJ276" i="11"/>
  <c r="X276" i="11"/>
  <c r="AA276" i="11"/>
  <c r="BJ275" i="11"/>
  <c r="X275" i="11"/>
  <c r="BM275" i="11"/>
  <c r="BN275" i="11" s="1"/>
  <c r="AC275" i="11"/>
  <c r="BJ274" i="11"/>
  <c r="AD274" i="11"/>
  <c r="BJ273" i="11"/>
  <c r="X273" i="11"/>
  <c r="AD273" i="11"/>
  <c r="BJ272" i="11"/>
  <c r="X272" i="11"/>
  <c r="AD272" i="11"/>
  <c r="BJ271" i="11"/>
  <c r="AE271" i="11"/>
  <c r="BM271" i="11"/>
  <c r="BN271" i="11" s="1"/>
  <c r="AA271" i="11"/>
  <c r="BJ270" i="11"/>
  <c r="BM270" i="11"/>
  <c r="BN270" i="11" s="1"/>
  <c r="BJ269" i="11"/>
  <c r="X269" i="11"/>
  <c r="AE269" i="11"/>
  <c r="BJ268" i="11"/>
  <c r="X268" i="11"/>
  <c r="AD268" i="11"/>
  <c r="BJ267" i="11"/>
  <c r="BM267" i="11"/>
  <c r="BN267" i="11" s="1"/>
  <c r="AA267" i="11"/>
  <c r="BJ266" i="11"/>
  <c r="X266" i="11"/>
  <c r="AE266" i="11"/>
  <c r="BJ265" i="11"/>
  <c r="X265" i="11"/>
  <c r="AD265" i="11"/>
  <c r="AA265" i="11"/>
  <c r="BJ264" i="11"/>
  <c r="X264" i="11"/>
  <c r="AE264" i="11"/>
  <c r="BM264" i="11"/>
  <c r="BN264" i="11" s="1"/>
  <c r="AC264" i="11"/>
  <c r="BJ263" i="11"/>
  <c r="AE263" i="11"/>
  <c r="BM263" i="11"/>
  <c r="BN263" i="11" s="1"/>
  <c r="AA263" i="11"/>
  <c r="BJ262" i="11"/>
  <c r="X262" i="11"/>
  <c r="AD262" i="11"/>
  <c r="BM262" i="11"/>
  <c r="BN262" i="11" s="1"/>
  <c r="AC262" i="11"/>
  <c r="BJ261" i="11"/>
  <c r="X261" i="11"/>
  <c r="AD261" i="11"/>
  <c r="BJ260" i="11"/>
  <c r="X260" i="11"/>
  <c r="BM260" i="11"/>
  <c r="BN260" i="11" s="1"/>
  <c r="AC260" i="11"/>
  <c r="BJ259" i="11"/>
  <c r="X259" i="11"/>
  <c r="BM259" i="11"/>
  <c r="BN259" i="11" s="1"/>
  <c r="AA259" i="11"/>
  <c r="BJ258" i="11"/>
  <c r="AE258" i="11"/>
  <c r="BM258" i="11"/>
  <c r="BN258" i="11" s="1"/>
  <c r="BJ257" i="11"/>
  <c r="X257" i="11"/>
  <c r="AD257" i="11"/>
  <c r="AC257" i="11"/>
  <c r="BJ256" i="11"/>
  <c r="X256" i="11"/>
  <c r="AD256" i="11"/>
  <c r="AC256" i="11"/>
  <c r="BJ255" i="11"/>
  <c r="X255" i="11"/>
  <c r="AD255" i="11"/>
  <c r="AC255" i="11"/>
  <c r="BJ254" i="11"/>
  <c r="X254" i="11"/>
  <c r="AD254" i="11"/>
  <c r="BM254" i="11"/>
  <c r="BN254" i="11" s="1"/>
  <c r="AA254" i="11"/>
  <c r="BJ253" i="11"/>
  <c r="X253" i="11"/>
  <c r="AD253" i="11"/>
  <c r="BM253" i="11"/>
  <c r="BN253" i="11" s="1"/>
  <c r="AA253" i="11"/>
  <c r="BJ252" i="11"/>
  <c r="BM252" i="11"/>
  <c r="BN252" i="11" s="1"/>
  <c r="BJ251" i="11"/>
  <c r="X251" i="11"/>
  <c r="BJ250" i="11"/>
  <c r="AC250" i="11"/>
  <c r="BJ249" i="11"/>
  <c r="X249" i="11"/>
  <c r="AE249" i="11"/>
  <c r="BJ248" i="11"/>
  <c r="AE248" i="11"/>
  <c r="BM248" i="11"/>
  <c r="BN248" i="11" s="1"/>
  <c r="AC248" i="11"/>
  <c r="BJ247" i="11"/>
  <c r="X247" i="11"/>
  <c r="AD247" i="11"/>
  <c r="BJ246" i="11"/>
  <c r="X246" i="11"/>
  <c r="AE246" i="11"/>
  <c r="AC246" i="11"/>
  <c r="BJ245" i="11"/>
  <c r="AD245" i="11"/>
  <c r="BM245" i="11"/>
  <c r="BN245" i="11" s="1"/>
  <c r="BJ244" i="11"/>
  <c r="BM244" i="11"/>
  <c r="BN244" i="11" s="1"/>
  <c r="AA244" i="11"/>
  <c r="BJ243" i="11"/>
  <c r="AD243" i="11"/>
  <c r="BM243" i="11"/>
  <c r="BN243" i="11" s="1"/>
  <c r="AC243" i="11"/>
  <c r="BJ242" i="11"/>
  <c r="AD242" i="11"/>
  <c r="AA242" i="11"/>
  <c r="BJ241" i="11"/>
  <c r="X241" i="11"/>
  <c r="AD241" i="11"/>
  <c r="BM241" i="11"/>
  <c r="BN241" i="11" s="1"/>
  <c r="AC241" i="11"/>
  <c r="BJ240" i="11"/>
  <c r="BM240" i="11"/>
  <c r="BN240" i="11" s="1"/>
  <c r="AC240" i="11"/>
  <c r="BJ239" i="11"/>
  <c r="AD239" i="11"/>
  <c r="BM239" i="11"/>
  <c r="BN239" i="11" s="1"/>
  <c r="AA239" i="11"/>
  <c r="BJ238" i="11"/>
  <c r="X238" i="11"/>
  <c r="AD238" i="11"/>
  <c r="BJ237" i="11"/>
  <c r="X237" i="11"/>
  <c r="AE237" i="11"/>
  <c r="BM237" i="11"/>
  <c r="BN237" i="11" s="1"/>
  <c r="AA237" i="11"/>
  <c r="BJ236" i="11"/>
  <c r="X236" i="11"/>
  <c r="BM236" i="11"/>
  <c r="BN236" i="11" s="1"/>
  <c r="AA236" i="11"/>
  <c r="BJ235" i="11"/>
  <c r="BM235" i="11"/>
  <c r="BN235" i="11" s="1"/>
  <c r="AC235" i="11"/>
  <c r="BJ234" i="11"/>
  <c r="X234" i="11"/>
  <c r="AD234" i="11"/>
  <c r="AA234" i="11"/>
  <c r="BJ233" i="11"/>
  <c r="X233" i="11"/>
  <c r="AA233" i="11"/>
  <c r="BJ232" i="11"/>
  <c r="X232" i="11"/>
  <c r="AA232" i="11"/>
  <c r="X231" i="11"/>
  <c r="AD231" i="11"/>
  <c r="BM231" i="11"/>
  <c r="BN231" i="11" s="1"/>
  <c r="AA231" i="11"/>
  <c r="BJ230" i="11"/>
  <c r="X230" i="11"/>
  <c r="AE230" i="11"/>
  <c r="BM230" i="11"/>
  <c r="BN230" i="11" s="1"/>
  <c r="AC230" i="11"/>
  <c r="BJ229" i="11"/>
  <c r="X229" i="11"/>
  <c r="BM229" i="11"/>
  <c r="BN229" i="11" s="1"/>
  <c r="AA229" i="11"/>
  <c r="BJ228" i="11"/>
  <c r="X228" i="11"/>
  <c r="AD228" i="11"/>
  <c r="BJ227" i="11"/>
  <c r="X227" i="11"/>
  <c r="AA227" i="11"/>
  <c r="BJ226" i="11"/>
  <c r="X226" i="11"/>
  <c r="AC226" i="11"/>
  <c r="BJ225" i="11"/>
  <c r="X225" i="11"/>
  <c r="BM225" i="11"/>
  <c r="BN225" i="11" s="1"/>
  <c r="AC225" i="11"/>
  <c r="BJ224" i="11"/>
  <c r="X224" i="11"/>
  <c r="AD224" i="11"/>
  <c r="BM224" i="11"/>
  <c r="BN224" i="11" s="1"/>
  <c r="BJ223" i="11"/>
  <c r="X223" i="11"/>
  <c r="AD223" i="11"/>
  <c r="BM223" i="11"/>
  <c r="BN223" i="11" s="1"/>
  <c r="AA223" i="11"/>
  <c r="BJ222" i="11"/>
  <c r="AE222" i="11"/>
  <c r="BM222" i="11"/>
  <c r="BN222" i="11" s="1"/>
  <c r="BJ221" i="11"/>
  <c r="X221" i="11"/>
  <c r="BM221" i="11"/>
  <c r="BN221" i="11" s="1"/>
  <c r="BJ220" i="11"/>
  <c r="BM220" i="11"/>
  <c r="BN220" i="11" s="1"/>
  <c r="AA220" i="11"/>
  <c r="X219" i="11"/>
  <c r="BM219" i="11"/>
  <c r="BN219" i="11" s="1"/>
  <c r="AC219" i="11"/>
  <c r="BJ218" i="11"/>
  <c r="X218" i="11"/>
  <c r="AA218" i="11"/>
  <c r="BJ217" i="11"/>
  <c r="BM217" i="11"/>
  <c r="BN217" i="11" s="1"/>
  <c r="BJ216" i="11"/>
  <c r="X216" i="11"/>
  <c r="BJ215" i="11"/>
  <c r="X215" i="11"/>
  <c r="AE215" i="11"/>
  <c r="AC215" i="11"/>
  <c r="BJ214" i="11"/>
  <c r="X214" i="11"/>
  <c r="AE214" i="11"/>
  <c r="AC214" i="11"/>
  <c r="BJ213" i="11"/>
  <c r="AE213" i="11"/>
  <c r="BM213" i="11"/>
  <c r="BN213" i="11" s="1"/>
  <c r="AA213" i="11"/>
  <c r="BJ212" i="11"/>
  <c r="X212" i="11"/>
  <c r="AD212" i="11"/>
  <c r="AA212" i="11"/>
  <c r="X211" i="11"/>
  <c r="AE211" i="11"/>
  <c r="BJ210" i="11"/>
  <c r="X210" i="11"/>
  <c r="BJ209" i="11"/>
  <c r="X209" i="11"/>
  <c r="AE209" i="11"/>
  <c r="AA209" i="11"/>
  <c r="BJ208" i="11"/>
  <c r="BM208" i="11"/>
  <c r="BN208" i="11" s="1"/>
  <c r="AA208" i="11"/>
  <c r="BJ207" i="11"/>
  <c r="X207" i="11"/>
  <c r="AE207" i="11"/>
  <c r="BM207" i="11"/>
  <c r="BN207" i="11" s="1"/>
  <c r="BJ206" i="11"/>
  <c r="AD206" i="11"/>
  <c r="BM206" i="11"/>
  <c r="BN206" i="11" s="1"/>
  <c r="BJ205" i="11"/>
  <c r="AE205" i="11"/>
  <c r="BM205" i="11"/>
  <c r="BN205" i="11" s="1"/>
  <c r="BJ204" i="11"/>
  <c r="X204" i="11"/>
  <c r="AD204" i="11"/>
  <c r="AA204" i="11"/>
  <c r="BJ203" i="11"/>
  <c r="AD203" i="11"/>
  <c r="BM203" i="11"/>
  <c r="BN203" i="11" s="1"/>
  <c r="BJ202" i="11"/>
  <c r="X202" i="11"/>
  <c r="AE202" i="11"/>
  <c r="BJ201" i="11"/>
  <c r="X201" i="11"/>
  <c r="AA201" i="11"/>
  <c r="BJ200" i="11"/>
  <c r="BM200" i="11"/>
  <c r="BN200" i="11" s="1"/>
  <c r="AC200" i="11"/>
  <c r="BJ199" i="11"/>
  <c r="AE199" i="11"/>
  <c r="BM199" i="11"/>
  <c r="BN199" i="11" s="1"/>
  <c r="AA199" i="11"/>
  <c r="BJ198" i="11"/>
  <c r="X198" i="11"/>
  <c r="BJ197" i="11"/>
  <c r="BM197" i="11"/>
  <c r="BN197" i="11" s="1"/>
  <c r="AA197" i="11"/>
  <c r="BJ196" i="11"/>
  <c r="X196" i="11"/>
  <c r="AE196" i="11"/>
  <c r="BJ195" i="11"/>
  <c r="AD195" i="11"/>
  <c r="BM195" i="11"/>
  <c r="BN195" i="11" s="1"/>
  <c r="AC195" i="11"/>
  <c r="BJ194" i="11"/>
  <c r="X194" i="11"/>
  <c r="AD194" i="11"/>
  <c r="AC194" i="11"/>
  <c r="BJ193" i="11"/>
  <c r="X193" i="11"/>
  <c r="AE193" i="11"/>
  <c r="AA193" i="11"/>
  <c r="BJ192" i="11"/>
  <c r="BM192" i="11"/>
  <c r="BN192" i="11" s="1"/>
  <c r="AA192" i="11"/>
  <c r="BJ191" i="11"/>
  <c r="X191" i="11"/>
  <c r="AE191" i="11"/>
  <c r="BJ190" i="11"/>
  <c r="BM190" i="11"/>
  <c r="BN190" i="11" s="1"/>
  <c r="AA190" i="11"/>
  <c r="BJ189" i="11"/>
  <c r="BM189" i="11"/>
  <c r="BN189" i="11" s="1"/>
  <c r="AA189" i="11"/>
  <c r="BJ188" i="11"/>
  <c r="AE188" i="11"/>
  <c r="BM188" i="11"/>
  <c r="BN188" i="11" s="1"/>
  <c r="AA188" i="11"/>
  <c r="BJ187" i="11"/>
  <c r="AE187" i="11"/>
  <c r="BM187" i="11"/>
  <c r="BN187" i="11" s="1"/>
  <c r="AA187" i="11"/>
  <c r="BJ186" i="11"/>
  <c r="X186" i="11"/>
  <c r="AD186" i="11"/>
  <c r="BJ185" i="11"/>
  <c r="AD185" i="11"/>
  <c r="BM185" i="11"/>
  <c r="BN185" i="11" s="1"/>
  <c r="BJ184" i="11"/>
  <c r="AE184" i="11"/>
  <c r="BM184" i="11"/>
  <c r="BN184" i="11" s="1"/>
  <c r="BJ183" i="11"/>
  <c r="X183" i="11"/>
  <c r="AE183" i="11"/>
  <c r="AC183" i="11"/>
  <c r="BJ182" i="11"/>
  <c r="AE182" i="11"/>
  <c r="BM182" i="11"/>
  <c r="BN182" i="11" s="1"/>
  <c r="BJ181" i="11"/>
  <c r="AD181" i="11"/>
  <c r="BM181" i="11"/>
  <c r="BN181" i="11" s="1"/>
  <c r="AC181" i="11"/>
  <c r="BJ180" i="11"/>
  <c r="BM180" i="11"/>
  <c r="BN180" i="11" s="1"/>
  <c r="AA180" i="11"/>
  <c r="AD179" i="11"/>
  <c r="BM179" i="11"/>
  <c r="BN179" i="11" s="1"/>
  <c r="AC179" i="11"/>
  <c r="X178" i="11"/>
  <c r="AA178" i="11"/>
  <c r="X177" i="11"/>
  <c r="AE177" i="11"/>
  <c r="BJ176" i="11"/>
  <c r="X176" i="11"/>
  <c r="BM176" i="11"/>
  <c r="BN176" i="11" s="1"/>
  <c r="AA176" i="11"/>
  <c r="BJ175" i="11"/>
  <c r="AD175" i="11"/>
  <c r="BM175" i="11"/>
  <c r="BN175" i="11" s="1"/>
  <c r="AA175" i="11"/>
  <c r="BJ174" i="11"/>
  <c r="X174" i="11"/>
  <c r="AD174" i="11"/>
  <c r="BM174" i="11"/>
  <c r="BN174" i="11" s="1"/>
  <c r="AC174" i="11"/>
  <c r="BJ173" i="11"/>
  <c r="X173" i="11"/>
  <c r="AA173" i="11"/>
  <c r="BJ172" i="11"/>
  <c r="X172" i="11"/>
  <c r="AD172" i="11"/>
  <c r="BM172" i="11"/>
  <c r="BN172" i="11" s="1"/>
  <c r="AC172" i="11"/>
  <c r="BJ171" i="11"/>
  <c r="BM171" i="11"/>
  <c r="BN171" i="11" s="1"/>
  <c r="AA171" i="11"/>
  <c r="BJ170" i="11"/>
  <c r="X170" i="11"/>
  <c r="BJ169" i="11"/>
  <c r="X169" i="11"/>
  <c r="AD169" i="11"/>
  <c r="BM169" i="11"/>
  <c r="BN169" i="11" s="1"/>
  <c r="BJ168" i="11"/>
  <c r="BM168" i="11"/>
  <c r="BN168" i="11" s="1"/>
  <c r="AC168" i="11"/>
  <c r="BJ167" i="11"/>
  <c r="X167" i="11"/>
  <c r="AE167" i="11"/>
  <c r="BM167" i="11"/>
  <c r="BN167" i="11" s="1"/>
  <c r="AA167" i="11"/>
  <c r="BJ166" i="11"/>
  <c r="AD166" i="11"/>
  <c r="BM166" i="11"/>
  <c r="BN166" i="11" s="1"/>
  <c r="BJ165" i="11"/>
  <c r="X165" i="11"/>
  <c r="AA165" i="11"/>
  <c r="BJ164" i="11"/>
  <c r="X164" i="11"/>
  <c r="AC164" i="11"/>
  <c r="BJ163" i="11"/>
  <c r="X163" i="11"/>
  <c r="BM163" i="11"/>
  <c r="BN163" i="11" s="1"/>
  <c r="BJ162" i="11"/>
  <c r="AD162" i="11"/>
  <c r="BJ161" i="11"/>
  <c r="X161" i="11"/>
  <c r="BM161" i="11"/>
  <c r="BN161" i="11" s="1"/>
  <c r="BJ160" i="11"/>
  <c r="X160" i="11"/>
  <c r="AD160" i="11"/>
  <c r="BM160" i="11"/>
  <c r="BN160" i="11" s="1"/>
  <c r="AC160" i="11"/>
  <c r="BJ159" i="11"/>
  <c r="BM159" i="11"/>
  <c r="BN159" i="11" s="1"/>
  <c r="AC159" i="11"/>
  <c r="BJ158" i="11"/>
  <c r="X158" i="11"/>
  <c r="AE158" i="11"/>
  <c r="BM158" i="11"/>
  <c r="BN158" i="11" s="1"/>
  <c r="AC158" i="11"/>
  <c r="BJ157" i="11"/>
  <c r="X157" i="11"/>
  <c r="BM157" i="11"/>
  <c r="BN157" i="11" s="1"/>
  <c r="AA157" i="11"/>
  <c r="BJ156" i="11"/>
  <c r="AE156" i="11"/>
  <c r="BM156" i="11"/>
  <c r="BN156" i="11" s="1"/>
  <c r="BJ155" i="11"/>
  <c r="X155" i="11"/>
  <c r="AD155" i="11"/>
  <c r="BM155" i="11"/>
  <c r="BN155" i="11" s="1"/>
  <c r="AA155" i="11"/>
  <c r="BJ154" i="11"/>
  <c r="AE154" i="11"/>
  <c r="BJ153" i="11"/>
  <c r="X153" i="11"/>
  <c r="AE153" i="11"/>
  <c r="BJ152" i="11"/>
  <c r="X152" i="11"/>
  <c r="AD152" i="11"/>
  <c r="AA152" i="11"/>
  <c r="BJ151" i="11"/>
  <c r="X151" i="11"/>
  <c r="AA151" i="11"/>
  <c r="BJ150" i="11"/>
  <c r="X150" i="11"/>
  <c r="AD150" i="11"/>
  <c r="BM150" i="11"/>
  <c r="BN150" i="11" s="1"/>
  <c r="BJ149" i="11"/>
  <c r="X149" i="11"/>
  <c r="BM149" i="11"/>
  <c r="BN149" i="11" s="1"/>
  <c r="BJ148" i="11"/>
  <c r="X148" i="11"/>
  <c r="BM148" i="11"/>
  <c r="BN148" i="11" s="1"/>
  <c r="AA148" i="11"/>
  <c r="BJ147" i="11"/>
  <c r="AD147" i="11"/>
  <c r="BM147" i="11"/>
  <c r="BN147" i="11" s="1"/>
  <c r="AC147" i="11"/>
  <c r="BJ146" i="11"/>
  <c r="X146" i="11"/>
  <c r="AD146" i="11"/>
  <c r="BJ145" i="11"/>
  <c r="X145" i="11"/>
  <c r="AD145" i="11"/>
  <c r="BJ144" i="11"/>
  <c r="X144" i="11"/>
  <c r="AE144" i="11"/>
  <c r="AA144" i="11"/>
  <c r="BJ143" i="11"/>
  <c r="X143" i="11"/>
  <c r="AD143" i="11"/>
  <c r="BM143" i="11"/>
  <c r="BN143" i="11" s="1"/>
  <c r="AA143" i="11"/>
  <c r="BJ142" i="11"/>
  <c r="X142" i="11"/>
  <c r="AA142" i="11"/>
  <c r="BJ141" i="11"/>
  <c r="X141" i="11"/>
  <c r="AE141" i="11"/>
  <c r="BM141" i="11"/>
  <c r="BN141" i="11" s="1"/>
  <c r="AC141" i="11"/>
  <c r="BJ140" i="11"/>
  <c r="X140" i="11"/>
  <c r="AE140" i="11"/>
  <c r="BM140" i="11"/>
  <c r="BN140" i="11" s="1"/>
  <c r="AC140" i="11"/>
  <c r="BJ139" i="11"/>
  <c r="AE139" i="11"/>
  <c r="BM139" i="11"/>
  <c r="BN139" i="11" s="1"/>
  <c r="BJ138" i="11"/>
  <c r="X138" i="11"/>
  <c r="BJ137" i="11"/>
  <c r="X137" i="11"/>
  <c r="AD137" i="11"/>
  <c r="AA137" i="11"/>
  <c r="BJ136" i="11"/>
  <c r="X136" i="11"/>
  <c r="AC136" i="11"/>
  <c r="BJ135" i="11"/>
  <c r="AD135" i="11"/>
  <c r="BM135" i="11"/>
  <c r="BN135" i="11" s="1"/>
  <c r="AC135" i="11"/>
  <c r="BJ134" i="11"/>
  <c r="X134" i="11"/>
  <c r="AE134" i="11"/>
  <c r="BM134" i="11"/>
  <c r="BN134" i="11" s="1"/>
  <c r="AC134" i="11"/>
  <c r="BJ133" i="11"/>
  <c r="X133" i="11"/>
  <c r="AD133" i="11"/>
  <c r="BM133" i="11"/>
  <c r="BN133" i="11" s="1"/>
  <c r="AA133" i="11"/>
  <c r="BJ132" i="11"/>
  <c r="X132" i="11"/>
  <c r="BM132" i="11"/>
  <c r="BN132" i="11" s="1"/>
  <c r="AC132" i="11"/>
  <c r="BJ131" i="11"/>
  <c r="BM131" i="11"/>
  <c r="BN131" i="11" s="1"/>
  <c r="AA131" i="11"/>
  <c r="BJ130" i="11"/>
  <c r="BM130" i="11"/>
  <c r="BN130" i="11" s="1"/>
  <c r="BJ129" i="11"/>
  <c r="AD129" i="11"/>
  <c r="BM129" i="11"/>
  <c r="BN129" i="11" s="1"/>
  <c r="BJ128" i="11"/>
  <c r="X128" i="11"/>
  <c r="AD128" i="11"/>
  <c r="BJ127" i="11"/>
  <c r="X127" i="11"/>
  <c r="AE127" i="11"/>
  <c r="BM127" i="11"/>
  <c r="BN127" i="11" s="1"/>
  <c r="BJ126" i="11"/>
  <c r="AE126" i="11"/>
  <c r="BM126" i="11"/>
  <c r="BN126" i="11" s="1"/>
  <c r="AA126" i="11"/>
  <c r="BJ125" i="11"/>
  <c r="X125" i="11"/>
  <c r="AD125" i="11"/>
  <c r="AA125" i="11"/>
  <c r="BJ124" i="11"/>
  <c r="X124" i="11"/>
  <c r="AC124" i="11"/>
  <c r="BJ123" i="11"/>
  <c r="X123" i="11"/>
  <c r="AE123" i="11"/>
  <c r="BJ122" i="11"/>
  <c r="X122" i="11"/>
  <c r="AE122" i="11"/>
  <c r="BJ121" i="11"/>
  <c r="X121" i="11"/>
  <c r="AE121" i="11"/>
  <c r="BJ120" i="11"/>
  <c r="AE120" i="11"/>
  <c r="BM120" i="11"/>
  <c r="BN120" i="11" s="1"/>
  <c r="AA120" i="11"/>
  <c r="BJ119" i="11"/>
  <c r="AE119" i="11"/>
  <c r="BM119" i="11"/>
  <c r="BN119" i="11" s="1"/>
  <c r="BJ118" i="11"/>
  <c r="X118" i="11"/>
  <c r="BM118" i="11"/>
  <c r="BN118" i="11" s="1"/>
  <c r="BJ117" i="11"/>
  <c r="X117" i="11"/>
  <c r="AE117" i="11"/>
  <c r="BJ116" i="11"/>
  <c r="BM116" i="11"/>
  <c r="BN116" i="11" s="1"/>
  <c r="BJ115" i="11"/>
  <c r="X115" i="11"/>
  <c r="AD115" i="11"/>
  <c r="AA115" i="11"/>
  <c r="BJ114" i="11"/>
  <c r="AD114" i="11"/>
  <c r="AA114" i="11"/>
  <c r="BJ113" i="11"/>
  <c r="X113" i="11"/>
  <c r="AE113" i="11"/>
  <c r="BJ112" i="11"/>
  <c r="BM112" i="11"/>
  <c r="BN112" i="11" s="1"/>
  <c r="AA112" i="11"/>
  <c r="BJ111" i="11"/>
  <c r="X111" i="11"/>
  <c r="AC111" i="11"/>
  <c r="BJ110" i="11"/>
  <c r="X110" i="11"/>
  <c r="AD110" i="11"/>
  <c r="AA110" i="11"/>
  <c r="BJ109" i="11"/>
  <c r="X109" i="11"/>
  <c r="AD109" i="11"/>
  <c r="BM109" i="11"/>
  <c r="BN109" i="11" s="1"/>
  <c r="BJ108" i="11"/>
  <c r="X108" i="11"/>
  <c r="BM108" i="11"/>
  <c r="BN108" i="11" s="1"/>
  <c r="AC108" i="11"/>
  <c r="BJ107" i="11"/>
  <c r="X107" i="11"/>
  <c r="AE107" i="11"/>
  <c r="BM107" i="11"/>
  <c r="BN107" i="11" s="1"/>
  <c r="AC107" i="11"/>
  <c r="BJ106" i="11"/>
  <c r="X106" i="11"/>
  <c r="AA106" i="11"/>
  <c r="BJ105" i="11"/>
  <c r="X105" i="11"/>
  <c r="AE105" i="11"/>
  <c r="AA105" i="11"/>
  <c r="BJ104" i="11"/>
  <c r="X104" i="11"/>
  <c r="AE104" i="11"/>
  <c r="BM104" i="11"/>
  <c r="BN104" i="11" s="1"/>
  <c r="AA104" i="11"/>
  <c r="BJ103" i="11"/>
  <c r="X103" i="11"/>
  <c r="AA103" i="11"/>
  <c r="BJ102" i="11"/>
  <c r="X102" i="11"/>
  <c r="AD102" i="11"/>
  <c r="BJ101" i="11"/>
  <c r="BM101" i="11"/>
  <c r="BN101" i="11" s="1"/>
  <c r="AC101" i="11"/>
  <c r="BJ100" i="11"/>
  <c r="X100" i="11"/>
  <c r="BM100" i="11"/>
  <c r="BN100" i="11" s="1"/>
  <c r="BJ99" i="11"/>
  <c r="BM99" i="11"/>
  <c r="BN99" i="11" s="1"/>
  <c r="BJ98" i="11"/>
  <c r="X98" i="11"/>
  <c r="AE98" i="11"/>
  <c r="BM98" i="11"/>
  <c r="BN98" i="11" s="1"/>
  <c r="BJ97" i="11"/>
  <c r="X97" i="11"/>
  <c r="AE97" i="11"/>
  <c r="BJ96" i="11"/>
  <c r="X96" i="11"/>
  <c r="AC96" i="11"/>
  <c r="BJ95" i="11"/>
  <c r="BM95" i="11"/>
  <c r="BN95" i="11" s="1"/>
  <c r="BJ94" i="11"/>
  <c r="X94" i="11"/>
  <c r="AD94" i="11"/>
  <c r="BJ93" i="11"/>
  <c r="X93" i="11"/>
  <c r="BM93" i="11"/>
  <c r="BN93" i="11" s="1"/>
  <c r="BJ92" i="11"/>
  <c r="X92" i="11"/>
  <c r="BM92" i="11"/>
  <c r="BN92" i="11" s="1"/>
  <c r="BJ91" i="11"/>
  <c r="X91" i="11"/>
  <c r="AA91" i="11"/>
  <c r="BJ90" i="11"/>
  <c r="X90" i="11"/>
  <c r="AD90" i="11"/>
  <c r="BJ89" i="11"/>
  <c r="X89" i="11"/>
  <c r="BM89" i="11"/>
  <c r="BN89" i="11" s="1"/>
  <c r="BJ88" i="11"/>
  <c r="AE88" i="11"/>
  <c r="BM88" i="11"/>
  <c r="BN88" i="11" s="1"/>
  <c r="BJ87" i="11"/>
  <c r="X87" i="11"/>
  <c r="AE87" i="11"/>
  <c r="BM87" i="11"/>
  <c r="BN87" i="11" s="1"/>
  <c r="AC87" i="11"/>
  <c r="BJ86" i="11"/>
  <c r="X86" i="11"/>
  <c r="AE86" i="11"/>
  <c r="BM86" i="11"/>
  <c r="BN86" i="11" s="1"/>
  <c r="BJ85" i="11"/>
  <c r="X85" i="11"/>
  <c r="AE85" i="11"/>
  <c r="BJ84" i="11"/>
  <c r="X84" i="11"/>
  <c r="AA84" i="11"/>
  <c r="BJ83" i="11"/>
  <c r="BM83" i="11"/>
  <c r="BN83" i="11" s="1"/>
  <c r="AA83" i="11"/>
  <c r="BJ82" i="11"/>
  <c r="X82" i="11"/>
  <c r="AD82" i="11"/>
  <c r="AA82" i="11"/>
  <c r="BJ81" i="11"/>
  <c r="X81" i="11"/>
  <c r="AD81" i="11"/>
  <c r="AC81" i="11"/>
  <c r="BJ80" i="11"/>
  <c r="BM80" i="11"/>
  <c r="BN80" i="11" s="1"/>
  <c r="AA80" i="11"/>
  <c r="BJ79" i="11"/>
  <c r="X79" i="11"/>
  <c r="AA79" i="11"/>
  <c r="BJ78" i="11"/>
  <c r="X78" i="11"/>
  <c r="AD78" i="11"/>
  <c r="BJ77" i="11"/>
  <c r="BM77" i="11"/>
  <c r="BN77" i="11" s="1"/>
  <c r="AC77" i="11"/>
  <c r="BJ76" i="11"/>
  <c r="BM76" i="11"/>
  <c r="BN76" i="11" s="1"/>
  <c r="AA76" i="11"/>
  <c r="BJ75" i="11"/>
  <c r="BM75" i="11"/>
  <c r="BN75" i="11" s="1"/>
  <c r="BJ74" i="11"/>
  <c r="X74" i="11"/>
  <c r="AE74" i="11"/>
  <c r="BJ73" i="11"/>
  <c r="X73" i="11"/>
  <c r="BM73" i="11"/>
  <c r="BN73" i="11" s="1"/>
  <c r="BJ72" i="11"/>
  <c r="X72" i="11"/>
  <c r="AD72" i="11"/>
  <c r="BJ71" i="11"/>
  <c r="X71" i="11"/>
  <c r="AE71" i="11"/>
  <c r="BJ70" i="11"/>
  <c r="BM70" i="11"/>
  <c r="BN70" i="11" s="1"/>
  <c r="AA70" i="11"/>
  <c r="BJ69" i="11"/>
  <c r="BM69" i="11"/>
  <c r="BN69" i="11" s="1"/>
  <c r="BJ68" i="11"/>
  <c r="X68" i="11"/>
  <c r="AD68" i="11"/>
  <c r="BM68" i="11"/>
  <c r="BN68" i="11" s="1"/>
  <c r="BJ67" i="11"/>
  <c r="X67" i="11"/>
  <c r="AE67" i="11"/>
  <c r="BM67" i="11"/>
  <c r="BN67" i="11" s="1"/>
  <c r="BJ66" i="11"/>
  <c r="X66" i="11"/>
  <c r="AD66" i="11"/>
  <c r="AA66" i="11"/>
  <c r="BJ65" i="11"/>
  <c r="X65" i="11"/>
  <c r="AE65" i="11"/>
  <c r="BM65" i="11"/>
  <c r="BN65" i="11" s="1"/>
  <c r="BJ64" i="11"/>
  <c r="X64" i="11"/>
  <c r="AE64" i="11"/>
  <c r="X63" i="11"/>
  <c r="AD63" i="11"/>
  <c r="BJ62" i="11"/>
  <c r="X62" i="11"/>
  <c r="AA62" i="11"/>
  <c r="BJ61" i="11"/>
  <c r="X61" i="11"/>
  <c r="BM61" i="11"/>
  <c r="BN61" i="11" s="1"/>
  <c r="AA61" i="11"/>
  <c r="BJ60" i="11"/>
  <c r="X60" i="11"/>
  <c r="AD60" i="11"/>
  <c r="BM60" i="11"/>
  <c r="BN60" i="11" s="1"/>
  <c r="BJ59" i="11"/>
  <c r="X59" i="11"/>
  <c r="AD59" i="11"/>
  <c r="BJ58" i="11"/>
  <c r="X58" i="11"/>
  <c r="AE58" i="11"/>
  <c r="BJ57" i="11"/>
  <c r="X57" i="11"/>
  <c r="AD57" i="11"/>
  <c r="BJ56" i="11"/>
  <c r="X56" i="11"/>
  <c r="AD56" i="11"/>
  <c r="X55" i="11"/>
  <c r="BJ54" i="11"/>
  <c r="X54" i="11"/>
  <c r="BJ53" i="11"/>
  <c r="X53" i="11"/>
  <c r="AE53" i="11"/>
  <c r="AA53" i="11"/>
  <c r="BJ52" i="11"/>
  <c r="X52" i="11"/>
  <c r="AD52" i="11"/>
  <c r="BJ51" i="11"/>
  <c r="AE51" i="11"/>
  <c r="BM51" i="11"/>
  <c r="BN51" i="11" s="1"/>
  <c r="BJ50" i="11"/>
  <c r="AE50" i="11"/>
  <c r="BJ49" i="11"/>
  <c r="BM49" i="11"/>
  <c r="BN49" i="11" s="1"/>
  <c r="BJ48" i="11"/>
  <c r="X48" i="11"/>
  <c r="AE48" i="11"/>
  <c r="BJ47" i="11"/>
  <c r="BM47" i="11"/>
  <c r="BN47" i="11" s="1"/>
  <c r="AA47" i="11"/>
  <c r="BJ46" i="11"/>
  <c r="X46" i="11"/>
  <c r="AE46" i="11"/>
  <c r="AA46" i="11"/>
  <c r="BJ45" i="11"/>
  <c r="AD45" i="11"/>
  <c r="BM45" i="11"/>
  <c r="BN45" i="11" s="1"/>
  <c r="AA45" i="11"/>
  <c r="BJ44" i="11"/>
  <c r="X44" i="11"/>
  <c r="AE44" i="11"/>
  <c r="BJ43" i="11"/>
  <c r="AD43" i="11"/>
  <c r="BM43" i="11"/>
  <c r="BN43" i="11" s="1"/>
  <c r="BJ42" i="11"/>
  <c r="X42" i="11"/>
  <c r="AD42" i="11"/>
  <c r="BJ41" i="11"/>
  <c r="X41" i="11"/>
  <c r="AE41" i="11"/>
  <c r="BM41" i="11"/>
  <c r="BN41" i="11" s="1"/>
  <c r="BJ40" i="11"/>
  <c r="X40" i="11"/>
  <c r="BJ39" i="11"/>
  <c r="X39" i="11"/>
  <c r="AD39" i="11"/>
  <c r="BJ38" i="11"/>
  <c r="X38" i="11"/>
  <c r="AE38" i="11"/>
  <c r="BJ37" i="11"/>
  <c r="BJ36" i="11"/>
  <c r="X36" i="11"/>
  <c r="AA36" i="11"/>
  <c r="BJ35" i="11"/>
  <c r="BM35" i="11"/>
  <c r="BN35" i="11" s="1"/>
  <c r="BJ34" i="11"/>
  <c r="X34" i="11"/>
  <c r="BJ33" i="11"/>
  <c r="AE33" i="11"/>
  <c r="AA33" i="11"/>
  <c r="BJ32" i="11"/>
  <c r="X32" i="11"/>
  <c r="AD32" i="11"/>
  <c r="BJ31" i="11"/>
  <c r="AE31" i="11"/>
  <c r="BM31" i="11"/>
  <c r="BN31" i="11" s="1"/>
  <c r="BJ30" i="11"/>
  <c r="BM30" i="11"/>
  <c r="BN30" i="11" s="1"/>
  <c r="BJ29" i="11"/>
  <c r="X29" i="11"/>
  <c r="BJ28" i="11"/>
  <c r="X28" i="11"/>
  <c r="AE28" i="11"/>
  <c r="AA28" i="11"/>
  <c r="BJ27" i="11"/>
  <c r="BM27" i="11"/>
  <c r="BN27" i="11" s="1"/>
  <c r="BJ26" i="11"/>
  <c r="X26" i="11"/>
  <c r="AD26" i="11"/>
  <c r="BM26" i="11"/>
  <c r="BN26" i="11" s="1"/>
  <c r="BJ25" i="11"/>
  <c r="AD25" i="11"/>
  <c r="BJ24" i="11"/>
  <c r="X24" i="11"/>
  <c r="AD24" i="11"/>
  <c r="BM24" i="11"/>
  <c r="BN24" i="11" s="1"/>
  <c r="BJ23" i="11"/>
  <c r="X23" i="11"/>
  <c r="BJ22" i="11"/>
  <c r="X22" i="11"/>
  <c r="BM22" i="11"/>
  <c r="BN22" i="11" s="1"/>
  <c r="BJ21" i="11"/>
  <c r="X21" i="11"/>
  <c r="AD21" i="11"/>
  <c r="AA21" i="11"/>
  <c r="BJ20" i="11"/>
  <c r="AE20" i="11"/>
  <c r="BM20" i="11"/>
  <c r="BN20" i="11" s="1"/>
  <c r="BJ19" i="11"/>
  <c r="X19" i="11"/>
  <c r="AA19" i="11"/>
  <c r="BJ18" i="11"/>
  <c r="X18" i="11"/>
  <c r="BJ17" i="11"/>
  <c r="X17" i="11"/>
  <c r="BJ16" i="11"/>
  <c r="X16" i="11"/>
  <c r="AA16" i="11"/>
  <c r="BJ15" i="11"/>
  <c r="X15" i="11"/>
  <c r="AA15" i="11"/>
  <c r="BJ14" i="11"/>
  <c r="X14" i="11"/>
  <c r="AC14" i="11"/>
  <c r="BJ13" i="11"/>
  <c r="X13" i="11"/>
  <c r="AA13" i="11"/>
  <c r="BJ12" i="11"/>
  <c r="BM12" i="11"/>
  <c r="BN12" i="11" s="1"/>
  <c r="BJ11" i="11"/>
  <c r="X11" i="11"/>
  <c r="BJ10" i="11"/>
  <c r="BM10" i="11"/>
  <c r="BN10" i="11" s="1"/>
  <c r="AC10" i="11"/>
  <c r="BJ9" i="11"/>
  <c r="X9" i="11"/>
  <c r="AD9" i="11"/>
  <c r="BM9" i="11"/>
  <c r="BN9" i="11" s="1"/>
  <c r="BJ8" i="11"/>
  <c r="X8" i="11"/>
  <c r="BJ7" i="11"/>
  <c r="BM7" i="11"/>
  <c r="BN7" i="11" s="1"/>
  <c r="BJ6" i="11"/>
  <c r="BJ5" i="11"/>
  <c r="X5" i="11"/>
  <c r="BJ4" i="11"/>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4" i="3"/>
  <c r="C4" i="6"/>
  <c r="C20" i="6"/>
  <c r="D20" i="6" s="1"/>
  <c r="N20" i="6" s="1"/>
  <c r="C21" i="6"/>
  <c r="D21" i="6" s="1"/>
  <c r="N21" i="6" s="1"/>
  <c r="C22" i="6"/>
  <c r="D22" i="6" s="1"/>
  <c r="N22" i="6" s="1"/>
  <c r="C23" i="6"/>
  <c r="D23" i="6" s="1"/>
  <c r="N23" i="6" s="1"/>
  <c r="C24" i="6"/>
  <c r="D24" i="6" s="1"/>
  <c r="N24" i="6" s="1"/>
  <c r="C25" i="6"/>
  <c r="D25" i="6" s="1"/>
  <c r="N25" i="6" s="1"/>
  <c r="C26" i="6"/>
  <c r="D26" i="6" s="1"/>
  <c r="N26" i="6" s="1"/>
  <c r="C27" i="6"/>
  <c r="D27" i="6" s="1"/>
  <c r="N27" i="6" s="1"/>
  <c r="C28" i="6"/>
  <c r="D28" i="6" s="1"/>
  <c r="N28" i="6" s="1"/>
  <c r="C29" i="6"/>
  <c r="D29" i="6" s="1"/>
  <c r="N29" i="6" s="1"/>
  <c r="C30" i="6"/>
  <c r="D30" i="6" s="1"/>
  <c r="N30" i="6" s="1"/>
  <c r="C31" i="6"/>
  <c r="D31" i="6" s="1"/>
  <c r="N31" i="6" s="1"/>
  <c r="C32" i="6"/>
  <c r="D32" i="6" s="1"/>
  <c r="N32" i="6" s="1"/>
  <c r="C33" i="6"/>
  <c r="D33" i="6" s="1"/>
  <c r="N33" i="6" s="1"/>
  <c r="C34" i="6"/>
  <c r="D34" i="6" s="1"/>
  <c r="N34" i="6" s="1"/>
  <c r="C35" i="6"/>
  <c r="D35" i="6" s="1"/>
  <c r="N35" i="6" s="1"/>
  <c r="C36" i="6"/>
  <c r="D36" i="6" s="1"/>
  <c r="N36" i="6" s="1"/>
  <c r="C37" i="6"/>
  <c r="D37" i="6" s="1"/>
  <c r="N37" i="6" s="1"/>
  <c r="C38" i="6"/>
  <c r="D38" i="6" s="1"/>
  <c r="N38" i="6" s="1"/>
  <c r="C39" i="6"/>
  <c r="D39" i="6" s="1"/>
  <c r="N39" i="6" s="1"/>
  <c r="J39" i="3" s="1"/>
  <c r="C40" i="6"/>
  <c r="D40" i="6" s="1"/>
  <c r="N40" i="6" s="1"/>
  <c r="J40" i="3" s="1"/>
  <c r="C41" i="6"/>
  <c r="D41" i="6" s="1"/>
  <c r="N41" i="6" s="1"/>
  <c r="J41" i="3" s="1"/>
  <c r="C42" i="6"/>
  <c r="D42" i="6" s="1"/>
  <c r="N42" i="6" s="1"/>
  <c r="J42" i="3" s="1"/>
  <c r="C43" i="6"/>
  <c r="D43" i="6" s="1"/>
  <c r="N43" i="6" s="1"/>
  <c r="J43" i="3" s="1"/>
  <c r="C44" i="6"/>
  <c r="D44" i="6" s="1"/>
  <c r="N44" i="6" s="1"/>
  <c r="J44" i="3" s="1"/>
  <c r="C45" i="6"/>
  <c r="D45" i="6" s="1"/>
  <c r="N45" i="6" s="1"/>
  <c r="C46" i="6"/>
  <c r="D46" i="6" s="1"/>
  <c r="N46" i="6" s="1"/>
  <c r="C47" i="6"/>
  <c r="D47" i="6" s="1"/>
  <c r="N47" i="6" s="1"/>
  <c r="J47" i="3" s="1"/>
  <c r="C48" i="6"/>
  <c r="D48" i="6" s="1"/>
  <c r="N48" i="6" s="1"/>
  <c r="C49" i="6"/>
  <c r="D49" i="6" s="1"/>
  <c r="N49" i="6" s="1"/>
  <c r="C50" i="6"/>
  <c r="D50" i="6" s="1"/>
  <c r="N50" i="6" s="1"/>
  <c r="C51" i="6"/>
  <c r="D51" i="6" s="1"/>
  <c r="N51" i="6" s="1"/>
  <c r="C52" i="6"/>
  <c r="D52" i="6" s="1"/>
  <c r="N52" i="6" s="1"/>
  <c r="C53" i="6"/>
  <c r="D53" i="6" s="1"/>
  <c r="N53" i="6" s="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4" i="6"/>
  <c r="J37" i="3"/>
  <c r="C7" i="6"/>
  <c r="D7" i="6" s="1"/>
  <c r="N7" i="6" s="1"/>
  <c r="C6" i="6"/>
  <c r="D6" i="6" s="1"/>
  <c r="N6" i="6" s="1"/>
  <c r="C5" i="6"/>
  <c r="D5" i="6" s="1"/>
  <c r="N5" i="6" s="1"/>
  <c r="C14" i="6"/>
  <c r="D14" i="6" s="1"/>
  <c r="N14" i="6" s="1"/>
  <c r="C18" i="6"/>
  <c r="D18" i="6" s="1"/>
  <c r="N18" i="6" s="1"/>
  <c r="C13" i="6"/>
  <c r="D13" i="6" s="1"/>
  <c r="N13" i="6" s="1"/>
  <c r="C9" i="6"/>
  <c r="C11" i="6"/>
  <c r="D11" i="6" s="1"/>
  <c r="N11" i="6" s="1"/>
  <c r="C12" i="6"/>
  <c r="C8" i="6"/>
  <c r="D8" i="6" s="1"/>
  <c r="N8" i="6" s="1"/>
  <c r="C17" i="6"/>
  <c r="D17" i="6" s="1"/>
  <c r="N17" i="6" s="1"/>
  <c r="C15" i="6"/>
  <c r="D15" i="6" s="1"/>
  <c r="N15" i="6" s="1"/>
  <c r="C19" i="6"/>
  <c r="D19" i="6" s="1"/>
  <c r="N19" i="6" s="1"/>
  <c r="C10" i="6"/>
  <c r="C16" i="6"/>
  <c r="D16" i="6" s="1"/>
  <c r="N16" i="6" s="1"/>
  <c r="AD19" i="11"/>
  <c r="BM17" i="11"/>
  <c r="BN17" i="11" s="1"/>
  <c r="BM14" i="11"/>
  <c r="BN14" i="11" s="1"/>
  <c r="J5" i="3"/>
  <c r="G5" i="11" s="1"/>
  <c r="L66" i="13"/>
  <c r="V301" i="11" l="1"/>
  <c r="Z301" i="11" s="1"/>
  <c r="V297" i="11"/>
  <c r="V293" i="11"/>
  <c r="Z293" i="11" s="1"/>
  <c r="V289" i="11"/>
  <c r="Z289" i="11" s="1"/>
  <c r="V285" i="11"/>
  <c r="Z285" i="11" s="1"/>
  <c r="V281" i="11"/>
  <c r="Z281" i="11" s="1"/>
  <c r="V277" i="11"/>
  <c r="Z277" i="11" s="1"/>
  <c r="V273" i="11"/>
  <c r="V269" i="11"/>
  <c r="V265" i="11"/>
  <c r="V261" i="11"/>
  <c r="V257" i="11"/>
  <c r="V253" i="11"/>
  <c r="Z253" i="11" s="1"/>
  <c r="V249" i="11"/>
  <c r="V245" i="11"/>
  <c r="Z245" i="11" s="1"/>
  <c r="V241" i="11"/>
  <c r="V237" i="11"/>
  <c r="V233" i="11"/>
  <c r="V229" i="11"/>
  <c r="V225" i="11"/>
  <c r="Z225" i="11" s="1"/>
  <c r="V221" i="11"/>
  <c r="Z221" i="11" s="1"/>
  <c r="V217" i="11"/>
  <c r="V213" i="11"/>
  <c r="Z213" i="11" s="1"/>
  <c r="V209" i="11"/>
  <c r="V205" i="11"/>
  <c r="Z205" i="11" s="1"/>
  <c r="V201" i="11"/>
  <c r="V197" i="11"/>
  <c r="Z197" i="11" s="1"/>
  <c r="V193" i="11"/>
  <c r="V189" i="11"/>
  <c r="Z189" i="11" s="1"/>
  <c r="V185" i="11"/>
  <c r="Z185" i="11" s="1"/>
  <c r="V181" i="11"/>
  <c r="Z181" i="11" s="1"/>
  <c r="V177" i="11"/>
  <c r="V173" i="11"/>
  <c r="V169" i="11"/>
  <c r="Z169" i="11" s="1"/>
  <c r="V165" i="11"/>
  <c r="V161" i="11"/>
  <c r="V157" i="11"/>
  <c r="Z157" i="11" s="1"/>
  <c r="V153" i="11"/>
  <c r="V149" i="11"/>
  <c r="Z149" i="11" s="1"/>
  <c r="V145" i="11"/>
  <c r="V141" i="11"/>
  <c r="Z141" i="11" s="1"/>
  <c r="V137" i="11"/>
  <c r="V133" i="11"/>
  <c r="BO133" i="11" s="1"/>
  <c r="V129" i="11"/>
  <c r="Z129" i="11" s="1"/>
  <c r="V125" i="11"/>
  <c r="AJ125" i="11" s="1"/>
  <c r="V121" i="11"/>
  <c r="V117" i="11"/>
  <c r="V113" i="11"/>
  <c r="V109" i="11"/>
  <c r="Z109" i="11" s="1"/>
  <c r="V105" i="11"/>
  <c r="V101" i="11"/>
  <c r="Z101" i="11" s="1"/>
  <c r="V97" i="11"/>
  <c r="V93" i="11"/>
  <c r="V89" i="11"/>
  <c r="V85" i="11"/>
  <c r="V81" i="11"/>
  <c r="V77" i="11"/>
  <c r="Z77" i="11" s="1"/>
  <c r="V73" i="11"/>
  <c r="V69" i="11"/>
  <c r="Z69" i="11" s="1"/>
  <c r="V65" i="11"/>
  <c r="V61" i="11"/>
  <c r="Z61" i="11" s="1"/>
  <c r="V57" i="11"/>
  <c r="V53" i="11"/>
  <c r="V49" i="11"/>
  <c r="Z49" i="11" s="1"/>
  <c r="V45" i="11"/>
  <c r="Z45" i="11" s="1"/>
  <c r="V41" i="11"/>
  <c r="Z41" i="11" s="1"/>
  <c r="V37" i="11"/>
  <c r="V33" i="11"/>
  <c r="V29" i="11"/>
  <c r="V25" i="11"/>
  <c r="V21" i="11"/>
  <c r="AJ21" i="11" s="1"/>
  <c r="V17" i="11"/>
  <c r="Z17" i="11" s="1"/>
  <c r="V13" i="11"/>
  <c r="V9" i="11"/>
  <c r="V300" i="11"/>
  <c r="V296" i="11"/>
  <c r="Z296" i="11" s="1"/>
  <c r="V292" i="11"/>
  <c r="V288" i="11"/>
  <c r="V284" i="11"/>
  <c r="V280" i="11"/>
  <c r="Z280" i="11" s="1"/>
  <c r="V276" i="11"/>
  <c r="V272" i="11"/>
  <c r="V268" i="11"/>
  <c r="V264" i="11"/>
  <c r="Z264" i="11" s="1"/>
  <c r="V260" i="11"/>
  <c r="V256" i="11"/>
  <c r="V252" i="11"/>
  <c r="Z252" i="11" s="1"/>
  <c r="V248" i="11"/>
  <c r="Z248" i="11" s="1"/>
  <c r="V244" i="11"/>
  <c r="Z244" i="11" s="1"/>
  <c r="V240" i="11"/>
  <c r="V236" i="11"/>
  <c r="Z236" i="11" s="1"/>
  <c r="V232" i="11"/>
  <c r="V228" i="11"/>
  <c r="V224" i="11"/>
  <c r="V220" i="11"/>
  <c r="Z220" i="11" s="1"/>
  <c r="V216" i="11"/>
  <c r="V212" i="11"/>
  <c r="AR212" i="11" s="1"/>
  <c r="V208" i="11"/>
  <c r="Z208" i="11" s="1"/>
  <c r="V204" i="11"/>
  <c r="AJ204" i="11" s="1"/>
  <c r="V200" i="11"/>
  <c r="Z200" i="11" s="1"/>
  <c r="V196" i="11"/>
  <c r="V192" i="11"/>
  <c r="Z192" i="11" s="1"/>
  <c r="V188" i="11"/>
  <c r="Z188" i="11" s="1"/>
  <c r="V184" i="11"/>
  <c r="Z184" i="11" s="1"/>
  <c r="V180" i="11"/>
  <c r="Z180" i="11" s="1"/>
  <c r="V176" i="11"/>
  <c r="Z176" i="11" s="1"/>
  <c r="V172" i="11"/>
  <c r="Z172" i="11" s="1"/>
  <c r="V168" i="11"/>
  <c r="Z168" i="11" s="1"/>
  <c r="V164" i="11"/>
  <c r="V160" i="11"/>
  <c r="V156" i="11"/>
  <c r="Z156" i="11" s="1"/>
  <c r="V152" i="11"/>
  <c r="AI152" i="11" s="1"/>
  <c r="V148" i="11"/>
  <c r="Z148" i="11" s="1"/>
  <c r="V144" i="11"/>
  <c r="V140" i="11"/>
  <c r="V136" i="11"/>
  <c r="V132" i="11"/>
  <c r="Z132" i="11" s="1"/>
  <c r="V128" i="11"/>
  <c r="V124" i="11"/>
  <c r="V120" i="11"/>
  <c r="Z120" i="11" s="1"/>
  <c r="V116" i="11"/>
  <c r="V112" i="11"/>
  <c r="V108" i="11"/>
  <c r="Z108" i="11" s="1"/>
  <c r="V104" i="11"/>
  <c r="Z104" i="11" s="1"/>
  <c r="V100" i="11"/>
  <c r="V96" i="11"/>
  <c r="V92" i="11"/>
  <c r="Z92" i="11" s="1"/>
  <c r="V88" i="11"/>
  <c r="Z88" i="11" s="1"/>
  <c r="V84" i="11"/>
  <c r="AR84" i="11" s="1"/>
  <c r="V80" i="11"/>
  <c r="V76" i="11"/>
  <c r="Z76" i="11" s="1"/>
  <c r="V72" i="11"/>
  <c r="V68" i="11"/>
  <c r="Z68" i="11" s="1"/>
  <c r="V64" i="11"/>
  <c r="V60" i="11"/>
  <c r="Z60" i="11" s="1"/>
  <c r="V56" i="11"/>
  <c r="V52" i="11"/>
  <c r="V48" i="11"/>
  <c r="V44" i="11"/>
  <c r="V40" i="11"/>
  <c r="V36" i="11"/>
  <c r="V32" i="11"/>
  <c r="V28" i="11"/>
  <c r="V24" i="11"/>
  <c r="Z24" i="11" s="1"/>
  <c r="V20" i="11"/>
  <c r="Z20" i="11" s="1"/>
  <c r="V16" i="11"/>
  <c r="V12" i="11"/>
  <c r="Z12" i="11" s="1"/>
  <c r="V8" i="11"/>
  <c r="V303" i="11"/>
  <c r="BO303" i="11" s="1"/>
  <c r="V299" i="11"/>
  <c r="V295" i="11"/>
  <c r="Z295" i="11" s="1"/>
  <c r="V291" i="11"/>
  <c r="V287" i="11"/>
  <c r="Z287" i="11" s="1"/>
  <c r="V283" i="11"/>
  <c r="V279" i="11"/>
  <c r="AJ279" i="11" s="1"/>
  <c r="V275" i="11"/>
  <c r="Z275" i="11" s="1"/>
  <c r="V271" i="11"/>
  <c r="Z271" i="11" s="1"/>
  <c r="V267" i="11"/>
  <c r="Z267" i="11" s="1"/>
  <c r="V263" i="11"/>
  <c r="Z263" i="11" s="1"/>
  <c r="V259" i="11"/>
  <c r="Z259" i="11" s="1"/>
  <c r="V255" i="11"/>
  <c r="V251" i="11"/>
  <c r="V247" i="11"/>
  <c r="V243" i="11"/>
  <c r="Z243" i="11" s="1"/>
  <c r="V239" i="11"/>
  <c r="AJ239" i="11" s="1"/>
  <c r="V235" i="11"/>
  <c r="Z235" i="11" s="1"/>
  <c r="V231" i="11"/>
  <c r="AI231" i="11" s="1"/>
  <c r="V227" i="11"/>
  <c r="V223" i="11"/>
  <c r="BO223" i="11" s="1"/>
  <c r="V219" i="11"/>
  <c r="V215" i="11"/>
  <c r="V211" i="11"/>
  <c r="V207" i="11"/>
  <c r="Z207" i="11" s="1"/>
  <c r="V203" i="11"/>
  <c r="Z203" i="11" s="1"/>
  <c r="V199" i="11"/>
  <c r="Z199" i="11" s="1"/>
  <c r="V195" i="11"/>
  <c r="Z195" i="11" s="1"/>
  <c r="V191" i="11"/>
  <c r="V187" i="11"/>
  <c r="Z187" i="11" s="1"/>
  <c r="V183" i="11"/>
  <c r="V179" i="11"/>
  <c r="Z179" i="11" s="1"/>
  <c r="V175" i="11"/>
  <c r="AJ175" i="11" s="1"/>
  <c r="V171" i="11"/>
  <c r="Z171" i="11" s="1"/>
  <c r="V167" i="11"/>
  <c r="Z167" i="11" s="1"/>
  <c r="V163" i="11"/>
  <c r="Z163" i="11" s="1"/>
  <c r="V159" i="11"/>
  <c r="Z159" i="11" s="1"/>
  <c r="V155" i="11"/>
  <c r="AJ155" i="11" s="1"/>
  <c r="V151" i="11"/>
  <c r="V147" i="11"/>
  <c r="Z147" i="11" s="1"/>
  <c r="V143" i="11"/>
  <c r="BO143" i="11" s="1"/>
  <c r="V139" i="11"/>
  <c r="Z139" i="11" s="1"/>
  <c r="V135" i="11"/>
  <c r="Z135" i="11" s="1"/>
  <c r="V131" i="11"/>
  <c r="Z131" i="11" s="1"/>
  <c r="V127" i="11"/>
  <c r="Z127" i="11" s="1"/>
  <c r="V123" i="11"/>
  <c r="V119" i="11"/>
  <c r="Z119" i="11" s="1"/>
  <c r="V115" i="11"/>
  <c r="AJ115" i="11" s="1"/>
  <c r="V111" i="11"/>
  <c r="V107" i="11"/>
  <c r="Z107" i="11" s="1"/>
  <c r="V103" i="11"/>
  <c r="V99" i="11"/>
  <c r="Z99" i="11" s="1"/>
  <c r="V95" i="11"/>
  <c r="Z95" i="11" s="1"/>
  <c r="V91" i="11"/>
  <c r="V87" i="11"/>
  <c r="Z87" i="11" s="1"/>
  <c r="V83" i="11"/>
  <c r="Z83" i="11" s="1"/>
  <c r="V79" i="11"/>
  <c r="V75" i="11"/>
  <c r="Z75" i="11" s="1"/>
  <c r="V71" i="11"/>
  <c r="V67" i="11"/>
  <c r="Z67" i="11" s="1"/>
  <c r="V63" i="11"/>
  <c r="V59" i="11"/>
  <c r="V55" i="11"/>
  <c r="V51" i="11"/>
  <c r="Z51" i="11" s="1"/>
  <c r="V47" i="11"/>
  <c r="Z47" i="11" s="1"/>
  <c r="V43" i="11"/>
  <c r="V39" i="11"/>
  <c r="V35" i="11"/>
  <c r="Z35" i="11" s="1"/>
  <c r="V31" i="11"/>
  <c r="Z31" i="11" s="1"/>
  <c r="V27" i="11"/>
  <c r="Z27" i="11" s="1"/>
  <c r="V23" i="11"/>
  <c r="V19" i="11"/>
  <c r="AI19" i="11" s="1"/>
  <c r="V15" i="11"/>
  <c r="V11" i="11"/>
  <c r="V7" i="11"/>
  <c r="Z7" i="11" s="1"/>
  <c r="V302" i="11"/>
  <c r="AJ302" i="11" s="1"/>
  <c r="V298" i="11"/>
  <c r="AJ298" i="11" s="1"/>
  <c r="V294" i="11"/>
  <c r="AI294" i="11" s="1"/>
  <c r="V290" i="11"/>
  <c r="V286" i="11"/>
  <c r="V282" i="11"/>
  <c r="V278" i="11"/>
  <c r="Z278" i="11" s="1"/>
  <c r="V274" i="11"/>
  <c r="V270" i="11"/>
  <c r="Z270" i="11" s="1"/>
  <c r="V266" i="11"/>
  <c r="V262" i="11"/>
  <c r="V258" i="11"/>
  <c r="Z258" i="11" s="1"/>
  <c r="V254" i="11"/>
  <c r="AJ254" i="11" s="1"/>
  <c r="V250" i="11"/>
  <c r="V246" i="11"/>
  <c r="V242" i="11"/>
  <c r="AJ242" i="11" s="1"/>
  <c r="V238" i="11"/>
  <c r="V234" i="11"/>
  <c r="AJ234" i="11" s="1"/>
  <c r="V230" i="11"/>
  <c r="Z230" i="11" s="1"/>
  <c r="V226" i="11"/>
  <c r="V222" i="11"/>
  <c r="Z222" i="11" s="1"/>
  <c r="V218" i="11"/>
  <c r="V214" i="11"/>
  <c r="V210" i="11"/>
  <c r="V206" i="11"/>
  <c r="Z206" i="11" s="1"/>
  <c r="V202" i="11"/>
  <c r="V198" i="11"/>
  <c r="V194" i="11"/>
  <c r="V190" i="11"/>
  <c r="Z190" i="11" s="1"/>
  <c r="V186" i="11"/>
  <c r="V182" i="11"/>
  <c r="Z182" i="11" s="1"/>
  <c r="V178" i="11"/>
  <c r="V174" i="11"/>
  <c r="Z174" i="11" s="1"/>
  <c r="V170" i="11"/>
  <c r="V166" i="11"/>
  <c r="Z166" i="11" s="1"/>
  <c r="V162" i="11"/>
  <c r="V158" i="11"/>
  <c r="Z158" i="11" s="1"/>
  <c r="V154" i="11"/>
  <c r="V150" i="11"/>
  <c r="Z150" i="11" s="1"/>
  <c r="V146" i="11"/>
  <c r="V142" i="11"/>
  <c r="V138" i="11"/>
  <c r="V134" i="11"/>
  <c r="Z134" i="11" s="1"/>
  <c r="V130" i="11"/>
  <c r="Z130" i="11" s="1"/>
  <c r="V126" i="11"/>
  <c r="Z126" i="11" s="1"/>
  <c r="V122" i="11"/>
  <c r="V118" i="11"/>
  <c r="Z118" i="11" s="1"/>
  <c r="V114" i="11"/>
  <c r="AJ114" i="11" s="1"/>
  <c r="V110" i="11"/>
  <c r="AJ110" i="11" s="1"/>
  <c r="V106" i="11"/>
  <c r="V102" i="11"/>
  <c r="V98" i="11"/>
  <c r="Z98" i="11" s="1"/>
  <c r="V94" i="11"/>
  <c r="V90" i="11"/>
  <c r="V86" i="11"/>
  <c r="Z86" i="11" s="1"/>
  <c r="V82" i="11"/>
  <c r="AI82" i="11" s="1"/>
  <c r="V78" i="11"/>
  <c r="V74" i="11"/>
  <c r="V70" i="11"/>
  <c r="Z70" i="11" s="1"/>
  <c r="V66" i="11"/>
  <c r="AJ66" i="11" s="1"/>
  <c r="V62" i="11"/>
  <c r="AR62" i="11" s="1"/>
  <c r="V58" i="11"/>
  <c r="V54" i="11"/>
  <c r="V50" i="11"/>
  <c r="V46" i="11"/>
  <c r="V42" i="11"/>
  <c r="V38" i="11"/>
  <c r="V34" i="11"/>
  <c r="V30" i="11"/>
  <c r="Z30" i="11" s="1"/>
  <c r="V26" i="11"/>
  <c r="Z26" i="11" s="1"/>
  <c r="V22" i="11"/>
  <c r="Z22" i="11" s="1"/>
  <c r="V18" i="11"/>
  <c r="V14" i="11"/>
  <c r="Z14" i="11" s="1"/>
  <c r="V10" i="11"/>
  <c r="Z10" i="11" s="1"/>
  <c r="V5" i="11"/>
  <c r="V6" i="11"/>
  <c r="V4" i="11"/>
  <c r="M4" i="11"/>
  <c r="D9" i="19"/>
  <c r="D10" i="19"/>
  <c r="D4" i="6"/>
  <c r="N4" i="6" s="1"/>
  <c r="J4" i="3" s="1"/>
  <c r="G4" i="11" s="1"/>
  <c r="AB4" i="11" s="1"/>
  <c r="D9" i="6"/>
  <c r="N9" i="6" s="1"/>
  <c r="W9" i="11" s="1"/>
  <c r="D10" i="6"/>
  <c r="N10" i="6" s="1"/>
  <c r="W10" i="11" s="1"/>
  <c r="D12" i="6"/>
  <c r="N12" i="6" s="1"/>
  <c r="W12" i="11" s="1"/>
  <c r="G302" i="11"/>
  <c r="AB302" i="11" s="1"/>
  <c r="G286" i="11"/>
  <c r="AB286" i="11" s="1"/>
  <c r="G278" i="11"/>
  <c r="AB278" i="11" s="1"/>
  <c r="G270" i="11"/>
  <c r="AB270" i="11" s="1"/>
  <c r="G262" i="11"/>
  <c r="AB262" i="11" s="1"/>
  <c r="G254" i="11"/>
  <c r="AB254" i="11" s="1"/>
  <c r="G246" i="11"/>
  <c r="AB246" i="11" s="1"/>
  <c r="AK246" i="11" s="1"/>
  <c r="G238" i="11"/>
  <c r="AB238" i="11" s="1"/>
  <c r="G230" i="11"/>
  <c r="AB230" i="11" s="1"/>
  <c r="AT230" i="11" s="1"/>
  <c r="AW230" i="11" s="1"/>
  <c r="G222" i="11"/>
  <c r="AB222" i="11" s="1"/>
  <c r="G214" i="11"/>
  <c r="AB214" i="11" s="1"/>
  <c r="AM214" i="11" s="1"/>
  <c r="AP214" i="11" s="1"/>
  <c r="G206" i="11"/>
  <c r="AB206" i="11" s="1"/>
  <c r="G198" i="11"/>
  <c r="AB198" i="11" s="1"/>
  <c r="G190" i="11"/>
  <c r="AB190" i="11" s="1"/>
  <c r="G182" i="11"/>
  <c r="AB182" i="11" s="1"/>
  <c r="G174" i="11"/>
  <c r="AB174" i="11" s="1"/>
  <c r="G166" i="11"/>
  <c r="AB166" i="11" s="1"/>
  <c r="G158" i="11"/>
  <c r="AB158" i="11" s="1"/>
  <c r="G150" i="11"/>
  <c r="AB150" i="11" s="1"/>
  <c r="G142" i="11"/>
  <c r="AB142" i="11" s="1"/>
  <c r="G134" i="11"/>
  <c r="AB134" i="11" s="1"/>
  <c r="G126" i="11"/>
  <c r="AB126" i="11" s="1"/>
  <c r="G118" i="11"/>
  <c r="AB118" i="11" s="1"/>
  <c r="G110" i="11"/>
  <c r="AB110" i="11" s="1"/>
  <c r="G102" i="11"/>
  <c r="AB102" i="11" s="1"/>
  <c r="G94" i="11"/>
  <c r="AB94" i="11" s="1"/>
  <c r="G86" i="11"/>
  <c r="AB86" i="11" s="1"/>
  <c r="G78" i="11"/>
  <c r="AB78" i="11" s="1"/>
  <c r="G62" i="11"/>
  <c r="AB62" i="11" s="1"/>
  <c r="G54" i="11"/>
  <c r="AB54" i="11" s="1"/>
  <c r="G46" i="11"/>
  <c r="AB46" i="11" s="1"/>
  <c r="G38" i="11"/>
  <c r="AB38" i="11" s="1"/>
  <c r="G29" i="11"/>
  <c r="AB29" i="11" s="1"/>
  <c r="G21" i="11"/>
  <c r="AB21" i="11" s="1"/>
  <c r="G14" i="11"/>
  <c r="AB14" i="11" s="1"/>
  <c r="G301" i="11"/>
  <c r="AB301" i="11" s="1"/>
  <c r="G293" i="11"/>
  <c r="AB293" i="11" s="1"/>
  <c r="G285" i="11"/>
  <c r="AB285" i="11" s="1"/>
  <c r="G277" i="11"/>
  <c r="AB277" i="11" s="1"/>
  <c r="G269" i="11"/>
  <c r="AB269" i="11" s="1"/>
  <c r="G261" i="11"/>
  <c r="AB261" i="11" s="1"/>
  <c r="G253" i="11"/>
  <c r="AB253" i="11" s="1"/>
  <c r="G245" i="11"/>
  <c r="AB245" i="11" s="1"/>
  <c r="G237" i="11"/>
  <c r="AB237" i="11" s="1"/>
  <c r="G229" i="11"/>
  <c r="AB229" i="11" s="1"/>
  <c r="G221" i="11"/>
  <c r="AB221" i="11" s="1"/>
  <c r="G213" i="11"/>
  <c r="AB213" i="11" s="1"/>
  <c r="G205" i="11"/>
  <c r="AB205" i="11" s="1"/>
  <c r="G197" i="11"/>
  <c r="AB197" i="11" s="1"/>
  <c r="G189" i="11"/>
  <c r="AB189" i="11" s="1"/>
  <c r="G181" i="11"/>
  <c r="AB181" i="11" s="1"/>
  <c r="G173" i="11"/>
  <c r="AB173" i="11" s="1"/>
  <c r="G165" i="11"/>
  <c r="AB165" i="11" s="1"/>
  <c r="G157" i="11"/>
  <c r="AB157" i="11" s="1"/>
  <c r="G149" i="11"/>
  <c r="AB149" i="11" s="1"/>
  <c r="G141" i="11"/>
  <c r="AB141" i="11" s="1"/>
  <c r="AK141" i="11" s="1"/>
  <c r="AN141" i="11" s="1"/>
  <c r="G133" i="11"/>
  <c r="AB133" i="11" s="1"/>
  <c r="G125" i="11"/>
  <c r="AB125" i="11" s="1"/>
  <c r="G117" i="11"/>
  <c r="AB117" i="11" s="1"/>
  <c r="G109" i="11"/>
  <c r="AB109" i="11" s="1"/>
  <c r="G101" i="11"/>
  <c r="AB101" i="11" s="1"/>
  <c r="G93" i="11"/>
  <c r="AB93" i="11" s="1"/>
  <c r="G85" i="11"/>
  <c r="AB85" i="11" s="1"/>
  <c r="G77" i="11"/>
  <c r="AB77" i="11" s="1"/>
  <c r="G69" i="11"/>
  <c r="AB69" i="11" s="1"/>
  <c r="G61" i="11"/>
  <c r="AB61" i="11" s="1"/>
  <c r="G53" i="11"/>
  <c r="AB53" i="11" s="1"/>
  <c r="G45" i="11"/>
  <c r="AB45" i="11" s="1"/>
  <c r="G36" i="11"/>
  <c r="AB36" i="11" s="1"/>
  <c r="G28" i="11"/>
  <c r="AB28" i="11" s="1"/>
  <c r="G20" i="11"/>
  <c r="AB20" i="11" s="1"/>
  <c r="G13" i="11"/>
  <c r="AB13" i="11" s="1"/>
  <c r="G300" i="11"/>
  <c r="AB300" i="11" s="1"/>
  <c r="G292" i="11"/>
  <c r="AB292" i="11" s="1"/>
  <c r="G284" i="11"/>
  <c r="AB284" i="11" s="1"/>
  <c r="G276" i="11"/>
  <c r="AB276" i="11" s="1"/>
  <c r="G268" i="11"/>
  <c r="AB268" i="11" s="1"/>
  <c r="G260" i="11"/>
  <c r="AB260" i="11" s="1"/>
  <c r="G252" i="11"/>
  <c r="AB252" i="11" s="1"/>
  <c r="G244" i="11"/>
  <c r="AB244" i="11" s="1"/>
  <c r="G236" i="11"/>
  <c r="AB236" i="11" s="1"/>
  <c r="G228" i="11"/>
  <c r="AB228" i="11" s="1"/>
  <c r="G220" i="11"/>
  <c r="AB220" i="11" s="1"/>
  <c r="G212" i="11"/>
  <c r="AB212" i="11" s="1"/>
  <c r="G204" i="11"/>
  <c r="AB204" i="11" s="1"/>
  <c r="G196" i="11"/>
  <c r="AB196" i="11" s="1"/>
  <c r="G188" i="11"/>
  <c r="AB188" i="11" s="1"/>
  <c r="G180" i="11"/>
  <c r="AB180" i="11" s="1"/>
  <c r="G172" i="11"/>
  <c r="AB172" i="11" s="1"/>
  <c r="G164" i="11"/>
  <c r="AB164" i="11" s="1"/>
  <c r="G156" i="11"/>
  <c r="AB156" i="11" s="1"/>
  <c r="G148" i="11"/>
  <c r="AB148" i="11" s="1"/>
  <c r="G140" i="11"/>
  <c r="AB140" i="11" s="1"/>
  <c r="G132" i="11"/>
  <c r="AB132" i="11" s="1"/>
  <c r="G124" i="11"/>
  <c r="AB124" i="11" s="1"/>
  <c r="G116" i="11"/>
  <c r="AB116" i="11" s="1"/>
  <c r="G108" i="11"/>
  <c r="AB108" i="11" s="1"/>
  <c r="G100" i="11"/>
  <c r="AB100" i="11" s="1"/>
  <c r="G92" i="11"/>
  <c r="AB92" i="11" s="1"/>
  <c r="G84" i="11"/>
  <c r="AB84" i="11" s="1"/>
  <c r="G76" i="11"/>
  <c r="AB76" i="11" s="1"/>
  <c r="G68" i="11"/>
  <c r="AB68" i="11" s="1"/>
  <c r="G60" i="11"/>
  <c r="AB60" i="11" s="1"/>
  <c r="G52" i="11"/>
  <c r="AB52" i="11" s="1"/>
  <c r="G44" i="11"/>
  <c r="AB44" i="11" s="1"/>
  <c r="G35" i="11"/>
  <c r="AB35" i="11" s="1"/>
  <c r="G27" i="11"/>
  <c r="AB27" i="11" s="1"/>
  <c r="G12" i="11"/>
  <c r="AB12" i="11" s="1"/>
  <c r="G299" i="11"/>
  <c r="AB299" i="11" s="1"/>
  <c r="G291" i="11"/>
  <c r="AB291" i="11" s="1"/>
  <c r="G283" i="11"/>
  <c r="AB283" i="11" s="1"/>
  <c r="G275" i="11"/>
  <c r="AB275" i="11" s="1"/>
  <c r="G267" i="11"/>
  <c r="AB267" i="11" s="1"/>
  <c r="G259" i="11"/>
  <c r="AB259" i="11" s="1"/>
  <c r="G251" i="11"/>
  <c r="AB251" i="11" s="1"/>
  <c r="G243" i="11"/>
  <c r="AB243" i="11" s="1"/>
  <c r="G235" i="11"/>
  <c r="AB235" i="11" s="1"/>
  <c r="G227" i="11"/>
  <c r="AB227" i="11" s="1"/>
  <c r="G219" i="11"/>
  <c r="AB219" i="11" s="1"/>
  <c r="G211" i="11"/>
  <c r="AB211" i="11" s="1"/>
  <c r="G203" i="11"/>
  <c r="AB203" i="11" s="1"/>
  <c r="G195" i="11"/>
  <c r="AB195" i="11" s="1"/>
  <c r="G187" i="11"/>
  <c r="AB187" i="11" s="1"/>
  <c r="G179" i="11"/>
  <c r="AB179" i="11" s="1"/>
  <c r="G171" i="11"/>
  <c r="AB171" i="11" s="1"/>
  <c r="G163" i="11"/>
  <c r="AB163" i="11" s="1"/>
  <c r="G155" i="11"/>
  <c r="AB155" i="11" s="1"/>
  <c r="G147" i="11"/>
  <c r="AB147" i="11" s="1"/>
  <c r="G139" i="11"/>
  <c r="AB139" i="11" s="1"/>
  <c r="G131" i="11"/>
  <c r="AB131" i="11" s="1"/>
  <c r="G123" i="11"/>
  <c r="AB123" i="11" s="1"/>
  <c r="G115" i="11"/>
  <c r="AB115" i="11" s="1"/>
  <c r="G107" i="11"/>
  <c r="AB107" i="11" s="1"/>
  <c r="G99" i="11"/>
  <c r="AB99" i="11" s="1"/>
  <c r="G91" i="11"/>
  <c r="AB91" i="11" s="1"/>
  <c r="G83" i="11"/>
  <c r="AB83" i="11" s="1"/>
  <c r="G75" i="11"/>
  <c r="AB75" i="11" s="1"/>
  <c r="G67" i="11"/>
  <c r="AB67" i="11" s="1"/>
  <c r="G59" i="11"/>
  <c r="AB59" i="11" s="1"/>
  <c r="G51" i="11"/>
  <c r="AB51" i="11" s="1"/>
  <c r="G43" i="11"/>
  <c r="AB43" i="11" s="1"/>
  <c r="G34" i="11"/>
  <c r="AB34" i="11" s="1"/>
  <c r="G26" i="11"/>
  <c r="AB26" i="11" s="1"/>
  <c r="G19" i="11"/>
  <c r="AB19" i="11" s="1"/>
  <c r="G11" i="11"/>
  <c r="AB11" i="11" s="1"/>
  <c r="G298" i="11"/>
  <c r="AB298" i="11" s="1"/>
  <c r="G290" i="11"/>
  <c r="AB290" i="11" s="1"/>
  <c r="G282" i="11"/>
  <c r="AB282" i="11" s="1"/>
  <c r="G274" i="11"/>
  <c r="AB274" i="11" s="1"/>
  <c r="G266" i="11"/>
  <c r="AB266" i="11" s="1"/>
  <c r="G258" i="11"/>
  <c r="AB258" i="11" s="1"/>
  <c r="G250" i="11"/>
  <c r="AB250" i="11" s="1"/>
  <c r="G242" i="11"/>
  <c r="AB242" i="11" s="1"/>
  <c r="G234" i="11"/>
  <c r="AB234" i="11" s="1"/>
  <c r="G226" i="11"/>
  <c r="AB226" i="11" s="1"/>
  <c r="G218" i="11"/>
  <c r="AB218" i="11" s="1"/>
  <c r="G210" i="11"/>
  <c r="AB210" i="11" s="1"/>
  <c r="G202" i="11"/>
  <c r="AB202" i="11" s="1"/>
  <c r="G194" i="11"/>
  <c r="AB194" i="11" s="1"/>
  <c r="G186" i="11"/>
  <c r="AB186" i="11" s="1"/>
  <c r="G178" i="11"/>
  <c r="AB178" i="11" s="1"/>
  <c r="G170" i="11"/>
  <c r="AB170" i="11" s="1"/>
  <c r="G162" i="11"/>
  <c r="AB162" i="11" s="1"/>
  <c r="G154" i="11"/>
  <c r="AB154" i="11" s="1"/>
  <c r="G146" i="11"/>
  <c r="AB146" i="11" s="1"/>
  <c r="G138" i="11"/>
  <c r="AB138" i="11" s="1"/>
  <c r="G130" i="11"/>
  <c r="AB130" i="11" s="1"/>
  <c r="G122" i="11"/>
  <c r="AB122" i="11" s="1"/>
  <c r="G114" i="11"/>
  <c r="AB114" i="11" s="1"/>
  <c r="G106" i="11"/>
  <c r="AB106" i="11" s="1"/>
  <c r="G98" i="11"/>
  <c r="AB98" i="11" s="1"/>
  <c r="G90" i="11"/>
  <c r="AB90" i="11" s="1"/>
  <c r="G82" i="11"/>
  <c r="AB82" i="11" s="1"/>
  <c r="G74" i="11"/>
  <c r="AB74" i="11" s="1"/>
  <c r="G66" i="11"/>
  <c r="AB66" i="11" s="1"/>
  <c r="G58" i="11"/>
  <c r="AB58" i="11" s="1"/>
  <c r="G50" i="11"/>
  <c r="AB50" i="11" s="1"/>
  <c r="G42" i="11"/>
  <c r="AB42" i="11" s="1"/>
  <c r="G33" i="11"/>
  <c r="AB33" i="11" s="1"/>
  <c r="G25" i="11"/>
  <c r="AB25" i="11" s="1"/>
  <c r="G18" i="11"/>
  <c r="AB18" i="11" s="1"/>
  <c r="G10" i="11"/>
  <c r="AB10" i="11" s="1"/>
  <c r="G6" i="11"/>
  <c r="AB6" i="11" s="1"/>
  <c r="G297" i="11"/>
  <c r="AB297" i="11" s="1"/>
  <c r="G289" i="11"/>
  <c r="AB289" i="11" s="1"/>
  <c r="G281" i="11"/>
  <c r="AB281" i="11" s="1"/>
  <c r="G273" i="11"/>
  <c r="AB273" i="11" s="1"/>
  <c r="G265" i="11"/>
  <c r="AB265" i="11" s="1"/>
  <c r="G257" i="11"/>
  <c r="AB257" i="11" s="1"/>
  <c r="G249" i="11"/>
  <c r="AB249" i="11" s="1"/>
  <c r="G241" i="11"/>
  <c r="AB241" i="11" s="1"/>
  <c r="G233" i="11"/>
  <c r="AB233" i="11" s="1"/>
  <c r="G225" i="11"/>
  <c r="AB225" i="11" s="1"/>
  <c r="G217" i="11"/>
  <c r="AB217" i="11" s="1"/>
  <c r="G209" i="11"/>
  <c r="AB209" i="11" s="1"/>
  <c r="G201" i="11"/>
  <c r="AB201" i="11" s="1"/>
  <c r="G193" i="11"/>
  <c r="AB193" i="11" s="1"/>
  <c r="G185" i="11"/>
  <c r="AB185" i="11" s="1"/>
  <c r="G177" i="11"/>
  <c r="AB177" i="11" s="1"/>
  <c r="G169" i="11"/>
  <c r="AB169" i="11" s="1"/>
  <c r="G161" i="11"/>
  <c r="AB161" i="11" s="1"/>
  <c r="G153" i="11"/>
  <c r="AB153" i="11" s="1"/>
  <c r="G145" i="11"/>
  <c r="AB145" i="11" s="1"/>
  <c r="G137" i="11"/>
  <c r="AB137" i="11" s="1"/>
  <c r="G129" i="11"/>
  <c r="AB129" i="11" s="1"/>
  <c r="G121" i="11"/>
  <c r="AB121" i="11" s="1"/>
  <c r="G113" i="11"/>
  <c r="AB113" i="11" s="1"/>
  <c r="G105" i="11"/>
  <c r="AB105" i="11" s="1"/>
  <c r="G97" i="11"/>
  <c r="AB97" i="11" s="1"/>
  <c r="G89" i="11"/>
  <c r="AB89" i="11" s="1"/>
  <c r="G81" i="11"/>
  <c r="AB81" i="11" s="1"/>
  <c r="G73" i="11"/>
  <c r="AB73" i="11" s="1"/>
  <c r="G65" i="11"/>
  <c r="AB65" i="11" s="1"/>
  <c r="G57" i="11"/>
  <c r="AB57" i="11" s="1"/>
  <c r="G49" i="11"/>
  <c r="AB49" i="11" s="1"/>
  <c r="G41" i="11"/>
  <c r="AB41" i="11" s="1"/>
  <c r="G32" i="11"/>
  <c r="AB32" i="11" s="1"/>
  <c r="G24" i="11"/>
  <c r="AB24" i="11" s="1"/>
  <c r="G17" i="11"/>
  <c r="AB17" i="11" s="1"/>
  <c r="G9" i="11"/>
  <c r="AB9" i="11" s="1"/>
  <c r="G296" i="11"/>
  <c r="AB296" i="11" s="1"/>
  <c r="G288" i="11"/>
  <c r="AB288" i="11" s="1"/>
  <c r="G280" i="11"/>
  <c r="AB280" i="11" s="1"/>
  <c r="G272" i="11"/>
  <c r="AB272" i="11" s="1"/>
  <c r="G264" i="11"/>
  <c r="AB264" i="11" s="1"/>
  <c r="G256" i="11"/>
  <c r="AB256" i="11" s="1"/>
  <c r="G248" i="11"/>
  <c r="AB248" i="11" s="1"/>
  <c r="AK248" i="11" s="1"/>
  <c r="AN248" i="11" s="1"/>
  <c r="G240" i="11"/>
  <c r="AB240" i="11" s="1"/>
  <c r="G232" i="11"/>
  <c r="AB232" i="11" s="1"/>
  <c r="G224" i="11"/>
  <c r="AB224" i="11" s="1"/>
  <c r="G216" i="11"/>
  <c r="AB216" i="11" s="1"/>
  <c r="G208" i="11"/>
  <c r="AB208" i="11" s="1"/>
  <c r="G200" i="11"/>
  <c r="AB200" i="11" s="1"/>
  <c r="G192" i="11"/>
  <c r="AB192" i="11" s="1"/>
  <c r="G184" i="11"/>
  <c r="AB184" i="11" s="1"/>
  <c r="G176" i="11"/>
  <c r="AB176" i="11" s="1"/>
  <c r="G168" i="11"/>
  <c r="AB168" i="11" s="1"/>
  <c r="G160" i="11"/>
  <c r="AB160" i="11" s="1"/>
  <c r="G152" i="11"/>
  <c r="AB152" i="11" s="1"/>
  <c r="G144" i="11"/>
  <c r="AB144" i="11" s="1"/>
  <c r="G136" i="11"/>
  <c r="AB136" i="11" s="1"/>
  <c r="G128" i="11"/>
  <c r="AB128" i="11" s="1"/>
  <c r="G120" i="11"/>
  <c r="AB120" i="11" s="1"/>
  <c r="G112" i="11"/>
  <c r="AB112" i="11" s="1"/>
  <c r="G104" i="11"/>
  <c r="AB104" i="11" s="1"/>
  <c r="G96" i="11"/>
  <c r="AB96" i="11" s="1"/>
  <c r="G88" i="11"/>
  <c r="AB88" i="11" s="1"/>
  <c r="G80" i="11"/>
  <c r="AB80" i="11" s="1"/>
  <c r="G72" i="11"/>
  <c r="AB72" i="11" s="1"/>
  <c r="G64" i="11"/>
  <c r="AB64" i="11" s="1"/>
  <c r="G56" i="11"/>
  <c r="AB56" i="11" s="1"/>
  <c r="G48" i="11"/>
  <c r="AB48" i="11" s="1"/>
  <c r="G40" i="11"/>
  <c r="AB40" i="11" s="1"/>
  <c r="G31" i="11"/>
  <c r="AB31" i="11" s="1"/>
  <c r="G23" i="11"/>
  <c r="AB23" i="11" s="1"/>
  <c r="G16" i="11"/>
  <c r="AB16" i="11" s="1"/>
  <c r="G8" i="11"/>
  <c r="AB8" i="11" s="1"/>
  <c r="G37" i="11"/>
  <c r="AB37" i="11" s="1"/>
  <c r="G303" i="11"/>
  <c r="AB303" i="11" s="1"/>
  <c r="G295" i="11"/>
  <c r="AB295" i="11" s="1"/>
  <c r="G287" i="11"/>
  <c r="AB287" i="11" s="1"/>
  <c r="G279" i="11"/>
  <c r="AB279" i="11" s="1"/>
  <c r="G271" i="11"/>
  <c r="AB271" i="11" s="1"/>
  <c r="G263" i="11"/>
  <c r="AB263" i="11" s="1"/>
  <c r="G255" i="11"/>
  <c r="AB255" i="11" s="1"/>
  <c r="G247" i="11"/>
  <c r="AB247" i="11" s="1"/>
  <c r="G239" i="11"/>
  <c r="AB239" i="11" s="1"/>
  <c r="G231" i="11"/>
  <c r="AB231" i="11" s="1"/>
  <c r="G223" i="11"/>
  <c r="AB223" i="11" s="1"/>
  <c r="G215" i="11"/>
  <c r="AB215" i="11" s="1"/>
  <c r="AT215" i="11" s="1"/>
  <c r="AW215" i="11" s="1"/>
  <c r="G207" i="11"/>
  <c r="AB207" i="11" s="1"/>
  <c r="G199" i="11"/>
  <c r="AB199" i="11" s="1"/>
  <c r="G191" i="11"/>
  <c r="AB191" i="11" s="1"/>
  <c r="G183" i="11"/>
  <c r="AB183" i="11" s="1"/>
  <c r="G175" i="11"/>
  <c r="AB175" i="11" s="1"/>
  <c r="G167" i="11"/>
  <c r="AB167" i="11" s="1"/>
  <c r="G159" i="11"/>
  <c r="AB159" i="11" s="1"/>
  <c r="G151" i="11"/>
  <c r="AB151" i="11" s="1"/>
  <c r="G143" i="11"/>
  <c r="AB143" i="11" s="1"/>
  <c r="G135" i="11"/>
  <c r="AB135" i="11" s="1"/>
  <c r="G127" i="11"/>
  <c r="AB127" i="11" s="1"/>
  <c r="G119" i="11"/>
  <c r="AB119" i="11" s="1"/>
  <c r="G111" i="11"/>
  <c r="AB111" i="11" s="1"/>
  <c r="G103" i="11"/>
  <c r="AB103" i="11" s="1"/>
  <c r="G95" i="11"/>
  <c r="AB95" i="11" s="1"/>
  <c r="G87" i="11"/>
  <c r="AB87" i="11" s="1"/>
  <c r="G79" i="11"/>
  <c r="AB79" i="11" s="1"/>
  <c r="G71" i="11"/>
  <c r="AB71" i="11" s="1"/>
  <c r="G63" i="11"/>
  <c r="AB63" i="11" s="1"/>
  <c r="G55" i="11"/>
  <c r="AB55" i="11" s="1"/>
  <c r="G47" i="11"/>
  <c r="AB47" i="11" s="1"/>
  <c r="G39" i="11"/>
  <c r="AB39" i="11" s="1"/>
  <c r="G30" i="11"/>
  <c r="AB30" i="11" s="1"/>
  <c r="G22" i="11"/>
  <c r="AB22" i="11" s="1"/>
  <c r="G15" i="11"/>
  <c r="AB15" i="11" s="1"/>
  <c r="G7" i="11"/>
  <c r="AB7" i="11" s="1"/>
  <c r="BM276" i="11"/>
  <c r="BN276" i="11" s="1"/>
  <c r="BM300" i="11"/>
  <c r="BN300" i="11" s="1"/>
  <c r="BM284" i="11"/>
  <c r="BN284" i="11" s="1"/>
  <c r="BM292" i="11"/>
  <c r="BN292" i="11" s="1"/>
  <c r="BM299" i="11"/>
  <c r="BN299" i="11" s="1"/>
  <c r="BM6" i="11"/>
  <c r="BN6" i="11" s="1"/>
  <c r="BM291" i="11"/>
  <c r="BN291" i="11" s="1"/>
  <c r="AB5" i="11"/>
  <c r="BM5" i="11"/>
  <c r="BN5" i="11" s="1"/>
  <c r="BM37" i="11"/>
  <c r="BN37" i="11" s="1"/>
  <c r="BM162" i="11"/>
  <c r="BN162" i="11" s="1"/>
  <c r="BM194" i="11"/>
  <c r="BN194" i="11" s="1"/>
  <c r="BM226" i="11"/>
  <c r="BN226" i="11" s="1"/>
  <c r="BM25" i="11"/>
  <c r="BN25" i="11" s="1"/>
  <c r="Z25" i="11" s="1"/>
  <c r="BM33" i="11"/>
  <c r="BN33" i="11" s="1"/>
  <c r="BM66" i="11"/>
  <c r="BN66" i="11" s="1"/>
  <c r="BM74" i="11"/>
  <c r="BN74" i="11" s="1"/>
  <c r="BM82" i="11"/>
  <c r="BN82" i="11" s="1"/>
  <c r="BM90" i="11"/>
  <c r="BN90" i="11" s="1"/>
  <c r="BM122" i="11"/>
  <c r="BN122" i="11" s="1"/>
  <c r="BM154" i="11"/>
  <c r="BN154" i="11" s="1"/>
  <c r="BM250" i="11"/>
  <c r="BN250" i="11" s="1"/>
  <c r="BM274" i="11"/>
  <c r="BN274" i="11" s="1"/>
  <c r="BM114" i="11"/>
  <c r="BN114" i="11" s="1"/>
  <c r="BM290" i="11"/>
  <c r="BN290" i="11" s="1"/>
  <c r="BM50" i="11"/>
  <c r="BN50" i="11" s="1"/>
  <c r="BM178" i="11"/>
  <c r="BN178" i="11" s="1"/>
  <c r="BM242" i="11"/>
  <c r="BN242" i="11" s="1"/>
  <c r="BM266" i="11"/>
  <c r="BN266" i="11" s="1"/>
  <c r="BM4" i="11"/>
  <c r="BN4" i="11" s="1"/>
  <c r="BM106" i="11"/>
  <c r="BN106" i="11" s="1"/>
  <c r="BM42" i="11"/>
  <c r="BN42" i="11" s="1"/>
  <c r="BM234" i="11"/>
  <c r="BN234" i="11" s="1"/>
  <c r="BM282" i="11"/>
  <c r="BN282" i="11" s="1"/>
  <c r="AH298" i="11"/>
  <c r="W93" i="11"/>
  <c r="W125" i="11"/>
  <c r="W149" i="11"/>
  <c r="W148" i="11"/>
  <c r="W172" i="11"/>
  <c r="W259" i="11"/>
  <c r="W105" i="11"/>
  <c r="W137" i="11"/>
  <c r="W177" i="11"/>
  <c r="W185" i="11"/>
  <c r="W257" i="11"/>
  <c r="W273" i="11"/>
  <c r="W190" i="11"/>
  <c r="W107" i="11"/>
  <c r="W131" i="11"/>
  <c r="W129" i="11"/>
  <c r="W141" i="11"/>
  <c r="W145" i="11"/>
  <c r="W157" i="11"/>
  <c r="W161" i="11"/>
  <c r="W221" i="11"/>
  <c r="W261" i="11"/>
  <c r="W56" i="11"/>
  <c r="W92" i="11"/>
  <c r="W96" i="11"/>
  <c r="W160" i="11"/>
  <c r="W196" i="11"/>
  <c r="W200" i="11"/>
  <c r="W236" i="11"/>
  <c r="W240" i="11"/>
  <c r="W252" i="11"/>
  <c r="W248" i="11"/>
  <c r="W232" i="11"/>
  <c r="AC167" i="11"/>
  <c r="W187" i="11"/>
  <c r="W223" i="11"/>
  <c r="W57" i="11"/>
  <c r="W97" i="11"/>
  <c r="W101" i="11"/>
  <c r="W133" i="11"/>
  <c r="W165" i="11"/>
  <c r="W169" i="11"/>
  <c r="W173" i="11"/>
  <c r="W181" i="11"/>
  <c r="W193" i="11"/>
  <c r="W217" i="11"/>
  <c r="W245" i="11"/>
  <c r="W253" i="11"/>
  <c r="W265" i="11"/>
  <c r="W269" i="11"/>
  <c r="W277" i="11"/>
  <c r="W281" i="11"/>
  <c r="AD2" i="3"/>
  <c r="C5" i="19" s="1"/>
  <c r="W61" i="11"/>
  <c r="W65" i="11"/>
  <c r="W69" i="11"/>
  <c r="W73" i="11"/>
  <c r="W77" i="11"/>
  <c r="W81" i="11"/>
  <c r="W85" i="11"/>
  <c r="W89" i="11"/>
  <c r="W109" i="11"/>
  <c r="W113" i="11"/>
  <c r="W153" i="11"/>
  <c r="W201" i="11"/>
  <c r="W205" i="11"/>
  <c r="W213" i="11"/>
  <c r="W225" i="11"/>
  <c r="W233" i="11"/>
  <c r="W237" i="11"/>
  <c r="W241" i="11"/>
  <c r="W249" i="11"/>
  <c r="W285" i="11"/>
  <c r="W108" i="11"/>
  <c r="W120" i="11"/>
  <c r="W136" i="11"/>
  <c r="W188" i="11"/>
  <c r="W204" i="11"/>
  <c r="AA211" i="11"/>
  <c r="AC211" i="11"/>
  <c r="W212" i="11"/>
  <c r="W264" i="11"/>
  <c r="AA299" i="11"/>
  <c r="AC299" i="11"/>
  <c r="W115" i="11"/>
  <c r="W155" i="11"/>
  <c r="W171" i="11"/>
  <c r="W179" i="11"/>
  <c r="W207" i="11"/>
  <c r="W215" i="11"/>
  <c r="W247" i="11"/>
  <c r="W283" i="11"/>
  <c r="W291" i="11"/>
  <c r="W299" i="11"/>
  <c r="W59" i="11"/>
  <c r="W99" i="11"/>
  <c r="W142" i="11"/>
  <c r="W186" i="11"/>
  <c r="W286" i="11"/>
  <c r="AC263" i="11"/>
  <c r="AD237" i="11"/>
  <c r="AD141" i="11"/>
  <c r="W29" i="11"/>
  <c r="W35" i="11"/>
  <c r="W21" i="11"/>
  <c r="W34" i="11"/>
  <c r="W50" i="11"/>
  <c r="W121" i="11"/>
  <c r="W229" i="11"/>
  <c r="W117" i="11"/>
  <c r="W189" i="11"/>
  <c r="W209" i="11"/>
  <c r="W36" i="11"/>
  <c r="W44" i="11"/>
  <c r="W52" i="11"/>
  <c r="W37" i="11"/>
  <c r="W42" i="11"/>
  <c r="W51" i="11"/>
  <c r="W64" i="11"/>
  <c r="W68" i="11"/>
  <c r="W76" i="11"/>
  <c r="W80" i="11"/>
  <c r="W88" i="11"/>
  <c r="W112" i="11"/>
  <c r="W116" i="11"/>
  <c r="W128" i="11"/>
  <c r="W132" i="11"/>
  <c r="W140" i="11"/>
  <c r="W152" i="11"/>
  <c r="W164" i="11"/>
  <c r="W168" i="11"/>
  <c r="W176" i="11"/>
  <c r="W180" i="11"/>
  <c r="W184" i="11"/>
  <c r="W192" i="11"/>
  <c r="W208" i="11"/>
  <c r="W216" i="11"/>
  <c r="W224" i="11"/>
  <c r="W228" i="11"/>
  <c r="W256" i="11"/>
  <c r="W260" i="11"/>
  <c r="W272" i="11"/>
  <c r="W276" i="11"/>
  <c r="W284" i="11"/>
  <c r="W288" i="11"/>
  <c r="W292" i="11"/>
  <c r="W296" i="11"/>
  <c r="W300" i="11"/>
  <c r="W22" i="11"/>
  <c r="W31" i="11"/>
  <c r="W28" i="11"/>
  <c r="W11" i="11"/>
  <c r="W7" i="11"/>
  <c r="W87" i="11"/>
  <c r="W95" i="11"/>
  <c r="W167" i="11"/>
  <c r="W175" i="11"/>
  <c r="W183" i="11"/>
  <c r="W211" i="11"/>
  <c r="W243" i="11"/>
  <c r="W271" i="11"/>
  <c r="W279" i="11"/>
  <c r="W82" i="11"/>
  <c r="W110" i="11"/>
  <c r="W122" i="11"/>
  <c r="W154" i="11"/>
  <c r="W162" i="11"/>
  <c r="W166" i="11"/>
  <c r="W170" i="11"/>
  <c r="W178" i="11"/>
  <c r="W182" i="11"/>
  <c r="W194" i="11"/>
  <c r="W202" i="11"/>
  <c r="W258" i="11"/>
  <c r="W274" i="11"/>
  <c r="W278" i="11"/>
  <c r="W290" i="11"/>
  <c r="W298" i="11"/>
  <c r="W14" i="11"/>
  <c r="W26" i="11"/>
  <c r="W47" i="11"/>
  <c r="AE278" i="11"/>
  <c r="W5" i="11"/>
  <c r="W20" i="11"/>
  <c r="W49" i="11"/>
  <c r="AD270" i="11"/>
  <c r="AE270" i="11"/>
  <c r="AC284" i="11"/>
  <c r="AA284" i="11"/>
  <c r="W13" i="11"/>
  <c r="W41" i="11"/>
  <c r="W60" i="11"/>
  <c r="W72" i="11"/>
  <c r="W84" i="11"/>
  <c r="W124" i="11"/>
  <c r="W156" i="11"/>
  <c r="W244" i="11"/>
  <c r="W280" i="11"/>
  <c r="W8" i="11"/>
  <c r="W24" i="11"/>
  <c r="W48" i="11"/>
  <c r="W17" i="11"/>
  <c r="W33" i="11"/>
  <c r="W19" i="11"/>
  <c r="W30" i="11"/>
  <c r="W103" i="11"/>
  <c r="W111" i="11"/>
  <c r="W119" i="11"/>
  <c r="W123" i="11"/>
  <c r="W135" i="11"/>
  <c r="W139" i="11"/>
  <c r="W151" i="11"/>
  <c r="W159" i="11"/>
  <c r="W163" i="11"/>
  <c r="W191" i="11"/>
  <c r="W195" i="11"/>
  <c r="W199" i="11"/>
  <c r="W231" i="11"/>
  <c r="W235" i="11"/>
  <c r="W239" i="11"/>
  <c r="W251" i="11"/>
  <c r="W263" i="11"/>
  <c r="W267" i="11"/>
  <c r="W275" i="11"/>
  <c r="W295" i="11"/>
  <c r="W303" i="11"/>
  <c r="W100" i="11"/>
  <c r="W104" i="11"/>
  <c r="W144" i="11"/>
  <c r="W220" i="11"/>
  <c r="W268" i="11"/>
  <c r="W16" i="11"/>
  <c r="W32" i="11"/>
  <c r="W40" i="11"/>
  <c r="W25" i="11"/>
  <c r="W38" i="11"/>
  <c r="W43" i="11"/>
  <c r="W15" i="11"/>
  <c r="W39" i="11"/>
  <c r="AE265" i="11"/>
  <c r="AC279" i="11"/>
  <c r="AE185" i="11"/>
  <c r="AE81" i="11"/>
  <c r="AD97" i="11"/>
  <c r="W55" i="11"/>
  <c r="W63" i="11"/>
  <c r="W67" i="11"/>
  <c r="W71" i="11"/>
  <c r="W75" i="11"/>
  <c r="W79" i="11"/>
  <c r="W83" i="11"/>
  <c r="W91" i="11"/>
  <c r="W127" i="11"/>
  <c r="W143" i="11"/>
  <c r="W147" i="11"/>
  <c r="W203" i="11"/>
  <c r="W219" i="11"/>
  <c r="W227" i="11"/>
  <c r="W255" i="11"/>
  <c r="W287" i="11"/>
  <c r="W45" i="11"/>
  <c r="W53" i="11"/>
  <c r="W27" i="11"/>
  <c r="W18" i="11"/>
  <c r="W46" i="11"/>
  <c r="W23" i="11"/>
  <c r="W6" i="11"/>
  <c r="AE281" i="11"/>
  <c r="AE257" i="11"/>
  <c r="AC267" i="11"/>
  <c r="AE169" i="11"/>
  <c r="W54" i="11"/>
  <c r="W58" i="11"/>
  <c r="W62" i="11"/>
  <c r="W66" i="11"/>
  <c r="W70" i="11"/>
  <c r="W74" i="11"/>
  <c r="W78" i="11"/>
  <c r="W86" i="11"/>
  <c r="W90" i="11"/>
  <c r="W94" i="11"/>
  <c r="W98" i="11"/>
  <c r="W102" i="11"/>
  <c r="W106" i="11"/>
  <c r="W114" i="11"/>
  <c r="W118" i="11"/>
  <c r="W126" i="11"/>
  <c r="W130" i="11"/>
  <c r="W134" i="11"/>
  <c r="W138" i="11"/>
  <c r="W146" i="11"/>
  <c r="W150" i="11"/>
  <c r="W158" i="11"/>
  <c r="W174" i="11"/>
  <c r="W198" i="11"/>
  <c r="W206" i="11"/>
  <c r="W210" i="11"/>
  <c r="W214" i="11"/>
  <c r="W218" i="11"/>
  <c r="W222" i="11"/>
  <c r="W226" i="11"/>
  <c r="W230" i="11"/>
  <c r="W234" i="11"/>
  <c r="W238" i="11"/>
  <c r="W242" i="11"/>
  <c r="W246" i="11"/>
  <c r="W250" i="11"/>
  <c r="W254" i="11"/>
  <c r="W262" i="11"/>
  <c r="W266" i="11"/>
  <c r="W270" i="11"/>
  <c r="W282" i="11"/>
  <c r="W294" i="11"/>
  <c r="W302" i="11"/>
  <c r="W289" i="11"/>
  <c r="W293" i="11"/>
  <c r="W297" i="11"/>
  <c r="W301" i="11"/>
  <c r="AA87" i="11"/>
  <c r="AA147" i="11"/>
  <c r="AH147" i="11" s="1"/>
  <c r="AC83" i="11"/>
  <c r="AE129" i="11"/>
  <c r="AD153" i="11"/>
  <c r="AD296" i="11"/>
  <c r="AF52" i="11"/>
  <c r="AS52" i="11" s="1"/>
  <c r="AC189" i="11"/>
  <c r="AC302" i="11"/>
  <c r="AA230" i="11"/>
  <c r="AA290" i="11"/>
  <c r="AA286" i="11"/>
  <c r="AD284" i="11"/>
  <c r="AC298" i="11"/>
  <c r="AD264" i="11"/>
  <c r="AC294" i="11"/>
  <c r="AD300" i="11"/>
  <c r="AH300" i="11" s="1"/>
  <c r="AD258" i="11"/>
  <c r="AE273" i="11"/>
  <c r="AC303" i="11"/>
  <c r="AA275" i="11"/>
  <c r="AA248" i="11"/>
  <c r="AE137" i="11"/>
  <c r="AC151" i="11"/>
  <c r="AC175" i="11"/>
  <c r="AC143" i="11"/>
  <c r="AE238" i="11"/>
  <c r="AD209" i="11"/>
  <c r="AD222" i="11"/>
  <c r="AA243" i="11"/>
  <c r="AE146" i="11"/>
  <c r="AE109" i="11"/>
  <c r="AC223" i="11"/>
  <c r="AC171" i="11"/>
  <c r="AD269" i="11"/>
  <c r="AA172" i="11"/>
  <c r="AQ172" i="11" s="1"/>
  <c r="AE294" i="11"/>
  <c r="AA260" i="11"/>
  <c r="AC236" i="11"/>
  <c r="AC208" i="11"/>
  <c r="AD266" i="11"/>
  <c r="AF48" i="11"/>
  <c r="AA288" i="11"/>
  <c r="AA280" i="11"/>
  <c r="AC244" i="11"/>
  <c r="AC218" i="11"/>
  <c r="AA164" i="11"/>
  <c r="AE228" i="11"/>
  <c r="AD230" i="11"/>
  <c r="AA226" i="11"/>
  <c r="AE72" i="11"/>
  <c r="AC47" i="11"/>
  <c r="AD292" i="11"/>
  <c r="AC66" i="11"/>
  <c r="AE224" i="11"/>
  <c r="AC4" i="11"/>
  <c r="AC173" i="11"/>
  <c r="AD191" i="11"/>
  <c r="AE288" i="11"/>
  <c r="AA246" i="11"/>
  <c r="AA282" i="11"/>
  <c r="AE162" i="11"/>
  <c r="AE150" i="11"/>
  <c r="AD167" i="11"/>
  <c r="AF6" i="11"/>
  <c r="AE203" i="11"/>
  <c r="AE135" i="11"/>
  <c r="AA181" i="11"/>
  <c r="AQ181" i="11" s="1"/>
  <c r="AC105" i="11"/>
  <c r="AD123" i="11"/>
  <c r="AD107" i="11"/>
  <c r="AE282" i="11"/>
  <c r="AE274" i="11"/>
  <c r="AE234" i="11"/>
  <c r="AC297" i="11"/>
  <c r="AC293" i="11"/>
  <c r="AA264" i="11"/>
  <c r="AA240" i="11"/>
  <c r="AC232" i="11"/>
  <c r="AE175" i="11"/>
  <c r="AC204" i="11"/>
  <c r="AC180" i="11"/>
  <c r="AC157" i="11"/>
  <c r="AA141" i="11"/>
  <c r="AC104" i="11"/>
  <c r="AC165" i="11"/>
  <c r="AE90" i="11"/>
  <c r="AE290" i="11"/>
  <c r="AE262" i="11"/>
  <c r="AC296" i="11"/>
  <c r="AA6" i="11"/>
  <c r="AC193" i="11"/>
  <c r="AC148" i="11"/>
  <c r="AC137" i="11"/>
  <c r="AE242" i="11"/>
  <c r="AE195" i="11"/>
  <c r="AD122" i="11"/>
  <c r="AD158" i="11"/>
  <c r="AD202" i="11"/>
  <c r="AF8" i="11"/>
  <c r="AF12" i="11"/>
  <c r="AF32" i="11"/>
  <c r="AE253" i="11"/>
  <c r="AE204" i="11"/>
  <c r="AC259" i="11"/>
  <c r="AC239" i="11"/>
  <c r="AA219" i="11"/>
  <c r="AC188" i="11"/>
  <c r="AA168" i="11"/>
  <c r="AC144" i="11"/>
  <c r="AC36" i="11"/>
  <c r="AD297" i="11"/>
  <c r="AD249" i="11"/>
  <c r="AD205" i="11"/>
  <c r="AS205" i="11" s="1"/>
  <c r="AD51" i="11"/>
  <c r="AE241" i="11"/>
  <c r="AE277" i="11"/>
  <c r="AE261" i="11"/>
  <c r="AC271" i="11"/>
  <c r="AA255" i="11"/>
  <c r="AH255" i="11" s="1"/>
  <c r="AC231" i="11"/>
  <c r="AA111" i="11"/>
  <c r="AA200" i="11"/>
  <c r="AC152" i="11"/>
  <c r="AC112" i="11"/>
  <c r="AC19" i="11"/>
  <c r="AC53" i="11"/>
  <c r="AE166" i="11"/>
  <c r="AE115" i="11"/>
  <c r="AD113" i="11"/>
  <c r="AD134" i="11"/>
  <c r="Y108" i="11"/>
  <c r="Y112" i="11"/>
  <c r="Y124" i="11"/>
  <c r="Y132" i="11"/>
  <c r="AF64" i="11"/>
  <c r="AC16" i="11"/>
  <c r="AC76" i="11"/>
  <c r="AF76" i="11"/>
  <c r="AE291" i="11"/>
  <c r="AE283" i="11"/>
  <c r="AE279" i="11"/>
  <c r="AD295" i="11"/>
  <c r="AE60" i="11"/>
  <c r="AC114" i="11"/>
  <c r="AA107" i="11"/>
  <c r="AC197" i="11"/>
  <c r="AA159" i="11"/>
  <c r="AC79" i="11"/>
  <c r="AA179" i="11"/>
  <c r="AH179" i="11" s="1"/>
  <c r="AE155" i="11"/>
  <c r="AD119" i="11"/>
  <c r="AD177" i="11"/>
  <c r="AD183" i="11"/>
  <c r="AD187" i="11"/>
  <c r="AH187" i="11" s="1"/>
  <c r="AS169" i="11"/>
  <c r="AE56" i="11"/>
  <c r="AC45" i="11"/>
  <c r="AC70" i="11"/>
  <c r="AD50" i="11"/>
  <c r="AE42" i="11"/>
  <c r="AE9" i="11"/>
  <c r="AC106" i="11"/>
  <c r="AC227" i="11"/>
  <c r="AA235" i="11"/>
  <c r="AE186" i="11"/>
  <c r="AE114" i="11"/>
  <c r="AE66" i="11"/>
  <c r="AC176" i="11"/>
  <c r="AA101" i="11"/>
  <c r="AA215" i="11"/>
  <c r="AA158" i="11"/>
  <c r="AA140" i="11"/>
  <c r="AC120" i="11"/>
  <c r="AA96" i="11"/>
  <c r="AC21" i="11"/>
  <c r="AE245" i="11"/>
  <c r="AC80" i="11"/>
  <c r="AC84" i="11"/>
  <c r="AE82" i="11"/>
  <c r="AD213" i="11"/>
  <c r="AD182" i="11"/>
  <c r="BM201" i="11"/>
  <c r="BN201" i="11" s="1"/>
  <c r="Z201" i="11" s="1"/>
  <c r="F81" i="13"/>
  <c r="Y100" i="11"/>
  <c r="AD100" i="11"/>
  <c r="AE100" i="11"/>
  <c r="AD251" i="11"/>
  <c r="AE251" i="11"/>
  <c r="AG29" i="11"/>
  <c r="AF29" i="11"/>
  <c r="F296" i="13"/>
  <c r="F124" i="13"/>
  <c r="AD31" i="11"/>
  <c r="AD299" i="11"/>
  <c r="BQ265" i="11"/>
  <c r="AA60" i="11"/>
  <c r="AC60" i="11"/>
  <c r="AA224" i="11"/>
  <c r="AC224" i="11"/>
  <c r="AA252" i="11"/>
  <c r="AC252" i="11"/>
  <c r="AF148" i="11"/>
  <c r="AG148" i="11"/>
  <c r="AG128" i="11"/>
  <c r="AF128" i="11"/>
  <c r="AG40" i="11"/>
  <c r="AF40" i="11"/>
  <c r="AG36" i="11"/>
  <c r="AF36" i="11"/>
  <c r="AG28" i="11"/>
  <c r="AF28" i="11"/>
  <c r="AG24" i="11"/>
  <c r="AF24" i="11"/>
  <c r="AG16" i="11"/>
  <c r="AF16" i="11"/>
  <c r="F295" i="13"/>
  <c r="F77" i="13"/>
  <c r="AA90" i="11"/>
  <c r="AC90" i="11"/>
  <c r="BM105" i="11"/>
  <c r="BN105" i="11" s="1"/>
  <c r="AC130" i="11"/>
  <c r="AA130" i="11"/>
  <c r="AC138" i="11"/>
  <c r="AA138" i="11"/>
  <c r="AD180" i="11"/>
  <c r="AH180" i="11" s="1"/>
  <c r="AE180" i="11"/>
  <c r="AA198" i="11"/>
  <c r="AC198" i="11"/>
  <c r="Z260" i="11"/>
  <c r="X285" i="11"/>
  <c r="AD287" i="11"/>
  <c r="AE287" i="11"/>
  <c r="AA257" i="11"/>
  <c r="AC229" i="11"/>
  <c r="AC33" i="11"/>
  <c r="BM84" i="11"/>
  <c r="BN84" i="11" s="1"/>
  <c r="AD99" i="11"/>
  <c r="AE99" i="11"/>
  <c r="AE111" i="11"/>
  <c r="AD111" i="11"/>
  <c r="AD151" i="11"/>
  <c r="AH151" i="11" s="1"/>
  <c r="AE151" i="11"/>
  <c r="AC153" i="11"/>
  <c r="AA153" i="11"/>
  <c r="AA177" i="11"/>
  <c r="AC177" i="11"/>
  <c r="AD218" i="11"/>
  <c r="AE218" i="11"/>
  <c r="AE303" i="11"/>
  <c r="AE247" i="11"/>
  <c r="AC301" i="11"/>
  <c r="AC289" i="11"/>
  <c r="AA285" i="11"/>
  <c r="AC276" i="11"/>
  <c r="AA256" i="11"/>
  <c r="AC233" i="11"/>
  <c r="AE108" i="11"/>
  <c r="AE179" i="11"/>
  <c r="AC110" i="11"/>
  <c r="AC220" i="11"/>
  <c r="AC212" i="11"/>
  <c r="AC201" i="11"/>
  <c r="AA134" i="11"/>
  <c r="AE143" i="11"/>
  <c r="AD108" i="11"/>
  <c r="AD246" i="11"/>
  <c r="AD214" i="11"/>
  <c r="AA23" i="11"/>
  <c r="AC23" i="11"/>
  <c r="AF204" i="11"/>
  <c r="BQ204" i="11" s="1"/>
  <c r="AE21" i="11"/>
  <c r="AC192" i="11"/>
  <c r="AA160" i="11"/>
  <c r="AA108" i="11"/>
  <c r="AE102" i="11"/>
  <c r="AE78" i="11"/>
  <c r="AD86" i="11"/>
  <c r="AD46" i="11"/>
  <c r="AH46" i="11" s="1"/>
  <c r="AS212" i="11"/>
  <c r="AE148" i="11"/>
  <c r="AD148" i="11"/>
  <c r="AD219" i="11"/>
  <c r="AE219" i="11"/>
  <c r="AA221" i="11"/>
  <c r="AC221" i="11"/>
  <c r="AQ223" i="11"/>
  <c r="AH223" i="11"/>
  <c r="AC273" i="11"/>
  <c r="AA273" i="11"/>
  <c r="AC277" i="11"/>
  <c r="AA277" i="11"/>
  <c r="AH277" i="11" s="1"/>
  <c r="AE255" i="11"/>
  <c r="AE243" i="11"/>
  <c r="AC178" i="11"/>
  <c r="AC142" i="11"/>
  <c r="AC126" i="11"/>
  <c r="AD184" i="11"/>
  <c r="AD124" i="11"/>
  <c r="AD71" i="11"/>
  <c r="AD271" i="11"/>
  <c r="AE11" i="11"/>
  <c r="AD11" i="11"/>
  <c r="AD103" i="11"/>
  <c r="AH103" i="11" s="1"/>
  <c r="AE103" i="11"/>
  <c r="AA121" i="11"/>
  <c r="AC121" i="11"/>
  <c r="F64" i="13"/>
  <c r="AA57" i="11"/>
  <c r="AJ57" i="11" s="1"/>
  <c r="AC57" i="11"/>
  <c r="BM173" i="11"/>
  <c r="BN173" i="11" s="1"/>
  <c r="Z219" i="11"/>
  <c r="AC265" i="11"/>
  <c r="AC253" i="11"/>
  <c r="AE133" i="11"/>
  <c r="AE45" i="11"/>
  <c r="AE32" i="11"/>
  <c r="AC155" i="11"/>
  <c r="AA135" i="11"/>
  <c r="AC131" i="11"/>
  <c r="AA14" i="11"/>
  <c r="AE132" i="11"/>
  <c r="AD156" i="11"/>
  <c r="AD263" i="11"/>
  <c r="AQ263" i="11" s="1"/>
  <c r="AD61" i="11"/>
  <c r="AQ61" i="11" s="1"/>
  <c r="AE61" i="11"/>
  <c r="AE118" i="11"/>
  <c r="AD118" i="11"/>
  <c r="AA287" i="11"/>
  <c r="AC287" i="11"/>
  <c r="AC295" i="11"/>
  <c r="AA295" i="11"/>
  <c r="AE301" i="11"/>
  <c r="AD301" i="11"/>
  <c r="AH301" i="11" s="1"/>
  <c r="F250" i="13"/>
  <c r="F67" i="13"/>
  <c r="Y128" i="11"/>
  <c r="AE128" i="11"/>
  <c r="Z297" i="11"/>
  <c r="AA225" i="11"/>
  <c r="AE172" i="11"/>
  <c r="AA194" i="11"/>
  <c r="AE124" i="11"/>
  <c r="AE231" i="11"/>
  <c r="AD132" i="11"/>
  <c r="AD211" i="11"/>
  <c r="AD67" i="11"/>
  <c r="AA32" i="11"/>
  <c r="AC32" i="11"/>
  <c r="AC127" i="11"/>
  <c r="AA127" i="11"/>
  <c r="AC139" i="11"/>
  <c r="AA139" i="11"/>
  <c r="AD149" i="11"/>
  <c r="AE149" i="11"/>
  <c r="AC163" i="11"/>
  <c r="AA163" i="11"/>
  <c r="X175" i="11"/>
  <c r="X282" i="11"/>
  <c r="Y37" i="11"/>
  <c r="AF44" i="11"/>
  <c r="AG84" i="11"/>
  <c r="AF172" i="11"/>
  <c r="AS172" i="11" s="1"/>
  <c r="AG116" i="11"/>
  <c r="AF192" i="11"/>
  <c r="AF276" i="11"/>
  <c r="AR276" i="11" s="1"/>
  <c r="Y288" i="11"/>
  <c r="AA44" i="11"/>
  <c r="AC44" i="11"/>
  <c r="AE54" i="11"/>
  <c r="AD54" i="11"/>
  <c r="AA68" i="11"/>
  <c r="AH68" i="11" s="1"/>
  <c r="AC68" i="11"/>
  <c r="AD75" i="11"/>
  <c r="AE75" i="11"/>
  <c r="AD91" i="11"/>
  <c r="AE91" i="11"/>
  <c r="AD189" i="11"/>
  <c r="AQ189" i="11" s="1"/>
  <c r="AE189" i="11"/>
  <c r="AC206" i="11"/>
  <c r="AA206" i="11"/>
  <c r="X206" i="11"/>
  <c r="Y216" i="11"/>
  <c r="AE216" i="11"/>
  <c r="AD216" i="11"/>
  <c r="AA222" i="11"/>
  <c r="AC222" i="11"/>
  <c r="Y240" i="11"/>
  <c r="AD240" i="11"/>
  <c r="AD252" i="11"/>
  <c r="AE252" i="11"/>
  <c r="AE276" i="11"/>
  <c r="AD276" i="11"/>
  <c r="AH276" i="11" s="1"/>
  <c r="X281" i="11"/>
  <c r="AD5" i="11"/>
  <c r="AE5" i="11"/>
  <c r="AD286" i="11"/>
  <c r="AA150" i="11"/>
  <c r="AC150" i="11"/>
  <c r="AA166" i="11"/>
  <c r="AQ166" i="11" s="1"/>
  <c r="AC166" i="11"/>
  <c r="AC170" i="11"/>
  <c r="AA170" i="11"/>
  <c r="AD176" i="11"/>
  <c r="AE176" i="11"/>
  <c r="AC245" i="11"/>
  <c r="AA245" i="11"/>
  <c r="AE259" i="11"/>
  <c r="AD259" i="11"/>
  <c r="AA261" i="11"/>
  <c r="AQ261" i="11" s="1"/>
  <c r="AC261" i="11"/>
  <c r="AE267" i="11"/>
  <c r="AD267" i="11"/>
  <c r="AA269" i="11"/>
  <c r="AC269" i="11"/>
  <c r="AD285" i="11"/>
  <c r="AE285" i="11"/>
  <c r="AE289" i="11"/>
  <c r="AD289" i="11"/>
  <c r="AD293" i="11"/>
  <c r="AJ293" i="11" s="1"/>
  <c r="AE293" i="11"/>
  <c r="AC12" i="11"/>
  <c r="AA12" i="11"/>
  <c r="F167" i="13"/>
  <c r="F135" i="13"/>
  <c r="F115" i="13"/>
  <c r="AE6" i="11"/>
  <c r="AD6" i="11"/>
  <c r="AD37" i="11"/>
  <c r="AE37" i="11"/>
  <c r="AA93" i="11"/>
  <c r="AC93" i="11"/>
  <c r="AE95" i="11"/>
  <c r="AD95" i="11"/>
  <c r="AA97" i="11"/>
  <c r="AC97" i="11"/>
  <c r="AA203" i="11"/>
  <c r="AC203" i="11"/>
  <c r="AA210" i="11"/>
  <c r="AC210" i="11"/>
  <c r="AE232" i="11"/>
  <c r="AD232" i="11"/>
  <c r="AA238" i="11"/>
  <c r="AC238" i="11"/>
  <c r="X242" i="11"/>
  <c r="AE244" i="11"/>
  <c r="AD244" i="11"/>
  <c r="X296" i="11"/>
  <c r="X300" i="11"/>
  <c r="F198" i="13"/>
  <c r="F190" i="13"/>
  <c r="F134" i="13"/>
  <c r="F48" i="13"/>
  <c r="AE298" i="11"/>
  <c r="AE272" i="11"/>
  <c r="AE240" i="11"/>
  <c r="AA283" i="11"/>
  <c r="AH283" i="11" s="1"/>
  <c r="AC254" i="11"/>
  <c r="AA250" i="11"/>
  <c r="AC242" i="11"/>
  <c r="AC187" i="11"/>
  <c r="AA214" i="11"/>
  <c r="AD248" i="11"/>
  <c r="BM204" i="11"/>
  <c r="BN204" i="11" s="1"/>
  <c r="Z116" i="11"/>
  <c r="AD27" i="11"/>
  <c r="AE27" i="11"/>
  <c r="AA154" i="11"/>
  <c r="AC154" i="11"/>
  <c r="AA162" i="11"/>
  <c r="AC162" i="11"/>
  <c r="AE168" i="11"/>
  <c r="AD168" i="11"/>
  <c r="AC205" i="11"/>
  <c r="AA205" i="11"/>
  <c r="BM212" i="11"/>
  <c r="BN212" i="11" s="1"/>
  <c r="AC217" i="11"/>
  <c r="AA217" i="11"/>
  <c r="BM232" i="11"/>
  <c r="BN232" i="11" s="1"/>
  <c r="Z217" i="11"/>
  <c r="AE302" i="11"/>
  <c r="AE256" i="11"/>
  <c r="AE239" i="11"/>
  <c r="AE223" i="11"/>
  <c r="AC300" i="11"/>
  <c r="AA292" i="11"/>
  <c r="AA281" i="11"/>
  <c r="AC278" i="11"/>
  <c r="AA241" i="11"/>
  <c r="AH241" i="11" s="1"/>
  <c r="AC237" i="11"/>
  <c r="AC234" i="11"/>
  <c r="AE160" i="11"/>
  <c r="AE152" i="11"/>
  <c r="AE39" i="11"/>
  <c r="AE25" i="11"/>
  <c r="AA77" i="11"/>
  <c r="AC213" i="11"/>
  <c r="AC209" i="11"/>
  <c r="AC199" i="11"/>
  <c r="AA195" i="11"/>
  <c r="AH195" i="11" s="1"/>
  <c r="AC190" i="11"/>
  <c r="AA174" i="11"/>
  <c r="AC15" i="11"/>
  <c r="BM177" i="11"/>
  <c r="BN177" i="11" s="1"/>
  <c r="AA5" i="11"/>
  <c r="AC5" i="11"/>
  <c r="Z140" i="11"/>
  <c r="AA52" i="11"/>
  <c r="AQ52" i="11" s="1"/>
  <c r="AC52" i="11"/>
  <c r="AA169" i="11"/>
  <c r="AC169" i="11"/>
  <c r="F209" i="13"/>
  <c r="F197" i="13"/>
  <c r="AH133" i="11"/>
  <c r="Z224" i="11"/>
  <c r="Y48" i="11"/>
  <c r="BM57" i="11"/>
  <c r="BN57" i="11" s="1"/>
  <c r="Y60" i="11"/>
  <c r="AE89" i="11"/>
  <c r="AD89" i="11"/>
  <c r="AE43" i="11"/>
  <c r="AE26" i="11"/>
  <c r="AC125" i="11"/>
  <c r="AC103" i="11"/>
  <c r="AC91" i="11"/>
  <c r="AC133" i="11"/>
  <c r="AC28" i="11"/>
  <c r="AC62" i="11"/>
  <c r="AE147" i="11"/>
  <c r="AD48" i="11"/>
  <c r="BM144" i="11"/>
  <c r="BN144" i="11" s="1"/>
  <c r="AA18" i="11"/>
  <c r="AC18" i="11"/>
  <c r="AA25" i="11"/>
  <c r="AQ25" i="11" s="1"/>
  <c r="AC25" i="11"/>
  <c r="AA73" i="11"/>
  <c r="AR73" i="11" s="1"/>
  <c r="AC73" i="11"/>
  <c r="Z93" i="11"/>
  <c r="AA122" i="11"/>
  <c r="AC122" i="11"/>
  <c r="AD229" i="11"/>
  <c r="AE229" i="11"/>
  <c r="F244" i="13"/>
  <c r="F200" i="13"/>
  <c r="Y224" i="11"/>
  <c r="Y204" i="11"/>
  <c r="Y148" i="11"/>
  <c r="Y76" i="11"/>
  <c r="AD76" i="11"/>
  <c r="Y116" i="11"/>
  <c r="AD116" i="11"/>
  <c r="AC118" i="11"/>
  <c r="AA118" i="11"/>
  <c r="Y120" i="11"/>
  <c r="AD120" i="11"/>
  <c r="AA128" i="11"/>
  <c r="AC128" i="11"/>
  <c r="AD130" i="11"/>
  <c r="AE130" i="11"/>
  <c r="AH152" i="11"/>
  <c r="AE76" i="11"/>
  <c r="AC82" i="11"/>
  <c r="AA136" i="11"/>
  <c r="AA132" i="11"/>
  <c r="AA124" i="11"/>
  <c r="AE116" i="11"/>
  <c r="AD112" i="11"/>
  <c r="Y8" i="11"/>
  <c r="AA10" i="11"/>
  <c r="AA41" i="11"/>
  <c r="AC41" i="11"/>
  <c r="AD49" i="11"/>
  <c r="AE49" i="11"/>
  <c r="AD62" i="11"/>
  <c r="AQ62" i="11" s="1"/>
  <c r="AE62" i="11"/>
  <c r="AD70" i="11"/>
  <c r="AE70" i="11"/>
  <c r="AC85" i="11"/>
  <c r="AA85" i="11"/>
  <c r="BM215" i="11"/>
  <c r="BN215" i="11" s="1"/>
  <c r="AS137" i="11"/>
  <c r="BQ137" i="11"/>
  <c r="F241" i="13"/>
  <c r="AS265" i="11"/>
  <c r="AJ265" i="11"/>
  <c r="AA74" i="11"/>
  <c r="AC74" i="11"/>
  <c r="AA86" i="11"/>
  <c r="AC86" i="11"/>
  <c r="AA94" i="11"/>
  <c r="AH94" i="11" s="1"/>
  <c r="AC94" i="11"/>
  <c r="BM97" i="11"/>
  <c r="BN97" i="11" s="1"/>
  <c r="AG301" i="11"/>
  <c r="AF301" i="11"/>
  <c r="AG237" i="11"/>
  <c r="AF237" i="11"/>
  <c r="AG173" i="11"/>
  <c r="AF173" i="11"/>
  <c r="AG109" i="11"/>
  <c r="AF109" i="11"/>
  <c r="AG53" i="11"/>
  <c r="AF53" i="11"/>
  <c r="AG49" i="11"/>
  <c r="AF49" i="11"/>
  <c r="AG41" i="11"/>
  <c r="AF41" i="11"/>
  <c r="AG37" i="11"/>
  <c r="AF37" i="11"/>
  <c r="AG33" i="11"/>
  <c r="AF33" i="11"/>
  <c r="F292" i="13"/>
  <c r="F16" i="13"/>
  <c r="F4" i="13"/>
  <c r="AE112" i="11"/>
  <c r="AD33" i="11"/>
  <c r="X6" i="11"/>
  <c r="AD7" i="11"/>
  <c r="AE7" i="11"/>
  <c r="AA29" i="11"/>
  <c r="AC29" i="11"/>
  <c r="AD34" i="11"/>
  <c r="AE34" i="11"/>
  <c r="AA43" i="11"/>
  <c r="AQ43" i="11" s="1"/>
  <c r="AC43" i="11"/>
  <c r="Y44" i="11"/>
  <c r="AD44" i="11"/>
  <c r="AA63" i="11"/>
  <c r="AC63" i="11"/>
  <c r="AA71" i="11"/>
  <c r="AC71" i="11"/>
  <c r="Y140" i="11"/>
  <c r="AD140" i="11"/>
  <c r="Y144" i="11"/>
  <c r="AD144" i="11"/>
  <c r="BM145" i="11"/>
  <c r="BN145" i="11" s="1"/>
  <c r="AA146" i="11"/>
  <c r="AC146" i="11"/>
  <c r="X147" i="11"/>
  <c r="Y153" i="11"/>
  <c r="AD161" i="11"/>
  <c r="AE161" i="11"/>
  <c r="BQ169" i="11"/>
  <c r="BM170" i="11"/>
  <c r="BN170" i="11" s="1"/>
  <c r="X179" i="11"/>
  <c r="Y181" i="11"/>
  <c r="AE181" i="11"/>
  <c r="AD221" i="11"/>
  <c r="AE221" i="11"/>
  <c r="BM238" i="11"/>
  <c r="BN238" i="11" s="1"/>
  <c r="AC251" i="11"/>
  <c r="AA251" i="11"/>
  <c r="X263" i="11"/>
  <c r="X279" i="11"/>
  <c r="BM283" i="11"/>
  <c r="BN283" i="11" s="1"/>
  <c r="X297" i="11"/>
  <c r="AC31" i="11"/>
  <c r="AA31" i="11"/>
  <c r="AA95" i="11"/>
  <c r="AC95" i="11"/>
  <c r="Y212" i="11"/>
  <c r="AE212" i="11"/>
  <c r="AD260" i="11"/>
  <c r="AE260" i="11"/>
  <c r="BM265" i="11"/>
  <c r="BN265" i="11" s="1"/>
  <c r="AC266" i="11"/>
  <c r="AA266" i="11"/>
  <c r="AC270" i="11"/>
  <c r="AA270" i="11"/>
  <c r="BM273" i="11"/>
  <c r="BN273" i="11" s="1"/>
  <c r="AC274" i="11"/>
  <c r="AA274" i="11"/>
  <c r="Y9" i="11"/>
  <c r="AD20" i="11"/>
  <c r="Y20" i="11"/>
  <c r="Y68" i="11"/>
  <c r="X126" i="11"/>
  <c r="F239" i="13"/>
  <c r="F176" i="13"/>
  <c r="F139" i="13"/>
  <c r="F131" i="13"/>
  <c r="F76" i="13"/>
  <c r="F34" i="13"/>
  <c r="Y81" i="11"/>
  <c r="BM123" i="11"/>
  <c r="BN123" i="11" s="1"/>
  <c r="BM216" i="11"/>
  <c r="BN216" i="11" s="1"/>
  <c r="F72" i="13"/>
  <c r="Y45" i="11"/>
  <c r="F41" i="13"/>
  <c r="F26" i="13"/>
  <c r="Y53" i="11"/>
  <c r="Y160" i="11"/>
  <c r="Y6" i="11"/>
  <c r="Y280" i="11"/>
  <c r="Y284" i="11"/>
  <c r="Y16" i="11"/>
  <c r="AE16" i="11"/>
  <c r="AG302" i="11"/>
  <c r="AF302" i="11"/>
  <c r="AG282" i="11"/>
  <c r="AF282" i="11"/>
  <c r="AS282" i="11" s="1"/>
  <c r="AG270" i="11"/>
  <c r="AF270" i="11"/>
  <c r="AG262" i="11"/>
  <c r="AF262" i="11"/>
  <c r="AS262" i="11" s="1"/>
  <c r="AG254" i="11"/>
  <c r="AF254" i="11"/>
  <c r="AG230" i="11"/>
  <c r="AF230" i="11"/>
  <c r="Y230" i="11"/>
  <c r="AG222" i="11"/>
  <c r="AF222" i="11"/>
  <c r="AG198" i="11"/>
  <c r="AF198" i="11"/>
  <c r="AG190" i="11"/>
  <c r="AF190" i="11"/>
  <c r="AG182" i="11"/>
  <c r="AF182" i="11"/>
  <c r="AG170" i="11"/>
  <c r="AF170" i="11"/>
  <c r="AG158" i="11"/>
  <c r="AF158" i="11"/>
  <c r="AG134" i="11"/>
  <c r="AF134" i="11"/>
  <c r="AG126" i="11"/>
  <c r="AF126" i="11"/>
  <c r="AG118" i="11"/>
  <c r="AF118" i="11"/>
  <c r="AG106" i="11"/>
  <c r="AF106" i="11"/>
  <c r="Y106" i="11"/>
  <c r="AG74" i="11"/>
  <c r="AF74" i="11"/>
  <c r="AG66" i="11"/>
  <c r="AF66" i="11"/>
  <c r="AF58" i="11"/>
  <c r="AG58" i="11"/>
  <c r="AF46" i="11"/>
  <c r="AG46" i="11"/>
  <c r="AG34" i="11"/>
  <c r="AF34" i="11"/>
  <c r="AG26" i="11"/>
  <c r="AF26" i="11"/>
  <c r="AF18" i="11"/>
  <c r="AG18" i="11"/>
  <c r="Y18" i="11"/>
  <c r="F196" i="13"/>
  <c r="F173" i="13"/>
  <c r="F151" i="13"/>
  <c r="F103" i="13"/>
  <c r="F92" i="13"/>
  <c r="F27" i="13"/>
  <c r="Z240" i="11"/>
  <c r="AG294" i="11"/>
  <c r="AF294" i="11"/>
  <c r="AG286" i="11"/>
  <c r="AF286" i="11"/>
  <c r="AG278" i="11"/>
  <c r="AF278" i="11"/>
  <c r="AG266" i="11"/>
  <c r="AF266" i="11"/>
  <c r="AG246" i="11"/>
  <c r="AF246" i="11"/>
  <c r="AG238" i="11"/>
  <c r="AF238" i="11"/>
  <c r="AS238" i="11" s="1"/>
  <c r="AG234" i="11"/>
  <c r="AF234" i="11"/>
  <c r="AG218" i="11"/>
  <c r="AF218" i="11"/>
  <c r="AG214" i="11"/>
  <c r="AF214" i="11"/>
  <c r="AG206" i="11"/>
  <c r="AF206" i="11"/>
  <c r="BQ206" i="11" s="1"/>
  <c r="AG202" i="11"/>
  <c r="AF202" i="11"/>
  <c r="AG186" i="11"/>
  <c r="AF186" i="11"/>
  <c r="AG174" i="11"/>
  <c r="AF174" i="11"/>
  <c r="AG166" i="11"/>
  <c r="AF166" i="11"/>
  <c r="AG162" i="11"/>
  <c r="Y162" i="11"/>
  <c r="AG154" i="11"/>
  <c r="AF154" i="11"/>
  <c r="AG150" i="11"/>
  <c r="AF150" i="11"/>
  <c r="AG142" i="11"/>
  <c r="AF142" i="11"/>
  <c r="AG138" i="11"/>
  <c r="AF138" i="11"/>
  <c r="AG122" i="11"/>
  <c r="AF122" i="11"/>
  <c r="AG110" i="11"/>
  <c r="AF110" i="11"/>
  <c r="AG102" i="11"/>
  <c r="AF102" i="11"/>
  <c r="AG94" i="11"/>
  <c r="AF94" i="11"/>
  <c r="AG90" i="11"/>
  <c r="AF90" i="11"/>
  <c r="AG86" i="11"/>
  <c r="AF86" i="11"/>
  <c r="AG70" i="11"/>
  <c r="AF70" i="11"/>
  <c r="Y70" i="11"/>
  <c r="AG54" i="11"/>
  <c r="AF54" i="11"/>
  <c r="AG50" i="11"/>
  <c r="AF50" i="11"/>
  <c r="AG42" i="11"/>
  <c r="AF42" i="11"/>
  <c r="AG38" i="11"/>
  <c r="AF38" i="11"/>
  <c r="AG30" i="11"/>
  <c r="AF30" i="11"/>
  <c r="AF22" i="11"/>
  <c r="AG22" i="11"/>
  <c r="AG10" i="11"/>
  <c r="AF10" i="11"/>
  <c r="AG5" i="11"/>
  <c r="AF5" i="11"/>
  <c r="Y5" i="11"/>
  <c r="F203" i="13"/>
  <c r="F199" i="13"/>
  <c r="F170" i="13"/>
  <c r="F155" i="13"/>
  <c r="F99" i="13"/>
  <c r="F95" i="13"/>
  <c r="F31" i="13"/>
  <c r="AH82" i="11"/>
  <c r="AF78" i="11"/>
  <c r="BM15" i="11"/>
  <c r="BN15" i="11" s="1"/>
  <c r="AA20" i="11"/>
  <c r="AC20" i="11"/>
  <c r="Y22" i="11"/>
  <c r="AD22" i="11"/>
  <c r="AE22" i="11"/>
  <c r="AD23" i="11"/>
  <c r="AE23" i="11"/>
  <c r="AF250" i="11"/>
  <c r="BM71" i="11"/>
  <c r="BN71" i="11" s="1"/>
  <c r="BM72" i="11"/>
  <c r="BN72" i="11" s="1"/>
  <c r="AA75" i="11"/>
  <c r="AC75" i="11"/>
  <c r="X75" i="11"/>
  <c r="Y77" i="11"/>
  <c r="AD77" i="11"/>
  <c r="AD80" i="11"/>
  <c r="AE80" i="11"/>
  <c r="BM85" i="11"/>
  <c r="BN85" i="11" s="1"/>
  <c r="Y96" i="11"/>
  <c r="AD96" i="11"/>
  <c r="AE96" i="11"/>
  <c r="AC100" i="11"/>
  <c r="AA100" i="11"/>
  <c r="BM103" i="11"/>
  <c r="BN103" i="11" s="1"/>
  <c r="AA149" i="11"/>
  <c r="AC149" i="11"/>
  <c r="AE159" i="11"/>
  <c r="AD159" i="11"/>
  <c r="AE164" i="11"/>
  <c r="AD164" i="11"/>
  <c r="BM165" i="11"/>
  <c r="BN165" i="11" s="1"/>
  <c r="AA191" i="11"/>
  <c r="AC191" i="11"/>
  <c r="AD197" i="11"/>
  <c r="AH197" i="11" s="1"/>
  <c r="AE197" i="11"/>
  <c r="BM198" i="11"/>
  <c r="BN198" i="11" s="1"/>
  <c r="X199" i="11"/>
  <c r="AE201" i="11"/>
  <c r="AD201" i="11"/>
  <c r="AI201" i="11" s="1"/>
  <c r="BM202" i="11"/>
  <c r="BN202" i="11" s="1"/>
  <c r="Y206" i="11"/>
  <c r="AE206" i="11"/>
  <c r="X208" i="11"/>
  <c r="AD210" i="11"/>
  <c r="AE210" i="11"/>
  <c r="BM211" i="11"/>
  <c r="BN211" i="11" s="1"/>
  <c r="Y220" i="11"/>
  <c r="AD220" i="11"/>
  <c r="AQ220" i="11" s="1"/>
  <c r="AE220" i="11"/>
  <c r="Y226" i="11"/>
  <c r="AD226" i="11"/>
  <c r="AE226" i="11"/>
  <c r="BM227" i="11"/>
  <c r="BN227" i="11" s="1"/>
  <c r="AA228" i="11"/>
  <c r="AC228" i="11"/>
  <c r="X239" i="11"/>
  <c r="X244" i="11"/>
  <c r="BM247" i="11"/>
  <c r="BN247" i="11" s="1"/>
  <c r="AC249" i="11"/>
  <c r="AA249" i="11"/>
  <c r="Y254" i="11"/>
  <c r="AE254" i="11"/>
  <c r="BM257" i="11"/>
  <c r="BN257" i="11" s="1"/>
  <c r="AC258" i="11"/>
  <c r="AA258" i="11"/>
  <c r="F206" i="13"/>
  <c r="F179" i="13"/>
  <c r="F106" i="13"/>
  <c r="F61" i="13"/>
  <c r="F57" i="13"/>
  <c r="F49" i="13"/>
  <c r="Z229" i="11"/>
  <c r="AA24" i="11"/>
  <c r="AH24" i="11" s="1"/>
  <c r="AC24" i="11"/>
  <c r="AD35" i="11"/>
  <c r="AE35" i="11"/>
  <c r="AD83" i="11"/>
  <c r="AE83" i="11"/>
  <c r="AC89" i="11"/>
  <c r="AA89" i="11"/>
  <c r="AC99" i="11"/>
  <c r="AA99" i="11"/>
  <c r="AD106" i="11"/>
  <c r="AE106" i="11"/>
  <c r="AH125" i="11"/>
  <c r="AA129" i="11"/>
  <c r="AC129" i="11"/>
  <c r="X139" i="11"/>
  <c r="BM142" i="11"/>
  <c r="BN142" i="11" s="1"/>
  <c r="AA156" i="11"/>
  <c r="AC156" i="11"/>
  <c r="Y158" i="11"/>
  <c r="BM164" i="11"/>
  <c r="BN164" i="11" s="1"/>
  <c r="Y196" i="11"/>
  <c r="AD196" i="11"/>
  <c r="X217" i="11"/>
  <c r="BM233" i="11"/>
  <c r="BN233" i="11" s="1"/>
  <c r="Z233" i="11" s="1"/>
  <c r="Y236" i="11"/>
  <c r="AD236" i="11"/>
  <c r="AE236" i="11"/>
  <c r="AC247" i="11"/>
  <c r="AA247" i="11"/>
  <c r="AD275" i="11"/>
  <c r="AE275" i="11"/>
  <c r="X287" i="11"/>
  <c r="X288" i="11"/>
  <c r="AC291" i="11"/>
  <c r="AA291" i="11"/>
  <c r="BM294" i="11"/>
  <c r="BN294" i="11" s="1"/>
  <c r="X295" i="11"/>
  <c r="X299" i="11"/>
  <c r="AQ45" i="11"/>
  <c r="AE68" i="11"/>
  <c r="AE52" i="11"/>
  <c r="AC115" i="11"/>
  <c r="AC61" i="11"/>
  <c r="AE77" i="11"/>
  <c r="AE8" i="11"/>
  <c r="AD88" i="11"/>
  <c r="AD121" i="11"/>
  <c r="AD53" i="11"/>
  <c r="AD8" i="11"/>
  <c r="AD87" i="11"/>
  <c r="BM11" i="11"/>
  <c r="BN11" i="11" s="1"/>
  <c r="AE13" i="11"/>
  <c r="AD13" i="11"/>
  <c r="AQ13" i="11" s="1"/>
  <c r="Y24" i="11"/>
  <c r="AE24" i="11"/>
  <c r="X30" i="11"/>
  <c r="Y57" i="11"/>
  <c r="AE57" i="11"/>
  <c r="AA65" i="11"/>
  <c r="AC65" i="11"/>
  <c r="AA69" i="11"/>
  <c r="AC69" i="11"/>
  <c r="AH114" i="11"/>
  <c r="AA262" i="11"/>
  <c r="AE268" i="11"/>
  <c r="BM23" i="11"/>
  <c r="BN23" i="11" s="1"/>
  <c r="Y34" i="11"/>
  <c r="X258" i="11"/>
  <c r="BM261" i="11"/>
  <c r="BN261" i="11" s="1"/>
  <c r="X270" i="11"/>
  <c r="X278" i="11"/>
  <c r="X25" i="11"/>
  <c r="Y46" i="11"/>
  <c r="Y49" i="11"/>
  <c r="Y66" i="11"/>
  <c r="Y82" i="11"/>
  <c r="Y86" i="11"/>
  <c r="Y90" i="11"/>
  <c r="Y130" i="11"/>
  <c r="Y134" i="11"/>
  <c r="Y186" i="11"/>
  <c r="Y266" i="11"/>
  <c r="X286" i="11"/>
  <c r="F287" i="13"/>
  <c r="F248" i="13"/>
  <c r="F233" i="13"/>
  <c r="F125" i="13"/>
  <c r="F17" i="13"/>
  <c r="AQ133" i="11"/>
  <c r="Y26" i="11"/>
  <c r="Y42" i="11"/>
  <c r="X188" i="11"/>
  <c r="Y202" i="11"/>
  <c r="Y278" i="11"/>
  <c r="F251" i="13"/>
  <c r="F39" i="13"/>
  <c r="F35" i="13"/>
  <c r="F24" i="13"/>
  <c r="Y129" i="11"/>
  <c r="Y133" i="11"/>
  <c r="Y176" i="11"/>
  <c r="Y274" i="11"/>
  <c r="AF108" i="11"/>
  <c r="AF160" i="11"/>
  <c r="AS160" i="11" s="1"/>
  <c r="AG212" i="11"/>
  <c r="Y261" i="11"/>
  <c r="Y270" i="11"/>
  <c r="Y262" i="11"/>
  <c r="F223" i="13"/>
  <c r="F150" i="13"/>
  <c r="Y61" i="11"/>
  <c r="Y78" i="11"/>
  <c r="Y234" i="11"/>
  <c r="Y238" i="11"/>
  <c r="AG303" i="11"/>
  <c r="AF303" i="11"/>
  <c r="AS303" i="11" s="1"/>
  <c r="AG295" i="11"/>
  <c r="AF295" i="11"/>
  <c r="AG287" i="11"/>
  <c r="AF287" i="11"/>
  <c r="AG275" i="11"/>
  <c r="AF275" i="11"/>
  <c r="AG267" i="11"/>
  <c r="AF267" i="11"/>
  <c r="AF259" i="11"/>
  <c r="AG259" i="11"/>
  <c r="AF247" i="11"/>
  <c r="AG247" i="11"/>
  <c r="AF231" i="11"/>
  <c r="BQ231" i="11" s="1"/>
  <c r="AG231" i="11"/>
  <c r="AG219" i="11"/>
  <c r="Y219" i="11"/>
  <c r="AF219" i="11"/>
  <c r="AF211" i="11"/>
  <c r="AG211" i="11"/>
  <c r="AF203" i="11"/>
  <c r="BQ203" i="11" s="1"/>
  <c r="AG203" i="11"/>
  <c r="Y203" i="11"/>
  <c r="AG195" i="11"/>
  <c r="AF195" i="11"/>
  <c r="Y195" i="11"/>
  <c r="AG187" i="11"/>
  <c r="AF187" i="11"/>
  <c r="Y187" i="11"/>
  <c r="AF175" i="11"/>
  <c r="AG175" i="11"/>
  <c r="AF167" i="11"/>
  <c r="AG167" i="11"/>
  <c r="AF159" i="11"/>
  <c r="AG159" i="11"/>
  <c r="AF151" i="11"/>
  <c r="AG151" i="11"/>
  <c r="AF143" i="11"/>
  <c r="AS143" i="11" s="1"/>
  <c r="AG143" i="11"/>
  <c r="AG135" i="11"/>
  <c r="AF135" i="11"/>
  <c r="Y135" i="11"/>
  <c r="AG127" i="11"/>
  <c r="AF127" i="11"/>
  <c r="AF119" i="11"/>
  <c r="AG119" i="11"/>
  <c r="Y119" i="11"/>
  <c r="AF111" i="11"/>
  <c r="AG111" i="11"/>
  <c r="AG103" i="11"/>
  <c r="AF103" i="11"/>
  <c r="AF95" i="11"/>
  <c r="AG95" i="11"/>
  <c r="Y95" i="11"/>
  <c r="AF87" i="11"/>
  <c r="AG87" i="11"/>
  <c r="AF79" i="11"/>
  <c r="AG79" i="11"/>
  <c r="AG71" i="11"/>
  <c r="AF71" i="11"/>
  <c r="AF63" i="11"/>
  <c r="BQ63" i="11" s="1"/>
  <c r="AG63" i="11"/>
  <c r="AG55" i="11"/>
  <c r="AF55" i="11"/>
  <c r="AG47" i="11"/>
  <c r="AF47" i="11"/>
  <c r="AG39" i="11"/>
  <c r="AF39" i="11"/>
  <c r="AG31" i="11"/>
  <c r="Y31" i="11"/>
  <c r="AF31" i="11"/>
  <c r="AG23" i="11"/>
  <c r="Y23" i="11"/>
  <c r="AF23" i="11"/>
  <c r="AF15" i="11"/>
  <c r="AG15" i="11"/>
  <c r="Y15" i="11"/>
  <c r="Y302" i="11"/>
  <c r="F275" i="13"/>
  <c r="F264" i="13"/>
  <c r="F149" i="13"/>
  <c r="F141" i="13"/>
  <c r="F122" i="13"/>
  <c r="F107" i="13"/>
  <c r="F73" i="13"/>
  <c r="Y73" i="11"/>
  <c r="F62" i="13"/>
  <c r="F54" i="13"/>
  <c r="F47" i="13"/>
  <c r="F32" i="13"/>
  <c r="F25" i="13"/>
  <c r="Y25" i="11"/>
  <c r="Z43" i="11"/>
  <c r="AF255" i="11"/>
  <c r="AS255" i="11" s="1"/>
  <c r="AG255" i="11"/>
  <c r="AG243" i="11"/>
  <c r="AF243" i="11"/>
  <c r="AG239" i="11"/>
  <c r="AF239" i="11"/>
  <c r="AG227" i="11"/>
  <c r="AF227" i="11"/>
  <c r="AF183" i="11"/>
  <c r="AG183" i="11"/>
  <c r="Z89" i="11"/>
  <c r="Z288" i="11"/>
  <c r="Z160" i="11"/>
  <c r="AI223" i="11"/>
  <c r="AF299" i="11"/>
  <c r="AG299" i="11"/>
  <c r="AF291" i="11"/>
  <c r="BQ291" i="11" s="1"/>
  <c r="AG291" i="11"/>
  <c r="AF283" i="11"/>
  <c r="AG283" i="11"/>
  <c r="AF279" i="11"/>
  <c r="AS279" i="11" s="1"/>
  <c r="AG279" i="11"/>
  <c r="AG271" i="11"/>
  <c r="AF271" i="11"/>
  <c r="AG263" i="11"/>
  <c r="AF263" i="11"/>
  <c r="AG251" i="11"/>
  <c r="AF251" i="11"/>
  <c r="AF235" i="11"/>
  <c r="AG235" i="11"/>
  <c r="AG223" i="11"/>
  <c r="AF223" i="11"/>
  <c r="AG215" i="11"/>
  <c r="AF215" i="11"/>
  <c r="AF207" i="11"/>
  <c r="AG207" i="11"/>
  <c r="AG199" i="11"/>
  <c r="AF199" i="11"/>
  <c r="AF191" i="11"/>
  <c r="AG191" i="11"/>
  <c r="AG179" i="11"/>
  <c r="AF179" i="11"/>
  <c r="AF171" i="11"/>
  <c r="AG171" i="11"/>
  <c r="AF163" i="11"/>
  <c r="AG163" i="11"/>
  <c r="AF155" i="11"/>
  <c r="BQ155" i="11" s="1"/>
  <c r="AG155" i="11"/>
  <c r="AF147" i="11"/>
  <c r="AG147" i="11"/>
  <c r="AF139" i="11"/>
  <c r="AG139" i="11"/>
  <c r="AF131" i="11"/>
  <c r="AG131" i="11"/>
  <c r="AF123" i="11"/>
  <c r="AG123" i="11"/>
  <c r="AG115" i="11"/>
  <c r="AF115" i="11"/>
  <c r="AF107" i="11"/>
  <c r="AG107" i="11"/>
  <c r="AF99" i="11"/>
  <c r="AG99" i="11"/>
  <c r="Y99" i="11"/>
  <c r="AG91" i="11"/>
  <c r="AF91" i="11"/>
  <c r="Y91" i="11"/>
  <c r="AG83" i="11"/>
  <c r="AF83" i="11"/>
  <c r="Y83" i="11"/>
  <c r="AF75" i="11"/>
  <c r="AG75" i="11"/>
  <c r="Y75" i="11"/>
  <c r="AF67" i="11"/>
  <c r="AG67" i="11"/>
  <c r="AG59" i="11"/>
  <c r="AF59" i="11"/>
  <c r="AG51" i="11"/>
  <c r="AF51" i="11"/>
  <c r="Y51" i="11"/>
  <c r="AG43" i="11"/>
  <c r="AF43" i="11"/>
  <c r="AS43" i="11" s="1"/>
  <c r="AG35" i="11"/>
  <c r="Y35" i="11"/>
  <c r="AF35" i="11"/>
  <c r="AG27" i="11"/>
  <c r="AF27" i="11"/>
  <c r="Y27" i="11"/>
  <c r="AF19" i="11"/>
  <c r="BQ19" i="11" s="1"/>
  <c r="AG19" i="11"/>
  <c r="AG11" i="11"/>
  <c r="AF11" i="11"/>
  <c r="AG7" i="11"/>
  <c r="AF7" i="11"/>
  <c r="F184" i="13"/>
  <c r="F152" i="13"/>
  <c r="F145" i="13"/>
  <c r="F126" i="13"/>
  <c r="F118" i="13"/>
  <c r="F88" i="13"/>
  <c r="Y88" i="11"/>
  <c r="F80" i="13"/>
  <c r="Y43" i="11"/>
  <c r="F28" i="13"/>
  <c r="F10" i="13"/>
  <c r="Z237" i="11"/>
  <c r="Z80" i="11"/>
  <c r="AR105" i="11"/>
  <c r="Z262" i="11"/>
  <c r="BQ212" i="11"/>
  <c r="AQ294" i="11"/>
  <c r="BM19" i="11"/>
  <c r="BN19" i="11" s="1"/>
  <c r="AD15" i="11"/>
  <c r="AE15" i="11"/>
  <c r="X4" i="11"/>
  <c r="AA7" i="11"/>
  <c r="AC7" i="11"/>
  <c r="AE73" i="11"/>
  <c r="AD73" i="11"/>
  <c r="AH115" i="11"/>
  <c r="AA35" i="11"/>
  <c r="AC35" i="11"/>
  <c r="AA56" i="11"/>
  <c r="AQ56" i="11" s="1"/>
  <c r="AC56" i="11"/>
  <c r="Y131" i="11"/>
  <c r="AE131" i="11"/>
  <c r="AD131" i="11"/>
  <c r="AH131" i="11" s="1"/>
  <c r="BM137" i="11"/>
  <c r="BN137" i="11" s="1"/>
  <c r="Y142" i="11"/>
  <c r="AE142" i="11"/>
  <c r="AD142" i="11"/>
  <c r="AC202" i="11"/>
  <c r="AA202" i="11"/>
  <c r="AD18" i="11"/>
  <c r="AE18" i="11"/>
  <c r="BM128" i="11"/>
  <c r="BN128" i="11" s="1"/>
  <c r="AA27" i="11"/>
  <c r="AC27" i="11"/>
  <c r="Y32" i="11"/>
  <c r="Y33" i="11"/>
  <c r="AD101" i="11"/>
  <c r="AE101" i="11"/>
  <c r="Y105" i="11"/>
  <c r="AD105" i="11"/>
  <c r="AJ105" i="11" s="1"/>
  <c r="AA123" i="11"/>
  <c r="AC123" i="11"/>
  <c r="Y170" i="11"/>
  <c r="AD170" i="11"/>
  <c r="AE170" i="11"/>
  <c r="Y174" i="11"/>
  <c r="AE174" i="11"/>
  <c r="BM183" i="11"/>
  <c r="BN183" i="11" s="1"/>
  <c r="X184" i="11"/>
  <c r="AQ21" i="11"/>
  <c r="AA8" i="11"/>
  <c r="AC8" i="11"/>
  <c r="AC11" i="11"/>
  <c r="AA11" i="11"/>
  <c r="AA17" i="11"/>
  <c r="AC17" i="11"/>
  <c r="BM21" i="11"/>
  <c r="BN21" i="11" s="1"/>
  <c r="X31" i="11"/>
  <c r="BM32" i="11"/>
  <c r="BN32" i="11" s="1"/>
  <c r="AC92" i="11"/>
  <c r="AA92" i="11"/>
  <c r="Y28" i="11"/>
  <c r="AD28" i="11"/>
  <c r="AQ28" i="11" s="1"/>
  <c r="Y30" i="11"/>
  <c r="AD30" i="11"/>
  <c r="AE30" i="11"/>
  <c r="Y36" i="11"/>
  <c r="AD36" i="11"/>
  <c r="BM39" i="11"/>
  <c r="BN39" i="11" s="1"/>
  <c r="X45" i="11"/>
  <c r="X51" i="11"/>
  <c r="BM54" i="11"/>
  <c r="BN54" i="11" s="1"/>
  <c r="AA55" i="11"/>
  <c r="AC55" i="11"/>
  <c r="AA78" i="11"/>
  <c r="AH78" i="11" s="1"/>
  <c r="AC78" i="11"/>
  <c r="BM79" i="11"/>
  <c r="BN79" i="11" s="1"/>
  <c r="Y84" i="11"/>
  <c r="AD84" i="11"/>
  <c r="AQ84" i="11" s="1"/>
  <c r="AE84" i="11"/>
  <c r="Y94" i="11"/>
  <c r="AE94" i="11"/>
  <c r="AC98" i="11"/>
  <c r="AA98" i="11"/>
  <c r="Y104" i="11"/>
  <c r="AD104" i="11"/>
  <c r="Y154" i="11"/>
  <c r="AD154" i="11"/>
  <c r="AH175" i="11"/>
  <c r="AQ155" i="11"/>
  <c r="AH155" i="11"/>
  <c r="AQ115" i="11"/>
  <c r="AE36" i="11"/>
  <c r="AA81" i="11"/>
  <c r="AC46" i="11"/>
  <c r="AC13" i="11"/>
  <c r="BM29" i="11"/>
  <c r="BN29" i="11" s="1"/>
  <c r="BM38" i="11"/>
  <c r="BN38" i="11" s="1"/>
  <c r="AA40" i="11"/>
  <c r="AC40" i="11"/>
  <c r="AH45" i="11"/>
  <c r="Y103" i="11"/>
  <c r="BM153" i="11"/>
  <c r="BN153" i="11" s="1"/>
  <c r="AD157" i="11"/>
  <c r="AQ157" i="11" s="1"/>
  <c r="AE157" i="11"/>
  <c r="X159" i="11"/>
  <c r="X166" i="11"/>
  <c r="X197" i="11"/>
  <c r="Y199" i="11"/>
  <c r="AE194" i="11"/>
  <c r="AD199" i="11"/>
  <c r="BM214" i="11"/>
  <c r="BN214" i="11" s="1"/>
  <c r="Y7" i="11"/>
  <c r="Y62" i="11"/>
  <c r="X70" i="11"/>
  <c r="Y87" i="11"/>
  <c r="Y114" i="11"/>
  <c r="Y118" i="11"/>
  <c r="X135" i="11"/>
  <c r="Y155" i="11"/>
  <c r="Y179" i="11"/>
  <c r="Y50" i="11"/>
  <c r="Y67" i="11"/>
  <c r="Y71" i="11"/>
  <c r="Y123" i="11"/>
  <c r="AQ125" i="11"/>
  <c r="X200" i="11"/>
  <c r="Y11" i="11"/>
  <c r="Y39" i="11"/>
  <c r="Y54" i="11"/>
  <c r="Y80" i="11"/>
  <c r="Y107" i="11"/>
  <c r="Y183" i="11"/>
  <c r="X235" i="11"/>
  <c r="Y168" i="11"/>
  <c r="Y267" i="11"/>
  <c r="Y287" i="11"/>
  <c r="Y111" i="11"/>
  <c r="Y115" i="11"/>
  <c r="Y122" i="11"/>
  <c r="Y151" i="11"/>
  <c r="Y152" i="11"/>
  <c r="Y167" i="11"/>
  <c r="Y251" i="11"/>
  <c r="Y255" i="11"/>
  <c r="Y263" i="11"/>
  <c r="Y295" i="11"/>
  <c r="AF141" i="11"/>
  <c r="AF269" i="11"/>
  <c r="Y286" i="11"/>
  <c r="F255" i="13"/>
  <c r="F247" i="13"/>
  <c r="Y247" i="11"/>
  <c r="F232" i="13"/>
  <c r="F214" i="13"/>
  <c r="F187" i="13"/>
  <c r="F158" i="13"/>
  <c r="F140" i="13"/>
  <c r="F129" i="13"/>
  <c r="F42" i="13"/>
  <c r="Y223" i="11"/>
  <c r="Y231" i="11"/>
  <c r="AF281" i="11"/>
  <c r="AG281" i="11"/>
  <c r="AF249" i="11"/>
  <c r="AG249" i="11"/>
  <c r="AF217" i="11"/>
  <c r="AG217" i="11"/>
  <c r="AF185" i="11"/>
  <c r="AG185" i="11"/>
  <c r="AF153" i="11"/>
  <c r="AG153" i="11"/>
  <c r="AF121" i="11"/>
  <c r="AG121" i="11"/>
  <c r="AF89" i="11"/>
  <c r="AG89" i="11"/>
  <c r="AF57" i="11"/>
  <c r="AG57" i="11"/>
  <c r="F213" i="13"/>
  <c r="F205" i="13"/>
  <c r="F168" i="13"/>
  <c r="F165" i="13"/>
  <c r="F120" i="13"/>
  <c r="F109" i="13"/>
  <c r="F8" i="13"/>
  <c r="Y191" i="11"/>
  <c r="Y239" i="11"/>
  <c r="Y245" i="11"/>
  <c r="AF77" i="11"/>
  <c r="Y291" i="11"/>
  <c r="F280" i="13"/>
  <c r="F219" i="13"/>
  <c r="F204" i="13"/>
  <c r="F193" i="13"/>
  <c r="F174" i="13"/>
  <c r="F171" i="13"/>
  <c r="F138" i="13"/>
  <c r="F104" i="13"/>
  <c r="F93" i="13"/>
  <c r="F36" i="13"/>
  <c r="F33" i="13"/>
  <c r="F15" i="13"/>
  <c r="Y269" i="11"/>
  <c r="Y264" i="11"/>
  <c r="Y271" i="11"/>
  <c r="Y275" i="11"/>
  <c r="Y298" i="11"/>
  <c r="AF298" i="11"/>
  <c r="AH303" i="11"/>
  <c r="AQ279" i="11"/>
  <c r="BO279" i="11"/>
  <c r="AI265" i="11"/>
  <c r="AR265" i="11"/>
  <c r="AQ265" i="11"/>
  <c r="AH265" i="11"/>
  <c r="AQ253" i="11"/>
  <c r="AH253" i="11"/>
  <c r="AI253" i="11"/>
  <c r="AA39" i="11"/>
  <c r="AC39" i="11"/>
  <c r="Y40" i="11"/>
  <c r="AD40" i="11"/>
  <c r="AE40" i="11"/>
  <c r="BM46" i="11"/>
  <c r="BN46" i="11" s="1"/>
  <c r="AA49" i="11"/>
  <c r="AC49" i="11"/>
  <c r="Y69" i="11"/>
  <c r="AE69" i="11"/>
  <c r="AD69" i="11"/>
  <c r="AA88" i="11"/>
  <c r="AC88" i="11"/>
  <c r="Y92" i="11"/>
  <c r="AD92" i="11"/>
  <c r="AE92" i="11"/>
  <c r="Y93" i="11"/>
  <c r="AD93" i="11"/>
  <c r="AE93" i="11"/>
  <c r="BM94" i="11"/>
  <c r="BN94" i="11" s="1"/>
  <c r="AD14" i="11"/>
  <c r="Y14" i="11"/>
  <c r="AE14" i="11"/>
  <c r="BM16" i="11"/>
  <c r="BN16" i="11" s="1"/>
  <c r="BM18" i="11"/>
  <c r="BN18" i="11" s="1"/>
  <c r="Y12" i="11"/>
  <c r="AD12" i="11"/>
  <c r="AE12" i="11"/>
  <c r="BM13" i="11"/>
  <c r="BN13" i="11" s="1"/>
  <c r="AA48" i="11"/>
  <c r="AC48" i="11"/>
  <c r="AC145" i="11"/>
  <c r="AA145" i="11"/>
  <c r="AQ145" i="11" s="1"/>
  <c r="Y178" i="11"/>
  <c r="AD178" i="11"/>
  <c r="AE178" i="11"/>
  <c r="X180" i="11"/>
  <c r="X181" i="11"/>
  <c r="AA182" i="11"/>
  <c r="AC182" i="11"/>
  <c r="AC184" i="11"/>
  <c r="AA184" i="11"/>
  <c r="AC185" i="11"/>
  <c r="AA185" i="11"/>
  <c r="AH185" i="11" s="1"/>
  <c r="Y188" i="11"/>
  <c r="AD188" i="11"/>
  <c r="X195" i="11"/>
  <c r="AC196" i="11"/>
  <c r="AA196" i="11"/>
  <c r="BM196" i="11"/>
  <c r="BN196" i="11" s="1"/>
  <c r="X222" i="11"/>
  <c r="BM246" i="11"/>
  <c r="BN246" i="11" s="1"/>
  <c r="X248" i="11"/>
  <c r="BM249" i="11"/>
  <c r="BN249" i="11" s="1"/>
  <c r="X250" i="11"/>
  <c r="BM251" i="11"/>
  <c r="BN251" i="11" s="1"/>
  <c r="Z251" i="11" s="1"/>
  <c r="X252" i="11"/>
  <c r="BM255" i="11"/>
  <c r="BN255" i="11" s="1"/>
  <c r="BM256" i="11"/>
  <c r="BN256" i="11" s="1"/>
  <c r="AD16" i="11"/>
  <c r="AQ16" i="11" s="1"/>
  <c r="AH239" i="11"/>
  <c r="AQ239" i="11"/>
  <c r="Y110" i="11"/>
  <c r="AE110" i="11"/>
  <c r="BM111" i="11"/>
  <c r="BN111" i="11" s="1"/>
  <c r="BM113" i="11"/>
  <c r="BN113" i="11" s="1"/>
  <c r="X114" i="11"/>
  <c r="BM115" i="11"/>
  <c r="BN115" i="11" s="1"/>
  <c r="AC116" i="11"/>
  <c r="AA116" i="11"/>
  <c r="AA117" i="11"/>
  <c r="AC117" i="11"/>
  <c r="BM117" i="11"/>
  <c r="BN117" i="11" s="1"/>
  <c r="AC119" i="11"/>
  <c r="AA119" i="11"/>
  <c r="AH21" i="11"/>
  <c r="AH294" i="11"/>
  <c r="AQ278" i="11"/>
  <c r="AQ242" i="11"/>
  <c r="AH242" i="11"/>
  <c r="AA183" i="11"/>
  <c r="AD47" i="11"/>
  <c r="AE47" i="11"/>
  <c r="Y47" i="11"/>
  <c r="X99" i="11"/>
  <c r="AH279" i="11"/>
  <c r="AQ82" i="11"/>
  <c r="BM28" i="11"/>
  <c r="BN28" i="11" s="1"/>
  <c r="BM34" i="11"/>
  <c r="BN34" i="11" s="1"/>
  <c r="BM36" i="11"/>
  <c r="BN36" i="11" s="1"/>
  <c r="Y41" i="11"/>
  <c r="AD41" i="11"/>
  <c r="AA54" i="11"/>
  <c r="AC54" i="11"/>
  <c r="BM56" i="11"/>
  <c r="BN56" i="11" s="1"/>
  <c r="BM63" i="11"/>
  <c r="BN63" i="11" s="1"/>
  <c r="AA64" i="11"/>
  <c r="AC64" i="11"/>
  <c r="BM64" i="11"/>
  <c r="BN64" i="11" s="1"/>
  <c r="Y65" i="11"/>
  <c r="AD65" i="11"/>
  <c r="X101" i="11"/>
  <c r="Y126" i="11"/>
  <c r="AD126" i="11"/>
  <c r="X129" i="11"/>
  <c r="X168" i="11"/>
  <c r="X190" i="11"/>
  <c r="BM191" i="11"/>
  <c r="BN191" i="11" s="1"/>
  <c r="X192" i="11"/>
  <c r="BM193" i="11"/>
  <c r="BN193" i="11" s="1"/>
  <c r="X7" i="11"/>
  <c r="X10" i="11"/>
  <c r="BM40" i="11"/>
  <c r="BN40" i="11" s="1"/>
  <c r="X88" i="11"/>
  <c r="BM91" i="11"/>
  <c r="BN91" i="11" s="1"/>
  <c r="Y98" i="11"/>
  <c r="AD98" i="11"/>
  <c r="BM110" i="11"/>
  <c r="BN110" i="11" s="1"/>
  <c r="AC113" i="11"/>
  <c r="AA113" i="11"/>
  <c r="X119" i="11"/>
  <c r="X120" i="11"/>
  <c r="BM124" i="11"/>
  <c r="BN124" i="11" s="1"/>
  <c r="BM125" i="11"/>
  <c r="BN125" i="11" s="1"/>
  <c r="Y139" i="11"/>
  <c r="AD139" i="11"/>
  <c r="Y207" i="11"/>
  <c r="AD207" i="11"/>
  <c r="Y215" i="11"/>
  <c r="AD215" i="11"/>
  <c r="AH231" i="11"/>
  <c r="AQ234" i="11"/>
  <c r="AC9" i="11"/>
  <c r="AA9" i="11"/>
  <c r="AJ9" i="11" s="1"/>
  <c r="AD29" i="11"/>
  <c r="AE29" i="11"/>
  <c r="Y38" i="11"/>
  <c r="AD38" i="11"/>
  <c r="X50" i="11"/>
  <c r="AA51" i="11"/>
  <c r="AC51" i="11"/>
  <c r="BM53" i="11"/>
  <c r="BN53" i="11" s="1"/>
  <c r="Y58" i="11"/>
  <c r="AD58" i="11"/>
  <c r="AA72" i="11"/>
  <c r="AC72" i="11"/>
  <c r="Y74" i="11"/>
  <c r="AD74" i="11"/>
  <c r="Y127" i="11"/>
  <c r="AD127" i="11"/>
  <c r="X130" i="11"/>
  <c r="Y193" i="11"/>
  <c r="AD193" i="11"/>
  <c r="F279" i="13"/>
  <c r="F272" i="13"/>
  <c r="F235" i="13"/>
  <c r="F228" i="13"/>
  <c r="F108" i="13"/>
  <c r="F101" i="13"/>
  <c r="F97" i="13"/>
  <c r="F79" i="13"/>
  <c r="F69" i="13"/>
  <c r="F65" i="13"/>
  <c r="F59" i="13"/>
  <c r="F55" i="13"/>
  <c r="AF4" i="11"/>
  <c r="AG4" i="11"/>
  <c r="X171" i="11"/>
  <c r="X187" i="11"/>
  <c r="AG293" i="11"/>
  <c r="AF293" i="11"/>
  <c r="AF289" i="11"/>
  <c r="AG289" i="11"/>
  <c r="AG277" i="11"/>
  <c r="AF277" i="11"/>
  <c r="AF273" i="11"/>
  <c r="AG273" i="11"/>
  <c r="AG261" i="11"/>
  <c r="AF261" i="11"/>
  <c r="AF257" i="11"/>
  <c r="AG257" i="11"/>
  <c r="Y257" i="11"/>
  <c r="AG245" i="11"/>
  <c r="AF245" i="11"/>
  <c r="AF241" i="11"/>
  <c r="BQ241" i="11" s="1"/>
  <c r="AG241" i="11"/>
  <c r="AG229" i="11"/>
  <c r="AF229" i="11"/>
  <c r="AF225" i="11"/>
  <c r="AG225" i="11"/>
  <c r="AG213" i="11"/>
  <c r="AF213" i="11"/>
  <c r="AF209" i="11"/>
  <c r="AG209" i="11"/>
  <c r="AG205" i="11"/>
  <c r="Y205" i="11"/>
  <c r="AG197" i="11"/>
  <c r="AF197" i="11"/>
  <c r="Y197" i="11"/>
  <c r="AF193" i="11"/>
  <c r="AG193" i="11"/>
  <c r="AG181" i="11"/>
  <c r="AF181" i="11"/>
  <c r="AF177" i="11"/>
  <c r="AG177" i="11"/>
  <c r="AG165" i="11"/>
  <c r="AF165" i="11"/>
  <c r="AF161" i="11"/>
  <c r="AG161" i="11"/>
  <c r="AG149" i="11"/>
  <c r="AF149" i="11"/>
  <c r="AF145" i="11"/>
  <c r="AS145" i="11" s="1"/>
  <c r="AG145" i="11"/>
  <c r="AG133" i="11"/>
  <c r="AF133" i="11"/>
  <c r="AF129" i="11"/>
  <c r="AG129" i="11"/>
  <c r="AG117" i="11"/>
  <c r="AF117" i="11"/>
  <c r="AF113" i="11"/>
  <c r="AG113" i="11"/>
  <c r="AG101" i="11"/>
  <c r="AF101" i="11"/>
  <c r="AF97" i="11"/>
  <c r="AG97" i="11"/>
  <c r="AG85" i="11"/>
  <c r="AF85" i="11"/>
  <c r="AF81" i="11"/>
  <c r="AG81" i="11"/>
  <c r="AG69" i="11"/>
  <c r="AF69" i="11"/>
  <c r="AF65" i="11"/>
  <c r="AG65" i="11"/>
  <c r="AG45" i="11"/>
  <c r="AF45" i="11"/>
  <c r="AG25" i="11"/>
  <c r="AF25" i="11"/>
  <c r="AG21" i="11"/>
  <c r="AF21" i="11"/>
  <c r="AG17" i="11"/>
  <c r="AF17" i="11"/>
  <c r="AG13" i="11"/>
  <c r="AF13" i="11"/>
  <c r="AG9" i="11"/>
  <c r="AF9" i="11"/>
  <c r="F282" i="13"/>
  <c r="Y282" i="11"/>
  <c r="F189" i="13"/>
  <c r="Y189" i="11"/>
  <c r="F182" i="13"/>
  <c r="F169" i="13"/>
  <c r="F163" i="13"/>
  <c r="F159" i="13"/>
  <c r="F153" i="13"/>
  <c r="F147" i="13"/>
  <c r="F143" i="13"/>
  <c r="Y143" i="11"/>
  <c r="F136" i="13"/>
  <c r="F133" i="13"/>
  <c r="F19" i="13"/>
  <c r="F6" i="13"/>
  <c r="Y72" i="11"/>
  <c r="X80" i="11"/>
  <c r="Y101" i="11"/>
  <c r="Y201" i="11"/>
  <c r="Y209" i="11"/>
  <c r="Y213" i="11"/>
  <c r="Y237" i="11"/>
  <c r="X245" i="11"/>
  <c r="X277" i="11"/>
  <c r="Y279" i="11"/>
  <c r="AF61" i="11"/>
  <c r="AF93" i="11"/>
  <c r="AF125" i="11"/>
  <c r="AF157" i="11"/>
  <c r="AF189" i="11"/>
  <c r="AF221" i="11"/>
  <c r="AF253" i="11"/>
  <c r="AF285" i="11"/>
  <c r="F299" i="13"/>
  <c r="F192" i="13"/>
  <c r="F188" i="13"/>
  <c r="F177" i="13"/>
  <c r="Y172" i="11"/>
  <c r="Y166" i="11"/>
  <c r="Y156" i="11"/>
  <c r="F29" i="13"/>
  <c r="Y29" i="11"/>
  <c r="F22" i="13"/>
  <c r="AQ175" i="11"/>
  <c r="BM269" i="11"/>
  <c r="BN269" i="11" s="1"/>
  <c r="X37" i="11"/>
  <c r="Y97" i="11"/>
  <c r="Y109" i="11"/>
  <c r="Y113" i="11"/>
  <c r="Y147" i="11"/>
  <c r="X203" i="11"/>
  <c r="X240" i="11"/>
  <c r="Y249" i="11"/>
  <c r="Y273" i="11"/>
  <c r="X284" i="11"/>
  <c r="AG73" i="11"/>
  <c r="AG105" i="11"/>
  <c r="AG137" i="11"/>
  <c r="AG169" i="11"/>
  <c r="AG201" i="11"/>
  <c r="AG233" i="11"/>
  <c r="AG265" i="11"/>
  <c r="AG297" i="11"/>
  <c r="F243" i="13"/>
  <c r="Y243" i="11"/>
  <c r="F102" i="13"/>
  <c r="F56" i="13"/>
  <c r="F52" i="13"/>
  <c r="F45" i="13"/>
  <c r="F38" i="13"/>
  <c r="Y13" i="11"/>
  <c r="Y21" i="11"/>
  <c r="Y52" i="11"/>
  <c r="Y56" i="11"/>
  <c r="Y89" i="11"/>
  <c r="Y102" i="11"/>
  <c r="Y121" i="11"/>
  <c r="Y141" i="11"/>
  <c r="Y150" i="11"/>
  <c r="Y185" i="11"/>
  <c r="Y211" i="11"/>
  <c r="Y259" i="11"/>
  <c r="Y299" i="11"/>
  <c r="F263" i="13"/>
  <c r="F259" i="13"/>
  <c r="F256" i="13"/>
  <c r="Y253" i="11"/>
  <c r="F217" i="13"/>
  <c r="F211" i="13"/>
  <c r="F202" i="13"/>
  <c r="F195" i="13"/>
  <c r="F117" i="13"/>
  <c r="F110" i="13"/>
  <c r="F78" i="13"/>
  <c r="F75" i="13"/>
  <c r="F71" i="13"/>
  <c r="F68" i="13"/>
  <c r="F58" i="13"/>
  <c r="F43" i="13"/>
  <c r="F37" i="13"/>
  <c r="F21" i="13"/>
  <c r="F5" i="13"/>
  <c r="Y146" i="11"/>
  <c r="Y149" i="11"/>
  <c r="Y161" i="11"/>
  <c r="Y169" i="11"/>
  <c r="Y175" i="11"/>
  <c r="Y182" i="11"/>
  <c r="Y221" i="11"/>
  <c r="Y241" i="11"/>
  <c r="Y285" i="11"/>
  <c r="F283" i="13"/>
  <c r="Y283" i="11"/>
  <c r="F276" i="13"/>
  <c r="F273" i="13"/>
  <c r="F252" i="13"/>
  <c r="F216" i="13"/>
  <c r="F201" i="13"/>
  <c r="F144" i="13"/>
  <c r="F137" i="13"/>
  <c r="F123" i="13"/>
  <c r="F116" i="13"/>
  <c r="F46" i="13"/>
  <c r="F30" i="13"/>
  <c r="F14" i="13"/>
  <c r="Y137" i="11"/>
  <c r="Y157" i="11"/>
  <c r="Y159" i="11"/>
  <c r="Y177" i="11"/>
  <c r="Y214" i="11"/>
  <c r="Y222" i="11"/>
  <c r="AF14" i="11"/>
  <c r="AG62" i="11"/>
  <c r="AF82" i="11"/>
  <c r="AF98" i="11"/>
  <c r="AF114" i="11"/>
  <c r="AF130" i="11"/>
  <c r="AF146" i="11"/>
  <c r="AS146" i="11" s="1"/>
  <c r="AF162" i="11"/>
  <c r="AF178" i="11"/>
  <c r="AF194" i="11"/>
  <c r="AF210" i="11"/>
  <c r="AF226" i="11"/>
  <c r="AF242" i="11"/>
  <c r="AF258" i="11"/>
  <c r="AF274" i="11"/>
  <c r="AF290" i="11"/>
  <c r="F291" i="13"/>
  <c r="F288" i="13"/>
  <c r="F227" i="13"/>
  <c r="F224" i="13"/>
  <c r="F180" i="13"/>
  <c r="F128" i="13"/>
  <c r="F119" i="13"/>
  <c r="F96" i="13"/>
  <c r="F90" i="13"/>
  <c r="F87" i="13"/>
  <c r="F23" i="13"/>
  <c r="F20" i="13"/>
  <c r="F7" i="13"/>
  <c r="F260" i="13"/>
  <c r="F230" i="13"/>
  <c r="F183" i="13"/>
  <c r="F160" i="13"/>
  <c r="F154" i="13"/>
  <c r="F83" i="13"/>
  <c r="BJ55" i="11"/>
  <c r="X77" i="11"/>
  <c r="Y79" i="11"/>
  <c r="AD79" i="11"/>
  <c r="AQ79" i="11" s="1"/>
  <c r="AE79" i="11"/>
  <c r="BM81" i="11"/>
  <c r="BN81" i="11" s="1"/>
  <c r="Y136" i="11"/>
  <c r="AE136" i="11"/>
  <c r="AD136" i="11"/>
  <c r="X156" i="11"/>
  <c r="Y163" i="11"/>
  <c r="AD163" i="11"/>
  <c r="AE163" i="11"/>
  <c r="Y165" i="11"/>
  <c r="AD165" i="11"/>
  <c r="AE165" i="11"/>
  <c r="Y171" i="11"/>
  <c r="AE171" i="11"/>
  <c r="AD171" i="11"/>
  <c r="BJ177" i="11"/>
  <c r="BJ178" i="11"/>
  <c r="BJ179" i="11"/>
  <c r="X182" i="11"/>
  <c r="X185" i="11"/>
  <c r="AA186" i="11"/>
  <c r="AC186" i="11"/>
  <c r="BM186" i="11"/>
  <c r="BN186" i="11" s="1"/>
  <c r="Y208" i="11"/>
  <c r="AD208" i="11"/>
  <c r="AE208" i="11"/>
  <c r="BM209" i="11"/>
  <c r="BN209" i="11" s="1"/>
  <c r="BJ211" i="11"/>
  <c r="AC216" i="11"/>
  <c r="AA216" i="11"/>
  <c r="Y217" i="11"/>
  <c r="AD217" i="11"/>
  <c r="AE217" i="11"/>
  <c r="BM218" i="11"/>
  <c r="BN218" i="11" s="1"/>
  <c r="BJ219" i="11"/>
  <c r="Y227" i="11"/>
  <c r="AD227" i="11"/>
  <c r="AE227" i="11"/>
  <c r="BM228" i="11"/>
  <c r="BN228" i="11" s="1"/>
  <c r="Y233" i="11"/>
  <c r="AD233" i="11"/>
  <c r="AH233" i="11" s="1"/>
  <c r="AE233" i="11"/>
  <c r="Y235" i="11"/>
  <c r="AD235" i="11"/>
  <c r="AE235" i="11"/>
  <c r="Y250" i="11"/>
  <c r="AE250" i="11"/>
  <c r="AD250" i="11"/>
  <c r="X267" i="11"/>
  <c r="AA268" i="11"/>
  <c r="AC268" i="11"/>
  <c r="X271" i="11"/>
  <c r="AA272" i="11"/>
  <c r="AC272" i="11"/>
  <c r="Z73" i="11"/>
  <c r="Z9" i="11"/>
  <c r="X49" i="11"/>
  <c r="AA50" i="11"/>
  <c r="AC50" i="11"/>
  <c r="AA58" i="11"/>
  <c r="AC58" i="11"/>
  <c r="BM58" i="11"/>
  <c r="BN58" i="11" s="1"/>
  <c r="S304" i="11"/>
  <c r="AA59" i="11"/>
  <c r="AJ59" i="11" s="1"/>
  <c r="AC59" i="11"/>
  <c r="BM59" i="11"/>
  <c r="BN59" i="11" s="1"/>
  <c r="BJ63" i="11"/>
  <c r="AH66" i="11"/>
  <c r="AQ66" i="11"/>
  <c r="BM78" i="11"/>
  <c r="BN78" i="11" s="1"/>
  <c r="Y138" i="11"/>
  <c r="AE138" i="11"/>
  <c r="AD138" i="11"/>
  <c r="AA161" i="11"/>
  <c r="AC161" i="11"/>
  <c r="Y173" i="11"/>
  <c r="AE173" i="11"/>
  <c r="AD173" i="11"/>
  <c r="Y190" i="11"/>
  <c r="AD190" i="11"/>
  <c r="AE190" i="11"/>
  <c r="Y192" i="11"/>
  <c r="AD192" i="11"/>
  <c r="AE192" i="11"/>
  <c r="Y198" i="11"/>
  <c r="AD198" i="11"/>
  <c r="AE198" i="11"/>
  <c r="Y200" i="11"/>
  <c r="AD200" i="11"/>
  <c r="AE200" i="11"/>
  <c r="AR201" i="11"/>
  <c r="AA207" i="11"/>
  <c r="AC207" i="11"/>
  <c r="BM210" i="11"/>
  <c r="BN210" i="11" s="1"/>
  <c r="AH212" i="11"/>
  <c r="AQ212" i="11"/>
  <c r="X213" i="11"/>
  <c r="Y225" i="11"/>
  <c r="AE225" i="11"/>
  <c r="AD225" i="11"/>
  <c r="BJ231" i="11"/>
  <c r="X243" i="11"/>
  <c r="BM268" i="11"/>
  <c r="BN268" i="11" s="1"/>
  <c r="BM272" i="11"/>
  <c r="BN272" i="11" s="1"/>
  <c r="Z161" i="11"/>
  <c r="Z65" i="11"/>
  <c r="Z112" i="11"/>
  <c r="BO45" i="11"/>
  <c r="Z241" i="11"/>
  <c r="Z286" i="11"/>
  <c r="AD17" i="11"/>
  <c r="AE17" i="11"/>
  <c r="Y17" i="11"/>
  <c r="AJ143" i="11"/>
  <c r="AQ137" i="11"/>
  <c r="AH137" i="11"/>
  <c r="AR137" i="11"/>
  <c r="AJ137" i="11"/>
  <c r="AI137" i="11"/>
  <c r="AI115" i="11"/>
  <c r="Z100" i="11"/>
  <c r="AR297" i="11"/>
  <c r="AQ19" i="11"/>
  <c r="AH19" i="11"/>
  <c r="Y19" i="11"/>
  <c r="AE19" i="11"/>
  <c r="AQ254" i="11"/>
  <c r="AH254" i="11"/>
  <c r="AH204" i="11"/>
  <c r="AQ204" i="11"/>
  <c r="AR233" i="11"/>
  <c r="AQ231" i="11"/>
  <c r="AQ114" i="11"/>
  <c r="AQ110" i="11"/>
  <c r="AH110" i="11"/>
  <c r="AQ303" i="11"/>
  <c r="AQ152" i="11"/>
  <c r="AQ143" i="11"/>
  <c r="AH143" i="11"/>
  <c r="X33" i="11"/>
  <c r="AA34" i="11"/>
  <c r="AC34" i="11"/>
  <c r="AA37" i="11"/>
  <c r="AC37" i="11"/>
  <c r="X43" i="11"/>
  <c r="BM44" i="11"/>
  <c r="BN44" i="11" s="1"/>
  <c r="Y55" i="11"/>
  <c r="AE55" i="11"/>
  <c r="AD55" i="11"/>
  <c r="Y63" i="11"/>
  <c r="AE63" i="11"/>
  <c r="Y64" i="11"/>
  <c r="AD64" i="11"/>
  <c r="X69" i="11"/>
  <c r="AD85" i="11"/>
  <c r="Y85" i="11"/>
  <c r="BM136" i="11"/>
  <c r="BN136" i="11" s="1"/>
  <c r="Y145" i="11"/>
  <c r="AE145" i="11"/>
  <c r="X12" i="11"/>
  <c r="X27" i="11"/>
  <c r="AA38" i="11"/>
  <c r="AC38" i="11"/>
  <c r="X47" i="11"/>
  <c r="BM48" i="11"/>
  <c r="BN48" i="11" s="1"/>
  <c r="X83" i="11"/>
  <c r="AC102" i="11"/>
  <c r="AA102" i="11"/>
  <c r="AQ102" i="11" s="1"/>
  <c r="BM102" i="11"/>
  <c r="BN102" i="11" s="1"/>
  <c r="Y117" i="11"/>
  <c r="AD117" i="11"/>
  <c r="BM121" i="11"/>
  <c r="BN121" i="11" s="1"/>
  <c r="X20" i="11"/>
  <c r="AA22" i="11"/>
  <c r="AC22" i="11"/>
  <c r="X292" i="11"/>
  <c r="Y10" i="11"/>
  <c r="AD10" i="11"/>
  <c r="AE10" i="11"/>
  <c r="AA26" i="11"/>
  <c r="AC26" i="11"/>
  <c r="X35" i="11"/>
  <c r="AA42" i="11"/>
  <c r="AQ42" i="11" s="1"/>
  <c r="AC42" i="11"/>
  <c r="BM52" i="11"/>
  <c r="BN52" i="11" s="1"/>
  <c r="BM55" i="11"/>
  <c r="BN55" i="11" s="1"/>
  <c r="BM62" i="11"/>
  <c r="BN62" i="11" s="1"/>
  <c r="X95" i="11"/>
  <c r="BM96" i="11"/>
  <c r="BN96" i="11" s="1"/>
  <c r="AA109" i="11"/>
  <c r="AC109" i="11"/>
  <c r="X116" i="11"/>
  <c r="Y125" i="11"/>
  <c r="AE125" i="11"/>
  <c r="BM151" i="11"/>
  <c r="BN151" i="11" s="1"/>
  <c r="BM152" i="11"/>
  <c r="BN152" i="11" s="1"/>
  <c r="X154" i="11"/>
  <c r="AD280" i="11"/>
  <c r="BM8" i="11"/>
  <c r="BN8" i="11" s="1"/>
  <c r="AA30" i="11"/>
  <c r="AC30" i="11"/>
  <c r="Y59" i="11"/>
  <c r="AE59" i="11"/>
  <c r="AA67" i="11"/>
  <c r="AC67" i="11"/>
  <c r="X112" i="11"/>
  <c r="X131" i="11"/>
  <c r="X76" i="11"/>
  <c r="X162" i="11"/>
  <c r="X189" i="11"/>
  <c r="X205" i="11"/>
  <c r="X220" i="11"/>
  <c r="X274" i="11"/>
  <c r="X291" i="11"/>
  <c r="AG300" i="11"/>
  <c r="AF300" i="11"/>
  <c r="Y300" i="11"/>
  <c r="AG296" i="11"/>
  <c r="AF296" i="11"/>
  <c r="AG288" i="11"/>
  <c r="AF288" i="11"/>
  <c r="AG284" i="11"/>
  <c r="AF284" i="11"/>
  <c r="AG280" i="11"/>
  <c r="AF280" i="11"/>
  <c r="AG272" i="11"/>
  <c r="AF272" i="11"/>
  <c r="AG268" i="11"/>
  <c r="AF268" i="11"/>
  <c r="AG264" i="11"/>
  <c r="AF264" i="11"/>
  <c r="AG260" i="11"/>
  <c r="Y260" i="11"/>
  <c r="AG256" i="11"/>
  <c r="AF256" i="11"/>
  <c r="Y256" i="11"/>
  <c r="AG252" i="11"/>
  <c r="AF252" i="11"/>
  <c r="Y252" i="11"/>
  <c r="AG248" i="11"/>
  <c r="AF248" i="11"/>
  <c r="Y248" i="11"/>
  <c r="AG244" i="11"/>
  <c r="Y244" i="11"/>
  <c r="AG240" i="11"/>
  <c r="AF240" i="11"/>
  <c r="AG236" i="11"/>
  <c r="AF236" i="11"/>
  <c r="AG232" i="11"/>
  <c r="AF232" i="11"/>
  <c r="AG224" i="11"/>
  <c r="AF224" i="11"/>
  <c r="AG220" i="11"/>
  <c r="AF220" i="11"/>
  <c r="AG216" i="11"/>
  <c r="AF216" i="11"/>
  <c r="AG208" i="11"/>
  <c r="AF208" i="11"/>
  <c r="AR208" i="11" s="1"/>
  <c r="AG200" i="11"/>
  <c r="AF200" i="11"/>
  <c r="AG196" i="11"/>
  <c r="AF196" i="11"/>
  <c r="AG188" i="11"/>
  <c r="AF188" i="11"/>
  <c r="AG184" i="11"/>
  <c r="AF184" i="11"/>
  <c r="Y184" i="11"/>
  <c r="AF180" i="11"/>
  <c r="Y180" i="11"/>
  <c r="AG176" i="11"/>
  <c r="AF176" i="11"/>
  <c r="AG168" i="11"/>
  <c r="AF168" i="11"/>
  <c r="AG164" i="11"/>
  <c r="AF164" i="11"/>
  <c r="AG156" i="11"/>
  <c r="AF156" i="11"/>
  <c r="AG152" i="11"/>
  <c r="AF152" i="11"/>
  <c r="AG144" i="11"/>
  <c r="AF144" i="11"/>
  <c r="AG136" i="11"/>
  <c r="AF136" i="11"/>
  <c r="AG132" i="11"/>
  <c r="AF132" i="11"/>
  <c r="AG124" i="11"/>
  <c r="AF124" i="11"/>
  <c r="AG120" i="11"/>
  <c r="AF120" i="11"/>
  <c r="AG112" i="11"/>
  <c r="AF112" i="11"/>
  <c r="AR112" i="11" s="1"/>
  <c r="AG104" i="11"/>
  <c r="AF104" i="11"/>
  <c r="AR104" i="11" s="1"/>
  <c r="AG100" i="11"/>
  <c r="AF100" i="11"/>
  <c r="AG92" i="11"/>
  <c r="AF92" i="11"/>
  <c r="AG88" i="11"/>
  <c r="AF88" i="11"/>
  <c r="AG80" i="11"/>
  <c r="AF80" i="11"/>
  <c r="AG72" i="11"/>
  <c r="AF72" i="11"/>
  <c r="AG68" i="11"/>
  <c r="AF68" i="11"/>
  <c r="AG60" i="11"/>
  <c r="AF60" i="11"/>
  <c r="AG56" i="11"/>
  <c r="AF56" i="11"/>
  <c r="AG20" i="11"/>
  <c r="AF20" i="11"/>
  <c r="Y303" i="11"/>
  <c r="F293" i="13"/>
  <c r="Y293" i="11"/>
  <c r="F290" i="13"/>
  <c r="Y290" i="11"/>
  <c r="F277" i="13"/>
  <c r="Y277" i="11"/>
  <c r="F274" i="13"/>
  <c r="F261" i="13"/>
  <c r="F258" i="13"/>
  <c r="Y258" i="11"/>
  <c r="F245" i="13"/>
  <c r="F242" i="13"/>
  <c r="Y242" i="11"/>
  <c r="F229" i="13"/>
  <c r="Y229" i="11"/>
  <c r="F226" i="13"/>
  <c r="F194" i="13"/>
  <c r="Y194" i="11"/>
  <c r="F191" i="13"/>
  <c r="F164" i="13"/>
  <c r="Y164" i="11"/>
  <c r="F130" i="13"/>
  <c r="F127" i="13"/>
  <c r="F100" i="13"/>
  <c r="F66" i="13"/>
  <c r="Y292" i="11"/>
  <c r="Y296" i="11"/>
  <c r="AF96" i="11"/>
  <c r="AF140" i="11"/>
  <c r="AG180" i="11"/>
  <c r="AF228" i="11"/>
  <c r="BQ228" i="11" s="1"/>
  <c r="AF292" i="11"/>
  <c r="Y228" i="11"/>
  <c r="Y232" i="11"/>
  <c r="Y268" i="11"/>
  <c r="Y272" i="11"/>
  <c r="Y276" i="11"/>
  <c r="F297" i="13"/>
  <c r="Y297" i="11"/>
  <c r="F294" i="13"/>
  <c r="Y294" i="11"/>
  <c r="F281" i="13"/>
  <c r="Y281" i="11"/>
  <c r="F278" i="13"/>
  <c r="F265" i="13"/>
  <c r="Y265" i="11"/>
  <c r="F262" i="13"/>
  <c r="F249" i="13"/>
  <c r="F246" i="13"/>
  <c r="Y246" i="11"/>
  <c r="F218" i="13"/>
  <c r="Y218" i="11"/>
  <c r="F210" i="13"/>
  <c r="Y210" i="11"/>
  <c r="F207" i="13"/>
  <c r="F146" i="13"/>
  <c r="F82" i="13"/>
  <c r="F286" i="13"/>
  <c r="F270" i="13"/>
  <c r="F254" i="13"/>
  <c r="F238" i="13"/>
  <c r="F178" i="13"/>
  <c r="F175" i="13"/>
  <c r="F148" i="13"/>
  <c r="F114" i="13"/>
  <c r="F84" i="13"/>
  <c r="F50" i="13"/>
  <c r="AD4" i="11"/>
  <c r="Y4" i="11"/>
  <c r="Y289" i="11"/>
  <c r="Y301" i="11"/>
  <c r="F298" i="13"/>
  <c r="F285" i="13"/>
  <c r="F269" i="13"/>
  <c r="F266" i="13"/>
  <c r="F253" i="13"/>
  <c r="F237" i="13"/>
  <c r="F234" i="13"/>
  <c r="F162" i="13"/>
  <c r="F98" i="13"/>
  <c r="F300" i="13"/>
  <c r="F268" i="13"/>
  <c r="F236" i="13"/>
  <c r="AR187" i="11" l="1"/>
  <c r="AJ294" i="11"/>
  <c r="AI155" i="11"/>
  <c r="AI72" i="11"/>
  <c r="AR232" i="11"/>
  <c r="AR193" i="11"/>
  <c r="AR289" i="11"/>
  <c r="Z257" i="11"/>
  <c r="AR199" i="11"/>
  <c r="AJ133" i="11"/>
  <c r="Z178" i="11"/>
  <c r="Z114" i="11"/>
  <c r="Z66" i="11"/>
  <c r="Z226" i="11"/>
  <c r="AU108" i="11"/>
  <c r="AX108" i="11" s="1"/>
  <c r="AM140" i="11"/>
  <c r="AP140" i="11" s="1"/>
  <c r="AU172" i="11"/>
  <c r="AX172" i="11" s="1"/>
  <c r="Z173" i="11"/>
  <c r="Z282" i="11"/>
  <c r="Z106" i="11"/>
  <c r="Z276" i="11"/>
  <c r="AI230" i="11"/>
  <c r="AI129" i="11"/>
  <c r="AI302" i="11"/>
  <c r="E4" i="17" a="1"/>
  <c r="E4" i="17" s="1"/>
  <c r="F3" i="8" a="1"/>
  <c r="F3" i="8" s="1"/>
  <c r="E3" i="8" s="1"/>
  <c r="AR33" i="11"/>
  <c r="AJ273" i="11"/>
  <c r="Z115" i="11"/>
  <c r="AR131" i="11"/>
  <c r="AJ152" i="11"/>
  <c r="AI243" i="11"/>
  <c r="Z291" i="11"/>
  <c r="AL280" i="11"/>
  <c r="AO280" i="11" s="1"/>
  <c r="AU14" i="11"/>
  <c r="AX14" i="11" s="1"/>
  <c r="AJ193" i="11"/>
  <c r="AR83" i="11"/>
  <c r="Z216" i="11"/>
  <c r="Z145" i="11"/>
  <c r="Z227" i="11"/>
  <c r="BO155" i="11"/>
  <c r="Z144" i="11"/>
  <c r="AI169" i="11"/>
  <c r="Z232" i="11"/>
  <c r="AI289" i="11"/>
  <c r="AI176" i="11"/>
  <c r="AR192" i="11"/>
  <c r="Z155" i="11"/>
  <c r="AJ257" i="11"/>
  <c r="BO297" i="11"/>
  <c r="Z33" i="11"/>
  <c r="AR115" i="11"/>
  <c r="BA115" i="11" s="1"/>
  <c r="AR227" i="11"/>
  <c r="AI80" i="11"/>
  <c r="Z72" i="11"/>
  <c r="AJ19" i="11"/>
  <c r="AI128" i="11"/>
  <c r="AI232" i="11"/>
  <c r="BA232" i="11" s="1"/>
  <c r="AJ288" i="11"/>
  <c r="AI209" i="11"/>
  <c r="Z299" i="11"/>
  <c r="AM264" i="11"/>
  <c r="AP264" i="11" s="1"/>
  <c r="AR16" i="11"/>
  <c r="AL107" i="11"/>
  <c r="BQ32" i="11"/>
  <c r="BO254" i="11"/>
  <c r="Z54" i="11"/>
  <c r="Z142" i="11"/>
  <c r="AR190" i="11"/>
  <c r="Z238" i="11"/>
  <c r="Z38" i="11"/>
  <c r="AR70" i="11"/>
  <c r="AR142" i="11"/>
  <c r="AR126" i="11"/>
  <c r="AI150" i="11"/>
  <c r="Z5" i="11"/>
  <c r="AR151" i="11"/>
  <c r="Z279" i="11"/>
  <c r="AJ82" i="11"/>
  <c r="AI143" i="11"/>
  <c r="AI234" i="11"/>
  <c r="BO175" i="11"/>
  <c r="AI133" i="11"/>
  <c r="AI125" i="11"/>
  <c r="AI199" i="11"/>
  <c r="BA199" i="11" s="1"/>
  <c r="Z29" i="11"/>
  <c r="AI36" i="11"/>
  <c r="AI21" i="11"/>
  <c r="AR53" i="11"/>
  <c r="AR173" i="11"/>
  <c r="AR301" i="11"/>
  <c r="AI45" i="11"/>
  <c r="Z239" i="11"/>
  <c r="AR244" i="11"/>
  <c r="Z84" i="11"/>
  <c r="AR28" i="11"/>
  <c r="AI237" i="11"/>
  <c r="AI242" i="11"/>
  <c r="AR178" i="11"/>
  <c r="AR125" i="11"/>
  <c r="AR116" i="11"/>
  <c r="AI204" i="11"/>
  <c r="AR223" i="11"/>
  <c r="BA223" i="11" s="1"/>
  <c r="AR47" i="11"/>
  <c r="AR175" i="11"/>
  <c r="AJ231" i="11"/>
  <c r="AJ223" i="11"/>
  <c r="AJ245" i="11"/>
  <c r="Z223" i="11"/>
  <c r="AR260" i="11"/>
  <c r="Z284" i="11"/>
  <c r="AR220" i="11"/>
  <c r="AJ45" i="11"/>
  <c r="BO253" i="11"/>
  <c r="Z39" i="11"/>
  <c r="BO239" i="11"/>
  <c r="AI303" i="11"/>
  <c r="AI53" i="11"/>
  <c r="BO236" i="11"/>
  <c r="Z175" i="11"/>
  <c r="Z215" i="11"/>
  <c r="AI239" i="11"/>
  <c r="Z133" i="11"/>
  <c r="AR36" i="11"/>
  <c r="AJ63" i="11"/>
  <c r="Z143" i="11"/>
  <c r="Z202" i="11"/>
  <c r="AI114" i="11"/>
  <c r="W4" i="11"/>
  <c r="W2" i="11" s="1"/>
  <c r="AR106" i="11"/>
  <c r="AI274" i="11"/>
  <c r="Z42" i="11"/>
  <c r="Z266" i="11"/>
  <c r="Z290" i="11"/>
  <c r="Z250" i="11"/>
  <c r="Z82" i="11"/>
  <c r="Z162" i="11"/>
  <c r="AU6" i="11"/>
  <c r="AX6" i="11" s="1"/>
  <c r="AU194" i="11"/>
  <c r="AX194" i="11" s="1"/>
  <c r="AU226" i="11"/>
  <c r="AX226" i="11" s="1"/>
  <c r="AU290" i="11"/>
  <c r="AX290" i="11" s="1"/>
  <c r="AI66" i="11"/>
  <c r="AJ278" i="11"/>
  <c r="AT214" i="11"/>
  <c r="AW214" i="11" s="1"/>
  <c r="AJ212" i="11"/>
  <c r="BB212" i="11" s="1"/>
  <c r="AR157" i="11"/>
  <c r="AR21" i="11"/>
  <c r="AR45" i="11"/>
  <c r="AR165" i="11"/>
  <c r="AR293" i="11"/>
  <c r="Z36" i="11"/>
  <c r="AI47" i="11"/>
  <c r="BA47" i="11" s="1"/>
  <c r="AI188" i="11"/>
  <c r="AI175" i="11"/>
  <c r="AI298" i="11"/>
  <c r="AI279" i="11"/>
  <c r="AR298" i="11"/>
  <c r="AJ303" i="11"/>
  <c r="AR79" i="11"/>
  <c r="Z11" i="11"/>
  <c r="Z198" i="11"/>
  <c r="Z165" i="11"/>
  <c r="AJ253" i="11"/>
  <c r="Z231" i="11"/>
  <c r="AJ76" i="11"/>
  <c r="Z302" i="11"/>
  <c r="Z204" i="11"/>
  <c r="AI244" i="11"/>
  <c r="Z303" i="11"/>
  <c r="AR148" i="11"/>
  <c r="AJ60" i="11"/>
  <c r="AR76" i="11"/>
  <c r="BO167" i="11"/>
  <c r="Z234" i="11"/>
  <c r="Z274" i="11"/>
  <c r="Z292" i="11"/>
  <c r="AI268" i="11"/>
  <c r="BO126" i="11"/>
  <c r="Z34" i="11"/>
  <c r="AI110" i="11"/>
  <c r="AI254" i="11"/>
  <c r="Z79" i="11"/>
  <c r="AI142" i="11"/>
  <c r="BO231" i="11"/>
  <c r="BS231" i="11" s="1"/>
  <c r="AR171" i="11"/>
  <c r="AR15" i="11"/>
  <c r="AR103" i="11"/>
  <c r="AI212" i="11"/>
  <c r="BA212" i="11" s="1"/>
  <c r="AR302" i="11"/>
  <c r="Z123" i="11"/>
  <c r="Z254" i="11"/>
  <c r="AI278" i="11"/>
  <c r="AI174" i="11"/>
  <c r="Z212" i="11"/>
  <c r="AJ91" i="11"/>
  <c r="AJ148" i="11"/>
  <c r="BO242" i="11"/>
  <c r="Z154" i="11"/>
  <c r="Z300" i="11"/>
  <c r="AU285" i="11"/>
  <c r="AX285" i="11" s="1"/>
  <c r="Z74" i="11"/>
  <c r="Z6" i="11"/>
  <c r="Z50" i="11"/>
  <c r="AU77" i="11"/>
  <c r="AX77" i="11" s="1"/>
  <c r="BP87" i="11"/>
  <c r="AL183" i="11"/>
  <c r="AO183" i="11" s="1"/>
  <c r="AU292" i="11"/>
  <c r="AX292" i="11" s="1"/>
  <c r="AU250" i="11"/>
  <c r="AX250" i="11" s="1"/>
  <c r="AU96" i="11"/>
  <c r="AX96" i="11" s="1"/>
  <c r="AU160" i="11"/>
  <c r="AX160" i="11" s="1"/>
  <c r="AL158" i="11"/>
  <c r="AO158" i="11" s="1"/>
  <c r="AM286" i="11"/>
  <c r="AP286" i="11" s="1"/>
  <c r="BP134" i="11"/>
  <c r="H5" i="19"/>
  <c r="D7" i="19"/>
  <c r="F5" i="19"/>
  <c r="H6" i="19"/>
  <c r="E5" i="19"/>
  <c r="F7" i="19"/>
  <c r="E7" i="19"/>
  <c r="D5" i="19"/>
  <c r="G5" i="19"/>
  <c r="G6" i="19"/>
  <c r="F6" i="19"/>
  <c r="E6" i="19"/>
  <c r="G7" i="19"/>
  <c r="D6" i="19"/>
  <c r="H7" i="19"/>
  <c r="D8" i="19"/>
  <c r="AL214" i="11"/>
  <c r="AO214" i="11" s="1"/>
  <c r="AK183" i="11"/>
  <c r="AN183" i="11" s="1"/>
  <c r="AK214" i="11"/>
  <c r="AN214" i="11" s="1"/>
  <c r="BF214" i="11" s="1"/>
  <c r="AI284" i="11"/>
  <c r="AH141" i="11"/>
  <c r="AU178" i="11"/>
  <c r="AX178" i="11" s="1"/>
  <c r="AK175" i="11"/>
  <c r="AN175" i="11" s="1"/>
  <c r="AK153" i="11"/>
  <c r="AN153" i="11" s="1"/>
  <c r="AU81" i="11"/>
  <c r="AX81" i="11" s="1"/>
  <c r="AU200" i="11"/>
  <c r="AX200" i="11" s="1"/>
  <c r="AT140" i="11"/>
  <c r="AW140" i="11" s="1"/>
  <c r="BP230" i="11"/>
  <c r="AM230" i="11"/>
  <c r="AP230" i="11" s="1"/>
  <c r="BP200" i="11"/>
  <c r="AV107" i="11"/>
  <c r="AY107" i="11" s="1"/>
  <c r="AL65" i="11"/>
  <c r="AO65" i="11" s="1"/>
  <c r="AM187" i="11"/>
  <c r="AP187" i="11" s="1"/>
  <c r="AM183" i="11"/>
  <c r="AP183" i="11" s="1"/>
  <c r="BR140" i="11"/>
  <c r="AL134" i="11"/>
  <c r="AO134" i="11" s="1"/>
  <c r="AK107" i="11"/>
  <c r="AN107" i="11" s="1"/>
  <c r="AT264" i="11"/>
  <c r="AW264" i="11" s="1"/>
  <c r="AT50" i="11"/>
  <c r="AW50" i="11" s="1"/>
  <c r="AL264" i="11"/>
  <c r="AO264" i="11" s="1"/>
  <c r="AM158" i="11"/>
  <c r="AP158" i="11" s="1"/>
  <c r="AK230" i="11"/>
  <c r="AN230" i="11" s="1"/>
  <c r="BF230" i="11" s="1"/>
  <c r="BP107" i="11"/>
  <c r="AT292" i="11"/>
  <c r="AW292" i="11" s="1"/>
  <c r="AT260" i="11"/>
  <c r="AW260" i="11" s="1"/>
  <c r="BO66" i="11"/>
  <c r="AU78" i="11"/>
  <c r="AX78" i="11" s="1"/>
  <c r="AV48" i="11"/>
  <c r="AY48" i="11" s="1"/>
  <c r="AU179" i="11"/>
  <c r="AX179" i="11" s="1"/>
  <c r="BR183" i="11"/>
  <c r="AU111" i="11"/>
  <c r="AX111" i="11" s="1"/>
  <c r="AT127" i="11"/>
  <c r="AW127" i="11" s="1"/>
  <c r="BP292" i="11"/>
  <c r="AT286" i="11"/>
  <c r="AW286" i="11" s="1"/>
  <c r="AK158" i="11"/>
  <c r="AN158" i="11" s="1"/>
  <c r="AK286" i="11"/>
  <c r="AN286" i="11" s="1"/>
  <c r="BP286" i="11"/>
  <c r="BP158" i="11"/>
  <c r="AL292" i="11"/>
  <c r="AO292" i="11" s="1"/>
  <c r="BR292" i="11"/>
  <c r="AU125" i="11"/>
  <c r="AX125" i="11" s="1"/>
  <c r="AT158" i="11"/>
  <c r="AW158" i="11" s="1"/>
  <c r="AK292" i="11"/>
  <c r="AN292" i="11" s="1"/>
  <c r="AL286" i="11"/>
  <c r="AO286" i="11" s="1"/>
  <c r="AU64" i="11"/>
  <c r="AX64" i="11" s="1"/>
  <c r="AM292" i="11"/>
  <c r="AP292" i="11" s="1"/>
  <c r="AV292" i="11"/>
  <c r="AY292" i="11" s="1"/>
  <c r="AK191" i="11"/>
  <c r="AN191" i="11" s="1"/>
  <c r="AK31" i="11"/>
  <c r="AN31" i="11" s="1"/>
  <c r="AU164" i="11"/>
  <c r="AX164" i="11" s="1"/>
  <c r="AU281" i="11"/>
  <c r="AX281" i="11" s="1"/>
  <c r="AU136" i="11"/>
  <c r="AX136" i="11" s="1"/>
  <c r="AU140" i="11"/>
  <c r="AX140" i="11" s="1"/>
  <c r="AT225" i="11"/>
  <c r="AW225" i="11" s="1"/>
  <c r="AL136" i="11"/>
  <c r="AO136" i="11" s="1"/>
  <c r="AU225" i="11"/>
  <c r="AX225" i="11" s="1"/>
  <c r="AT107" i="11"/>
  <c r="AW107" i="11" s="1"/>
  <c r="BF107" i="11" s="1"/>
  <c r="AL230" i="11"/>
  <c r="AO230" i="11" s="1"/>
  <c r="AM107" i="11"/>
  <c r="AV44" i="11"/>
  <c r="AY44" i="11" s="1"/>
  <c r="AM139" i="11"/>
  <c r="AP139" i="11" s="1"/>
  <c r="AU114" i="11"/>
  <c r="AX114" i="11" s="1"/>
  <c r="BP140" i="11"/>
  <c r="AM134" i="11"/>
  <c r="AP134" i="11" s="1"/>
  <c r="AL140" i="11"/>
  <c r="AO140" i="11" s="1"/>
  <c r="AU235" i="11"/>
  <c r="AX235" i="11" s="1"/>
  <c r="AU230" i="11"/>
  <c r="AX230" i="11" s="1"/>
  <c r="AU262" i="11"/>
  <c r="AX262" i="11" s="1"/>
  <c r="AK134" i="11"/>
  <c r="AN134" i="11" s="1"/>
  <c r="AT134" i="11"/>
  <c r="AW134" i="11" s="1"/>
  <c r="AV140" i="11"/>
  <c r="AY140" i="11" s="1"/>
  <c r="AK235" i="11"/>
  <c r="AN235" i="11" s="1"/>
  <c r="AK140" i="11"/>
  <c r="AN140" i="11" s="1"/>
  <c r="AU134" i="11"/>
  <c r="AX134" i="11" s="1"/>
  <c r="AL97" i="11"/>
  <c r="AO97" i="11" s="1"/>
  <c r="BR172" i="11"/>
  <c r="AL256" i="11"/>
  <c r="AO256" i="11" s="1"/>
  <c r="AM121" i="11"/>
  <c r="AP121" i="11" s="1"/>
  <c r="AK255" i="11"/>
  <c r="AN255" i="11" s="1"/>
  <c r="AU192" i="11"/>
  <c r="AX192" i="11" s="1"/>
  <c r="AU52" i="11"/>
  <c r="AX52" i="11" s="1"/>
  <c r="BO82" i="11"/>
  <c r="AL240" i="11"/>
  <c r="AO240" i="11" s="1"/>
  <c r="AU12" i="11"/>
  <c r="AX12" i="11" s="1"/>
  <c r="BP179" i="11"/>
  <c r="AL111" i="11"/>
  <c r="AL237" i="11"/>
  <c r="AO237" i="11" s="1"/>
  <c r="AT141" i="11"/>
  <c r="AW141" i="11" s="1"/>
  <c r="BF141" i="11" s="1"/>
  <c r="BR141" i="11"/>
  <c r="AL77" i="11"/>
  <c r="AO77" i="11" s="1"/>
  <c r="AU141" i="11"/>
  <c r="AX141" i="11" s="1"/>
  <c r="AL248" i="11"/>
  <c r="AO248" i="11" s="1"/>
  <c r="AL74" i="11"/>
  <c r="AO74" i="11" s="1"/>
  <c r="AT126" i="11"/>
  <c r="AW126" i="11" s="1"/>
  <c r="AT156" i="11"/>
  <c r="AW156" i="11" s="1"/>
  <c r="AV226" i="11"/>
  <c r="AY226" i="11" s="1"/>
  <c r="AL96" i="11"/>
  <c r="AO96" i="11" s="1"/>
  <c r="AT183" i="11"/>
  <c r="AW183" i="11" s="1"/>
  <c r="AT119" i="11"/>
  <c r="AW119" i="11" s="1"/>
  <c r="AU10" i="11"/>
  <c r="AX10" i="11" s="1"/>
  <c r="AU93" i="11"/>
  <c r="AX93" i="11" s="1"/>
  <c r="AL196" i="11"/>
  <c r="AO196" i="11" s="1"/>
  <c r="AT184" i="11"/>
  <c r="AW184" i="11" s="1"/>
  <c r="AT98" i="11"/>
  <c r="AW98" i="11" s="1"/>
  <c r="AU159" i="11"/>
  <c r="AX159" i="11" s="1"/>
  <c r="AM28" i="11"/>
  <c r="AP28" i="11" s="1"/>
  <c r="AM117" i="11"/>
  <c r="AP117" i="11" s="1"/>
  <c r="AL266" i="11"/>
  <c r="AO266" i="11" s="1"/>
  <c r="AL209" i="11"/>
  <c r="AO209" i="11" s="1"/>
  <c r="BP141" i="11"/>
  <c r="AM141" i="11"/>
  <c r="AP141" i="11" s="1"/>
  <c r="AV141" i="11"/>
  <c r="AY141" i="11" s="1"/>
  <c r="AL141" i="11"/>
  <c r="AO141" i="11" s="1"/>
  <c r="AU275" i="11"/>
  <c r="AX275" i="11" s="1"/>
  <c r="AL275" i="11"/>
  <c r="AO275" i="11" s="1"/>
  <c r="AT147" i="11"/>
  <c r="AW147" i="11" s="1"/>
  <c r="AU174" i="11"/>
  <c r="AX174" i="11" s="1"/>
  <c r="AL58" i="11"/>
  <c r="AO58" i="11" s="1"/>
  <c r="AL41" i="11"/>
  <c r="AO41" i="11" s="1"/>
  <c r="BP205" i="11"/>
  <c r="AL168" i="11"/>
  <c r="AO168" i="11" s="1"/>
  <c r="AU82" i="11"/>
  <c r="AX82" i="11" s="1"/>
  <c r="AU210" i="11"/>
  <c r="AX210" i="11" s="1"/>
  <c r="AT87" i="11"/>
  <c r="AW87" i="11" s="1"/>
  <c r="AL246" i="11"/>
  <c r="AO246" i="11" s="1"/>
  <c r="AK280" i="11"/>
  <c r="AN280" i="11" s="1"/>
  <c r="AK215" i="11"/>
  <c r="BC215" i="11" s="1"/>
  <c r="BP246" i="11"/>
  <c r="AM246" i="11"/>
  <c r="AP246" i="11" s="1"/>
  <c r="AK87" i="11"/>
  <c r="AN87" i="11" s="1"/>
  <c r="AT246" i="11"/>
  <c r="AW246" i="11" s="1"/>
  <c r="AM46" i="11"/>
  <c r="AP46" i="11" s="1"/>
  <c r="BP280" i="11"/>
  <c r="AU283" i="11"/>
  <c r="AX283" i="11" s="1"/>
  <c r="AU258" i="11"/>
  <c r="AX258" i="11" s="1"/>
  <c r="BP20" i="11"/>
  <c r="BP213" i="11"/>
  <c r="AT280" i="11"/>
  <c r="AW280" i="11" s="1"/>
  <c r="AL194" i="11"/>
  <c r="AL215" i="11"/>
  <c r="AL241" i="11"/>
  <c r="AO241" i="11" s="1"/>
  <c r="AK188" i="11"/>
  <c r="AN188" i="11" s="1"/>
  <c r="Z242" i="11"/>
  <c r="AM113" i="11"/>
  <c r="AP113" i="11" s="1"/>
  <c r="AM280" i="11"/>
  <c r="AP280" i="11" s="1"/>
  <c r="AU215" i="11"/>
  <c r="AX215" i="11" s="1"/>
  <c r="BP88" i="11"/>
  <c r="AM87" i="11"/>
  <c r="AP87" i="11" s="1"/>
  <c r="AM215" i="11"/>
  <c r="AP215" i="11" s="1"/>
  <c r="AL87" i="11"/>
  <c r="AO87" i="11" s="1"/>
  <c r="AM124" i="11"/>
  <c r="AP124" i="11" s="1"/>
  <c r="BR87" i="11"/>
  <c r="AK257" i="11"/>
  <c r="AN257" i="11" s="1"/>
  <c r="AM211" i="11"/>
  <c r="AP211" i="11" s="1"/>
  <c r="AL81" i="11"/>
  <c r="BP199" i="11"/>
  <c r="AU32" i="11"/>
  <c r="AX32" i="11" s="1"/>
  <c r="AT295" i="11"/>
  <c r="AW295" i="11" s="1"/>
  <c r="AU221" i="11"/>
  <c r="AX221" i="11" s="1"/>
  <c r="AT283" i="11"/>
  <c r="AW283" i="11" s="1"/>
  <c r="AU157" i="11"/>
  <c r="AX157" i="11" s="1"/>
  <c r="AK297" i="11"/>
  <c r="AN297" i="11" s="1"/>
  <c r="AM135" i="11"/>
  <c r="AP135" i="11" s="1"/>
  <c r="BP288" i="11"/>
  <c r="AT284" i="11"/>
  <c r="AW284" i="11" s="1"/>
  <c r="AL263" i="11"/>
  <c r="AO263" i="11" s="1"/>
  <c r="AL299" i="11"/>
  <c r="AO299" i="11" s="1"/>
  <c r="AL132" i="11"/>
  <c r="AO132" i="11" s="1"/>
  <c r="BR108" i="11"/>
  <c r="AM53" i="11"/>
  <c r="AP53" i="11" s="1"/>
  <c r="BP271" i="11"/>
  <c r="BP195" i="11"/>
  <c r="AM285" i="11"/>
  <c r="AP285" i="11" s="1"/>
  <c r="AU76" i="11"/>
  <c r="AX76" i="11" s="1"/>
  <c r="AU189" i="11"/>
  <c r="AX189" i="11" s="1"/>
  <c r="AM167" i="11"/>
  <c r="AP167" i="11" s="1"/>
  <c r="AK300" i="11"/>
  <c r="AN300" i="11" s="1"/>
  <c r="AV269" i="11"/>
  <c r="AY269" i="11" s="1"/>
  <c r="AL222" i="11"/>
  <c r="AO222" i="11" s="1"/>
  <c r="AT243" i="11"/>
  <c r="AW243" i="11" s="1"/>
  <c r="AM177" i="11"/>
  <c r="AP177" i="11" s="1"/>
  <c r="AL193" i="11"/>
  <c r="AO193" i="11" s="1"/>
  <c r="AK105" i="11"/>
  <c r="AN105" i="11" s="1"/>
  <c r="AU298" i="11"/>
  <c r="AX298" i="11" s="1"/>
  <c r="BP33" i="11"/>
  <c r="AH278" i="11"/>
  <c r="AZ278" i="11" s="1"/>
  <c r="BM146" i="11"/>
  <c r="BN146" i="11" s="1"/>
  <c r="Z146" i="11" s="1"/>
  <c r="AT281" i="11"/>
  <c r="AW281" i="11" s="1"/>
  <c r="AQ272" i="11"/>
  <c r="BO278" i="11"/>
  <c r="AH302" i="11"/>
  <c r="AQ302" i="11"/>
  <c r="BO234" i="11"/>
  <c r="AK264" i="11"/>
  <c r="AN264" i="11" s="1"/>
  <c r="AK202" i="11"/>
  <c r="AN202" i="11" s="1"/>
  <c r="BM298" i="11"/>
  <c r="BN298" i="11" s="1"/>
  <c r="BO298" i="11" s="1"/>
  <c r="Z37" i="11"/>
  <c r="AT122" i="11"/>
  <c r="AW122" i="11" s="1"/>
  <c r="BO114" i="11"/>
  <c r="Z4" i="11"/>
  <c r="AH234" i="11"/>
  <c r="AZ234" i="11" s="1"/>
  <c r="AQ281" i="11"/>
  <c r="BO106" i="11"/>
  <c r="BM138" i="11"/>
  <c r="BN138" i="11" s="1"/>
  <c r="Z138" i="11" s="1"/>
  <c r="BO302" i="11"/>
  <c r="AJ160" i="11"/>
  <c r="BB160" i="11" s="1"/>
  <c r="AQ146" i="11"/>
  <c r="BO162" i="11"/>
  <c r="AM262" i="11"/>
  <c r="AP262" i="11" s="1"/>
  <c r="AH290" i="11"/>
  <c r="AT104" i="11"/>
  <c r="AW104" i="11" s="1"/>
  <c r="AH296" i="11"/>
  <c r="BP296" i="11"/>
  <c r="AM282" i="11"/>
  <c r="AP282" i="11" s="1"/>
  <c r="AJ194" i="11"/>
  <c r="AJ282" i="11"/>
  <c r="BB282" i="11" s="1"/>
  <c r="AQ298" i="11"/>
  <c r="AZ298" i="11" s="1"/>
  <c r="AM58" i="11"/>
  <c r="AP58" i="11" s="1"/>
  <c r="AJ147" i="11"/>
  <c r="AH112" i="11"/>
  <c r="K304" i="11"/>
  <c r="BP248" i="11"/>
  <c r="AM248" i="11"/>
  <c r="AP248" i="11" s="1"/>
  <c r="AR4" i="11"/>
  <c r="AT248" i="11"/>
  <c r="AW248" i="11" s="1"/>
  <c r="BF248" i="11" s="1"/>
  <c r="AT120" i="11"/>
  <c r="AW120" i="11" s="1"/>
  <c r="AT180" i="11"/>
  <c r="AW180" i="11" s="1"/>
  <c r="BP299" i="11"/>
  <c r="AH120" i="11"/>
  <c r="BP264" i="11"/>
  <c r="AK144" i="11"/>
  <c r="AN144" i="11" s="1"/>
  <c r="AM4" i="11"/>
  <c r="AP4" i="11" s="1"/>
  <c r="AK244" i="11"/>
  <c r="AN244" i="11" s="1"/>
  <c r="AK167" i="11"/>
  <c r="AN167" i="11" s="1"/>
  <c r="BP166" i="11"/>
  <c r="BP169" i="11"/>
  <c r="AT218" i="11"/>
  <c r="AW218" i="11" s="1"/>
  <c r="AI97" i="11"/>
  <c r="BO243" i="11"/>
  <c r="AK299" i="11"/>
  <c r="BR257" i="11"/>
  <c r="AM257" i="11"/>
  <c r="AP257" i="11" s="1"/>
  <c r="AL211" i="11"/>
  <c r="AO211" i="11" s="1"/>
  <c r="AT211" i="11"/>
  <c r="AW211" i="11" s="1"/>
  <c r="AT299" i="11"/>
  <c r="AW299" i="11" s="1"/>
  <c r="AM299" i="11"/>
  <c r="AP299" i="11" s="1"/>
  <c r="AK211" i="11"/>
  <c r="AN211" i="11" s="1"/>
  <c r="BP167" i="11"/>
  <c r="AT167" i="11"/>
  <c r="AW167" i="11" s="1"/>
  <c r="AU167" i="11"/>
  <c r="AX167" i="11" s="1"/>
  <c r="AL167" i="11"/>
  <c r="AO167" i="11" s="1"/>
  <c r="AI299" i="11"/>
  <c r="AR299" i="11"/>
  <c r="AQ237" i="11"/>
  <c r="AJ211" i="11"/>
  <c r="AM263" i="11"/>
  <c r="AP263" i="11" s="1"/>
  <c r="AJ237" i="11"/>
  <c r="AU299" i="11"/>
  <c r="AT263" i="11"/>
  <c r="AW263" i="11" s="1"/>
  <c r="AH237" i="11"/>
  <c r="BO237" i="11"/>
  <c r="BR211" i="11"/>
  <c r="AQ147" i="11"/>
  <c r="AZ147" i="11" s="1"/>
  <c r="BP263" i="11"/>
  <c r="BP281" i="11"/>
  <c r="AI270" i="11"/>
  <c r="AK281" i="11"/>
  <c r="AN281" i="11" s="1"/>
  <c r="AM74" i="11"/>
  <c r="AP74" i="11" s="1"/>
  <c r="AK263" i="11"/>
  <c r="AN263" i="11" s="1"/>
  <c r="AI290" i="11"/>
  <c r="AU263" i="11"/>
  <c r="AX263" i="11" s="1"/>
  <c r="AI296" i="11"/>
  <c r="AL257" i="11"/>
  <c r="AO257" i="11" s="1"/>
  <c r="AJ261" i="11"/>
  <c r="AT257" i="11"/>
  <c r="AW257" i="11" s="1"/>
  <c r="BO290" i="11"/>
  <c r="AQ240" i="11"/>
  <c r="AK284" i="11"/>
  <c r="AN284" i="11" s="1"/>
  <c r="AK185" i="11"/>
  <c r="AN185" i="11" s="1"/>
  <c r="AQ290" i="11"/>
  <c r="AU83" i="11"/>
  <c r="AX83" i="11" s="1"/>
  <c r="AK83" i="11"/>
  <c r="AN83" i="11" s="1"/>
  <c r="AJ290" i="11"/>
  <c r="AK279" i="11"/>
  <c r="AN279" i="11" s="1"/>
  <c r="AL281" i="11"/>
  <c r="AO281" i="11" s="1"/>
  <c r="AH243" i="11"/>
  <c r="BO147" i="11"/>
  <c r="AI147" i="11"/>
  <c r="BO296" i="11"/>
  <c r="AU143" i="11"/>
  <c r="AX143" i="11" s="1"/>
  <c r="AU187" i="11"/>
  <c r="AX187" i="11" s="1"/>
  <c r="AM281" i="11"/>
  <c r="AP281" i="11" s="1"/>
  <c r="AV284" i="11"/>
  <c r="AY284" i="11" s="1"/>
  <c r="AK171" i="11"/>
  <c r="AN171" i="11" s="1"/>
  <c r="AT178" i="11"/>
  <c r="AW178" i="11" s="1"/>
  <c r="BO230" i="11"/>
  <c r="AM284" i="11"/>
  <c r="AP284" i="11" s="1"/>
  <c r="BP284" i="11"/>
  <c r="AM81" i="11"/>
  <c r="AP81" i="11" s="1"/>
  <c r="BO87" i="11"/>
  <c r="AL284" i="11"/>
  <c r="AO284" i="11" s="1"/>
  <c r="AK81" i="11"/>
  <c r="AQ153" i="11"/>
  <c r="AT81" i="11"/>
  <c r="AW81" i="11" s="1"/>
  <c r="AR87" i="11"/>
  <c r="AT129" i="11"/>
  <c r="AW129" i="11" s="1"/>
  <c r="AL296" i="11"/>
  <c r="AO296" i="11" s="1"/>
  <c r="AL294" i="11"/>
  <c r="AO294" i="11" s="1"/>
  <c r="AV297" i="11"/>
  <c r="AY297" i="11" s="1"/>
  <c r="AT191" i="11"/>
  <c r="AW191" i="11" s="1"/>
  <c r="AM191" i="11"/>
  <c r="AP191" i="11" s="1"/>
  <c r="AQ289" i="11"/>
  <c r="AK169" i="11"/>
  <c r="AN169" i="11" s="1"/>
  <c r="BR71" i="11"/>
  <c r="AV175" i="11"/>
  <c r="AY175" i="11" s="1"/>
  <c r="AR275" i="11"/>
  <c r="BP282" i="11"/>
  <c r="BQ52" i="11"/>
  <c r="AK276" i="11"/>
  <c r="AN276" i="11" s="1"/>
  <c r="AQ86" i="11"/>
  <c r="AV28" i="11"/>
  <c r="AY28" i="11" s="1"/>
  <c r="AL137" i="11"/>
  <c r="AO137" i="11" s="1"/>
  <c r="AK213" i="11"/>
  <c r="AN213" i="11" s="1"/>
  <c r="BO160" i="11"/>
  <c r="AU173" i="11"/>
  <c r="AX173" i="11" s="1"/>
  <c r="AQ230" i="11"/>
  <c r="AJ230" i="11"/>
  <c r="AK74" i="11"/>
  <c r="AN74" i="11" s="1"/>
  <c r="AJ296" i="11"/>
  <c r="AK119" i="11"/>
  <c r="AN119" i="11" s="1"/>
  <c r="AL255" i="11"/>
  <c r="AO255" i="11" s="1"/>
  <c r="AK168" i="11"/>
  <c r="AN168" i="11" s="1"/>
  <c r="AL172" i="11"/>
  <c r="BD172" i="11" s="1"/>
  <c r="AQ296" i="11"/>
  <c r="BO73" i="11"/>
  <c r="AJ260" i="11"/>
  <c r="BP5" i="11"/>
  <c r="AH286" i="11"/>
  <c r="AH289" i="11"/>
  <c r="AL4" i="11"/>
  <c r="AO4" i="11" s="1"/>
  <c r="AK269" i="11"/>
  <c r="AN269" i="11" s="1"/>
  <c r="AT47" i="11"/>
  <c r="AW47" i="11" s="1"/>
  <c r="AL92" i="11"/>
  <c r="AO92" i="11" s="1"/>
  <c r="AU55" i="11"/>
  <c r="AX55" i="11" s="1"/>
  <c r="BO141" i="11"/>
  <c r="AJ284" i="11"/>
  <c r="AQ176" i="11"/>
  <c r="AK242" i="11"/>
  <c r="AN242" i="11" s="1"/>
  <c r="BO6" i="11"/>
  <c r="AJ222" i="11"/>
  <c r="BR189" i="11"/>
  <c r="AT144" i="11"/>
  <c r="AW144" i="11" s="1"/>
  <c r="AK4" i="11"/>
  <c r="AN4" i="11" s="1"/>
  <c r="AR280" i="11"/>
  <c r="AK98" i="11"/>
  <c r="AN98" i="11" s="1"/>
  <c r="BP269" i="11"/>
  <c r="AL135" i="11"/>
  <c r="AO135" i="11" s="1"/>
  <c r="AK187" i="11"/>
  <c r="AN187" i="11" s="1"/>
  <c r="AR141" i="11"/>
  <c r="AL115" i="11"/>
  <c r="AO115" i="11" s="1"/>
  <c r="AV237" i="11"/>
  <c r="AY237" i="11" s="1"/>
  <c r="AT103" i="11"/>
  <c r="AW103" i="11" s="1"/>
  <c r="AM223" i="11"/>
  <c r="AP223" i="11" s="1"/>
  <c r="AV276" i="11"/>
  <c r="AY276" i="11" s="1"/>
  <c r="AH230" i="11"/>
  <c r="AH282" i="11"/>
  <c r="AM193" i="11"/>
  <c r="AP193" i="11" s="1"/>
  <c r="AQ282" i="11"/>
  <c r="AJ243" i="11"/>
  <c r="AI300" i="11"/>
  <c r="AQ243" i="11"/>
  <c r="AU47" i="11"/>
  <c r="AX47" i="11" s="1"/>
  <c r="AQ75" i="11"/>
  <c r="AQ167" i="11"/>
  <c r="AQ292" i="11"/>
  <c r="BR298" i="11"/>
  <c r="AJ300" i="11"/>
  <c r="AM143" i="11"/>
  <c r="AP143" i="11" s="1"/>
  <c r="AM287" i="11"/>
  <c r="AP287" i="11" s="1"/>
  <c r="AT294" i="11"/>
  <c r="AW294" i="11" s="1"/>
  <c r="AV104" i="11"/>
  <c r="AY104" i="11" s="1"/>
  <c r="AT193" i="11"/>
  <c r="AW193" i="11" s="1"/>
  <c r="AT124" i="11"/>
  <c r="AW124" i="11" s="1"/>
  <c r="AQ197" i="11"/>
  <c r="AZ197" i="11" s="1"/>
  <c r="AI282" i="11"/>
  <c r="AU171" i="11"/>
  <c r="AX171" i="11" s="1"/>
  <c r="AR243" i="11"/>
  <c r="BA243" i="11" s="1"/>
  <c r="AK193" i="11"/>
  <c r="AN193" i="11" s="1"/>
  <c r="BO159" i="11"/>
  <c r="AJ248" i="11"/>
  <c r="AQ141" i="11"/>
  <c r="AZ303" i="11"/>
  <c r="AT4" i="11"/>
  <c r="AW4" i="11" s="1"/>
  <c r="AI194" i="11"/>
  <c r="AK173" i="11"/>
  <c r="AN173" i="11" s="1"/>
  <c r="AQ284" i="11"/>
  <c r="AH284" i="11"/>
  <c r="BO282" i="11"/>
  <c r="AL243" i="11"/>
  <c r="AO243" i="11" s="1"/>
  <c r="BO300" i="11"/>
  <c r="AM243" i="11"/>
  <c r="AP243" i="11" s="1"/>
  <c r="AH275" i="11"/>
  <c r="AH258" i="11"/>
  <c r="AU302" i="11"/>
  <c r="AX302" i="11" s="1"/>
  <c r="BR74" i="11"/>
  <c r="AQ300" i="11"/>
  <c r="AZ300" i="11" s="1"/>
  <c r="BO284" i="11"/>
  <c r="BR204" i="11"/>
  <c r="AT187" i="11"/>
  <c r="AW187" i="11" s="1"/>
  <c r="AR261" i="11"/>
  <c r="AK294" i="11"/>
  <c r="AN294" i="11" s="1"/>
  <c r="AM294" i="11"/>
  <c r="AP294" i="11" s="1"/>
  <c r="AR154" i="11"/>
  <c r="AR286" i="11"/>
  <c r="AJ132" i="11"/>
  <c r="BP150" i="11"/>
  <c r="AS32" i="11"/>
  <c r="BP149" i="11"/>
  <c r="AL57" i="11"/>
  <c r="AO57" i="11" s="1"/>
  <c r="AQ295" i="11"/>
  <c r="AK234" i="11"/>
  <c r="AN234" i="11" s="1"/>
  <c r="AI191" i="11"/>
  <c r="AI269" i="11"/>
  <c r="AT137" i="11"/>
  <c r="AW137" i="11" s="1"/>
  <c r="AH25" i="11"/>
  <c r="AZ25" i="11" s="1"/>
  <c r="AK288" i="11"/>
  <c r="AT213" i="11"/>
  <c r="AW213" i="11" s="1"/>
  <c r="AI288" i="11"/>
  <c r="BO241" i="11"/>
  <c r="BS241" i="11" s="1"/>
  <c r="BP74" i="11"/>
  <c r="AJ274" i="11"/>
  <c r="AQ241" i="11"/>
  <c r="AZ241" i="11" s="1"/>
  <c r="AT74" i="11"/>
  <c r="AW74" i="11" s="1"/>
  <c r="AK258" i="11"/>
  <c r="AN258" i="11" s="1"/>
  <c r="AK129" i="11"/>
  <c r="BP132" i="11"/>
  <c r="AI241" i="11"/>
  <c r="BO179" i="11"/>
  <c r="AJ270" i="11"/>
  <c r="AT168" i="11"/>
  <c r="AW168" i="11" s="1"/>
  <c r="BO172" i="11"/>
  <c r="AK122" i="11"/>
  <c r="AN122" i="11" s="1"/>
  <c r="AV187" i="11"/>
  <c r="AY187" i="11" s="1"/>
  <c r="AQ170" i="11"/>
  <c r="BQ244" i="11"/>
  <c r="AI283" i="11"/>
  <c r="AM127" i="11"/>
  <c r="AP127" i="11" s="1"/>
  <c r="AR191" i="11"/>
  <c r="AR283" i="11"/>
  <c r="AH261" i="11"/>
  <c r="AZ261" i="11" s="1"/>
  <c r="BO25" i="11"/>
  <c r="AV132" i="11"/>
  <c r="AY132" i="11" s="1"/>
  <c r="AT139" i="11"/>
  <c r="AW139" i="11" s="1"/>
  <c r="AK97" i="11"/>
  <c r="AN97" i="11" s="1"/>
  <c r="AT33" i="11"/>
  <c r="AW33" i="11" s="1"/>
  <c r="AI261" i="11"/>
  <c r="AM168" i="11"/>
  <c r="AP168" i="11" s="1"/>
  <c r="AJ197" i="11"/>
  <c r="BP168" i="11"/>
  <c r="AM72" i="11"/>
  <c r="AP72" i="11" s="1"/>
  <c r="AI245" i="11"/>
  <c r="AM288" i="11"/>
  <c r="AP288" i="11" s="1"/>
  <c r="AR217" i="11"/>
  <c r="AU163" i="11"/>
  <c r="AX163" i="11" s="1"/>
  <c r="AM297" i="11"/>
  <c r="AP297" i="11" s="1"/>
  <c r="AT285" i="11"/>
  <c r="AW285" i="11" s="1"/>
  <c r="BO169" i="11"/>
  <c r="BS169" i="11" s="1"/>
  <c r="AA169" i="3" s="1"/>
  <c r="AL53" i="11"/>
  <c r="AO53" i="11" s="1"/>
  <c r="AI226" i="11"/>
  <c r="AU70" i="11"/>
  <c r="AX70" i="11" s="1"/>
  <c r="AU218" i="11"/>
  <c r="AX218" i="11" s="1"/>
  <c r="AK203" i="11"/>
  <c r="AN203" i="11" s="1"/>
  <c r="BO240" i="11"/>
  <c r="AK118" i="11"/>
  <c r="AN118" i="11" s="1"/>
  <c r="AU236" i="11"/>
  <c r="AX236" i="11" s="1"/>
  <c r="BP262" i="11"/>
  <c r="AM234" i="11"/>
  <c r="AQ269" i="11"/>
  <c r="BP188" i="11"/>
  <c r="AU40" i="11"/>
  <c r="AX40" i="11" s="1"/>
  <c r="AT57" i="11"/>
  <c r="AW57" i="11" s="1"/>
  <c r="AH273" i="11"/>
  <c r="AQ196" i="11"/>
  <c r="AV176" i="11"/>
  <c r="AY176" i="11" s="1"/>
  <c r="AQ191" i="11"/>
  <c r="AT188" i="11"/>
  <c r="AW188" i="11" s="1"/>
  <c r="AH222" i="11"/>
  <c r="AI297" i="11"/>
  <c r="BA297" i="11" s="1"/>
  <c r="AH297" i="11"/>
  <c r="AM220" i="11"/>
  <c r="AP220" i="11" s="1"/>
  <c r="AK289" i="11"/>
  <c r="AN289" i="11" s="1"/>
  <c r="AK152" i="11"/>
  <c r="AN152" i="11" s="1"/>
  <c r="AM137" i="11"/>
  <c r="AP137" i="11" s="1"/>
  <c r="AJ209" i="11"/>
  <c r="AM33" i="11"/>
  <c r="AP33" i="11" s="1"/>
  <c r="AI172" i="11"/>
  <c r="AU137" i="11"/>
  <c r="AX137" i="11" s="1"/>
  <c r="AT116" i="11"/>
  <c r="AW116" i="11" s="1"/>
  <c r="AT288" i="11"/>
  <c r="AW288" i="11" s="1"/>
  <c r="AT143" i="11"/>
  <c r="AW143" i="11" s="1"/>
  <c r="AT135" i="11"/>
  <c r="AW135" i="11" s="1"/>
  <c r="AT77" i="11"/>
  <c r="AW77" i="11" s="1"/>
  <c r="AH169" i="11"/>
  <c r="AH172" i="11"/>
  <c r="AZ172" i="11" s="1"/>
  <c r="AQ209" i="11"/>
  <c r="AQ222" i="11"/>
  <c r="AT244" i="11"/>
  <c r="AW244" i="11" s="1"/>
  <c r="AQ288" i="11"/>
  <c r="BP135" i="11"/>
  <c r="AK135" i="11"/>
  <c r="AN135" i="11" s="1"/>
  <c r="AI179" i="11"/>
  <c r="AH170" i="11"/>
  <c r="AL33" i="11"/>
  <c r="AO33" i="11" s="1"/>
  <c r="AJ73" i="11"/>
  <c r="AK189" i="11"/>
  <c r="AN189" i="11" s="1"/>
  <c r="AJ172" i="11"/>
  <c r="BB172" i="11" s="1"/>
  <c r="AH209" i="11"/>
  <c r="AK54" i="11"/>
  <c r="AN54" i="11" s="1"/>
  <c r="AM188" i="11"/>
  <c r="AP188" i="11" s="1"/>
  <c r="AM296" i="11"/>
  <c r="AP296" i="11" s="1"/>
  <c r="AM271" i="11"/>
  <c r="AP271" i="11" s="1"/>
  <c r="AK137" i="11"/>
  <c r="AN137" i="11" s="1"/>
  <c r="AK291" i="11"/>
  <c r="AN291" i="11" s="1"/>
  <c r="AT220" i="11"/>
  <c r="AW220" i="11" s="1"/>
  <c r="AR122" i="11"/>
  <c r="AS158" i="11"/>
  <c r="AI31" i="11"/>
  <c r="AM70" i="11"/>
  <c r="AP70" i="11" s="1"/>
  <c r="AT238" i="11"/>
  <c r="AW238" i="11" s="1"/>
  <c r="AJ269" i="11"/>
  <c r="BP303" i="11"/>
  <c r="AT151" i="11"/>
  <c r="AW151" i="11" s="1"/>
  <c r="BR152" i="11"/>
  <c r="AU296" i="11"/>
  <c r="AT297" i="11"/>
  <c r="AW297" i="11" s="1"/>
  <c r="BR143" i="11"/>
  <c r="BO288" i="11"/>
  <c r="AR273" i="11"/>
  <c r="AT296" i="11"/>
  <c r="AW296" i="11" s="1"/>
  <c r="AL288" i="11"/>
  <c r="AO288" i="11" s="1"/>
  <c r="AQ97" i="11"/>
  <c r="BO222" i="11"/>
  <c r="BP71" i="11"/>
  <c r="BP297" i="11"/>
  <c r="AR86" i="11"/>
  <c r="AI151" i="11"/>
  <c r="AM90" i="11"/>
  <c r="AP90" i="11" s="1"/>
  <c r="BO134" i="11"/>
  <c r="AH122" i="11"/>
  <c r="BP148" i="11"/>
  <c r="AT234" i="11"/>
  <c r="AW234" i="11" s="1"/>
  <c r="AL218" i="11"/>
  <c r="AO218" i="11" s="1"/>
  <c r="AQ276" i="11"/>
  <c r="AZ276" i="11" s="1"/>
  <c r="AH36" i="11"/>
  <c r="AH73" i="11"/>
  <c r="AQ106" i="11"/>
  <c r="AH134" i="11"/>
  <c r="AL297" i="11"/>
  <c r="AO297" i="11" s="1"/>
  <c r="AH288" i="11"/>
  <c r="AJ276" i="11"/>
  <c r="AJ189" i="11"/>
  <c r="AU233" i="11"/>
  <c r="AX233" i="11" s="1"/>
  <c r="AK296" i="11"/>
  <c r="AH12" i="11"/>
  <c r="AT271" i="11"/>
  <c r="AW271" i="11" s="1"/>
  <c r="AT82" i="11"/>
  <c r="AW82" i="11" s="1"/>
  <c r="BP204" i="11"/>
  <c r="AK262" i="11"/>
  <c r="AN262" i="11" s="1"/>
  <c r="BO204" i="11"/>
  <c r="BS204" i="11" s="1"/>
  <c r="AA204" i="3" s="1"/>
  <c r="AU94" i="11"/>
  <c r="AX94" i="11" s="1"/>
  <c r="AU190" i="11"/>
  <c r="AX190" i="11" s="1"/>
  <c r="AK232" i="11"/>
  <c r="AN232" i="11" s="1"/>
  <c r="AK287" i="11"/>
  <c r="AN287" i="11" s="1"/>
  <c r="AT224" i="11"/>
  <c r="AW224" i="11" s="1"/>
  <c r="AM21" i="11"/>
  <c r="AP21" i="11" s="1"/>
  <c r="AH158" i="11"/>
  <c r="AH196" i="11"/>
  <c r="AH240" i="11"/>
  <c r="AQ274" i="11"/>
  <c r="AM218" i="11"/>
  <c r="AP218" i="11" s="1"/>
  <c r="AK271" i="11"/>
  <c r="BC271" i="11" s="1"/>
  <c r="AQ297" i="11"/>
  <c r="AL271" i="11"/>
  <c r="AO271" i="11" s="1"/>
  <c r="AL262" i="11"/>
  <c r="AO262" i="11" s="1"/>
  <c r="AJ297" i="11"/>
  <c r="BQ134" i="11"/>
  <c r="AL25" i="11"/>
  <c r="AO25" i="11" s="1"/>
  <c r="AI214" i="11"/>
  <c r="AL276" i="11"/>
  <c r="AO276" i="11" s="1"/>
  <c r="AH191" i="11"/>
  <c r="AK121" i="11"/>
  <c r="AN121" i="11" s="1"/>
  <c r="AH188" i="11"/>
  <c r="AQ134" i="11"/>
  <c r="AL188" i="11"/>
  <c r="AO188" i="11" s="1"/>
  <c r="AK5" i="11"/>
  <c r="AN5" i="11" s="1"/>
  <c r="AJ103" i="11"/>
  <c r="AV96" i="11"/>
  <c r="AY96" i="11" s="1"/>
  <c r="BO276" i="11"/>
  <c r="AL199" i="11"/>
  <c r="AO199" i="11" s="1"/>
  <c r="AR200" i="11"/>
  <c r="AH128" i="11"/>
  <c r="AT199" i="11"/>
  <c r="AW199" i="11" s="1"/>
  <c r="AH248" i="11"/>
  <c r="AZ152" i="11"/>
  <c r="AL205" i="11"/>
  <c r="AO205" i="11" s="1"/>
  <c r="AT52" i="11"/>
  <c r="AW52" i="11" s="1"/>
  <c r="BR234" i="11"/>
  <c r="AU205" i="11"/>
  <c r="AX205" i="11" s="1"/>
  <c r="AK90" i="11"/>
  <c r="AT262" i="11"/>
  <c r="AW262" i="11" s="1"/>
  <c r="AT53" i="11"/>
  <c r="AW53" i="11" s="1"/>
  <c r="AH153" i="11"/>
  <c r="AH88" i="11"/>
  <c r="AU79" i="11"/>
  <c r="AX79" i="11" s="1"/>
  <c r="AJ191" i="11"/>
  <c r="AU234" i="11"/>
  <c r="AX234" i="11" s="1"/>
  <c r="AV118" i="11"/>
  <c r="AY118" i="11" s="1"/>
  <c r="AV16" i="11"/>
  <c r="AY16" i="11" s="1"/>
  <c r="AS297" i="11"/>
  <c r="AU74" i="11"/>
  <c r="AX74" i="11" s="1"/>
  <c r="BQ297" i="11"/>
  <c r="AT106" i="11"/>
  <c r="AW106" i="11" s="1"/>
  <c r="AT155" i="11"/>
  <c r="AW155" i="11" s="1"/>
  <c r="AK239" i="11"/>
  <c r="AN239" i="11" s="1"/>
  <c r="AR6" i="11"/>
  <c r="AJ196" i="11"/>
  <c r="AI276" i="11"/>
  <c r="BA276" i="11" s="1"/>
  <c r="AU165" i="11"/>
  <c r="AX165" i="11" s="1"/>
  <c r="AR64" i="11"/>
  <c r="AK53" i="11"/>
  <c r="AN53" i="11" s="1"/>
  <c r="AJ123" i="11"/>
  <c r="AL236" i="11"/>
  <c r="AO236" i="11" s="1"/>
  <c r="AU5" i="11"/>
  <c r="AX5" i="11" s="1"/>
  <c r="AU53" i="11"/>
  <c r="AX53" i="11" s="1"/>
  <c r="AI122" i="11"/>
  <c r="AU28" i="11"/>
  <c r="AX28" i="11" s="1"/>
  <c r="AL162" i="11"/>
  <c r="AO162" i="11" s="1"/>
  <c r="AR12" i="11"/>
  <c r="AT245" i="11"/>
  <c r="AW245" i="11" s="1"/>
  <c r="AI252" i="11"/>
  <c r="BQ54" i="11"/>
  <c r="AK149" i="11"/>
  <c r="AN149" i="11" s="1"/>
  <c r="AJ177" i="11"/>
  <c r="AU148" i="11"/>
  <c r="AX148" i="11" s="1"/>
  <c r="AL189" i="11"/>
  <c r="AQ77" i="11"/>
  <c r="AL75" i="11"/>
  <c r="AO75" i="11" s="1"/>
  <c r="AU278" i="11"/>
  <c r="AX278" i="11" s="1"/>
  <c r="AJ86" i="11"/>
  <c r="AH246" i="11"/>
  <c r="AT130" i="11"/>
  <c r="AW130" i="11" s="1"/>
  <c r="AR128" i="11"/>
  <c r="BA128" i="11" s="1"/>
  <c r="AL82" i="11"/>
  <c r="AT261" i="11"/>
  <c r="AW261" i="11" s="1"/>
  <c r="AL274" i="11"/>
  <c r="AO274" i="11" s="1"/>
  <c r="AT277" i="11"/>
  <c r="AW277" i="11" s="1"/>
  <c r="AL293" i="11"/>
  <c r="AO293" i="11" s="1"/>
  <c r="AQ275" i="11"/>
  <c r="AS73" i="11"/>
  <c r="AQ169" i="11"/>
  <c r="AH236" i="11"/>
  <c r="AM119" i="11"/>
  <c r="AP119" i="11" s="1"/>
  <c r="AK266" i="11"/>
  <c r="AN266" i="11" s="1"/>
  <c r="AK240" i="11"/>
  <c r="AN240" i="11" s="1"/>
  <c r="AJ236" i="11"/>
  <c r="AU4" i="11"/>
  <c r="AI196" i="11"/>
  <c r="BR187" i="11"/>
  <c r="BP4" i="11"/>
  <c r="AU89" i="11"/>
  <c r="AX89" i="11" s="1"/>
  <c r="AI222" i="11"/>
  <c r="AH167" i="11"/>
  <c r="AI167" i="11"/>
  <c r="AT118" i="11"/>
  <c r="AW118" i="11" s="1"/>
  <c r="AQ64" i="11"/>
  <c r="BP162" i="11"/>
  <c r="AJ167" i="11"/>
  <c r="AR246" i="11"/>
  <c r="AK112" i="11"/>
  <c r="AN112" i="11" s="1"/>
  <c r="AK66" i="11"/>
  <c r="AN66" i="11" s="1"/>
  <c r="BP66" i="11"/>
  <c r="AL66" i="11"/>
  <c r="AO66" i="11" s="1"/>
  <c r="AM66" i="11"/>
  <c r="AP66" i="11" s="1"/>
  <c r="BR290" i="11"/>
  <c r="AL290" i="11"/>
  <c r="BP290" i="11"/>
  <c r="AL104" i="11"/>
  <c r="AO104" i="11" s="1"/>
  <c r="AM104" i="11"/>
  <c r="AP104" i="11" s="1"/>
  <c r="BP104" i="11"/>
  <c r="AL204" i="11"/>
  <c r="AO204" i="11" s="1"/>
  <c r="AT204" i="11"/>
  <c r="AW204" i="11" s="1"/>
  <c r="AM204" i="11"/>
  <c r="AP204" i="11" s="1"/>
  <c r="AH264" i="11"/>
  <c r="AQ264" i="11"/>
  <c r="AJ264" i="11"/>
  <c r="BO264" i="11"/>
  <c r="AT105" i="11"/>
  <c r="AW105" i="11" s="1"/>
  <c r="AL105" i="11"/>
  <c r="AO105" i="11" s="1"/>
  <c r="AU224" i="11"/>
  <c r="AX224" i="11" s="1"/>
  <c r="AM290" i="11"/>
  <c r="AV204" i="11"/>
  <c r="AY204" i="11" s="1"/>
  <c r="AK21" i="11"/>
  <c r="AN21" i="11" s="1"/>
  <c r="AM261" i="11"/>
  <c r="AP261" i="11" s="1"/>
  <c r="BO86" i="11"/>
  <c r="AL159" i="11"/>
  <c r="AO159" i="11" s="1"/>
  <c r="AK159" i="11"/>
  <c r="AN159" i="11" s="1"/>
  <c r="BR246" i="11"/>
  <c r="AU246" i="11"/>
  <c r="AV290" i="11"/>
  <c r="AY290" i="11" s="1"/>
  <c r="AJ219" i="11"/>
  <c r="BO219" i="11"/>
  <c r="AI187" i="11"/>
  <c r="BA187" i="11" s="1"/>
  <c r="AQ187" i="11"/>
  <c r="AZ187" i="11" s="1"/>
  <c r="AL253" i="11"/>
  <c r="AO253" i="11" s="1"/>
  <c r="BR112" i="11"/>
  <c r="AS184" i="11"/>
  <c r="AK104" i="11"/>
  <c r="AH160" i="11"/>
  <c r="AK295" i="11"/>
  <c r="AN295" i="11" s="1"/>
  <c r="AZ114" i="11"/>
  <c r="AK290" i="11"/>
  <c r="AN290" i="11" s="1"/>
  <c r="AT21" i="11"/>
  <c r="AW21" i="11" s="1"/>
  <c r="AH257" i="11"/>
  <c r="BO226" i="11"/>
  <c r="BO187" i="11"/>
  <c r="AT274" i="11"/>
  <c r="AW274" i="11" s="1"/>
  <c r="AM224" i="11"/>
  <c r="AP224" i="11" s="1"/>
  <c r="BR149" i="11"/>
  <c r="AT282" i="11"/>
  <c r="AW282" i="11" s="1"/>
  <c r="AI264" i="11"/>
  <c r="AM283" i="11"/>
  <c r="AP283" i="11" s="1"/>
  <c r="AU239" i="11"/>
  <c r="AX239" i="11" s="1"/>
  <c r="AL282" i="11"/>
  <c r="AO282" i="11" s="1"/>
  <c r="AM105" i="11"/>
  <c r="AP105" i="11" s="1"/>
  <c r="AJ158" i="11"/>
  <c r="AQ266" i="11"/>
  <c r="AJ266" i="11"/>
  <c r="AJ180" i="11"/>
  <c r="AS48" i="11"/>
  <c r="BQ48" i="11"/>
  <c r="AT25" i="11"/>
  <c r="AW25" i="11" s="1"/>
  <c r="BP234" i="11"/>
  <c r="AL234" i="11"/>
  <c r="AO234" i="11" s="1"/>
  <c r="AJ281" i="11"/>
  <c r="AI281" i="11"/>
  <c r="AK205" i="11"/>
  <c r="AN205" i="11" s="1"/>
  <c r="AT205" i="11"/>
  <c r="AW205" i="11" s="1"/>
  <c r="AJ162" i="11"/>
  <c r="AQ162" i="11"/>
  <c r="AM203" i="11"/>
  <c r="AT203" i="11"/>
  <c r="AW203" i="11" s="1"/>
  <c r="AH285" i="11"/>
  <c r="AI240" i="11"/>
  <c r="AJ240" i="11"/>
  <c r="AI189" i="11"/>
  <c r="AH189" i="11"/>
  <c r="AZ189" i="11" s="1"/>
  <c r="BO189" i="11"/>
  <c r="AM276" i="11"/>
  <c r="AU276" i="11"/>
  <c r="AX276" i="11" s="1"/>
  <c r="AM111" i="11"/>
  <c r="AP111" i="11" s="1"/>
  <c r="AK111" i="11"/>
  <c r="AN111" i="11" s="1"/>
  <c r="AM130" i="11"/>
  <c r="AP130" i="11" s="1"/>
  <c r="AL130" i="11"/>
  <c r="AO130" i="11" s="1"/>
  <c r="AS24" i="11"/>
  <c r="BQ24" i="11"/>
  <c r="AM195" i="11"/>
  <c r="AP195" i="11" s="1"/>
  <c r="AL195" i="11"/>
  <c r="AO195" i="11" s="1"/>
  <c r="AT195" i="11"/>
  <c r="AW195" i="11" s="1"/>
  <c r="AT153" i="11"/>
  <c r="AW153" i="11" s="1"/>
  <c r="AT279" i="11"/>
  <c r="AK195" i="11"/>
  <c r="AN195" i="11" s="1"/>
  <c r="AQ119" i="11"/>
  <c r="AI158" i="11"/>
  <c r="AQ158" i="11"/>
  <c r="AM249" i="11"/>
  <c r="AP249" i="11" s="1"/>
  <c r="AL249" i="11"/>
  <c r="AO249" i="11" s="1"/>
  <c r="AT201" i="11"/>
  <c r="AW201" i="11" s="1"/>
  <c r="AK274" i="11"/>
  <c r="AL71" i="11"/>
  <c r="AO71" i="11" s="1"/>
  <c r="AK71" i="11"/>
  <c r="AN71" i="11" s="1"/>
  <c r="AJ238" i="11"/>
  <c r="BB238" i="11" s="1"/>
  <c r="AQ238" i="11"/>
  <c r="AH6" i="11"/>
  <c r="AJ6" i="11"/>
  <c r="BP189" i="11"/>
  <c r="AV189" i="11"/>
  <c r="AT189" i="11"/>
  <c r="AM265" i="11"/>
  <c r="AP265" i="11" s="1"/>
  <c r="AK265" i="11"/>
  <c r="AN265" i="11" s="1"/>
  <c r="AU36" i="11"/>
  <c r="AX36" i="11" s="1"/>
  <c r="BO224" i="11"/>
  <c r="AQ224" i="11"/>
  <c r="AV114" i="11"/>
  <c r="AY114" i="11" s="1"/>
  <c r="AL114" i="11"/>
  <c r="AM144" i="11"/>
  <c r="AP144" i="11" s="1"/>
  <c r="AL144" i="11"/>
  <c r="AO144" i="11" s="1"/>
  <c r="AI141" i="11"/>
  <c r="AJ141" i="11"/>
  <c r="AM175" i="11"/>
  <c r="BP175" i="11"/>
  <c r="AT175" i="11"/>
  <c r="AW175" i="11" s="1"/>
  <c r="AL175" i="11"/>
  <c r="AO175" i="11" s="1"/>
  <c r="AI181" i="11"/>
  <c r="AH181" i="11"/>
  <c r="AZ181" i="11" s="1"/>
  <c r="AJ181" i="11"/>
  <c r="BR60" i="11"/>
  <c r="AU100" i="11"/>
  <c r="AX100" i="11" s="1"/>
  <c r="BP42" i="11"/>
  <c r="AH146" i="11"/>
  <c r="AQ6" i="11"/>
  <c r="AK226" i="11"/>
  <c r="AN226" i="11" s="1"/>
  <c r="AU274" i="11"/>
  <c r="AX274" i="11" s="1"/>
  <c r="AL295" i="11"/>
  <c r="AO295" i="11" s="1"/>
  <c r="AU204" i="11"/>
  <c r="AX204" i="11" s="1"/>
  <c r="BO123" i="11"/>
  <c r="AT66" i="11"/>
  <c r="AW66" i="11" s="1"/>
  <c r="AT111" i="11"/>
  <c r="AW111" i="11" s="1"/>
  <c r="BF111" i="11" s="1"/>
  <c r="AT185" i="11"/>
  <c r="AW185" i="11" s="1"/>
  <c r="AT96" i="11"/>
  <c r="AW96" i="11" s="1"/>
  <c r="AK76" i="11"/>
  <c r="AN76" i="11" s="1"/>
  <c r="AT290" i="11"/>
  <c r="AW290" i="11" s="1"/>
  <c r="AK204" i="11"/>
  <c r="AN204" i="11" s="1"/>
  <c r="AM71" i="11"/>
  <c r="AI86" i="11"/>
  <c r="AM179" i="11"/>
  <c r="AP179" i="11" s="1"/>
  <c r="AU193" i="11"/>
  <c r="AX193" i="11" s="1"/>
  <c r="AV134" i="11"/>
  <c r="AY134" i="11" s="1"/>
  <c r="AQ205" i="11"/>
  <c r="AM189" i="11"/>
  <c r="AP189" i="11" s="1"/>
  <c r="AJ187" i="11"/>
  <c r="BO181" i="11"/>
  <c r="AH238" i="11"/>
  <c r="AR215" i="11"/>
  <c r="AV279" i="11"/>
  <c r="AY279" i="11" s="1"/>
  <c r="AR159" i="11"/>
  <c r="AR219" i="11"/>
  <c r="BR295" i="11"/>
  <c r="AK282" i="11"/>
  <c r="AN282" i="11" s="1"/>
  <c r="AL279" i="11"/>
  <c r="AO279" i="11" s="1"/>
  <c r="BO158" i="11"/>
  <c r="AI257" i="11"/>
  <c r="AT76" i="11"/>
  <c r="AW76" i="11" s="1"/>
  <c r="BP177" i="11"/>
  <c r="AT272" i="11"/>
  <c r="AW272" i="11" s="1"/>
  <c r="AI250" i="11"/>
  <c r="AT227" i="11"/>
  <c r="AW227" i="11" s="1"/>
  <c r="AR14" i="11"/>
  <c r="AV193" i="11"/>
  <c r="AY193" i="11" s="1"/>
  <c r="AU197" i="11"/>
  <c r="AX197" i="11" s="1"/>
  <c r="AQ54" i="11"/>
  <c r="BP153" i="11"/>
  <c r="AM18" i="11"/>
  <c r="AP18" i="11" s="1"/>
  <c r="AU19" i="11"/>
  <c r="AX19" i="11" s="1"/>
  <c r="AR111" i="11"/>
  <c r="AT115" i="11"/>
  <c r="AW115" i="11" s="1"/>
  <c r="AQ96" i="11"/>
  <c r="BR5" i="11"/>
  <c r="AQ95" i="11"/>
  <c r="AS76" i="11"/>
  <c r="AL261" i="11"/>
  <c r="AO261" i="11" s="1"/>
  <c r="AT276" i="11"/>
  <c r="AT61" i="11"/>
  <c r="AW61" i="11" s="1"/>
  <c r="AL21" i="11"/>
  <c r="AO21" i="11" s="1"/>
  <c r="BP105" i="11"/>
  <c r="AU16" i="11"/>
  <c r="AX16" i="11" s="1"/>
  <c r="AK166" i="11"/>
  <c r="AN166" i="11" s="1"/>
  <c r="AL152" i="11"/>
  <c r="AO152" i="11" s="1"/>
  <c r="AU259" i="11"/>
  <c r="AX259" i="11" s="1"/>
  <c r="AV190" i="11"/>
  <c r="AY190" i="11" s="1"/>
  <c r="AR129" i="11"/>
  <c r="BA129" i="11" s="1"/>
  <c r="AR257" i="11"/>
  <c r="AL39" i="11"/>
  <c r="AO39" i="11" s="1"/>
  <c r="AK94" i="11"/>
  <c r="AN94" i="11" s="1"/>
  <c r="AQ27" i="11"/>
  <c r="AU227" i="11"/>
  <c r="AX227" i="11" s="1"/>
  <c r="AV243" i="11"/>
  <c r="AY243" i="11" s="1"/>
  <c r="AJ100" i="11"/>
  <c r="AS54" i="11"/>
  <c r="AV282" i="11"/>
  <c r="AY282" i="11" s="1"/>
  <c r="BP283" i="11"/>
  <c r="AU29" i="11"/>
  <c r="AX29" i="11" s="1"/>
  <c r="AM118" i="11"/>
  <c r="AP118" i="11" s="1"/>
  <c r="AL242" i="11"/>
  <c r="AO242" i="11" s="1"/>
  <c r="AJ44" i="11"/>
  <c r="BQ276" i="11"/>
  <c r="AJ140" i="11"/>
  <c r="AL176" i="11"/>
  <c r="AO176" i="11" s="1"/>
  <c r="AQ83" i="11"/>
  <c r="BQ83" i="11"/>
  <c r="AH83" i="11"/>
  <c r="AH107" i="11"/>
  <c r="AJ107" i="11"/>
  <c r="BO107" i="11"/>
  <c r="AI107" i="11"/>
  <c r="AQ107" i="11"/>
  <c r="AJ255" i="11"/>
  <c r="BB255" i="11" s="1"/>
  <c r="AQ255" i="11"/>
  <c r="AZ255" i="11" s="1"/>
  <c r="AT241" i="11"/>
  <c r="AW241" i="11" s="1"/>
  <c r="BP241" i="11"/>
  <c r="AK241" i="11"/>
  <c r="AN241" i="11" s="1"/>
  <c r="AJ30" i="11"/>
  <c r="AQ24" i="11"/>
  <c r="AZ24" i="11" s="1"/>
  <c r="AJ179" i="11"/>
  <c r="AL166" i="11"/>
  <c r="AO166" i="11" s="1"/>
  <c r="AS90" i="11"/>
  <c r="BQ90" i="11"/>
  <c r="BP293" i="11"/>
  <c r="AT293" i="11"/>
  <c r="AW293" i="11" s="1"/>
  <c r="AK206" i="11"/>
  <c r="AN206" i="11" s="1"/>
  <c r="BQ172" i="11"/>
  <c r="AR172" i="11"/>
  <c r="AU127" i="11"/>
  <c r="AX127" i="11" s="1"/>
  <c r="AV127" i="11"/>
  <c r="AJ295" i="11"/>
  <c r="AI295" i="11"/>
  <c r="AL133" i="11"/>
  <c r="AO133" i="11" s="1"/>
  <c r="AT133" i="11"/>
  <c r="AW133" i="11" s="1"/>
  <c r="AK148" i="11"/>
  <c r="AN148" i="11" s="1"/>
  <c r="AT148" i="11"/>
  <c r="AW148" i="11" s="1"/>
  <c r="AV148" i="11"/>
  <c r="AY148" i="11" s="1"/>
  <c r="AI134" i="11"/>
  <c r="AJ134" i="11"/>
  <c r="AL301" i="11"/>
  <c r="AO301" i="11" s="1"/>
  <c r="BP301" i="11"/>
  <c r="AM301" i="11"/>
  <c r="AP301" i="11" s="1"/>
  <c r="AK218" i="11"/>
  <c r="BR218" i="11"/>
  <c r="AJ111" i="11"/>
  <c r="AQ111" i="11"/>
  <c r="AI111" i="11"/>
  <c r="AK180" i="11"/>
  <c r="AN180" i="11" s="1"/>
  <c r="AM180" i="11"/>
  <c r="AP180" i="11" s="1"/>
  <c r="BR28" i="11"/>
  <c r="AQ60" i="11"/>
  <c r="BO60" i="11"/>
  <c r="AJ213" i="11"/>
  <c r="BO213" i="11"/>
  <c r="AI213" i="11"/>
  <c r="AQ213" i="11"/>
  <c r="AH213" i="11"/>
  <c r="AT152" i="11"/>
  <c r="AW152" i="11" s="1"/>
  <c r="AT166" i="11"/>
  <c r="AW166" i="11" s="1"/>
  <c r="AT16" i="11"/>
  <c r="AW16" i="11" s="1"/>
  <c r="AM241" i="11"/>
  <c r="AP241" i="11" s="1"/>
  <c r="AQ179" i="11"/>
  <c r="AZ179" i="11" s="1"/>
  <c r="AI255" i="11"/>
  <c r="AQ123" i="11"/>
  <c r="AI123" i="11"/>
  <c r="AH123" i="11"/>
  <c r="BO70" i="11"/>
  <c r="AH70" i="11"/>
  <c r="AI168" i="11"/>
  <c r="AK154" i="11"/>
  <c r="AN154" i="11" s="1"/>
  <c r="BP154" i="11"/>
  <c r="AH232" i="11"/>
  <c r="AQ232" i="11"/>
  <c r="AT202" i="11"/>
  <c r="AW202" i="11" s="1"/>
  <c r="AL202" i="11"/>
  <c r="AO202" i="11" s="1"/>
  <c r="AU202" i="11"/>
  <c r="AX202" i="11" s="1"/>
  <c r="AJ249" i="11"/>
  <c r="AM228" i="11"/>
  <c r="AP228" i="11" s="1"/>
  <c r="AU228" i="11"/>
  <c r="AX228" i="11" s="1"/>
  <c r="AK28" i="11"/>
  <c r="AN28" i="11" s="1"/>
  <c r="AT28" i="11"/>
  <c r="AW28" i="11" s="1"/>
  <c r="AL28" i="11"/>
  <c r="AO28" i="11" s="1"/>
  <c r="BP160" i="11"/>
  <c r="AT160" i="11"/>
  <c r="AW160" i="11" s="1"/>
  <c r="BR160" i="11"/>
  <c r="AT223" i="11"/>
  <c r="AW223" i="11" s="1"/>
  <c r="AK223" i="11"/>
  <c r="BR223" i="11"/>
  <c r="AH111" i="11"/>
  <c r="AS276" i="11"/>
  <c r="AK17" i="11"/>
  <c r="AN17" i="11" s="1"/>
  <c r="AR69" i="11"/>
  <c r="BR221" i="11"/>
  <c r="BO245" i="11"/>
  <c r="BQ205" i="11"/>
  <c r="AK283" i="11"/>
  <c r="AN283" i="11" s="1"/>
  <c r="AI6" i="11"/>
  <c r="AU231" i="11"/>
  <c r="AX231" i="11" s="1"/>
  <c r="BO261" i="11"/>
  <c r="AH210" i="11"/>
  <c r="AH75" i="11"/>
  <c r="AV122" i="11"/>
  <c r="AY122" i="11" s="1"/>
  <c r="AU142" i="11"/>
  <c r="AX142" i="11" s="1"/>
  <c r="AM205" i="11"/>
  <c r="AP205" i="11" s="1"/>
  <c r="AS6" i="11"/>
  <c r="AH245" i="11"/>
  <c r="AL213" i="11"/>
  <c r="AO213" i="11" s="1"/>
  <c r="AT62" i="11"/>
  <c r="AW62" i="11" s="1"/>
  <c r="AL5" i="11"/>
  <c r="AO5" i="11" s="1"/>
  <c r="AM259" i="11"/>
  <c r="AP259" i="11" s="1"/>
  <c r="AK176" i="11"/>
  <c r="AN176" i="11" s="1"/>
  <c r="AZ254" i="11"/>
  <c r="AT258" i="11"/>
  <c r="AW258" i="11" s="1"/>
  <c r="AV241" i="11"/>
  <c r="AY241" i="11" s="1"/>
  <c r="AT9" i="11"/>
  <c r="AW9" i="11" s="1"/>
  <c r="AL283" i="11"/>
  <c r="BP21" i="11"/>
  <c r="BQ6" i="11"/>
  <c r="AI73" i="11"/>
  <c r="BA73" i="11" s="1"/>
  <c r="AH269" i="11"/>
  <c r="AS83" i="11"/>
  <c r="AU103" i="11"/>
  <c r="AX103" i="11" s="1"/>
  <c r="AV119" i="11"/>
  <c r="AY119" i="11" s="1"/>
  <c r="AV203" i="11"/>
  <c r="AY203" i="11" s="1"/>
  <c r="AM213" i="11"/>
  <c r="AP213" i="11" s="1"/>
  <c r="AQ140" i="11"/>
  <c r="AQ245" i="11"/>
  <c r="BO5" i="11"/>
  <c r="BO205" i="11"/>
  <c r="AM166" i="11"/>
  <c r="AP166" i="11" s="1"/>
  <c r="BO14" i="11"/>
  <c r="AK32" i="11"/>
  <c r="AN32" i="11" s="1"/>
  <c r="AQ108" i="11"/>
  <c r="AK99" i="11"/>
  <c r="AU84" i="11"/>
  <c r="AX84" i="11" s="1"/>
  <c r="AL60" i="11"/>
  <c r="AO60" i="11" s="1"/>
  <c r="AR107" i="11"/>
  <c r="AM152" i="11"/>
  <c r="AP152" i="11" s="1"/>
  <c r="AK301" i="11"/>
  <c r="AN301" i="11" s="1"/>
  <c r="BQ263" i="11"/>
  <c r="AH244" i="11"/>
  <c r="AK114" i="11"/>
  <c r="AN114" i="11" s="1"/>
  <c r="AK151" i="11"/>
  <c r="AH194" i="11"/>
  <c r="AT242" i="11"/>
  <c r="AW242" i="11" s="1"/>
  <c r="AQ299" i="11"/>
  <c r="AK60" i="11"/>
  <c r="AN60" i="11" s="1"/>
  <c r="AV295" i="11"/>
  <c r="AY295" i="11" s="1"/>
  <c r="AT301" i="11"/>
  <c r="AW301" i="11" s="1"/>
  <c r="BR48" i="11"/>
  <c r="AK16" i="11"/>
  <c r="AN16" i="11" s="1"/>
  <c r="BP176" i="11"/>
  <c r="BP279" i="11"/>
  <c r="AH292" i="11"/>
  <c r="BO76" i="11"/>
  <c r="AI159" i="11"/>
  <c r="BR266" i="11"/>
  <c r="BO257" i="11"/>
  <c r="BP240" i="11"/>
  <c r="AT240" i="11"/>
  <c r="AW240" i="11" s="1"/>
  <c r="AT70" i="11"/>
  <c r="AW70" i="11" s="1"/>
  <c r="AJ263" i="11"/>
  <c r="AH263" i="11"/>
  <c r="AZ263" i="11" s="1"/>
  <c r="BP236" i="11"/>
  <c r="AH224" i="11"/>
  <c r="AJ205" i="11"/>
  <c r="BB205" i="11" s="1"/>
  <c r="AI127" i="11"/>
  <c r="AT112" i="11"/>
  <c r="AW112" i="11" s="1"/>
  <c r="AT259" i="11"/>
  <c r="AW259" i="11" s="1"/>
  <c r="AL16" i="11"/>
  <c r="AV108" i="11"/>
  <c r="AY108" i="11" s="1"/>
  <c r="BO292" i="11"/>
  <c r="BQ76" i="11"/>
  <c r="AU206" i="11"/>
  <c r="AX206" i="11" s="1"/>
  <c r="AU238" i="11"/>
  <c r="AX238" i="11" s="1"/>
  <c r="AU266" i="11"/>
  <c r="AX266" i="11" s="1"/>
  <c r="AM114" i="11"/>
  <c r="AP114" i="11" s="1"/>
  <c r="AR18" i="11"/>
  <c r="AT212" i="11"/>
  <c r="AW212" i="11" s="1"/>
  <c r="AL147" i="11"/>
  <c r="AO147" i="11" s="1"/>
  <c r="AI263" i="11"/>
  <c r="AK220" i="11"/>
  <c r="AN220" i="11" s="1"/>
  <c r="BP287" i="11"/>
  <c r="AM60" i="11"/>
  <c r="AP60" i="11" s="1"/>
  <c r="AH31" i="11"/>
  <c r="AQ251" i="11"/>
  <c r="AU106" i="11"/>
  <c r="AX106" i="11" s="1"/>
  <c r="AS260" i="11"/>
  <c r="AI112" i="11"/>
  <c r="BA112" i="11" s="1"/>
  <c r="BR228" i="11"/>
  <c r="AJ224" i="11"/>
  <c r="AV242" i="11"/>
  <c r="AY242" i="11" s="1"/>
  <c r="BR61" i="11"/>
  <c r="AM16" i="11"/>
  <c r="BP114" i="11"/>
  <c r="BP147" i="11"/>
  <c r="BP35" i="11"/>
  <c r="AL265" i="11"/>
  <c r="AO265" i="11" s="1"/>
  <c r="AV303" i="11"/>
  <c r="AY303" i="11" s="1"/>
  <c r="AV24" i="11"/>
  <c r="AY24" i="11" s="1"/>
  <c r="BR114" i="11"/>
  <c r="AR138" i="11"/>
  <c r="AM279" i="11"/>
  <c r="AP279" i="11" s="1"/>
  <c r="BP57" i="11"/>
  <c r="AQ124" i="11"/>
  <c r="AQ221" i="11"/>
  <c r="AH108" i="11"/>
  <c r="AT99" i="11"/>
  <c r="AW99" i="11" s="1"/>
  <c r="AQ55" i="11"/>
  <c r="AK303" i="11"/>
  <c r="AN303" i="11" s="1"/>
  <c r="AT114" i="11"/>
  <c r="AW114" i="11" s="1"/>
  <c r="AU279" i="11"/>
  <c r="AX279" i="11" s="1"/>
  <c r="AQ194" i="11"/>
  <c r="AH14" i="11"/>
  <c r="AU48" i="11"/>
  <c r="AX48" i="11" s="1"/>
  <c r="BR279" i="11"/>
  <c r="AT41" i="11"/>
  <c r="AW41" i="11" s="1"/>
  <c r="AK238" i="11"/>
  <c r="AN238" i="11" s="1"/>
  <c r="AJ201" i="11"/>
  <c r="AK198" i="11"/>
  <c r="AN198" i="11" s="1"/>
  <c r="AQ138" i="11"/>
  <c r="AL70" i="11"/>
  <c r="AO70" i="11" s="1"/>
  <c r="AI63" i="11"/>
  <c r="AI224" i="11"/>
  <c r="AU17" i="11"/>
  <c r="AX17" i="11" s="1"/>
  <c r="AU25" i="11"/>
  <c r="AX25" i="11" s="1"/>
  <c r="AH63" i="11"/>
  <c r="AH106" i="11"/>
  <c r="AQ174" i="11"/>
  <c r="AK209" i="11"/>
  <c r="AN209" i="11" s="1"/>
  <c r="AH91" i="11"/>
  <c r="BR255" i="11"/>
  <c r="BR25" i="11"/>
  <c r="BR226" i="11"/>
  <c r="BO174" i="11"/>
  <c r="BO263" i="11"/>
  <c r="AH205" i="11"/>
  <c r="AU242" i="11"/>
  <c r="AX242" i="11" s="1"/>
  <c r="AR194" i="11"/>
  <c r="AU73" i="11"/>
  <c r="AX73" i="11" s="1"/>
  <c r="AQ215" i="11"/>
  <c r="AK228" i="11"/>
  <c r="AN228" i="11" s="1"/>
  <c r="AQ14" i="11"/>
  <c r="AL177" i="11"/>
  <c r="AO177" i="11" s="1"/>
  <c r="AM266" i="11"/>
  <c r="AP266" i="11" s="1"/>
  <c r="AH219" i="11"/>
  <c r="AI249" i="11"/>
  <c r="AI52" i="11"/>
  <c r="AT265" i="11"/>
  <c r="AW265" i="11" s="1"/>
  <c r="AR139" i="11"/>
  <c r="BR251" i="11"/>
  <c r="AU43" i="11"/>
  <c r="AX43" i="11" s="1"/>
  <c r="AV301" i="11"/>
  <c r="AY301" i="11" s="1"/>
  <c r="AV234" i="11"/>
  <c r="AY234" i="11" s="1"/>
  <c r="AJ232" i="11"/>
  <c r="AI149" i="11"/>
  <c r="AT6" i="11"/>
  <c r="AW6" i="11" s="1"/>
  <c r="BP6" i="11"/>
  <c r="AM150" i="11"/>
  <c r="AP150" i="11" s="1"/>
  <c r="AT150" i="11"/>
  <c r="AW150" i="11" s="1"/>
  <c r="AJ32" i="11"/>
  <c r="AI32" i="11"/>
  <c r="AJ301" i="11"/>
  <c r="BO301" i="11"/>
  <c r="BQ301" i="11"/>
  <c r="AS301" i="11"/>
  <c r="AI301" i="11"/>
  <c r="BP155" i="11"/>
  <c r="AM155" i="11"/>
  <c r="AP155" i="11" s="1"/>
  <c r="AK253" i="11"/>
  <c r="AN253" i="11" s="1"/>
  <c r="BP253" i="11"/>
  <c r="AI57" i="11"/>
  <c r="AQ57" i="11"/>
  <c r="AM273" i="11"/>
  <c r="AP273" i="11" s="1"/>
  <c r="AT273" i="11"/>
  <c r="AW273" i="11" s="1"/>
  <c r="AL273" i="11"/>
  <c r="AO273" i="11" s="1"/>
  <c r="AK273" i="11"/>
  <c r="AJ46" i="11"/>
  <c r="AI46" i="11"/>
  <c r="BP289" i="11"/>
  <c r="AL289" i="11"/>
  <c r="AO289" i="11" s="1"/>
  <c r="AK80" i="11"/>
  <c r="BP80" i="11"/>
  <c r="BP120" i="11"/>
  <c r="AM120" i="11"/>
  <c r="AP120" i="11" s="1"/>
  <c r="BR220" i="11"/>
  <c r="AK178" i="11"/>
  <c r="AN178" i="11" s="1"/>
  <c r="AK124" i="11"/>
  <c r="AN124" i="11" s="1"/>
  <c r="AL245" i="11"/>
  <c r="AO245" i="11" s="1"/>
  <c r="AL143" i="11"/>
  <c r="AO143" i="11" s="1"/>
  <c r="AT289" i="11"/>
  <c r="AL220" i="11"/>
  <c r="AO220" i="11" s="1"/>
  <c r="AI103" i="11"/>
  <c r="AK33" i="11"/>
  <c r="AK132" i="11"/>
  <c r="AN132" i="11" s="1"/>
  <c r="BR148" i="11"/>
  <c r="BO270" i="11"/>
  <c r="AJ251" i="11"/>
  <c r="BO232" i="11"/>
  <c r="BO274" i="11"/>
  <c r="AQ177" i="11"/>
  <c r="AV273" i="11"/>
  <c r="AY273" i="11" s="1"/>
  <c r="AU289" i="11"/>
  <c r="AX289" i="11" s="1"/>
  <c r="AH57" i="11"/>
  <c r="AQ103" i="11"/>
  <c r="AZ103" i="11" s="1"/>
  <c r="AK143" i="11"/>
  <c r="AN143" i="11" s="1"/>
  <c r="AV121" i="11"/>
  <c r="AR32" i="11"/>
  <c r="BP60" i="11"/>
  <c r="AQ32" i="11"/>
  <c r="Z105" i="11"/>
  <c r="BP258" i="11"/>
  <c r="AV253" i="11"/>
  <c r="AY253" i="11" s="1"/>
  <c r="AJ151" i="11"/>
  <c r="BR33" i="11"/>
  <c r="BO150" i="11"/>
  <c r="AQ150" i="11"/>
  <c r="AQ211" i="11"/>
  <c r="AH211" i="11"/>
  <c r="AI211" i="11"/>
  <c r="AL287" i="11"/>
  <c r="AO287" i="11" s="1"/>
  <c r="AL121" i="11"/>
  <c r="AO121" i="11" s="1"/>
  <c r="BP243" i="11"/>
  <c r="AK243" i="11"/>
  <c r="AN243" i="11" s="1"/>
  <c r="AI160" i="11"/>
  <c r="AQ160" i="11"/>
  <c r="AH256" i="11"/>
  <c r="AQ256" i="11"/>
  <c r="AJ256" i="11"/>
  <c r="AI153" i="11"/>
  <c r="AJ153" i="11"/>
  <c r="AL180" i="11"/>
  <c r="AO180" i="11" s="1"/>
  <c r="BP180" i="11"/>
  <c r="AT90" i="11"/>
  <c r="AW90" i="11" s="1"/>
  <c r="AL90" i="11"/>
  <c r="AI60" i="11"/>
  <c r="AH60" i="11"/>
  <c r="AQ8" i="11"/>
  <c r="AR8" i="11"/>
  <c r="AM170" i="11"/>
  <c r="AP170" i="11" s="1"/>
  <c r="AH177" i="11"/>
  <c r="AZ177" i="11" s="1"/>
  <c r="AL124" i="11"/>
  <c r="AO124" i="11" s="1"/>
  <c r="AR59" i="11"/>
  <c r="AU155" i="11"/>
  <c r="AX155" i="11" s="1"/>
  <c r="AL148" i="11"/>
  <c r="AO148" i="11" s="1"/>
  <c r="BP106" i="11"/>
  <c r="AI24" i="11"/>
  <c r="BO24" i="11"/>
  <c r="AQ151" i="11"/>
  <c r="AZ151" i="11" s="1"/>
  <c r="BQ166" i="11"/>
  <c r="AS166" i="11"/>
  <c r="AL155" i="11"/>
  <c r="AO155" i="11" s="1"/>
  <c r="AK147" i="11"/>
  <c r="AM147" i="11"/>
  <c r="AP147" i="11" s="1"/>
  <c r="AI89" i="11"/>
  <c r="AL187" i="11"/>
  <c r="AO187" i="11" s="1"/>
  <c r="BP187" i="11"/>
  <c r="AQ283" i="11"/>
  <c r="AZ283" i="11" s="1"/>
  <c r="AJ283" i="11"/>
  <c r="BP143" i="11"/>
  <c r="AL203" i="11"/>
  <c r="AO203" i="11" s="1"/>
  <c r="BP203" i="11"/>
  <c r="AI256" i="11"/>
  <c r="Z261" i="11"/>
  <c r="AH270" i="11"/>
  <c r="AM212" i="11"/>
  <c r="AP212" i="11" s="1"/>
  <c r="AK212" i="11"/>
  <c r="AN212" i="11" s="1"/>
  <c r="BP232" i="11"/>
  <c r="AL216" i="11"/>
  <c r="AO216" i="11" s="1"/>
  <c r="AR136" i="11"/>
  <c r="AT253" i="11"/>
  <c r="AW253" i="11" s="1"/>
  <c r="AK120" i="11"/>
  <c r="AT132" i="11"/>
  <c r="AW132" i="11" s="1"/>
  <c r="AK155" i="11"/>
  <c r="AN155" i="11" s="1"/>
  <c r="AT121" i="11"/>
  <c r="AW121" i="11" s="1"/>
  <c r="AQ301" i="11"/>
  <c r="AZ301" i="11" s="1"/>
  <c r="AT60" i="11"/>
  <c r="AW60" i="11" s="1"/>
  <c r="AQ46" i="11"/>
  <c r="AZ46" i="11" s="1"/>
  <c r="AM289" i="11"/>
  <c r="AP289" i="11" s="1"/>
  <c r="AM132" i="11"/>
  <c r="AM148" i="11"/>
  <c r="AP148" i="11" s="1"/>
  <c r="AL212" i="11"/>
  <c r="AO212" i="11" s="1"/>
  <c r="AT287" i="11"/>
  <c r="AW287" i="11" s="1"/>
  <c r="AQ270" i="11"/>
  <c r="BP212" i="11"/>
  <c r="AK138" i="11"/>
  <c r="AN138" i="11" s="1"/>
  <c r="AH274" i="11"/>
  <c r="BP220" i="11"/>
  <c r="AI182" i="11"/>
  <c r="AU253" i="11"/>
  <c r="BR253" i="11"/>
  <c r="AM253" i="11"/>
  <c r="AP253" i="11" s="1"/>
  <c r="AH32" i="11"/>
  <c r="AI177" i="11"/>
  <c r="AL120" i="11"/>
  <c r="AO120" i="11" s="1"/>
  <c r="AM80" i="11"/>
  <c r="AP80" i="11" s="1"/>
  <c r="BS155" i="11"/>
  <c r="BQ103" i="11"/>
  <c r="AV143" i="11"/>
  <c r="AY143" i="11" s="1"/>
  <c r="AU175" i="11"/>
  <c r="AX175" i="11" s="1"/>
  <c r="BR175" i="11"/>
  <c r="AS295" i="11"/>
  <c r="BQ295" i="11"/>
  <c r="AR108" i="11"/>
  <c r="AI197" i="11"/>
  <c r="BO197" i="11"/>
  <c r="AJ96" i="11"/>
  <c r="AI96" i="11"/>
  <c r="AT80" i="11"/>
  <c r="AW80" i="11" s="1"/>
  <c r="BQ42" i="11"/>
  <c r="AS42" i="11"/>
  <c r="BR90" i="11"/>
  <c r="AV90" i="11"/>
  <c r="AY90" i="11" s="1"/>
  <c r="AV166" i="11"/>
  <c r="BR166" i="11"/>
  <c r="AJ221" i="11"/>
  <c r="AH221" i="11"/>
  <c r="AI221" i="11"/>
  <c r="BO221" i="11"/>
  <c r="BP118" i="11"/>
  <c r="AL122" i="11"/>
  <c r="AO122" i="11" s="1"/>
  <c r="AM122" i="11"/>
  <c r="AP122" i="11" s="1"/>
  <c r="AJ25" i="11"/>
  <c r="AI25" i="11"/>
  <c r="AK162" i="11"/>
  <c r="AN162" i="11" s="1"/>
  <c r="AT162" i="11"/>
  <c r="AW162" i="11" s="1"/>
  <c r="AT233" i="11"/>
  <c r="AW233" i="11" s="1"/>
  <c r="AT186" i="11"/>
  <c r="AW186" i="11" s="1"/>
  <c r="AR85" i="11"/>
  <c r="AR101" i="11"/>
  <c r="AR117" i="11"/>
  <c r="AU229" i="11"/>
  <c r="AX229" i="11" s="1"/>
  <c r="AR277" i="11"/>
  <c r="AR77" i="11"/>
  <c r="AU217" i="11"/>
  <c r="AX217" i="11" s="1"/>
  <c r="AR40" i="11"/>
  <c r="AV73" i="11"/>
  <c r="AY73" i="11" s="1"/>
  <c r="AH35" i="11"/>
  <c r="AH149" i="11"/>
  <c r="AR150" i="11"/>
  <c r="BR118" i="11"/>
  <c r="BP273" i="11"/>
  <c r="AL95" i="11"/>
  <c r="AO95" i="11" s="1"/>
  <c r="AR29" i="11"/>
  <c r="AH86" i="11"/>
  <c r="AH124" i="11"/>
  <c r="BO177" i="11"/>
  <c r="AH27" i="11"/>
  <c r="AL210" i="11"/>
  <c r="AQ287" i="11"/>
  <c r="AV45" i="11"/>
  <c r="AY45" i="11" s="1"/>
  <c r="BP276" i="11"/>
  <c r="AL247" i="11"/>
  <c r="AO247" i="11" s="1"/>
  <c r="AS218" i="11"/>
  <c r="AZ125" i="11"/>
  <c r="AQ18" i="11"/>
  <c r="AT15" i="11"/>
  <c r="AW15" i="11" s="1"/>
  <c r="AR163" i="11"/>
  <c r="AR235" i="11"/>
  <c r="BB279" i="11"/>
  <c r="AU15" i="11"/>
  <c r="AX15" i="11" s="1"/>
  <c r="BR23" i="11"/>
  <c r="AS95" i="11"/>
  <c r="AR127" i="11"/>
  <c r="AV287" i="11"/>
  <c r="AY287" i="11" s="1"/>
  <c r="AQ99" i="11"/>
  <c r="BP100" i="11"/>
  <c r="AU110" i="11"/>
  <c r="AX110" i="11" s="1"/>
  <c r="AU138" i="11"/>
  <c r="AX138" i="11" s="1"/>
  <c r="BQ46" i="11"/>
  <c r="BQ182" i="11"/>
  <c r="AR198" i="11"/>
  <c r="AH251" i="11"/>
  <c r="BO130" i="11"/>
  <c r="AQ214" i="11"/>
  <c r="AL254" i="11"/>
  <c r="AO254" i="11" s="1"/>
  <c r="AH118" i="11"/>
  <c r="AM99" i="11"/>
  <c r="AP99" i="11" s="1"/>
  <c r="AJ65" i="11"/>
  <c r="AQ65" i="11"/>
  <c r="AU135" i="11"/>
  <c r="AX135" i="11" s="1"/>
  <c r="BR135" i="11"/>
  <c r="AR78" i="11"/>
  <c r="BO229" i="11"/>
  <c r="AI229" i="11"/>
  <c r="AJ229" i="11"/>
  <c r="AR132" i="11"/>
  <c r="AM24" i="11"/>
  <c r="AP24" i="11" s="1"/>
  <c r="AK61" i="11"/>
  <c r="AN61" i="11" s="1"/>
  <c r="AU61" i="11"/>
  <c r="AX61" i="11" s="1"/>
  <c r="BR66" i="11"/>
  <c r="AU66" i="11"/>
  <c r="AX66" i="11" s="1"/>
  <c r="AU254" i="11"/>
  <c r="AX254" i="11" s="1"/>
  <c r="AT181" i="11"/>
  <c r="AW181" i="11" s="1"/>
  <c r="AL181" i="11"/>
  <c r="AO181" i="11" s="1"/>
  <c r="AQ33" i="11"/>
  <c r="AI33" i="11"/>
  <c r="AK278" i="11"/>
  <c r="BP278" i="11"/>
  <c r="AM278" i="11"/>
  <c r="AP278" i="11" s="1"/>
  <c r="AK139" i="11"/>
  <c r="AN139" i="11" s="1"/>
  <c r="AL139" i="11"/>
  <c r="AO139" i="11" s="1"/>
  <c r="AL127" i="11"/>
  <c r="AO127" i="11" s="1"/>
  <c r="BR127" i="11"/>
  <c r="AV172" i="11"/>
  <c r="AM172" i="11"/>
  <c r="AP172" i="11" s="1"/>
  <c r="AK172" i="11"/>
  <c r="AN172" i="11" s="1"/>
  <c r="AM277" i="11"/>
  <c r="AP277" i="11" s="1"/>
  <c r="AK277" i="11"/>
  <c r="AN277" i="11" s="1"/>
  <c r="AL277" i="11"/>
  <c r="AO277" i="11" s="1"/>
  <c r="AI246" i="11"/>
  <c r="AQ246" i="11"/>
  <c r="AT179" i="11"/>
  <c r="AW179" i="11" s="1"/>
  <c r="AK179" i="11"/>
  <c r="AL153" i="11"/>
  <c r="AM153" i="11"/>
  <c r="AP153" i="11" s="1"/>
  <c r="AI180" i="11"/>
  <c r="BO180" i="11"/>
  <c r="AQ180" i="11"/>
  <c r="AZ180" i="11" s="1"/>
  <c r="BP130" i="11"/>
  <c r="AK130" i="11"/>
  <c r="AU130" i="11"/>
  <c r="AX130" i="11" s="1"/>
  <c r="AJ90" i="11"/>
  <c r="AH90" i="11"/>
  <c r="AR90" i="11"/>
  <c r="BQ128" i="11"/>
  <c r="AS128" i="11"/>
  <c r="AL224" i="11"/>
  <c r="AO224" i="11" s="1"/>
  <c r="BP224" i="11"/>
  <c r="BR56" i="11"/>
  <c r="AT172" i="11"/>
  <c r="AW172" i="11" s="1"/>
  <c r="AQ218" i="11"/>
  <c r="AQ229" i="11"/>
  <c r="AH79" i="11"/>
  <c r="AZ79" i="11" s="1"/>
  <c r="AK127" i="11"/>
  <c r="BR43" i="11"/>
  <c r="BR276" i="11"/>
  <c r="AU118" i="11"/>
  <c r="AX118" i="11" s="1"/>
  <c r="AU23" i="11"/>
  <c r="AX23" i="11" s="1"/>
  <c r="BP223" i="11"/>
  <c r="BR287" i="11"/>
  <c r="AV15" i="11"/>
  <c r="AY15" i="11" s="1"/>
  <c r="AQ168" i="11"/>
  <c r="AJ70" i="11"/>
  <c r="AJ246" i="11"/>
  <c r="BO33" i="11"/>
  <c r="AH227" i="11"/>
  <c r="AQ227" i="11"/>
  <c r="AK181" i="11"/>
  <c r="BP172" i="11"/>
  <c r="BQ210" i="11"/>
  <c r="AH229" i="11"/>
  <c r="AK194" i="11"/>
  <c r="AN194" i="11" s="1"/>
  <c r="AS46" i="11"/>
  <c r="AL61" i="11"/>
  <c r="AO61" i="11" s="1"/>
  <c r="AI219" i="11"/>
  <c r="AS182" i="11"/>
  <c r="BO101" i="11"/>
  <c r="AQ101" i="11"/>
  <c r="BR278" i="11"/>
  <c r="BQ158" i="11"/>
  <c r="BR130" i="11"/>
  <c r="BP127" i="11"/>
  <c r="AV160" i="11"/>
  <c r="AY160" i="11" s="1"/>
  <c r="AM181" i="11"/>
  <c r="AP181" i="11" s="1"/>
  <c r="AI90" i="11"/>
  <c r="AT43" i="11"/>
  <c r="AW43" i="11" s="1"/>
  <c r="AM5" i="11"/>
  <c r="AT5" i="11"/>
  <c r="AW5" i="11" s="1"/>
  <c r="AK199" i="11"/>
  <c r="AN199" i="11" s="1"/>
  <c r="AM199" i="11"/>
  <c r="BP25" i="11"/>
  <c r="AM25" i="11"/>
  <c r="AP25" i="11" s="1"/>
  <c r="AK25" i="11"/>
  <c r="BP239" i="11"/>
  <c r="AM239" i="11"/>
  <c r="AP239" i="11" s="1"/>
  <c r="AI293" i="11"/>
  <c r="BO293" i="11"/>
  <c r="BP267" i="11"/>
  <c r="AL267" i="11"/>
  <c r="AO267" i="11" s="1"/>
  <c r="AT267" i="11"/>
  <c r="AW267" i="11" s="1"/>
  <c r="AT91" i="11"/>
  <c r="AW91" i="11" s="1"/>
  <c r="AL68" i="11"/>
  <c r="AO68" i="11" s="1"/>
  <c r="BR231" i="11"/>
  <c r="AT231" i="11"/>
  <c r="AW231" i="11" s="1"/>
  <c r="BP295" i="11"/>
  <c r="AM295" i="11"/>
  <c r="AP295" i="11" s="1"/>
  <c r="AI135" i="11"/>
  <c r="AJ135" i="11"/>
  <c r="BO135" i="11"/>
  <c r="AH135" i="11"/>
  <c r="AQ135" i="11"/>
  <c r="AM133" i="11"/>
  <c r="AP133" i="11" s="1"/>
  <c r="AK133" i="11"/>
  <c r="AN133" i="11" s="1"/>
  <c r="AQ273" i="11"/>
  <c r="AI273" i="11"/>
  <c r="BQ148" i="11"/>
  <c r="AS148" i="11"/>
  <c r="AQ148" i="11"/>
  <c r="BO148" i="11"/>
  <c r="AI148" i="11"/>
  <c r="AH148" i="11"/>
  <c r="AS204" i="11"/>
  <c r="BB204" i="11" s="1"/>
  <c r="AR204" i="11"/>
  <c r="AS108" i="11"/>
  <c r="AJ108" i="11"/>
  <c r="BO108" i="11"/>
  <c r="AI108" i="11"/>
  <c r="BP108" i="11"/>
  <c r="AL108" i="11"/>
  <c r="AM108" i="11"/>
  <c r="AP108" i="11" s="1"/>
  <c r="AK108" i="11"/>
  <c r="AN108" i="11" s="1"/>
  <c r="AT108" i="11"/>
  <c r="AW108" i="11" s="1"/>
  <c r="AL303" i="11"/>
  <c r="AO303" i="11" s="1"/>
  <c r="AT303" i="11"/>
  <c r="AM303" i="11"/>
  <c r="AP303" i="11" s="1"/>
  <c r="AT177" i="11"/>
  <c r="AW177" i="11" s="1"/>
  <c r="AK177" i="11"/>
  <c r="AN177" i="11" s="1"/>
  <c r="AL151" i="11"/>
  <c r="AO151" i="11" s="1"/>
  <c r="AM151" i="11"/>
  <c r="AP151" i="11" s="1"/>
  <c r="AJ299" i="11"/>
  <c r="BO299" i="11"/>
  <c r="AH299" i="11"/>
  <c r="AJ78" i="11"/>
  <c r="AI78" i="11"/>
  <c r="AV223" i="11"/>
  <c r="AY223" i="11" s="1"/>
  <c r="AU223" i="11"/>
  <c r="AX223" i="11" s="1"/>
  <c r="AV222" i="11"/>
  <c r="AY222" i="11" s="1"/>
  <c r="BR222" i="11"/>
  <c r="BR24" i="11"/>
  <c r="BB137" i="11"/>
  <c r="AV135" i="11"/>
  <c r="AY135" i="11" s="1"/>
  <c r="BR134" i="11"/>
  <c r="AH217" i="11"/>
  <c r="AJ81" i="11"/>
  <c r="AI81" i="11"/>
  <c r="AK56" i="11"/>
  <c r="AN56" i="11" s="1"/>
  <c r="AT56" i="11"/>
  <c r="BQ160" i="11"/>
  <c r="AS273" i="11"/>
  <c r="BB273" i="11" s="1"/>
  <c r="AL160" i="11"/>
  <c r="AO160" i="11" s="1"/>
  <c r="AH61" i="11"/>
  <c r="AZ61" i="11" s="1"/>
  <c r="AQ126" i="11"/>
  <c r="AL223" i="11"/>
  <c r="AO223" i="11" s="1"/>
  <c r="AU287" i="11"/>
  <c r="BR15" i="11"/>
  <c r="AL179" i="11"/>
  <c r="AI218" i="11"/>
  <c r="AQ257" i="11"/>
  <c r="AJ33" i="11"/>
  <c r="AK224" i="11"/>
  <c r="AN224" i="11" s="1"/>
  <c r="AJ218" i="11"/>
  <c r="BP181" i="11"/>
  <c r="BP139" i="11"/>
  <c r="AU201" i="11"/>
  <c r="AX201" i="11" s="1"/>
  <c r="AH218" i="11"/>
  <c r="AT278" i="11"/>
  <c r="AW278" i="11" s="1"/>
  <c r="Z16" i="11"/>
  <c r="BP16" i="11"/>
  <c r="AR158" i="11"/>
  <c r="AV130" i="11"/>
  <c r="BP61" i="11"/>
  <c r="BO93" i="11"/>
  <c r="AQ93" i="11"/>
  <c r="AR46" i="11"/>
  <c r="AV40" i="11"/>
  <c r="AY40" i="11" s="1"/>
  <c r="AQ219" i="11"/>
  <c r="AS33" i="11"/>
  <c r="AV139" i="11"/>
  <c r="AY139" i="11" s="1"/>
  <c r="AI236" i="11"/>
  <c r="AQ236" i="11"/>
  <c r="BO196" i="11"/>
  <c r="AL278" i="11"/>
  <c r="AV66" i="11"/>
  <c r="AU286" i="11"/>
  <c r="AX286" i="11" s="1"/>
  <c r="AV286" i="11"/>
  <c r="AY286" i="11" s="1"/>
  <c r="BP277" i="11"/>
  <c r="AK70" i="11"/>
  <c r="AV70" i="11"/>
  <c r="AY70" i="11" s="1"/>
  <c r="BP70" i="11"/>
  <c r="AJ120" i="11"/>
  <c r="AQ120" i="11"/>
  <c r="AI120" i="11"/>
  <c r="BO120" i="11"/>
  <c r="BP229" i="11"/>
  <c r="AK229" i="11"/>
  <c r="AN229" i="11" s="1"/>
  <c r="AL103" i="11"/>
  <c r="AO103" i="11" s="1"/>
  <c r="BP103" i="11"/>
  <c r="AR52" i="11"/>
  <c r="AH52" i="11"/>
  <c r="AZ52" i="11" s="1"/>
  <c r="AJ52" i="11"/>
  <c r="BB52" i="11" s="1"/>
  <c r="AI162" i="11"/>
  <c r="AH162" i="11"/>
  <c r="AS244" i="11"/>
  <c r="AQ244" i="11"/>
  <c r="AJ244" i="11"/>
  <c r="BO244" i="11"/>
  <c r="AL238" i="11"/>
  <c r="AM238" i="11"/>
  <c r="AP238" i="11" s="1"/>
  <c r="AM97" i="11"/>
  <c r="AP97" i="11" s="1"/>
  <c r="AT97" i="11"/>
  <c r="AW97" i="11" s="1"/>
  <c r="BR269" i="11"/>
  <c r="AL269" i="11"/>
  <c r="AO269" i="11" s="1"/>
  <c r="AH176" i="11"/>
  <c r="AJ176" i="11"/>
  <c r="BO176" i="11"/>
  <c r="AJ252" i="11"/>
  <c r="AQ252" i="11"/>
  <c r="AH252" i="11"/>
  <c r="AQ68" i="11"/>
  <c r="AZ68" i="11" s="1"/>
  <c r="AI68" i="11"/>
  <c r="AQ90" i="11"/>
  <c r="BR133" i="11"/>
  <c r="AV47" i="11"/>
  <c r="AY47" i="11" s="1"/>
  <c r="BP255" i="11"/>
  <c r="BO214" i="11"/>
  <c r="AV36" i="11"/>
  <c r="AY36" i="11" s="1"/>
  <c r="AV84" i="11"/>
  <c r="AY84" i="11" s="1"/>
  <c r="AR295" i="11"/>
  <c r="AJ53" i="11"/>
  <c r="AM247" i="11"/>
  <c r="AP247" i="11" s="1"/>
  <c r="AV278" i="11"/>
  <c r="AU18" i="11"/>
  <c r="AX18" i="11" s="1"/>
  <c r="AR74" i="11"/>
  <c r="AU198" i="11"/>
  <c r="AX198" i="11" s="1"/>
  <c r="AJ118" i="11"/>
  <c r="BP133" i="11"/>
  <c r="AJ170" i="11"/>
  <c r="AT102" i="11"/>
  <c r="AW102" i="11" s="1"/>
  <c r="AL145" i="11"/>
  <c r="AO145" i="11" s="1"/>
  <c r="AT63" i="11"/>
  <c r="AW63" i="11" s="1"/>
  <c r="AH225" i="11"/>
  <c r="AK192" i="11"/>
  <c r="AN192" i="11" s="1"/>
  <c r="AR162" i="11"/>
  <c r="AU97" i="11"/>
  <c r="BR177" i="11"/>
  <c r="AL29" i="11"/>
  <c r="AO29" i="11" s="1"/>
  <c r="BR116" i="11"/>
  <c r="AJ88" i="11"/>
  <c r="AK13" i="11"/>
  <c r="AN13" i="11" s="1"/>
  <c r="BO27" i="11"/>
  <c r="AU199" i="11"/>
  <c r="AX199" i="11" s="1"/>
  <c r="AR23" i="11"/>
  <c r="BR103" i="11"/>
  <c r="AU295" i="11"/>
  <c r="AX295" i="11" s="1"/>
  <c r="AH53" i="11"/>
  <c r="AV210" i="11"/>
  <c r="AY210" i="11" s="1"/>
  <c r="AQ100" i="11"/>
  <c r="AR250" i="11"/>
  <c r="AV5" i="11"/>
  <c r="AY5" i="11" s="1"/>
  <c r="AJ71" i="11"/>
  <c r="BR219" i="11"/>
  <c r="AU123" i="11"/>
  <c r="AX123" i="11" s="1"/>
  <c r="BP123" i="11"/>
  <c r="AK101" i="11"/>
  <c r="AN101" i="11" s="1"/>
  <c r="AT101" i="11"/>
  <c r="AW101" i="11" s="1"/>
  <c r="AK23" i="11"/>
  <c r="AN23" i="11" s="1"/>
  <c r="AT23" i="11"/>
  <c r="AL270" i="11"/>
  <c r="AU270" i="11"/>
  <c r="AX270" i="11" s="1"/>
  <c r="AT270" i="11"/>
  <c r="AW270" i="11" s="1"/>
  <c r="BR270" i="11"/>
  <c r="BQ237" i="11"/>
  <c r="AR237" i="11"/>
  <c r="AQ130" i="11"/>
  <c r="AK6" i="11"/>
  <c r="AN6" i="11" s="1"/>
  <c r="AV123" i="11"/>
  <c r="AY123" i="11" s="1"/>
  <c r="BP270" i="11"/>
  <c r="AK270" i="11"/>
  <c r="BO139" i="11"/>
  <c r="AI139" i="11"/>
  <c r="AK14" i="11"/>
  <c r="AN14" i="11" s="1"/>
  <c r="BP14" i="11"/>
  <c r="AK157" i="11"/>
  <c r="AN157" i="11" s="1"/>
  <c r="AL157" i="11"/>
  <c r="BR157" i="11"/>
  <c r="AM23" i="11"/>
  <c r="AP23" i="11" s="1"/>
  <c r="BO291" i="11"/>
  <c r="BS291" i="11" s="1"/>
  <c r="AA291" i="3" s="1"/>
  <c r="AI291" i="11"/>
  <c r="AQ291" i="11"/>
  <c r="AJ291" i="11"/>
  <c r="AQ247" i="11"/>
  <c r="AI247" i="11"/>
  <c r="AH247" i="11"/>
  <c r="BP156" i="11"/>
  <c r="AM156" i="11"/>
  <c r="AP156" i="11" s="1"/>
  <c r="AK156" i="11"/>
  <c r="AL156" i="11"/>
  <c r="AO156" i="11" s="1"/>
  <c r="AT254" i="11"/>
  <c r="AW254" i="11" s="1"/>
  <c r="Z247" i="11"/>
  <c r="BO247" i="11"/>
  <c r="AK197" i="11"/>
  <c r="AN197" i="11" s="1"/>
  <c r="BP197" i="11"/>
  <c r="AM96" i="11"/>
  <c r="AP96" i="11" s="1"/>
  <c r="AK96" i="11"/>
  <c r="BR96" i="11"/>
  <c r="BQ86" i="11"/>
  <c r="AS86" i="11"/>
  <c r="BQ174" i="11"/>
  <c r="AR174" i="11"/>
  <c r="BQ234" i="11"/>
  <c r="AS234" i="11"/>
  <c r="BB234" i="11" s="1"/>
  <c r="AS26" i="11"/>
  <c r="BQ26" i="11"/>
  <c r="AS66" i="11"/>
  <c r="BB66" i="11" s="1"/>
  <c r="AR66" i="11"/>
  <c r="BA66" i="11" s="1"/>
  <c r="BQ66" i="11"/>
  <c r="AS254" i="11"/>
  <c r="BB254" i="11" s="1"/>
  <c r="BQ254" i="11"/>
  <c r="AR254" i="11"/>
  <c r="BP215" i="11"/>
  <c r="AL232" i="11"/>
  <c r="AO232" i="11" s="1"/>
  <c r="AM232" i="11"/>
  <c r="AP232" i="11" s="1"/>
  <c r="AT232" i="11"/>
  <c r="AH203" i="11"/>
  <c r="BO203" i="11"/>
  <c r="BS203" i="11" s="1"/>
  <c r="AA203" i="3" s="1"/>
  <c r="AJ203" i="11"/>
  <c r="AI203" i="11"/>
  <c r="AQ203" i="11"/>
  <c r="AL252" i="11"/>
  <c r="AO252" i="11" s="1"/>
  <c r="AK252" i="11"/>
  <c r="AN252" i="11" s="1"/>
  <c r="AT216" i="11"/>
  <c r="AW216" i="11" s="1"/>
  <c r="BO206" i="11"/>
  <c r="BS206" i="11" s="1"/>
  <c r="AA206" i="3" s="1"/>
  <c r="AQ206" i="11"/>
  <c r="AK44" i="11"/>
  <c r="AN44" i="11" s="1"/>
  <c r="AM44" i="11"/>
  <c r="AH295" i="11"/>
  <c r="BO295" i="11"/>
  <c r="AJ287" i="11"/>
  <c r="AH287" i="11"/>
  <c r="AI287" i="11"/>
  <c r="BO287" i="11"/>
  <c r="AI61" i="11"/>
  <c r="BO61" i="11"/>
  <c r="AJ61" i="11"/>
  <c r="BP45" i="11"/>
  <c r="AM45" i="11"/>
  <c r="AL45" i="11"/>
  <c r="AO45" i="11" s="1"/>
  <c r="AK45" i="11"/>
  <c r="AN45" i="11" s="1"/>
  <c r="AT45" i="11"/>
  <c r="AW45" i="11" s="1"/>
  <c r="BO271" i="11"/>
  <c r="AI271" i="11"/>
  <c r="AH271" i="11"/>
  <c r="AJ271" i="11"/>
  <c r="AQ271" i="11"/>
  <c r="AM126" i="11"/>
  <c r="AP126" i="11" s="1"/>
  <c r="BP126" i="11"/>
  <c r="AK126" i="11"/>
  <c r="AN126" i="11" s="1"/>
  <c r="AL126" i="11"/>
  <c r="AO126" i="11" s="1"/>
  <c r="AT255" i="11"/>
  <c r="AM255" i="11"/>
  <c r="AP255" i="11" s="1"/>
  <c r="AU153" i="11"/>
  <c r="AX153" i="11" s="1"/>
  <c r="AV153" i="11"/>
  <c r="BR153" i="11"/>
  <c r="AL89" i="11"/>
  <c r="BP89" i="11"/>
  <c r="BR274" i="11"/>
  <c r="BP274" i="11"/>
  <c r="AM274" i="11"/>
  <c r="AT86" i="11"/>
  <c r="AW86" i="11" s="1"/>
  <c r="AK86" i="11"/>
  <c r="AN86" i="11" s="1"/>
  <c r="AL6" i="11"/>
  <c r="AO6" i="11" s="1"/>
  <c r="BG6" i="11" s="1"/>
  <c r="AM6" i="11"/>
  <c r="BR6" i="11"/>
  <c r="AM293" i="11"/>
  <c r="AK293" i="11"/>
  <c r="AN293" i="11" s="1"/>
  <c r="AV285" i="11"/>
  <c r="BP285" i="11"/>
  <c r="BR285" i="11"/>
  <c r="AK285" i="11"/>
  <c r="AN285" i="11" s="1"/>
  <c r="AJ267" i="11"/>
  <c r="BO267" i="11"/>
  <c r="AH267" i="11"/>
  <c r="AQ259" i="11"/>
  <c r="AJ259" i="11"/>
  <c r="AI259" i="11"/>
  <c r="AH259" i="11"/>
  <c r="AS259" i="11"/>
  <c r="BO259" i="11"/>
  <c r="AK245" i="11"/>
  <c r="AN245" i="11" s="1"/>
  <c r="BP245" i="11"/>
  <c r="AM245" i="11"/>
  <c r="AP245" i="11" s="1"/>
  <c r="BO277" i="11"/>
  <c r="AQ277" i="11"/>
  <c r="AZ277" i="11" s="1"/>
  <c r="AI277" i="11"/>
  <c r="AT219" i="11"/>
  <c r="AW219" i="11" s="1"/>
  <c r="AM219" i="11"/>
  <c r="AP219" i="11" s="1"/>
  <c r="AL219" i="11"/>
  <c r="AO219" i="11" s="1"/>
  <c r="AL59" i="11"/>
  <c r="AO59" i="11" s="1"/>
  <c r="AH47" i="11"/>
  <c r="AL285" i="11"/>
  <c r="AJ277" i="11"/>
  <c r="AL23" i="11"/>
  <c r="AM123" i="11"/>
  <c r="AV86" i="11"/>
  <c r="AY86" i="11" s="1"/>
  <c r="AM270" i="11"/>
  <c r="AP270" i="11" s="1"/>
  <c r="AV217" i="11"/>
  <c r="AY217" i="11" s="1"/>
  <c r="AI267" i="11"/>
  <c r="AV274" i="11"/>
  <c r="AY274" i="11" s="1"/>
  <c r="BQ123" i="11"/>
  <c r="AR123" i="11"/>
  <c r="AS123" i="11"/>
  <c r="BR271" i="11"/>
  <c r="AV271" i="11"/>
  <c r="AU271" i="11"/>
  <c r="AV6" i="11"/>
  <c r="AY6" i="11" s="1"/>
  <c r="AU119" i="11"/>
  <c r="AX119" i="11" s="1"/>
  <c r="BR119" i="11"/>
  <c r="BQ143" i="11"/>
  <c r="BS143" i="11" s="1"/>
  <c r="AR143" i="11"/>
  <c r="BQ259" i="11"/>
  <c r="AR259" i="11"/>
  <c r="AM77" i="11"/>
  <c r="BP77" i="11"/>
  <c r="AM52" i="11"/>
  <c r="AP52" i="11" s="1"/>
  <c r="AV52" i="11"/>
  <c r="BR52" i="11"/>
  <c r="AI62" i="11"/>
  <c r="BA62" i="11" s="1"/>
  <c r="AH62" i="11"/>
  <c r="AZ62" i="11" s="1"/>
  <c r="AJ168" i="11"/>
  <c r="AH168" i="11"/>
  <c r="BO168" i="11"/>
  <c r="AL154" i="11"/>
  <c r="AO154" i="11" s="1"/>
  <c r="AM154" i="11"/>
  <c r="AP154" i="11" s="1"/>
  <c r="AT154" i="11"/>
  <c r="AJ214" i="11"/>
  <c r="AH214" i="11"/>
  <c r="AM298" i="11"/>
  <c r="AP298" i="11" s="1"/>
  <c r="AV298" i="11"/>
  <c r="AT298" i="11"/>
  <c r="AW298" i="11" s="1"/>
  <c r="AK298" i="11"/>
  <c r="AN298" i="11" s="1"/>
  <c r="AL298" i="11"/>
  <c r="AO298" i="11" s="1"/>
  <c r="AL149" i="11"/>
  <c r="AO149" i="11" s="1"/>
  <c r="AT149" i="11"/>
  <c r="AW149" i="11" s="1"/>
  <c r="AV32" i="11"/>
  <c r="AY32" i="11" s="1"/>
  <c r="AM32" i="11"/>
  <c r="AP32" i="11" s="1"/>
  <c r="BR32" i="11"/>
  <c r="AL32" i="11"/>
  <c r="AL231" i="11"/>
  <c r="BP231" i="11"/>
  <c r="AV231" i="11"/>
  <c r="AY231" i="11" s="1"/>
  <c r="AM231" i="11"/>
  <c r="AP231" i="11" s="1"/>
  <c r="BQ242" i="11"/>
  <c r="AR242" i="11"/>
  <c r="AV293" i="11"/>
  <c r="AY293" i="11" s="1"/>
  <c r="Z191" i="11"/>
  <c r="BO191" i="11"/>
  <c r="BP69" i="11"/>
  <c r="AK69" i="11"/>
  <c r="AN69" i="11" s="1"/>
  <c r="BP219" i="11"/>
  <c r="AH291" i="11"/>
  <c r="AT32" i="11"/>
  <c r="AW32" i="11" s="1"/>
  <c r="AI75" i="11"/>
  <c r="AK219" i="11"/>
  <c r="AT161" i="11"/>
  <c r="AW161" i="11" s="1"/>
  <c r="AL146" i="11"/>
  <c r="AO146" i="11" s="1"/>
  <c r="AM146" i="11"/>
  <c r="AP146" i="11" s="1"/>
  <c r="AU146" i="11"/>
  <c r="AX146" i="11" s="1"/>
  <c r="AL62" i="11"/>
  <c r="AO62" i="11" s="1"/>
  <c r="AK62" i="11"/>
  <c r="AH89" i="11"/>
  <c r="AJ89" i="11"/>
  <c r="BO89" i="11"/>
  <c r="AQ89" i="11"/>
  <c r="AZ133" i="11"/>
  <c r="AK52" i="11"/>
  <c r="AN52" i="11" s="1"/>
  <c r="AL52" i="11"/>
  <c r="AI195" i="11"/>
  <c r="BO195" i="11"/>
  <c r="AQ195" i="11"/>
  <c r="AZ195" i="11" s="1"/>
  <c r="AJ195" i="11"/>
  <c r="AM160" i="11"/>
  <c r="AK160" i="11"/>
  <c r="AN160" i="11" s="1"/>
  <c r="AQ267" i="11"/>
  <c r="AL300" i="11"/>
  <c r="AO300" i="11" s="1"/>
  <c r="AM300" i="11"/>
  <c r="AP300" i="11" s="1"/>
  <c r="BP300" i="11"/>
  <c r="AT300" i="11"/>
  <c r="AK302" i="11"/>
  <c r="AN302" i="11" s="1"/>
  <c r="AT302" i="11"/>
  <c r="AW302" i="11" s="1"/>
  <c r="AL302" i="11"/>
  <c r="AO302" i="11" s="1"/>
  <c r="BP302" i="11"/>
  <c r="AM302" i="11"/>
  <c r="AP302" i="11" s="1"/>
  <c r="AK231" i="11"/>
  <c r="AJ166" i="11"/>
  <c r="AR166" i="11"/>
  <c r="AI166" i="11"/>
  <c r="AH166" i="11"/>
  <c r="AZ166" i="11" s="1"/>
  <c r="BO166" i="11"/>
  <c r="BQ286" i="11"/>
  <c r="AI286" i="11"/>
  <c r="AJ286" i="11"/>
  <c r="BO286" i="11"/>
  <c r="AQ286" i="11"/>
  <c r="BR190" i="11"/>
  <c r="AV65" i="11"/>
  <c r="AY65" i="11" s="1"/>
  <c r="AR225" i="11"/>
  <c r="BO18" i="11"/>
  <c r="AS89" i="11"/>
  <c r="AU131" i="11"/>
  <c r="AX131" i="11" s="1"/>
  <c r="AU31" i="11"/>
  <c r="AX31" i="11" s="1"/>
  <c r="BB303" i="11"/>
  <c r="BQ108" i="11"/>
  <c r="AM149" i="11"/>
  <c r="AU86" i="11"/>
  <c r="AX86" i="11" s="1"/>
  <c r="BR254" i="11"/>
  <c r="AV270" i="11"/>
  <c r="AY270" i="11" s="1"/>
  <c r="AK95" i="11"/>
  <c r="AN95" i="11" s="1"/>
  <c r="AT49" i="11"/>
  <c r="AW49" i="11" s="1"/>
  <c r="AK170" i="11"/>
  <c r="AN170" i="11" s="1"/>
  <c r="AM206" i="11"/>
  <c r="AP206" i="11" s="1"/>
  <c r="AR44" i="11"/>
  <c r="AZ223" i="11"/>
  <c r="AU268" i="11"/>
  <c r="AX268" i="11" s="1"/>
  <c r="AL190" i="11"/>
  <c r="BR39" i="11"/>
  <c r="AZ175" i="11"/>
  <c r="AR183" i="11"/>
  <c r="AH101" i="11"/>
  <c r="AV8" i="11"/>
  <c r="AY8" i="11" s="1"/>
  <c r="AU51" i="11"/>
  <c r="AX51" i="11" s="1"/>
  <c r="AR99" i="11"/>
  <c r="AU115" i="11"/>
  <c r="AX115" i="11" s="1"/>
  <c r="AV23" i="11"/>
  <c r="AY23" i="11" s="1"/>
  <c r="AQ20" i="11"/>
  <c r="BR16" i="11"/>
  <c r="AS286" i="11"/>
  <c r="AV126" i="11"/>
  <c r="AY126" i="11" s="1"/>
  <c r="BP83" i="11"/>
  <c r="AR41" i="11"/>
  <c r="BQ49" i="11"/>
  <c r="AU237" i="11"/>
  <c r="AX237" i="11" s="1"/>
  <c r="AJ241" i="11"/>
  <c r="BQ130" i="11"/>
  <c r="AV62" i="11"/>
  <c r="AY62" i="11" s="1"/>
  <c r="AV245" i="11"/>
  <c r="AY245" i="11" s="1"/>
  <c r="AI92" i="11"/>
  <c r="BP85" i="11"/>
  <c r="AI77" i="11"/>
  <c r="AR10" i="11"/>
  <c r="BR154" i="11"/>
  <c r="AR170" i="11"/>
  <c r="AR270" i="11"/>
  <c r="AK259" i="11"/>
  <c r="AN259" i="11" s="1"/>
  <c r="AL259" i="11"/>
  <c r="AV259" i="11"/>
  <c r="AT252" i="11"/>
  <c r="AW252" i="11" s="1"/>
  <c r="AT226" i="11"/>
  <c r="AR43" i="11"/>
  <c r="AV197" i="11"/>
  <c r="AY197" i="11" s="1"/>
  <c r="AK41" i="11"/>
  <c r="AN41" i="11" s="1"/>
  <c r="BR44" i="11"/>
  <c r="AV289" i="11"/>
  <c r="AY289" i="11" s="1"/>
  <c r="AV150" i="11"/>
  <c r="AM161" i="11"/>
  <c r="AP161" i="11" s="1"/>
  <c r="AQ70" i="11"/>
  <c r="AJ220" i="11"/>
  <c r="AV218" i="11"/>
  <c r="AY218" i="11" s="1"/>
  <c r="BR210" i="11"/>
  <c r="AH206" i="11"/>
  <c r="AK150" i="11"/>
  <c r="BR142" i="11"/>
  <c r="AI285" i="11"/>
  <c r="AU122" i="11"/>
  <c r="AX122" i="11" s="1"/>
  <c r="BO144" i="11"/>
  <c r="BP144" i="11"/>
  <c r="AL91" i="11"/>
  <c r="AO91" i="11" s="1"/>
  <c r="AM91" i="11"/>
  <c r="AP91" i="11" s="1"/>
  <c r="Z177" i="11"/>
  <c r="AH5" i="11"/>
  <c r="AJ5" i="11"/>
  <c r="AI5" i="11"/>
  <c r="AQ5" i="11"/>
  <c r="AT239" i="11"/>
  <c r="AW239" i="11" s="1"/>
  <c r="AV239" i="11"/>
  <c r="AY239" i="11" s="1"/>
  <c r="AM244" i="11"/>
  <c r="AP244" i="11" s="1"/>
  <c r="BP244" i="11"/>
  <c r="AM222" i="11"/>
  <c r="BP222" i="11"/>
  <c r="AQ76" i="11"/>
  <c r="AH159" i="11"/>
  <c r="AT209" i="11"/>
  <c r="AW209" i="11" s="1"/>
  <c r="AL169" i="11"/>
  <c r="AO169" i="11" s="1"/>
  <c r="AU222" i="11"/>
  <c r="AX222" i="11" s="1"/>
  <c r="AQ72" i="11"/>
  <c r="AL69" i="11"/>
  <c r="AO69" i="11" s="1"/>
  <c r="AK68" i="11"/>
  <c r="AT83" i="11"/>
  <c r="AW83" i="11" s="1"/>
  <c r="BR170" i="11"/>
  <c r="AV25" i="11"/>
  <c r="AY25" i="11" s="1"/>
  <c r="AT48" i="11"/>
  <c r="AW48" i="11" s="1"/>
  <c r="BP43" i="11"/>
  <c r="AU269" i="11"/>
  <c r="AX269" i="11" s="1"/>
  <c r="AK222" i="11"/>
  <c r="AN222" i="11" s="1"/>
  <c r="BR239" i="11"/>
  <c r="AL118" i="11"/>
  <c r="AO118" i="11" s="1"/>
  <c r="AR281" i="11"/>
  <c r="BP41" i="11"/>
  <c r="AT44" i="11"/>
  <c r="BO289" i="11"/>
  <c r="AQ17" i="11"/>
  <c r="BR286" i="11"/>
  <c r="AV146" i="11"/>
  <c r="AK24" i="11"/>
  <c r="AN24" i="11" s="1"/>
  <c r="AV261" i="11"/>
  <c r="AV71" i="11"/>
  <c r="AY71" i="11" s="1"/>
  <c r="AM269" i="11"/>
  <c r="AP269" i="11" s="1"/>
  <c r="BP238" i="11"/>
  <c r="AL228" i="11"/>
  <c r="AO228" i="11" s="1"/>
  <c r="BP226" i="11"/>
  <c r="BO220" i="11"/>
  <c r="BR169" i="11"/>
  <c r="AR93" i="11"/>
  <c r="AV228" i="11"/>
  <c r="AY228" i="11" s="1"/>
  <c r="AR149" i="11"/>
  <c r="AV51" i="11"/>
  <c r="AY51" i="11" s="1"/>
  <c r="AQ149" i="11"/>
  <c r="AH150" i="11"/>
  <c r="AU154" i="11"/>
  <c r="AX154" i="11" s="1"/>
  <c r="BR126" i="11"/>
  <c r="AH249" i="11"/>
  <c r="BQ43" i="11"/>
  <c r="AU90" i="11"/>
  <c r="AX90" i="11" s="1"/>
  <c r="BO142" i="11"/>
  <c r="AI238" i="11"/>
  <c r="AT169" i="11"/>
  <c r="AW169" i="11" s="1"/>
  <c r="BO99" i="11"/>
  <c r="AI205" i="11"/>
  <c r="AI206" i="11"/>
  <c r="AV267" i="11"/>
  <c r="AY267" i="11" s="1"/>
  <c r="AI91" i="11"/>
  <c r="AM57" i="11"/>
  <c r="AP57" i="11" s="1"/>
  <c r="AK57" i="11"/>
  <c r="AN57" i="11" s="1"/>
  <c r="AM252" i="11"/>
  <c r="AP252" i="11" s="1"/>
  <c r="AU126" i="11"/>
  <c r="AX126" i="11" s="1"/>
  <c r="BP99" i="11"/>
  <c r="AL99" i="11"/>
  <c r="AO99" i="11" s="1"/>
  <c r="AR24" i="11"/>
  <c r="AJ24" i="11"/>
  <c r="AS174" i="11"/>
  <c r="BQ78" i="11"/>
  <c r="AS78" i="11"/>
  <c r="BO252" i="11"/>
  <c r="Z265" i="11"/>
  <c r="BP265" i="11"/>
  <c r="BO265" i="11"/>
  <c r="BS265" i="11" s="1"/>
  <c r="BO31" i="11"/>
  <c r="AQ31" i="11"/>
  <c r="BO281" i="11"/>
  <c r="AM176" i="11"/>
  <c r="AM103" i="11"/>
  <c r="AK103" i="11"/>
  <c r="Z57" i="11"/>
  <c r="BO57" i="11"/>
  <c r="AJ169" i="11"/>
  <c r="BB169" i="11" s="1"/>
  <c r="AR169" i="11"/>
  <c r="AJ292" i="11"/>
  <c r="AI292" i="11"/>
  <c r="AK256" i="11"/>
  <c r="AN256" i="11" s="1"/>
  <c r="AM256" i="11"/>
  <c r="AP256" i="11" s="1"/>
  <c r="AT256" i="11"/>
  <c r="AW256" i="11" s="1"/>
  <c r="AQ248" i="11"/>
  <c r="BO248" i="11"/>
  <c r="AI248" i="11"/>
  <c r="BR203" i="11"/>
  <c r="AU203" i="11"/>
  <c r="AK131" i="11"/>
  <c r="BR131" i="11"/>
  <c r="AS243" i="11"/>
  <c r="BQ243" i="11"/>
  <c r="AV206" i="11"/>
  <c r="AY206" i="11" s="1"/>
  <c r="AT206" i="11"/>
  <c r="AW206" i="11" s="1"/>
  <c r="BQ230" i="11"/>
  <c r="AR230" i="11"/>
  <c r="BA230" i="11" s="1"/>
  <c r="AJ144" i="11"/>
  <c r="AI144" i="11"/>
  <c r="AQ144" i="11"/>
  <c r="AH43" i="11"/>
  <c r="AZ43" i="11" s="1"/>
  <c r="BO43" i="11"/>
  <c r="AI43" i="11"/>
  <c r="AQ112" i="11"/>
  <c r="BO112" i="11"/>
  <c r="AJ285" i="11"/>
  <c r="BO285" i="11"/>
  <c r="AQ285" i="11"/>
  <c r="AM267" i="11"/>
  <c r="AS159" i="11"/>
  <c r="AK146" i="11"/>
  <c r="AN146" i="11" s="1"/>
  <c r="AH201" i="11"/>
  <c r="AT217" i="11"/>
  <c r="AW217" i="11" s="1"/>
  <c r="AV170" i="11"/>
  <c r="AM41" i="11"/>
  <c r="AP41" i="11" s="1"/>
  <c r="AL44" i="11"/>
  <c r="AO44" i="11" s="1"/>
  <c r="BR150" i="11"/>
  <c r="AJ112" i="11"/>
  <c r="AH293" i="11"/>
  <c r="BO238" i="11"/>
  <c r="AL226" i="11"/>
  <c r="AT170" i="11"/>
  <c r="AW170" i="11" s="1"/>
  <c r="AI70" i="11"/>
  <c r="AH220" i="11"/>
  <c r="AZ220" i="11" s="1"/>
  <c r="AT35" i="11"/>
  <c r="AW35" i="11" s="1"/>
  <c r="BP259" i="11"/>
  <c r="AT228" i="11"/>
  <c r="AW228" i="11" s="1"/>
  <c r="AI220" i="11"/>
  <c r="AS230" i="11"/>
  <c r="AS94" i="11"/>
  <c r="BQ94" i="11"/>
  <c r="AS110" i="11"/>
  <c r="BB110" i="11" s="1"/>
  <c r="AR110" i="11"/>
  <c r="AS150" i="11"/>
  <c r="BQ150" i="11"/>
  <c r="BQ202" i="11"/>
  <c r="AS202" i="11"/>
  <c r="BQ214" i="11"/>
  <c r="AS214" i="11"/>
  <c r="AT221" i="11"/>
  <c r="AW221" i="11" s="1"/>
  <c r="AV221" i="11"/>
  <c r="AY221" i="11" s="1"/>
  <c r="AL221" i="11"/>
  <c r="AM221" i="11"/>
  <c r="AP221" i="11" s="1"/>
  <c r="AJ146" i="11"/>
  <c r="BB146" i="11" s="1"/>
  <c r="AI146" i="11"/>
  <c r="AQ44" i="11"/>
  <c r="AI44" i="11"/>
  <c r="AM229" i="11"/>
  <c r="AP229" i="11" s="1"/>
  <c r="AL229" i="11"/>
  <c r="AO229" i="11" s="1"/>
  <c r="AJ122" i="11"/>
  <c r="BO122" i="11"/>
  <c r="AM237" i="11"/>
  <c r="AT237" i="11"/>
  <c r="AW237" i="11" s="1"/>
  <c r="AH97" i="11"/>
  <c r="AJ97" i="11"/>
  <c r="AJ68" i="11"/>
  <c r="BO68" i="11"/>
  <c r="AK261" i="11"/>
  <c r="AN261" i="11" s="1"/>
  <c r="AT71" i="11"/>
  <c r="AW71" i="11" s="1"/>
  <c r="AT269" i="11"/>
  <c r="AW269" i="11" s="1"/>
  <c r="AK18" i="11"/>
  <c r="AN18" i="11" s="1"/>
  <c r="AQ122" i="11"/>
  <c r="AQ201" i="11"/>
  <c r="AK221" i="11"/>
  <c r="AN221" i="11" s="1"/>
  <c r="BF221" i="11" s="1"/>
  <c r="AT229" i="11"/>
  <c r="AW229" i="11" s="1"/>
  <c r="AR205" i="11"/>
  <c r="BR233" i="11"/>
  <c r="AK210" i="11"/>
  <c r="AN210" i="11" s="1"/>
  <c r="AQ91" i="11"/>
  <c r="BR237" i="11"/>
  <c r="AV97" i="11"/>
  <c r="AY97" i="11" s="1"/>
  <c r="AR94" i="11"/>
  <c r="AU62" i="11"/>
  <c r="AX62" i="11" s="1"/>
  <c r="AM69" i="11"/>
  <c r="BP13" i="11"/>
  <c r="AU44" i="11"/>
  <c r="AX44" i="11" s="1"/>
  <c r="AI76" i="11"/>
  <c r="AJ128" i="11"/>
  <c r="AL150" i="11"/>
  <c r="AO150" i="11" s="1"/>
  <c r="AQ293" i="11"/>
  <c r="AM226" i="11"/>
  <c r="AM209" i="11"/>
  <c r="AP209" i="11" s="1"/>
  <c r="BO201" i="11"/>
  <c r="AI193" i="11"/>
  <c r="BA193" i="11" s="1"/>
  <c r="AJ174" i="11"/>
  <c r="AJ161" i="11"/>
  <c r="BP18" i="11"/>
  <c r="AM210" i="11"/>
  <c r="AP210" i="11" s="1"/>
  <c r="AU166" i="11"/>
  <c r="BR81" i="11"/>
  <c r="AM242" i="11"/>
  <c r="AP242" i="11" s="1"/>
  <c r="BR242" i="11"/>
  <c r="AU216" i="11"/>
  <c r="AT30" i="11"/>
  <c r="AW30" i="11" s="1"/>
  <c r="AQ128" i="11"/>
  <c r="AH76" i="11"/>
  <c r="AQ63" i="11"/>
  <c r="AS241" i="11"/>
  <c r="AT176" i="11"/>
  <c r="AW176" i="11" s="1"/>
  <c r="AQ159" i="11"/>
  <c r="AZ110" i="11"/>
  <c r="AT146" i="11"/>
  <c r="AH174" i="11"/>
  <c r="AK217" i="11"/>
  <c r="AN217" i="11" s="1"/>
  <c r="AU169" i="11"/>
  <c r="AX169" i="11" s="1"/>
  <c r="AL138" i="11"/>
  <c r="BR122" i="11"/>
  <c r="AT210" i="11"/>
  <c r="AW210" i="11" s="1"/>
  <c r="AT24" i="11"/>
  <c r="AW24" i="11" s="1"/>
  <c r="AK72" i="11"/>
  <c r="AN72" i="11" s="1"/>
  <c r="AK46" i="11"/>
  <c r="AN46" i="11" s="1"/>
  <c r="AT68" i="11"/>
  <c r="AW68" i="11" s="1"/>
  <c r="AK91" i="11"/>
  <c r="AN91" i="11" s="1"/>
  <c r="AU170" i="11"/>
  <c r="AX170" i="11" s="1"/>
  <c r="AK237" i="11"/>
  <c r="AN237" i="11" s="1"/>
  <c r="AK48" i="11"/>
  <c r="AN48" i="11" s="1"/>
  <c r="AV43" i="11"/>
  <c r="AY43" i="11" s="1"/>
  <c r="AL43" i="11"/>
  <c r="AO43" i="11" s="1"/>
  <c r="BR217" i="11"/>
  <c r="AT222" i="11"/>
  <c r="AW222" i="11" s="1"/>
  <c r="BR97" i="11"/>
  <c r="AL239" i="11"/>
  <c r="AH281" i="11"/>
  <c r="AT69" i="11"/>
  <c r="AW69" i="11" s="1"/>
  <c r="AU257" i="11"/>
  <c r="AJ289" i="11"/>
  <c r="AJ159" i="11"/>
  <c r="AJ150" i="11"/>
  <c r="AL24" i="11"/>
  <c r="AR214" i="11"/>
  <c r="BR146" i="11"/>
  <c r="AU71" i="11"/>
  <c r="AX71" i="11" s="1"/>
  <c r="BP159" i="11"/>
  <c r="AV179" i="11"/>
  <c r="AY179" i="11" s="1"/>
  <c r="AI251" i="11"/>
  <c r="BP257" i="11"/>
  <c r="BO212" i="11"/>
  <c r="BS212" i="11" s="1"/>
  <c r="BR199" i="11"/>
  <c r="BR193" i="11"/>
  <c r="AV18" i="11"/>
  <c r="AR234" i="11"/>
  <c r="AM162" i="11"/>
  <c r="AP162" i="11" s="1"/>
  <c r="BP242" i="11"/>
  <c r="BR13" i="11"/>
  <c r="AV69" i="11"/>
  <c r="AY69" i="11" s="1"/>
  <c r="AU209" i="11"/>
  <c r="AK267" i="11"/>
  <c r="AQ249" i="11"/>
  <c r="AH144" i="11"/>
  <c r="BR238" i="11"/>
  <c r="BP221" i="11"/>
  <c r="BP252" i="11"/>
  <c r="BP68" i="11"/>
  <c r="AL35" i="11"/>
  <c r="AO35" i="11" s="1"/>
  <c r="AU35" i="11"/>
  <c r="AX35" i="11" s="1"/>
  <c r="BQ110" i="11"/>
  <c r="AV238" i="11"/>
  <c r="BP237" i="11"/>
  <c r="AV154" i="11"/>
  <c r="BQ183" i="11"/>
  <c r="AS183" i="11"/>
  <c r="BQ255" i="11"/>
  <c r="AR255" i="11"/>
  <c r="AM169" i="11"/>
  <c r="AP169" i="11" s="1"/>
  <c r="AM35" i="11"/>
  <c r="AP35" i="11" s="1"/>
  <c r="AJ43" i="11"/>
  <c r="BB43" i="11" s="1"/>
  <c r="BQ262" i="11"/>
  <c r="AJ31" i="11"/>
  <c r="AL244" i="11"/>
  <c r="AO244" i="11" s="1"/>
  <c r="AJ206" i="11"/>
  <c r="AM240" i="11"/>
  <c r="AP240" i="11" s="1"/>
  <c r="AH20" i="11"/>
  <c r="AM31" i="11"/>
  <c r="AP31" i="11" s="1"/>
  <c r="AT31" i="11"/>
  <c r="BP31" i="11"/>
  <c r="AL31" i="11"/>
  <c r="AK43" i="11"/>
  <c r="AN43" i="11" s="1"/>
  <c r="AM43" i="11"/>
  <c r="AP43" i="11" s="1"/>
  <c r="AH33" i="11"/>
  <c r="BQ33" i="11"/>
  <c r="AV82" i="11"/>
  <c r="AY82" i="11" s="1"/>
  <c r="AK82" i="11"/>
  <c r="AN82" i="11" s="1"/>
  <c r="BR82" i="11"/>
  <c r="AM82" i="11"/>
  <c r="BP82" i="11"/>
  <c r="AR31" i="11"/>
  <c r="BR259" i="11"/>
  <c r="BR65" i="11"/>
  <c r="AV254" i="11"/>
  <c r="AY254" i="11" s="1"/>
  <c r="BP191" i="11"/>
  <c r="AU150" i="11"/>
  <c r="AX150" i="11" s="1"/>
  <c r="AU162" i="11"/>
  <c r="AV202" i="11"/>
  <c r="AY202" i="11" s="1"/>
  <c r="AV74" i="11"/>
  <c r="AY74" i="11" s="1"/>
  <c r="AU251" i="11"/>
  <c r="AX251" i="11" s="1"/>
  <c r="BP170" i="11"/>
  <c r="AK7" i="11"/>
  <c r="AN7" i="11" s="1"/>
  <c r="AV41" i="11"/>
  <c r="AM62" i="11"/>
  <c r="AP62" i="11" s="1"/>
  <c r="AQ49" i="11"/>
  <c r="AL170" i="11"/>
  <c r="AO170" i="11" s="1"/>
  <c r="AV11" i="11"/>
  <c r="AY11" i="11" s="1"/>
  <c r="AV99" i="11"/>
  <c r="AV103" i="11"/>
  <c r="AY103" i="11" s="1"/>
  <c r="BQ159" i="11"/>
  <c r="AM68" i="11"/>
  <c r="AP68" i="11" s="1"/>
  <c r="AU63" i="11"/>
  <c r="AX63" i="11" s="1"/>
  <c r="AS34" i="11"/>
  <c r="BR86" i="11"/>
  <c r="BB265" i="11"/>
  <c r="BP73" i="11"/>
  <c r="AM73" i="11"/>
  <c r="AP73" i="11" s="1"/>
  <c r="AH129" i="11"/>
  <c r="AT131" i="11"/>
  <c r="AW131" i="11" s="1"/>
  <c r="AT7" i="11"/>
  <c r="AW7" i="11" s="1"/>
  <c r="AK75" i="11"/>
  <c r="AN75" i="11" s="1"/>
  <c r="BR106" i="11"/>
  <c r="AV229" i="11"/>
  <c r="AY229" i="11" s="1"/>
  <c r="AM115" i="11"/>
  <c r="AP115" i="11" s="1"/>
  <c r="BP95" i="11"/>
  <c r="BR159" i="11"/>
  <c r="AV263" i="11"/>
  <c r="AY263" i="11" s="1"/>
  <c r="BR179" i="11"/>
  <c r="Z85" i="11"/>
  <c r="BO266" i="11"/>
  <c r="AL251" i="11"/>
  <c r="AO251" i="11" s="1"/>
  <c r="AQ132" i="11"/>
  <c r="AI132" i="11"/>
  <c r="AH132" i="11"/>
  <c r="AS237" i="11"/>
  <c r="AT78" i="11"/>
  <c r="AW78" i="11" s="1"/>
  <c r="AH272" i="11"/>
  <c r="AS36" i="11"/>
  <c r="AQ94" i="11"/>
  <c r="AZ94" i="11" s="1"/>
  <c r="AH126" i="11"/>
  <c r="AT275" i="11"/>
  <c r="AW275" i="11" s="1"/>
  <c r="AT18" i="11"/>
  <c r="AW18" i="11" s="1"/>
  <c r="BR205" i="11"/>
  <c r="AT51" i="11"/>
  <c r="AW51" i="11" s="1"/>
  <c r="AU69" i="11"/>
  <c r="AX69" i="11" s="1"/>
  <c r="BR62" i="11"/>
  <c r="AH157" i="11"/>
  <c r="AZ157" i="11" s="1"/>
  <c r="AM198" i="11"/>
  <c r="AP198" i="11" s="1"/>
  <c r="AM95" i="11"/>
  <c r="AP95" i="11" s="1"/>
  <c r="AM159" i="11"/>
  <c r="AP159" i="11" s="1"/>
  <c r="BP112" i="11"/>
  <c r="AV33" i="11"/>
  <c r="AY33" i="11" s="1"/>
  <c r="BR73" i="11"/>
  <c r="AM236" i="11"/>
  <c r="AI140" i="11"/>
  <c r="AU183" i="11"/>
  <c r="AK249" i="11"/>
  <c r="AN249" i="11" s="1"/>
  <c r="AU49" i="11"/>
  <c r="AX49" i="11" s="1"/>
  <c r="AL49" i="11"/>
  <c r="AV183" i="11"/>
  <c r="BR53" i="11"/>
  <c r="BO20" i="11"/>
  <c r="AJ11" i="11"/>
  <c r="AI11" i="11"/>
  <c r="AQ11" i="11"/>
  <c r="AT123" i="11"/>
  <c r="AW123" i="11" s="1"/>
  <c r="AL123" i="11"/>
  <c r="AK123" i="11"/>
  <c r="AL15" i="11"/>
  <c r="AO15" i="11" s="1"/>
  <c r="AM15" i="11"/>
  <c r="AP15" i="11" s="1"/>
  <c r="BO129" i="11"/>
  <c r="AI124" i="11"/>
  <c r="AU212" i="11"/>
  <c r="BR212" i="11"/>
  <c r="AJ94" i="11"/>
  <c r="Z15" i="11"/>
  <c r="BO15" i="11"/>
  <c r="AS50" i="11"/>
  <c r="BQ50" i="11"/>
  <c r="BR294" i="11"/>
  <c r="AV294" i="11"/>
  <c r="BQ34" i="11"/>
  <c r="AV58" i="11"/>
  <c r="AY58" i="11" s="1"/>
  <c r="AV158" i="11"/>
  <c r="AY158" i="11" s="1"/>
  <c r="AU158" i="11"/>
  <c r="BR158" i="11"/>
  <c r="BQ282" i="11"/>
  <c r="AR282" i="11"/>
  <c r="AV302" i="11"/>
  <c r="BR302" i="11"/>
  <c r="AU294" i="11"/>
  <c r="AX294" i="11" s="1"/>
  <c r="BR49" i="11"/>
  <c r="AT128" i="11"/>
  <c r="AW128" i="11" s="1"/>
  <c r="BR128" i="11"/>
  <c r="AM128" i="11"/>
  <c r="AP128" i="11" s="1"/>
  <c r="AL128" i="11"/>
  <c r="AO128" i="11" s="1"/>
  <c r="AK128" i="11"/>
  <c r="AV128" i="11"/>
  <c r="AY128" i="11" s="1"/>
  <c r="AQ118" i="11"/>
  <c r="BO118" i="11"/>
  <c r="AI118" i="11"/>
  <c r="AJ124" i="11"/>
  <c r="AK161" i="11"/>
  <c r="AN161" i="11" s="1"/>
  <c r="AU161" i="11"/>
  <c r="AX161" i="11" s="1"/>
  <c r="BQ67" i="11"/>
  <c r="AS67" i="11"/>
  <c r="AS147" i="11"/>
  <c r="BQ147" i="11"/>
  <c r="AS291" i="11"/>
  <c r="AR291" i="11"/>
  <c r="AV255" i="11"/>
  <c r="AY255" i="11" s="1"/>
  <c r="AU255" i="11"/>
  <c r="AX255" i="11" s="1"/>
  <c r="Z23" i="11"/>
  <c r="BO23" i="11"/>
  <c r="AM275" i="11"/>
  <c r="BP275" i="11"/>
  <c r="AV275" i="11"/>
  <c r="AY275" i="11" s="1"/>
  <c r="BR275" i="11"/>
  <c r="AK106" i="11"/>
  <c r="AN106" i="11" s="1"/>
  <c r="AM106" i="11"/>
  <c r="AP106" i="11" s="1"/>
  <c r="AH228" i="11"/>
  <c r="AI228" i="11"/>
  <c r="AJ210" i="11"/>
  <c r="AI210" i="11"/>
  <c r="AM201" i="11"/>
  <c r="AP201" i="11" s="1"/>
  <c r="BR201" i="11"/>
  <c r="AV201" i="11"/>
  <c r="AY201" i="11" s="1"/>
  <c r="AM100" i="11"/>
  <c r="AP100" i="11" s="1"/>
  <c r="AT100" i="11"/>
  <c r="AW100" i="11" s="1"/>
  <c r="AJ77" i="11"/>
  <c r="AH77" i="11"/>
  <c r="BO77" i="11"/>
  <c r="AM75" i="11"/>
  <c r="AP75" i="11" s="1"/>
  <c r="BP75" i="11"/>
  <c r="AU75" i="11"/>
  <c r="Z273" i="11"/>
  <c r="BO273" i="11"/>
  <c r="AL260" i="11"/>
  <c r="AO260" i="11" s="1"/>
  <c r="AM260" i="11"/>
  <c r="AP260" i="11" s="1"/>
  <c r="AK251" i="11"/>
  <c r="AN251" i="11" s="1"/>
  <c r="AV251" i="11"/>
  <c r="AY251" i="11" s="1"/>
  <c r="AT251" i="11"/>
  <c r="BO170" i="11"/>
  <c r="Z170" i="11"/>
  <c r="AI71" i="11"/>
  <c r="AH71" i="11"/>
  <c r="AQ71" i="11"/>
  <c r="AM76" i="11"/>
  <c r="BR76" i="11"/>
  <c r="AL76" i="11"/>
  <c r="AO76" i="11" s="1"/>
  <c r="AQ47" i="11"/>
  <c r="AU95" i="11"/>
  <c r="AK275" i="11"/>
  <c r="AN275" i="11" s="1"/>
  <c r="BP23" i="11"/>
  <c r="BO251" i="11"/>
  <c r="BP201" i="11"/>
  <c r="AU33" i="11"/>
  <c r="Z193" i="11"/>
  <c r="BP193" i="11"/>
  <c r="AK100" i="11"/>
  <c r="BP260" i="11"/>
  <c r="BR57" i="11"/>
  <c r="AU57" i="11"/>
  <c r="AU249" i="11"/>
  <c r="AZ45" i="11"/>
  <c r="BR36" i="11"/>
  <c r="BP36" i="11"/>
  <c r="AM98" i="11"/>
  <c r="AL98" i="11"/>
  <c r="AO98" i="11" s="1"/>
  <c r="AJ8" i="11"/>
  <c r="AI8" i="11"/>
  <c r="AH8" i="11"/>
  <c r="AH84" i="11"/>
  <c r="AZ84" i="11" s="1"/>
  <c r="AK115" i="11"/>
  <c r="AN115" i="11" s="1"/>
  <c r="AH226" i="11"/>
  <c r="AI13" i="11"/>
  <c r="AJ13" i="11"/>
  <c r="BO258" i="11"/>
  <c r="AJ258" i="11"/>
  <c r="AQ258" i="11"/>
  <c r="AM254" i="11"/>
  <c r="BP254" i="11"/>
  <c r="AK254" i="11"/>
  <c r="AN254" i="11" s="1"/>
  <c r="AM197" i="11"/>
  <c r="AL197" i="11"/>
  <c r="AJ164" i="11"/>
  <c r="AQ164" i="11"/>
  <c r="AI94" i="11"/>
  <c r="AU301" i="11"/>
  <c r="AX301" i="11" s="1"/>
  <c r="BP76" i="11"/>
  <c r="BP266" i="11"/>
  <c r="AV266" i="11"/>
  <c r="BQ260" i="11"/>
  <c r="AI260" i="11"/>
  <c r="AH260" i="11"/>
  <c r="BO260" i="11"/>
  <c r="AI95" i="11"/>
  <c r="AJ95" i="11"/>
  <c r="Z283" i="11"/>
  <c r="BO283" i="11"/>
  <c r="AS37" i="11"/>
  <c r="BQ37" i="11"/>
  <c r="AS109" i="11"/>
  <c r="BQ109" i="11"/>
  <c r="Z97" i="11"/>
  <c r="BO97" i="11"/>
  <c r="BP97" i="11"/>
  <c r="AL86" i="11"/>
  <c r="BP86" i="11"/>
  <c r="AK85" i="11"/>
  <c r="AN85" i="11" s="1"/>
  <c r="AM85" i="11"/>
  <c r="AP85" i="11" s="1"/>
  <c r="AL85" i="11"/>
  <c r="AO85" i="11" s="1"/>
  <c r="BQ62" i="11"/>
  <c r="AS62" i="11"/>
  <c r="AJ62" i="11"/>
  <c r="AH130" i="11"/>
  <c r="AJ130" i="11"/>
  <c r="AV92" i="11"/>
  <c r="AY92" i="11" s="1"/>
  <c r="AT85" i="11"/>
  <c r="AW85" i="11" s="1"/>
  <c r="AQ260" i="11"/>
  <c r="AH140" i="11"/>
  <c r="AK201" i="11"/>
  <c r="AT65" i="11"/>
  <c r="AW65" i="11" s="1"/>
  <c r="AL78" i="11"/>
  <c r="AK64" i="11"/>
  <c r="AN64" i="11" s="1"/>
  <c r="AT75" i="11"/>
  <c r="AW75" i="11" s="1"/>
  <c r="AH87" i="11"/>
  <c r="BR229" i="11"/>
  <c r="BR98" i="11"/>
  <c r="AU41" i="11"/>
  <c r="AX41" i="11" s="1"/>
  <c r="AU13" i="11"/>
  <c r="AX13" i="11" s="1"/>
  <c r="AL100" i="11"/>
  <c r="AR130" i="11"/>
  <c r="BR77" i="11"/>
  <c r="BR263" i="11"/>
  <c r="AM112" i="11"/>
  <c r="AP112" i="11" s="1"/>
  <c r="BP65" i="11"/>
  <c r="AL161" i="11"/>
  <c r="AO161" i="11" s="1"/>
  <c r="AT266" i="11"/>
  <c r="AW266" i="11" s="1"/>
  <c r="AL201" i="11"/>
  <c r="AO201" i="11" s="1"/>
  <c r="BO157" i="11"/>
  <c r="BR18" i="11"/>
  <c r="AT197" i="11"/>
  <c r="AJ139" i="11"/>
  <c r="BP40" i="11"/>
  <c r="BQ140" i="11"/>
  <c r="AH10" i="11"/>
  <c r="AT22" i="11"/>
  <c r="AW22" i="11" s="1"/>
  <c r="AQ12" i="11"/>
  <c r="AH38" i="11"/>
  <c r="AM34" i="11"/>
  <c r="AP34" i="11" s="1"/>
  <c r="AT73" i="11"/>
  <c r="AQ228" i="11"/>
  <c r="AQ36" i="11"/>
  <c r="AS47" i="11"/>
  <c r="AQ88" i="11"/>
  <c r="AK15" i="11"/>
  <c r="AN15" i="11" s="1"/>
  <c r="AL192" i="11"/>
  <c r="AK260" i="11"/>
  <c r="AK58" i="11"/>
  <c r="AN58" i="11" s="1"/>
  <c r="AK65" i="11"/>
  <c r="AN65" i="11" s="1"/>
  <c r="AK51" i="11"/>
  <c r="AN51" i="11" s="1"/>
  <c r="AT64" i="11"/>
  <c r="AW64" i="11" s="1"/>
  <c r="AQ87" i="11"/>
  <c r="BR301" i="11"/>
  <c r="AV106" i="11"/>
  <c r="AY106" i="11" s="1"/>
  <c r="BR94" i="11"/>
  <c r="AU98" i="11"/>
  <c r="AX98" i="11" s="1"/>
  <c r="BR41" i="11"/>
  <c r="AJ129" i="11"/>
  <c r="AV115" i="11"/>
  <c r="AV76" i="11"/>
  <c r="AY76" i="11" s="1"/>
  <c r="AV89" i="11"/>
  <c r="AY89" i="11" s="1"/>
  <c r="AR147" i="11"/>
  <c r="AR262" i="11"/>
  <c r="AL36" i="11"/>
  <c r="AO36" i="11" s="1"/>
  <c r="BO140" i="11"/>
  <c r="AK77" i="11"/>
  <c r="AT95" i="11"/>
  <c r="AV159" i="11"/>
  <c r="AY159" i="11" s="1"/>
  <c r="AT159" i="11"/>
  <c r="AW159" i="11" s="1"/>
  <c r="BR202" i="11"/>
  <c r="AV212" i="11"/>
  <c r="AY212" i="11" s="1"/>
  <c r="BP15" i="11"/>
  <c r="AL112" i="11"/>
  <c r="AO112" i="11" s="1"/>
  <c r="AM65" i="11"/>
  <c r="AP65" i="11" s="1"/>
  <c r="AM86" i="11"/>
  <c r="AJ226" i="11"/>
  <c r="AH266" i="11"/>
  <c r="AM251" i="11"/>
  <c r="AP251" i="11" s="1"/>
  <c r="AJ228" i="11"/>
  <c r="AV199" i="11"/>
  <c r="AY199" i="11" s="1"/>
  <c r="BR191" i="11"/>
  <c r="BO9" i="11"/>
  <c r="AL18" i="11"/>
  <c r="AO18" i="11" s="1"/>
  <c r="BR70" i="11"/>
  <c r="AV246" i="11"/>
  <c r="AY246" i="11" s="1"/>
  <c r="AL73" i="11"/>
  <c r="AQ78" i="11"/>
  <c r="AZ78" i="11" s="1"/>
  <c r="AL191" i="11"/>
  <c r="AO191" i="11" s="1"/>
  <c r="AU9" i="11"/>
  <c r="AX9" i="11" s="1"/>
  <c r="AQ129" i="11"/>
  <c r="AQ226" i="11"/>
  <c r="AQ210" i="11"/>
  <c r="AH164" i="11"/>
  <c r="AZ239" i="11"/>
  <c r="AH95" i="11"/>
  <c r="AL106" i="11"/>
  <c r="AO106" i="11" s="1"/>
  <c r="AT249" i="11"/>
  <c r="AW249" i="11" s="1"/>
  <c r="AV53" i="11"/>
  <c r="AR279" i="11"/>
  <c r="AI266" i="11"/>
  <c r="AK73" i="11"/>
  <c r="AN73" i="11" s="1"/>
  <c r="BO95" i="11"/>
  <c r="AI130" i="11"/>
  <c r="AU128" i="11"/>
  <c r="AH13" i="11"/>
  <c r="AZ13" i="11" s="1"/>
  <c r="BO132" i="11"/>
  <c r="AR39" i="11"/>
  <c r="AR71" i="11"/>
  <c r="BR129" i="11"/>
  <c r="AM129" i="11"/>
  <c r="AP129" i="11" s="1"/>
  <c r="AL83" i="11"/>
  <c r="AM83" i="11"/>
  <c r="AP83" i="11" s="1"/>
  <c r="BP24" i="11"/>
  <c r="AU24" i="11"/>
  <c r="AX24" i="11" s="1"/>
  <c r="BO100" i="11"/>
  <c r="AH100" i="11"/>
  <c r="AI100" i="11"/>
  <c r="AH80" i="11"/>
  <c r="AQ80" i="11"/>
  <c r="AS102" i="11"/>
  <c r="BQ102" i="11"/>
  <c r="AS186" i="11"/>
  <c r="BQ186" i="11"/>
  <c r="AS206" i="11"/>
  <c r="AR206" i="11"/>
  <c r="BQ218" i="11"/>
  <c r="AR218" i="11"/>
  <c r="AR238" i="11"/>
  <c r="BQ238" i="11"/>
  <c r="BQ266" i="11"/>
  <c r="AS266" i="11"/>
  <c r="AR266" i="11"/>
  <c r="AS134" i="11"/>
  <c r="AR134" i="11"/>
  <c r="BR262" i="11"/>
  <c r="AV262" i="11"/>
  <c r="AY262" i="11" s="1"/>
  <c r="AH69" i="11"/>
  <c r="AZ265" i="11"/>
  <c r="AU7" i="11"/>
  <c r="AX7" i="11" s="1"/>
  <c r="BR123" i="11"/>
  <c r="AV191" i="11"/>
  <c r="AY191" i="11" s="1"/>
  <c r="AI65" i="11"/>
  <c r="AM13" i="11"/>
  <c r="AP13" i="11" s="1"/>
  <c r="AS49" i="11"/>
  <c r="AJ58" i="11"/>
  <c r="AU65" i="11"/>
  <c r="BR197" i="11"/>
  <c r="BO193" i="11"/>
  <c r="AH182" i="11"/>
  <c r="AS103" i="11"/>
  <c r="AQ7" i="11"/>
  <c r="AV75" i="11"/>
  <c r="AR160" i="11"/>
  <c r="AJ106" i="11"/>
  <c r="AH96" i="11"/>
  <c r="AS44" i="11"/>
  <c r="BQ44" i="11"/>
  <c r="AH44" i="11"/>
  <c r="BQ116" i="11"/>
  <c r="AS116" i="11"/>
  <c r="AI262" i="11"/>
  <c r="BO262" i="11"/>
  <c r="AQ262" i="11"/>
  <c r="AJ156" i="11"/>
  <c r="BO156" i="11"/>
  <c r="AI35" i="11"/>
  <c r="AS35" i="11"/>
  <c r="AM20" i="11"/>
  <c r="AP20" i="11" s="1"/>
  <c r="AK20" i="11"/>
  <c r="AN20" i="11" s="1"/>
  <c r="AL20" i="11"/>
  <c r="AO20" i="11" s="1"/>
  <c r="AT20" i="11"/>
  <c r="AW20" i="11" s="1"/>
  <c r="BQ294" i="11"/>
  <c r="AR294" i="11"/>
  <c r="BA294" i="11" s="1"/>
  <c r="AQ35" i="11"/>
  <c r="AK247" i="11"/>
  <c r="AN247" i="11" s="1"/>
  <c r="AL173" i="11"/>
  <c r="AL117" i="11"/>
  <c r="AT194" i="11"/>
  <c r="AT247" i="11"/>
  <c r="AW247" i="11" s="1"/>
  <c r="AQ58" i="11"/>
  <c r="AT117" i="11"/>
  <c r="AW117" i="11" s="1"/>
  <c r="AT13" i="11"/>
  <c r="AW13" i="11" s="1"/>
  <c r="AL13" i="11"/>
  <c r="BP129" i="11"/>
  <c r="AT89" i="11"/>
  <c r="AW89" i="11" s="1"/>
  <c r="BR89" i="11"/>
  <c r="BP261" i="11"/>
  <c r="BP161" i="11"/>
  <c r="AU191" i="11"/>
  <c r="AI58" i="11"/>
  <c r="AR210" i="11"/>
  <c r="BR139" i="11"/>
  <c r="AV13" i="11"/>
  <c r="AY13" i="11" s="1"/>
  <c r="AV117" i="11"/>
  <c r="AY117" i="11" s="1"/>
  <c r="AL129" i="11"/>
  <c r="AO129" i="11" s="1"/>
  <c r="AL11" i="11"/>
  <c r="AU11" i="11"/>
  <c r="AX11" i="11" s="1"/>
  <c r="AM101" i="11"/>
  <c r="AP101" i="11" s="1"/>
  <c r="BP101" i="11"/>
  <c r="AL101" i="11"/>
  <c r="AO101" i="11" s="1"/>
  <c r="AV142" i="11"/>
  <c r="AY142" i="11" s="1"/>
  <c r="AL142" i="11"/>
  <c r="AK142" i="11"/>
  <c r="AN142" i="11" s="1"/>
  <c r="AT142" i="11"/>
  <c r="AU291" i="11"/>
  <c r="AX291" i="11" s="1"/>
  <c r="BR243" i="11"/>
  <c r="AU243" i="11"/>
  <c r="AX243" i="11" s="1"/>
  <c r="AH156" i="11"/>
  <c r="AI156" i="11"/>
  <c r="AS5" i="11"/>
  <c r="BQ5" i="11"/>
  <c r="AR5" i="11"/>
  <c r="BR162" i="11"/>
  <c r="AV162" i="11"/>
  <c r="AY162" i="11" s="1"/>
  <c r="BR214" i="11"/>
  <c r="AV214" i="11"/>
  <c r="AU214" i="11"/>
  <c r="AX214" i="11" s="1"/>
  <c r="AJ104" i="11"/>
  <c r="AQ104" i="11"/>
  <c r="AH104" i="11"/>
  <c r="AV94" i="11"/>
  <c r="AY94" i="11" s="1"/>
  <c r="AM94" i="11"/>
  <c r="AP94" i="11" s="1"/>
  <c r="AI104" i="11"/>
  <c r="BA104" i="11" s="1"/>
  <c r="AL291" i="11"/>
  <c r="AO291" i="11" s="1"/>
  <c r="BP291" i="11"/>
  <c r="AM291" i="11"/>
  <c r="AP291" i="11" s="1"/>
  <c r="AQ23" i="11"/>
  <c r="AH23" i="11"/>
  <c r="AS23" i="11"/>
  <c r="AI23" i="11"/>
  <c r="BQ278" i="11"/>
  <c r="AR278" i="11"/>
  <c r="AS278" i="11"/>
  <c r="AR272" i="11"/>
  <c r="AQ156" i="11"/>
  <c r="AQ161" i="11"/>
  <c r="AK89" i="11"/>
  <c r="AN89" i="11" s="1"/>
  <c r="AT94" i="11"/>
  <c r="AW94" i="11" s="1"/>
  <c r="AH58" i="11"/>
  <c r="AT58" i="11"/>
  <c r="AW58" i="11" s="1"/>
  <c r="AH65" i="11"/>
  <c r="AH72" i="11"/>
  <c r="AU220" i="11"/>
  <c r="AX220" i="11" s="1"/>
  <c r="AU297" i="11"/>
  <c r="AX297" i="11" s="1"/>
  <c r="BR115" i="11"/>
  <c r="AM89" i="11"/>
  <c r="AP89" i="11" s="1"/>
  <c r="AK117" i="11"/>
  <c r="AN117" i="11" s="1"/>
  <c r="AJ23" i="11"/>
  <c r="AV77" i="11"/>
  <c r="AY77" i="11" s="1"/>
  <c r="BO65" i="11"/>
  <c r="AV161" i="11"/>
  <c r="BR58" i="11"/>
  <c r="AU139" i="11"/>
  <c r="AZ82" i="11"/>
  <c r="AI184" i="11"/>
  <c r="AQ184" i="11"/>
  <c r="AT36" i="11"/>
  <c r="AW36" i="11" s="1"/>
  <c r="AK36" i="11"/>
  <c r="AN36" i="11" s="1"/>
  <c r="Z183" i="11"/>
  <c r="BP183" i="11"/>
  <c r="AJ262" i="11"/>
  <c r="BB262" i="11" s="1"/>
  <c r="AM258" i="11"/>
  <c r="AL258" i="11"/>
  <c r="BR258" i="11"/>
  <c r="AV258" i="11"/>
  <c r="AY258" i="11" s="1"/>
  <c r="BP211" i="11"/>
  <c r="Z211" i="11"/>
  <c r="BO211" i="11"/>
  <c r="AM164" i="11"/>
  <c r="AP164" i="11" s="1"/>
  <c r="AL164" i="11"/>
  <c r="AK164" i="11"/>
  <c r="AT164" i="11"/>
  <c r="AW164" i="11" s="1"/>
  <c r="BP164" i="11"/>
  <c r="Z103" i="11"/>
  <c r="BO103" i="11"/>
  <c r="AJ75" i="11"/>
  <c r="BO75" i="11"/>
  <c r="BO71" i="11"/>
  <c r="Z71" i="11"/>
  <c r="AR65" i="11"/>
  <c r="AR213" i="11"/>
  <c r="AS213" i="11"/>
  <c r="AQ40" i="11"/>
  <c r="AH262" i="11"/>
  <c r="AS294" i="11"/>
  <c r="BB294" i="11" s="1"/>
  <c r="BP247" i="11"/>
  <c r="AM78" i="11"/>
  <c r="AP78" i="11" s="1"/>
  <c r="AK78" i="11"/>
  <c r="AL94" i="11"/>
  <c r="AO94" i="11" s="1"/>
  <c r="AS59" i="11"/>
  <c r="BB59" i="11" s="1"/>
  <c r="BQ59" i="11"/>
  <c r="AU107" i="11"/>
  <c r="AX107" i="11" s="1"/>
  <c r="BR107" i="11"/>
  <c r="AV155" i="11"/>
  <c r="AY155" i="11" s="1"/>
  <c r="BR155" i="11"/>
  <c r="BQ223" i="11"/>
  <c r="BS223" i="11" s="1"/>
  <c r="AS223" i="11"/>
  <c r="AS251" i="11"/>
  <c r="BQ251" i="11"/>
  <c r="AR251" i="11"/>
  <c r="AS271" i="11"/>
  <c r="AR271" i="11"/>
  <c r="BQ271" i="11"/>
  <c r="BR283" i="11"/>
  <c r="AV283" i="11"/>
  <c r="AY283" i="11" s="1"/>
  <c r="AT291" i="11"/>
  <c r="AW291" i="11" s="1"/>
  <c r="AV87" i="11"/>
  <c r="AU87" i="11"/>
  <c r="AX87" i="11" s="1"/>
  <c r="AR95" i="11"/>
  <c r="BQ95" i="11"/>
  <c r="BQ111" i="11"/>
  <c r="AS111" i="11"/>
  <c r="AU195" i="11"/>
  <c r="AX195" i="11" s="1"/>
  <c r="BR195" i="11"/>
  <c r="AV195" i="11"/>
  <c r="AY195" i="11" s="1"/>
  <c r="AV211" i="11"/>
  <c r="AU211" i="11"/>
  <c r="AX211" i="11" s="1"/>
  <c r="AU219" i="11"/>
  <c r="AX219" i="11" s="1"/>
  <c r="AV219" i="11"/>
  <c r="AY219" i="11" s="1"/>
  <c r="AR247" i="11"/>
  <c r="BQ247" i="11"/>
  <c r="AS247" i="11"/>
  <c r="BR267" i="11"/>
  <c r="AU267" i="11"/>
  <c r="AX267" i="11" s="1"/>
  <c r="BR303" i="11"/>
  <c r="AU303" i="11"/>
  <c r="AX303" i="11" s="1"/>
  <c r="AI87" i="11"/>
  <c r="AJ87" i="11"/>
  <c r="AH121" i="11"/>
  <c r="AJ121" i="11"/>
  <c r="AI121" i="11"/>
  <c r="AQ121" i="11"/>
  <c r="AS118" i="11"/>
  <c r="BQ118" i="11"/>
  <c r="AR118" i="11"/>
  <c r="BQ222" i="11"/>
  <c r="AS222" i="11"/>
  <c r="AR222" i="11"/>
  <c r="BR230" i="11"/>
  <c r="AV230" i="11"/>
  <c r="BR282" i="11"/>
  <c r="AU282" i="11"/>
  <c r="AV129" i="11"/>
  <c r="AY129" i="11" s="1"/>
  <c r="AU145" i="11"/>
  <c r="AZ21" i="11"/>
  <c r="AK35" i="11"/>
  <c r="AR89" i="11"/>
  <c r="AS8" i="11"/>
  <c r="BQ8" i="11"/>
  <c r="AV61" i="11"/>
  <c r="AY61" i="11" s="1"/>
  <c r="AM61" i="11"/>
  <c r="BO294" i="11"/>
  <c r="BP294" i="11"/>
  <c r="Z294" i="11"/>
  <c r="AT236" i="11"/>
  <c r="AW236" i="11" s="1"/>
  <c r="AK236" i="11"/>
  <c r="Z164" i="11"/>
  <c r="BO164" i="11"/>
  <c r="AH99" i="11"/>
  <c r="AJ99" i="11"/>
  <c r="AI99" i="11"/>
  <c r="AL206" i="11"/>
  <c r="BP206" i="11"/>
  <c r="BR206" i="11"/>
  <c r="BQ201" i="11"/>
  <c r="AS201" i="11"/>
  <c r="BO194" i="11"/>
  <c r="Z194" i="11"/>
  <c r="AJ149" i="11"/>
  <c r="BO149" i="11"/>
  <c r="AI258" i="11"/>
  <c r="AJ247" i="11"/>
  <c r="AS70" i="11"/>
  <c r="BQ70" i="11"/>
  <c r="AS122" i="11"/>
  <c r="BQ122" i="11"/>
  <c r="AS270" i="11"/>
  <c r="BQ270" i="11"/>
  <c r="BO16" i="11"/>
  <c r="AL184" i="11"/>
  <c r="AO184" i="11" s="1"/>
  <c r="BP92" i="11"/>
  <c r="AH40" i="11"/>
  <c r="BO35" i="11"/>
  <c r="BQ279" i="11"/>
  <c r="BS279" i="11" s="1"/>
  <c r="BR75" i="11"/>
  <c r="BR11" i="11"/>
  <c r="BR163" i="11"/>
  <c r="BQ23" i="11"/>
  <c r="BQ53" i="11"/>
  <c r="AS53" i="11"/>
  <c r="AI275" i="11"/>
  <c r="AJ275" i="11"/>
  <c r="BO275" i="11"/>
  <c r="BQ106" i="11"/>
  <c r="AS106" i="11"/>
  <c r="AI83" i="11"/>
  <c r="BA83" i="11" s="1"/>
  <c r="AJ83" i="11"/>
  <c r="BO83" i="11"/>
  <c r="AI106" i="11"/>
  <c r="AJ80" i="11"/>
  <c r="BO80" i="11"/>
  <c r="AS22" i="11"/>
  <c r="BQ22" i="11"/>
  <c r="AQ53" i="11"/>
  <c r="AS302" i="11"/>
  <c r="BB302" i="11" s="1"/>
  <c r="BQ302" i="11"/>
  <c r="AI20" i="11"/>
  <c r="BO36" i="11"/>
  <c r="AZ242" i="11"/>
  <c r="AV98" i="11"/>
  <c r="AY98" i="11" s="1"/>
  <c r="BP122" i="11"/>
  <c r="Z122" i="11"/>
  <c r="AI164" i="11"/>
  <c r="AJ20" i="11"/>
  <c r="AS246" i="11"/>
  <c r="BQ246" i="11"/>
  <c r="AL80" i="11"/>
  <c r="AO80" i="11" s="1"/>
  <c r="BP39" i="11"/>
  <c r="Z18" i="11"/>
  <c r="BQ226" i="11"/>
  <c r="AR226" i="11"/>
  <c r="AR98" i="11"/>
  <c r="AV21" i="11"/>
  <c r="AY21" i="11" s="1"/>
  <c r="BR21" i="11"/>
  <c r="AU21" i="11"/>
  <c r="AU45" i="11"/>
  <c r="AX45" i="11" s="1"/>
  <c r="BR45" i="11"/>
  <c r="AU101" i="11"/>
  <c r="AX101" i="11" s="1"/>
  <c r="BR101" i="11"/>
  <c r="AV101" i="11"/>
  <c r="AY101" i="11" s="1"/>
  <c r="AV133" i="11"/>
  <c r="AY133" i="11" s="1"/>
  <c r="AU133" i="11"/>
  <c r="AX133" i="11" s="1"/>
  <c r="AV149" i="11"/>
  <c r="AY149" i="11" s="1"/>
  <c r="AU149" i="11"/>
  <c r="AX149" i="11" s="1"/>
  <c r="BR209" i="11"/>
  <c r="AV209" i="11"/>
  <c r="AY209" i="11" s="1"/>
  <c r="AU241" i="11"/>
  <c r="BR241" i="11"/>
  <c r="AU261" i="11"/>
  <c r="AX261" i="11" s="1"/>
  <c r="BR261" i="11"/>
  <c r="AV277" i="11"/>
  <c r="AY277" i="11" s="1"/>
  <c r="AU277" i="11"/>
  <c r="AX277" i="11" s="1"/>
  <c r="BR277" i="11"/>
  <c r="BR293" i="11"/>
  <c r="AU293" i="11"/>
  <c r="AX293" i="11" s="1"/>
  <c r="AM9" i="11"/>
  <c r="AP9" i="11" s="1"/>
  <c r="BP9" i="11"/>
  <c r="BR9" i="11"/>
  <c r="AK9" i="11"/>
  <c r="AL9" i="11"/>
  <c r="AO9" i="11" s="1"/>
  <c r="AV9" i="11"/>
  <c r="AY9" i="11" s="1"/>
  <c r="Z63" i="11"/>
  <c r="BO63" i="11"/>
  <c r="BS63" i="11" s="1"/>
  <c r="AM47" i="11"/>
  <c r="AP47" i="11" s="1"/>
  <c r="AK47" i="11"/>
  <c r="BR47" i="11"/>
  <c r="AK182" i="11"/>
  <c r="AN182" i="11" s="1"/>
  <c r="AU182" i="11"/>
  <c r="AX182" i="11" s="1"/>
  <c r="BR182" i="11"/>
  <c r="AM39" i="11"/>
  <c r="AP39" i="11" s="1"/>
  <c r="AU39" i="11"/>
  <c r="AX39" i="11" s="1"/>
  <c r="AV39" i="11"/>
  <c r="BR31" i="11"/>
  <c r="AV31" i="11"/>
  <c r="AY31" i="11" s="1"/>
  <c r="AR63" i="11"/>
  <c r="AS63" i="11"/>
  <c r="BR95" i="11"/>
  <c r="AV95" i="11"/>
  <c r="AY95" i="11" s="1"/>
  <c r="BR111" i="11"/>
  <c r="AV111" i="11"/>
  <c r="AS119" i="11"/>
  <c r="BQ119" i="11"/>
  <c r="AS135" i="11"/>
  <c r="BQ135" i="11"/>
  <c r="AR135" i="11"/>
  <c r="BR151" i="11"/>
  <c r="AU151" i="11"/>
  <c r="AX151" i="11" s="1"/>
  <c r="AV151" i="11"/>
  <c r="AY151" i="11" s="1"/>
  <c r="BR167" i="11"/>
  <c r="AV167" i="11"/>
  <c r="BQ195" i="11"/>
  <c r="AR195" i="11"/>
  <c r="AS195" i="11"/>
  <c r="AR203" i="11"/>
  <c r="AS203" i="11"/>
  <c r="AU247" i="11"/>
  <c r="AX247" i="11" s="1"/>
  <c r="BR247" i="11"/>
  <c r="AV247" i="11"/>
  <c r="AY247" i="11" s="1"/>
  <c r="AS267" i="11"/>
  <c r="AR267" i="11"/>
  <c r="BQ267" i="11"/>
  <c r="AS287" i="11"/>
  <c r="BQ287" i="11"/>
  <c r="AR287" i="11"/>
  <c r="AR303" i="11"/>
  <c r="BQ303" i="11"/>
  <c r="BS303" i="11" s="1"/>
  <c r="I303" i="13" s="1"/>
  <c r="AV93" i="11"/>
  <c r="AY93" i="11" s="1"/>
  <c r="AT93" i="11"/>
  <c r="AW93" i="11" s="1"/>
  <c r="AM93" i="11"/>
  <c r="AP93" i="11" s="1"/>
  <c r="AS154" i="11"/>
  <c r="AH154" i="11"/>
  <c r="BQ154" i="11"/>
  <c r="AJ154" i="11"/>
  <c r="AQ154" i="11"/>
  <c r="AI154" i="11"/>
  <c r="AL174" i="11"/>
  <c r="AO174" i="11" s="1"/>
  <c r="BR174" i="11"/>
  <c r="AK174" i="11"/>
  <c r="AN174" i="11" s="1"/>
  <c r="AT174" i="11"/>
  <c r="AW174" i="11" s="1"/>
  <c r="AV174" i="11"/>
  <c r="AY174" i="11" s="1"/>
  <c r="AQ105" i="11"/>
  <c r="AS105" i="11"/>
  <c r="BB105" i="11" s="1"/>
  <c r="AH105" i="11"/>
  <c r="BQ105" i="11"/>
  <c r="BO105" i="11"/>
  <c r="AI105" i="11"/>
  <c r="BA105" i="11" s="1"/>
  <c r="AU27" i="11"/>
  <c r="AX27" i="11" s="1"/>
  <c r="AK27" i="11"/>
  <c r="AN27" i="11" s="1"/>
  <c r="AT27" i="11"/>
  <c r="AW27" i="11" s="1"/>
  <c r="AL27" i="11"/>
  <c r="AO27" i="11" s="1"/>
  <c r="AM27" i="11"/>
  <c r="AP27" i="11" s="1"/>
  <c r="BP27" i="11"/>
  <c r="BO154" i="11"/>
  <c r="AI202" i="11"/>
  <c r="AJ202" i="11"/>
  <c r="AH202" i="11"/>
  <c r="AR202" i="11"/>
  <c r="BR27" i="11"/>
  <c r="AH37" i="11"/>
  <c r="AQ37" i="11"/>
  <c r="AQ202" i="11"/>
  <c r="AZ231" i="11"/>
  <c r="AL84" i="11"/>
  <c r="AO84" i="11" s="1"/>
  <c r="BR297" i="11"/>
  <c r="BR69" i="11"/>
  <c r="AV27" i="11"/>
  <c r="AY27" i="11" s="1"/>
  <c r="AM174" i="11"/>
  <c r="AP174" i="11" s="1"/>
  <c r="BP174" i="11"/>
  <c r="BO202" i="11"/>
  <c r="Z246" i="11"/>
  <c r="BO246" i="11"/>
  <c r="BR40" i="11"/>
  <c r="AK40" i="11"/>
  <c r="AN40" i="11" s="1"/>
  <c r="AM40" i="11"/>
  <c r="AL40" i="11"/>
  <c r="AT40" i="11"/>
  <c r="AW40" i="11" s="1"/>
  <c r="AS57" i="11"/>
  <c r="BB57" i="11" s="1"/>
  <c r="BQ57" i="11"/>
  <c r="AR57" i="11"/>
  <c r="BQ121" i="11"/>
  <c r="AS121" i="11"/>
  <c r="AR121" i="11"/>
  <c r="AS185" i="11"/>
  <c r="BQ185" i="11"/>
  <c r="AS249" i="11"/>
  <c r="BQ249" i="11"/>
  <c r="AR249" i="11"/>
  <c r="BQ269" i="11"/>
  <c r="AS269" i="11"/>
  <c r="AR269" i="11"/>
  <c r="BQ199" i="11"/>
  <c r="AH199" i="11"/>
  <c r="AS199" i="11"/>
  <c r="AJ199" i="11"/>
  <c r="AQ199" i="11"/>
  <c r="BO199" i="11"/>
  <c r="AM194" i="11"/>
  <c r="AP194" i="11" s="1"/>
  <c r="BR194" i="11"/>
  <c r="AV194" i="11"/>
  <c r="AY194" i="11" s="1"/>
  <c r="BP194" i="11"/>
  <c r="AS18" i="11"/>
  <c r="BQ18" i="11"/>
  <c r="AJ18" i="11"/>
  <c r="AH18" i="11"/>
  <c r="AI18" i="11"/>
  <c r="AM56" i="11"/>
  <c r="AP56" i="11" s="1"/>
  <c r="AL56" i="11"/>
  <c r="AO56" i="11" s="1"/>
  <c r="AM84" i="11"/>
  <c r="BR84" i="11"/>
  <c r="AT84" i="11"/>
  <c r="AW84" i="11" s="1"/>
  <c r="BP84" i="11"/>
  <c r="AK84" i="11"/>
  <c r="BO19" i="11"/>
  <c r="BS19" i="11" s="1"/>
  <c r="AA19" i="3" s="1"/>
  <c r="Z19" i="11"/>
  <c r="AQ69" i="11"/>
  <c r="BQ120" i="11"/>
  <c r="AR120" i="11"/>
  <c r="BR232" i="11"/>
  <c r="AV232" i="11"/>
  <c r="AY232" i="11" s="1"/>
  <c r="AK38" i="11"/>
  <c r="AN38" i="11" s="1"/>
  <c r="AT38" i="11"/>
  <c r="AW38" i="11" s="1"/>
  <c r="AL55" i="11"/>
  <c r="AH92" i="11"/>
  <c r="AH64" i="11"/>
  <c r="BP145" i="11"/>
  <c r="AK272" i="11"/>
  <c r="AL272" i="11"/>
  <c r="AO272" i="11" s="1"/>
  <c r="AK165" i="11"/>
  <c r="AN165" i="11" s="1"/>
  <c r="AL165" i="11"/>
  <c r="AO165" i="11" s="1"/>
  <c r="AI98" i="11"/>
  <c r="AV116" i="11"/>
  <c r="AY116" i="11" s="1"/>
  <c r="AL116" i="11"/>
  <c r="AO116" i="11" s="1"/>
  <c r="AU116" i="11"/>
  <c r="AX116" i="11" s="1"/>
  <c r="AK116" i="11"/>
  <c r="AM157" i="11"/>
  <c r="AP157" i="11" s="1"/>
  <c r="BP157" i="11"/>
  <c r="AV157" i="11"/>
  <c r="AY157" i="11" s="1"/>
  <c r="AT157" i="11"/>
  <c r="AW157" i="11" s="1"/>
  <c r="AU46" i="11"/>
  <c r="AX46" i="11" s="1"/>
  <c r="AV46" i="11"/>
  <c r="AY46" i="11" s="1"/>
  <c r="AT46" i="11"/>
  <c r="AW46" i="11" s="1"/>
  <c r="AL46" i="11"/>
  <c r="BR46" i="11"/>
  <c r="AK8" i="11"/>
  <c r="AL8" i="11"/>
  <c r="AO8" i="11" s="1"/>
  <c r="AM8" i="11"/>
  <c r="BR8" i="11"/>
  <c r="AT8" i="11"/>
  <c r="AW8" i="11" s="1"/>
  <c r="AU8" i="11"/>
  <c r="AX8" i="11" s="1"/>
  <c r="BP7" i="11"/>
  <c r="AM7" i="11"/>
  <c r="AP7" i="11" s="1"/>
  <c r="AL7" i="11"/>
  <c r="BR7" i="11"/>
  <c r="AV7" i="11"/>
  <c r="AY7" i="11" s="1"/>
  <c r="AR27" i="11"/>
  <c r="BQ27" i="11"/>
  <c r="AS27" i="11"/>
  <c r="BR35" i="11"/>
  <c r="AV35" i="11"/>
  <c r="AS51" i="11"/>
  <c r="BQ51" i="11"/>
  <c r="AS75" i="11"/>
  <c r="BQ75" i="11"/>
  <c r="AR75" i="11"/>
  <c r="BR99" i="11"/>
  <c r="AU99" i="11"/>
  <c r="AX99" i="11" s="1"/>
  <c r="BQ115" i="11"/>
  <c r="AS115" i="11"/>
  <c r="BB115" i="11" s="1"/>
  <c r="BR147" i="11"/>
  <c r="AU147" i="11"/>
  <c r="AV147" i="11"/>
  <c r="AS179" i="11"/>
  <c r="BQ179" i="11"/>
  <c r="AR179" i="11"/>
  <c r="AR263" i="11"/>
  <c r="AS263" i="11"/>
  <c r="AV291" i="11"/>
  <c r="AY291" i="11" s="1"/>
  <c r="BR291" i="11"/>
  <c r="BQ239" i="11"/>
  <c r="AS239" i="11"/>
  <c r="BB239" i="11" s="1"/>
  <c r="AR239" i="11"/>
  <c r="AK59" i="11"/>
  <c r="AN59" i="11" s="1"/>
  <c r="AM63" i="11"/>
  <c r="AP63" i="11" s="1"/>
  <c r="AR17" i="11"/>
  <c r="BR161" i="11"/>
  <c r="AV205" i="11"/>
  <c r="BO39" i="11"/>
  <c r="AR182" i="11"/>
  <c r="AI93" i="11"/>
  <c r="BO116" i="11"/>
  <c r="BA265" i="11"/>
  <c r="BQ298" i="11"/>
  <c r="AS298" i="11"/>
  <c r="BB298" i="11" s="1"/>
  <c r="AS77" i="11"/>
  <c r="BQ77" i="11"/>
  <c r="AV281" i="11"/>
  <c r="BR281" i="11"/>
  <c r="AS141" i="11"/>
  <c r="BQ141" i="11"/>
  <c r="AI157" i="11"/>
  <c r="AJ157" i="11"/>
  <c r="AH81" i="11"/>
  <c r="AQ81" i="11"/>
  <c r="AU121" i="11"/>
  <c r="BQ84" i="11"/>
  <c r="AS84" i="11"/>
  <c r="AJ84" i="11"/>
  <c r="BO84" i="11"/>
  <c r="BQ30" i="11"/>
  <c r="AS30" i="11"/>
  <c r="AM202" i="11"/>
  <c r="BP202" i="11"/>
  <c r="AM142" i="11"/>
  <c r="AH56" i="11"/>
  <c r="AZ56" i="11" s="1"/>
  <c r="AI56" i="11"/>
  <c r="AJ56" i="11"/>
  <c r="AI7" i="11"/>
  <c r="AH7" i="11"/>
  <c r="BO7" i="11"/>
  <c r="AJ7" i="11"/>
  <c r="AV57" i="11"/>
  <c r="AI27" i="11"/>
  <c r="BR78" i="11"/>
  <c r="BQ7" i="11"/>
  <c r="AR7" i="11"/>
  <c r="AS7" i="11"/>
  <c r="AR91" i="11"/>
  <c r="BQ91" i="11"/>
  <c r="AS91" i="11"/>
  <c r="BQ99" i="11"/>
  <c r="AS99" i="11"/>
  <c r="BR215" i="11"/>
  <c r="AV215" i="11"/>
  <c r="BQ39" i="11"/>
  <c r="AS39" i="11"/>
  <c r="AR55" i="11"/>
  <c r="AS71" i="11"/>
  <c r="BQ71" i="11"/>
  <c r="BQ151" i="11"/>
  <c r="AS151" i="11"/>
  <c r="AS167" i="11"/>
  <c r="BQ167" i="11"/>
  <c r="AR167" i="11"/>
  <c r="BQ187" i="11"/>
  <c r="AS187" i="11"/>
  <c r="AV272" i="11"/>
  <c r="AY272" i="11" s="1"/>
  <c r="AZ143" i="11"/>
  <c r="AU112" i="11"/>
  <c r="AX112" i="11" s="1"/>
  <c r="AJ272" i="11"/>
  <c r="BO88" i="11"/>
  <c r="AQ182" i="11"/>
  <c r="AZ294" i="11"/>
  <c r="AQ9" i="11"/>
  <c r="AI88" i="11"/>
  <c r="AT113" i="11"/>
  <c r="AK49" i="11"/>
  <c r="AM36" i="11"/>
  <c r="AP36" i="11" s="1"/>
  <c r="AS153" i="11"/>
  <c r="BQ153" i="11"/>
  <c r="AR153" i="11"/>
  <c r="AS281" i="11"/>
  <c r="BQ281" i="11"/>
  <c r="Z214" i="11"/>
  <c r="BP214" i="11"/>
  <c r="BO153" i="11"/>
  <c r="Z153" i="11"/>
  <c r="BQ36" i="11"/>
  <c r="AJ36" i="11"/>
  <c r="BO32" i="11"/>
  <c r="Z32" i="11"/>
  <c r="BP32" i="11"/>
  <c r="AH11" i="11"/>
  <c r="BO11" i="11"/>
  <c r="AS142" i="11"/>
  <c r="AH142" i="11"/>
  <c r="BQ142" i="11"/>
  <c r="AQ142" i="11"/>
  <c r="AJ142" i="11"/>
  <c r="BO137" i="11"/>
  <c r="BS137" i="11" s="1"/>
  <c r="AA137" i="3" s="1"/>
  <c r="Z137" i="11"/>
  <c r="BP137" i="11"/>
  <c r="BQ131" i="11"/>
  <c r="BO131" i="11"/>
  <c r="AQ131" i="11"/>
  <c r="AZ131" i="11" s="1"/>
  <c r="AJ131" i="11"/>
  <c r="AS131" i="11"/>
  <c r="AI131" i="11"/>
  <c r="BA131" i="11" s="1"/>
  <c r="BP98" i="11"/>
  <c r="AZ115" i="11"/>
  <c r="BQ73" i="11"/>
  <c r="AQ73" i="11"/>
  <c r="AS15" i="11"/>
  <c r="BQ15" i="11"/>
  <c r="AQ15" i="11"/>
  <c r="AH15" i="11"/>
  <c r="AJ15" i="11"/>
  <c r="BP142" i="11"/>
  <c r="BQ89" i="11"/>
  <c r="AI15" i="11"/>
  <c r="BA15" i="11" s="1"/>
  <c r="AV78" i="11"/>
  <c r="AY78" i="11" s="1"/>
  <c r="BO104" i="11"/>
  <c r="AO107" i="11"/>
  <c r="AS19" i="11"/>
  <c r="BB19" i="11" s="1"/>
  <c r="AR19" i="11"/>
  <c r="BA19" i="11" s="1"/>
  <c r="AR35" i="11"/>
  <c r="BQ35" i="11"/>
  <c r="BR91" i="11"/>
  <c r="AU91" i="11"/>
  <c r="AV91" i="11"/>
  <c r="AV299" i="11"/>
  <c r="AY299" i="11" s="1"/>
  <c r="BR299" i="11"/>
  <c r="AJ35" i="11"/>
  <c r="AS31" i="11"/>
  <c r="BQ31" i="11"/>
  <c r="BQ87" i="11"/>
  <c r="AS87" i="11"/>
  <c r="AS211" i="11"/>
  <c r="BQ211" i="11"/>
  <c r="AR211" i="11"/>
  <c r="AS275" i="11"/>
  <c r="BQ275" i="11"/>
  <c r="AZ19" i="11"/>
  <c r="AZ137" i="11"/>
  <c r="AV208" i="11"/>
  <c r="AY208" i="11" s="1"/>
  <c r="AU245" i="11"/>
  <c r="AV249" i="11"/>
  <c r="BR249" i="11"/>
  <c r="BR121" i="11"/>
  <c r="AZ155" i="11"/>
  <c r="BQ28" i="11"/>
  <c r="AH28" i="11"/>
  <c r="AZ28" i="11" s="1"/>
  <c r="AS28" i="11"/>
  <c r="AI28" i="11"/>
  <c r="AJ28" i="11"/>
  <c r="Z21" i="11"/>
  <c r="BO21" i="11"/>
  <c r="AK11" i="11"/>
  <c r="AM11" i="11"/>
  <c r="AP11" i="11" s="1"/>
  <c r="BP11" i="11"/>
  <c r="AT11" i="11"/>
  <c r="AW11" i="11" s="1"/>
  <c r="BQ170" i="11"/>
  <c r="AS170" i="11"/>
  <c r="AI101" i="11"/>
  <c r="AJ101" i="11"/>
  <c r="BP128" i="11"/>
  <c r="BO128" i="11"/>
  <c r="Z128" i="11"/>
  <c r="AV131" i="11"/>
  <c r="AY131" i="11" s="1"/>
  <c r="AM131" i="11"/>
  <c r="AL131" i="11"/>
  <c r="BP131" i="11"/>
  <c r="AR11" i="11"/>
  <c r="AI84" i="11"/>
  <c r="BA84" i="11" s="1"/>
  <c r="AI170" i="11"/>
  <c r="AS11" i="11"/>
  <c r="BQ11" i="11"/>
  <c r="BR83" i="11"/>
  <c r="AV83" i="11"/>
  <c r="AS107" i="11"/>
  <c r="BQ107" i="11"/>
  <c r="AR155" i="11"/>
  <c r="BA155" i="11" s="1"/>
  <c r="AS155" i="11"/>
  <c r="BB155" i="11" s="1"/>
  <c r="BQ191" i="11"/>
  <c r="AS191" i="11"/>
  <c r="AS283" i="11"/>
  <c r="BQ283" i="11"/>
  <c r="BQ299" i="11"/>
  <c r="AS299" i="11"/>
  <c r="AJ27" i="11"/>
  <c r="AS175" i="11"/>
  <c r="BB175" i="11" s="1"/>
  <c r="BQ175" i="11"/>
  <c r="BS175" i="11" s="1"/>
  <c r="AA175" i="3" s="1"/>
  <c r="AS219" i="11"/>
  <c r="BQ219" i="11"/>
  <c r="AR231" i="11"/>
  <c r="BA231" i="11" s="1"/>
  <c r="AS231" i="11"/>
  <c r="BB231" i="11" s="1"/>
  <c r="AV236" i="11"/>
  <c r="AY236" i="11" s="1"/>
  <c r="AV81" i="11"/>
  <c r="AY81" i="11" s="1"/>
  <c r="BQ290" i="11"/>
  <c r="AR290" i="11"/>
  <c r="AS290" i="11"/>
  <c r="AS162" i="11"/>
  <c r="BQ162" i="11"/>
  <c r="AS285" i="11"/>
  <c r="AR285" i="11"/>
  <c r="BQ285" i="11"/>
  <c r="AS157" i="11"/>
  <c r="BQ157" i="11"/>
  <c r="BR85" i="11"/>
  <c r="AV85" i="11"/>
  <c r="AU117" i="11"/>
  <c r="AX117" i="11" s="1"/>
  <c r="BR181" i="11"/>
  <c r="AV181" i="11"/>
  <c r="AR197" i="11"/>
  <c r="AS197" i="11"/>
  <c r="BQ197" i="11"/>
  <c r="BO51" i="11"/>
  <c r="AQ51" i="11"/>
  <c r="AR51" i="11"/>
  <c r="AI51" i="11"/>
  <c r="AJ51" i="11"/>
  <c r="AS207" i="11"/>
  <c r="BQ207" i="11"/>
  <c r="BO125" i="11"/>
  <c r="Z125" i="11"/>
  <c r="BO110" i="11"/>
  <c r="BP110" i="11"/>
  <c r="Z110" i="11"/>
  <c r="BO91" i="11"/>
  <c r="BP91" i="11"/>
  <c r="Z91" i="11"/>
  <c r="AL72" i="11"/>
  <c r="AO72" i="11" s="1"/>
  <c r="BP64" i="11"/>
  <c r="Z64" i="11"/>
  <c r="AV54" i="11"/>
  <c r="AY54" i="11" s="1"/>
  <c r="BP54" i="11"/>
  <c r="AT54" i="11"/>
  <c r="AW54" i="11" s="1"/>
  <c r="AU54" i="11"/>
  <c r="AX54" i="11" s="1"/>
  <c r="AL54" i="11"/>
  <c r="BR54" i="11"/>
  <c r="AM54" i="11"/>
  <c r="BP28" i="11"/>
  <c r="BO28" i="11"/>
  <c r="Z28" i="11"/>
  <c r="BQ47" i="11"/>
  <c r="BO47" i="11"/>
  <c r="AJ47" i="11"/>
  <c r="AQ183" i="11"/>
  <c r="BQ213" i="11"/>
  <c r="AK196" i="11"/>
  <c r="AT196" i="11"/>
  <c r="AW196" i="11" s="1"/>
  <c r="AM196" i="11"/>
  <c r="AP196" i="11" s="1"/>
  <c r="AM184" i="11"/>
  <c r="AP184" i="11" s="1"/>
  <c r="BP184" i="11"/>
  <c r="BR178" i="11"/>
  <c r="AL178" i="11"/>
  <c r="AV178" i="11"/>
  <c r="AY178" i="11" s="1"/>
  <c r="AM178" i="11"/>
  <c r="BP178" i="11"/>
  <c r="AI145" i="11"/>
  <c r="BO145" i="11"/>
  <c r="AH145" i="11"/>
  <c r="AZ145" i="11" s="1"/>
  <c r="AJ145" i="11"/>
  <c r="BB145" i="11" s="1"/>
  <c r="BO13" i="11"/>
  <c r="Z13" i="11"/>
  <c r="AS226" i="11"/>
  <c r="BR245" i="11"/>
  <c r="AV169" i="11"/>
  <c r="AK113" i="11"/>
  <c r="AN113" i="11" s="1"/>
  <c r="AS93" i="11"/>
  <c r="BQ93" i="11"/>
  <c r="AJ93" i="11"/>
  <c r="AT92" i="11"/>
  <c r="AW92" i="11" s="1"/>
  <c r="AK92" i="11"/>
  <c r="AM92" i="11"/>
  <c r="AV49" i="11"/>
  <c r="AY49" i="11" s="1"/>
  <c r="AM49" i="11"/>
  <c r="AH93" i="11"/>
  <c r="BP72" i="11"/>
  <c r="AL93" i="11"/>
  <c r="BR93" i="11"/>
  <c r="AM116" i="11"/>
  <c r="AZ253" i="11"/>
  <c r="AU273" i="11"/>
  <c r="BP49" i="11"/>
  <c r="BO161" i="11"/>
  <c r="BO53" i="11"/>
  <c r="BP53" i="11"/>
  <c r="Z53" i="11"/>
  <c r="BP90" i="11"/>
  <c r="BO90" i="11"/>
  <c r="Z90" i="11"/>
  <c r="AR54" i="11"/>
  <c r="AI54" i="11"/>
  <c r="BO54" i="11"/>
  <c r="AJ54" i="11"/>
  <c r="BO119" i="11"/>
  <c r="AI119" i="11"/>
  <c r="AJ119" i="11"/>
  <c r="AT110" i="11"/>
  <c r="AW110" i="11" s="1"/>
  <c r="AM110" i="11"/>
  <c r="AV110" i="11"/>
  <c r="AY110" i="11" s="1"/>
  <c r="AH119" i="11"/>
  <c r="AI16" i="11"/>
  <c r="BQ16" i="11"/>
  <c r="AJ16" i="11"/>
  <c r="AS16" i="11"/>
  <c r="BO255" i="11"/>
  <c r="Z255" i="11"/>
  <c r="BP249" i="11"/>
  <c r="BO249" i="11"/>
  <c r="Z249" i="11"/>
  <c r="AQ185" i="11"/>
  <c r="AZ185" i="11" s="1"/>
  <c r="AR185" i="11"/>
  <c r="AI185" i="11"/>
  <c r="BO185" i="11"/>
  <c r="AJ185" i="11"/>
  <c r="AS178" i="11"/>
  <c r="BO178" i="11"/>
  <c r="AH178" i="11"/>
  <c r="BQ178" i="11"/>
  <c r="AI178" i="11"/>
  <c r="AJ178" i="11"/>
  <c r="AS210" i="11"/>
  <c r="AR119" i="11"/>
  <c r="AI14" i="11"/>
  <c r="AJ14" i="11"/>
  <c r="BR110" i="11"/>
  <c r="BO94" i="11"/>
  <c r="BP94" i="11"/>
  <c r="Z94" i="11"/>
  <c r="BO92" i="11"/>
  <c r="AJ92" i="11"/>
  <c r="AS69" i="11"/>
  <c r="BQ69" i="11"/>
  <c r="AI69" i="11"/>
  <c r="AJ69" i="11"/>
  <c r="AH49" i="11"/>
  <c r="AI49" i="11"/>
  <c r="AR49" i="11"/>
  <c r="AJ49" i="11"/>
  <c r="AU177" i="11"/>
  <c r="AX177" i="11" s="1"/>
  <c r="X2" i="11"/>
  <c r="AL50" i="11"/>
  <c r="AO50" i="11" s="1"/>
  <c r="AU152" i="11"/>
  <c r="BO30" i="11"/>
  <c r="AS274" i="11"/>
  <c r="BQ274" i="11"/>
  <c r="AR274" i="11"/>
  <c r="BQ146" i="11"/>
  <c r="AR146" i="11"/>
  <c r="AU265" i="11"/>
  <c r="BR265" i="11"/>
  <c r="AV265" i="11"/>
  <c r="BR137" i="11"/>
  <c r="AV137" i="11"/>
  <c r="AU113" i="11"/>
  <c r="AX113" i="11" s="1"/>
  <c r="BR113" i="11"/>
  <c r="AV113" i="11"/>
  <c r="AY113" i="11" s="1"/>
  <c r="BQ209" i="11"/>
  <c r="AS209" i="11"/>
  <c r="AT29" i="11"/>
  <c r="AW29" i="11" s="1"/>
  <c r="BR29" i="11"/>
  <c r="BP29" i="11"/>
  <c r="AM29" i="11"/>
  <c r="AK29" i="11"/>
  <c r="BO40" i="11"/>
  <c r="Z40" i="11"/>
  <c r="AV59" i="11"/>
  <c r="AY59" i="11" s="1"/>
  <c r="AH193" i="11"/>
  <c r="AK225" i="11"/>
  <c r="AK208" i="11"/>
  <c r="AN208" i="11" s="1"/>
  <c r="BQ14" i="11"/>
  <c r="AZ204" i="11"/>
  <c r="AT72" i="11"/>
  <c r="AK200" i="11"/>
  <c r="AN200" i="11" s="1"/>
  <c r="AK50" i="11"/>
  <c r="AU60" i="11"/>
  <c r="AV216" i="11"/>
  <c r="AY216" i="11" s="1"/>
  <c r="AH16" i="11"/>
  <c r="AZ16" i="11" s="1"/>
  <c r="AV220" i="11"/>
  <c r="AY220" i="11" s="1"/>
  <c r="AV257" i="11"/>
  <c r="AU42" i="11"/>
  <c r="AX42" i="11" s="1"/>
  <c r="AU129" i="11"/>
  <c r="AU284" i="11"/>
  <c r="BR289" i="11"/>
  <c r="BR117" i="11"/>
  <c r="AR140" i="11"/>
  <c r="AI161" i="11"/>
  <c r="BR30" i="11"/>
  <c r="AR209" i="11"/>
  <c r="BA209" i="11" s="1"/>
  <c r="AJ268" i="11"/>
  <c r="BO69" i="11"/>
  <c r="AS258" i="11"/>
  <c r="BQ258" i="11"/>
  <c r="AS194" i="11"/>
  <c r="BQ194" i="11"/>
  <c r="AU105" i="11"/>
  <c r="BR105" i="11"/>
  <c r="AV105" i="11"/>
  <c r="BO269" i="11"/>
  <c r="Z269" i="11"/>
  <c r="AS221" i="11"/>
  <c r="BQ221" i="11"/>
  <c r="AR221" i="11"/>
  <c r="AS81" i="11"/>
  <c r="BQ81" i="11"/>
  <c r="AS97" i="11"/>
  <c r="BQ97" i="11"/>
  <c r="AR97" i="11"/>
  <c r="BQ113" i="11"/>
  <c r="AS113" i="11"/>
  <c r="AR113" i="11"/>
  <c r="AS129" i="11"/>
  <c r="BQ129" i="11"/>
  <c r="BQ145" i="11"/>
  <c r="AR145" i="11"/>
  <c r="BQ161" i="11"/>
  <c r="AS161" i="11"/>
  <c r="BQ177" i="11"/>
  <c r="AR177" i="11"/>
  <c r="AS177" i="11"/>
  <c r="BQ229" i="11"/>
  <c r="AS229" i="11"/>
  <c r="AS245" i="11"/>
  <c r="BQ245" i="11"/>
  <c r="AR245" i="11"/>
  <c r="AS289" i="11"/>
  <c r="BQ289" i="11"/>
  <c r="AV4" i="11"/>
  <c r="AY4" i="11" s="1"/>
  <c r="BR4" i="11"/>
  <c r="BO72" i="11"/>
  <c r="AJ72" i="11"/>
  <c r="AQ29" i="11"/>
  <c r="AS29" i="11"/>
  <c r="BQ29" i="11"/>
  <c r="AH29" i="11"/>
  <c r="AI29" i="11"/>
  <c r="BO29" i="11"/>
  <c r="AJ29" i="11"/>
  <c r="AN246" i="11"/>
  <c r="AS215" i="11"/>
  <c r="BQ215" i="11"/>
  <c r="AI215" i="11"/>
  <c r="AH215" i="11"/>
  <c r="BO215" i="11"/>
  <c r="AJ215" i="11"/>
  <c r="AS139" i="11"/>
  <c r="BQ139" i="11"/>
  <c r="AQ139" i="11"/>
  <c r="BO124" i="11"/>
  <c r="Z124" i="11"/>
  <c r="BP124" i="11"/>
  <c r="AS130" i="11"/>
  <c r="AH139" i="11"/>
  <c r="AS126" i="11"/>
  <c r="BQ126" i="11"/>
  <c r="AI126" i="11"/>
  <c r="AJ126" i="11"/>
  <c r="AS65" i="11"/>
  <c r="BQ65" i="11"/>
  <c r="AM64" i="11"/>
  <c r="AV64" i="11"/>
  <c r="AY64" i="11" s="1"/>
  <c r="BP56" i="11"/>
  <c r="BO56" i="11"/>
  <c r="Z56" i="11"/>
  <c r="AS41" i="11"/>
  <c r="AQ41" i="11"/>
  <c r="AH41" i="11"/>
  <c r="AJ41" i="11"/>
  <c r="BQ41" i="11"/>
  <c r="BO41" i="11"/>
  <c r="AU181" i="11"/>
  <c r="AI183" i="11"/>
  <c r="BO183" i="11"/>
  <c r="AJ183" i="11"/>
  <c r="AU85" i="11"/>
  <c r="AL119" i="11"/>
  <c r="AO119" i="11" s="1"/>
  <c r="BP119" i="11"/>
  <c r="BO113" i="11"/>
  <c r="Z113" i="11"/>
  <c r="BP113" i="11"/>
  <c r="BP196" i="11"/>
  <c r="Z196" i="11"/>
  <c r="BR185" i="11"/>
  <c r="BP185" i="11"/>
  <c r="AV185" i="11"/>
  <c r="AY185" i="11" s="1"/>
  <c r="AU185" i="11"/>
  <c r="AX185" i="11" s="1"/>
  <c r="AL185" i="11"/>
  <c r="AM185" i="11"/>
  <c r="AT182" i="11"/>
  <c r="AW182" i="11" s="1"/>
  <c r="AV182" i="11"/>
  <c r="AY182" i="11" s="1"/>
  <c r="AM182" i="11"/>
  <c r="BP182" i="11"/>
  <c r="AL48" i="11"/>
  <c r="AO48" i="11" s="1"/>
  <c r="AM48" i="11"/>
  <c r="BR12" i="11"/>
  <c r="AV12" i="11"/>
  <c r="AY12" i="11" s="1"/>
  <c r="AK12" i="11"/>
  <c r="AM12" i="11"/>
  <c r="AT12" i="11"/>
  <c r="AW12" i="11" s="1"/>
  <c r="AL12" i="11"/>
  <c r="BP12" i="11"/>
  <c r="AS242" i="11"/>
  <c r="BB242" i="11" s="1"/>
  <c r="AS257" i="11"/>
  <c r="BQ273" i="11"/>
  <c r="AV29" i="11"/>
  <c r="AY29" i="11" s="1"/>
  <c r="BR64" i="11"/>
  <c r="AR258" i="11"/>
  <c r="AL47" i="11"/>
  <c r="AL110" i="11"/>
  <c r="BP93" i="11"/>
  <c r="BP47" i="11"/>
  <c r="AT39" i="11"/>
  <c r="AW39" i="11" s="1"/>
  <c r="AK39" i="11"/>
  <c r="AI41" i="11"/>
  <c r="BP116" i="11"/>
  <c r="AV177" i="11"/>
  <c r="AK184" i="11"/>
  <c r="AS82" i="11"/>
  <c r="AR82" i="11"/>
  <c r="BA82" i="11" s="1"/>
  <c r="BQ82" i="11"/>
  <c r="AS253" i="11"/>
  <c r="BQ253" i="11"/>
  <c r="BS253" i="11" s="1"/>
  <c r="AA253" i="3" s="1"/>
  <c r="AR253" i="11"/>
  <c r="BA253" i="11" s="1"/>
  <c r="AS125" i="11"/>
  <c r="BB125" i="11" s="1"/>
  <c r="BQ125" i="11"/>
  <c r="AS9" i="11"/>
  <c r="BB9" i="11" s="1"/>
  <c r="AR9" i="11"/>
  <c r="BQ9" i="11"/>
  <c r="AS25" i="11"/>
  <c r="BQ25" i="11"/>
  <c r="AR25" i="11"/>
  <c r="AS193" i="11"/>
  <c r="BB193" i="11" s="1"/>
  <c r="BQ193" i="11"/>
  <c r="AS127" i="11"/>
  <c r="AH127" i="11"/>
  <c r="BQ127" i="11"/>
  <c r="BO127" i="11"/>
  <c r="AJ127" i="11"/>
  <c r="AH113" i="11"/>
  <c r="AQ113" i="11"/>
  <c r="AI113" i="11"/>
  <c r="AJ113" i="11"/>
  <c r="AH98" i="11"/>
  <c r="AQ98" i="11"/>
  <c r="AS98" i="11"/>
  <c r="BQ98" i="11"/>
  <c r="BO98" i="11"/>
  <c r="AJ98" i="11"/>
  <c r="BR208" i="11"/>
  <c r="AR268" i="11"/>
  <c r="Y2" i="11"/>
  <c r="AS120" i="11"/>
  <c r="AS228" i="11"/>
  <c r="AQ92" i="11"/>
  <c r="AK110" i="11"/>
  <c r="AN110" i="11" s="1"/>
  <c r="AQ193" i="11"/>
  <c r="AK190" i="11"/>
  <c r="AN190" i="11" s="1"/>
  <c r="AS14" i="11"/>
  <c r="AU208" i="11"/>
  <c r="AX208" i="11" s="1"/>
  <c r="AL200" i="11"/>
  <c r="AU176" i="11"/>
  <c r="AX176" i="11" s="1"/>
  <c r="AL42" i="11"/>
  <c r="BO115" i="11"/>
  <c r="BP115" i="11"/>
  <c r="AR241" i="11"/>
  <c r="BP251" i="11"/>
  <c r="AU58" i="11"/>
  <c r="AX58" i="11" s="1"/>
  <c r="BR63" i="11"/>
  <c r="AM272" i="11"/>
  <c r="BR236" i="11"/>
  <c r="AR81" i="11"/>
  <c r="BQ114" i="11"/>
  <c r="AR114" i="11"/>
  <c r="AS114" i="11"/>
  <c r="BB114" i="11" s="1"/>
  <c r="AS189" i="11"/>
  <c r="BQ189" i="11"/>
  <c r="AR189" i="11"/>
  <c r="AS61" i="11"/>
  <c r="BQ61" i="11"/>
  <c r="AR61" i="11"/>
  <c r="AR13" i="11"/>
  <c r="BQ13" i="11"/>
  <c r="AS13" i="11"/>
  <c r="AS21" i="11"/>
  <c r="BB21" i="11" s="1"/>
  <c r="BQ21" i="11"/>
  <c r="AS45" i="11"/>
  <c r="BQ45" i="11"/>
  <c r="BS45" i="11" s="1"/>
  <c r="AA45" i="3" s="1"/>
  <c r="AS101" i="11"/>
  <c r="BQ101" i="11"/>
  <c r="AS133" i="11"/>
  <c r="BB133" i="11" s="1"/>
  <c r="BQ133" i="11"/>
  <c r="BS133" i="11" s="1"/>
  <c r="AA133" i="3" s="1"/>
  <c r="AR133" i="11"/>
  <c r="AS149" i="11"/>
  <c r="BQ149" i="11"/>
  <c r="AS181" i="11"/>
  <c r="BQ181" i="11"/>
  <c r="AR181" i="11"/>
  <c r="AU213" i="11"/>
  <c r="AV213" i="11"/>
  <c r="BR213" i="11"/>
  <c r="AS261" i="11"/>
  <c r="BQ261" i="11"/>
  <c r="AS277" i="11"/>
  <c r="BQ277" i="11"/>
  <c r="AS293" i="11"/>
  <c r="BB293" i="11" s="1"/>
  <c r="BQ293" i="11"/>
  <c r="AS74" i="11"/>
  <c r="BQ74" i="11"/>
  <c r="AI74" i="11"/>
  <c r="AQ74" i="11"/>
  <c r="AH74" i="11"/>
  <c r="BO74" i="11"/>
  <c r="AJ74" i="11"/>
  <c r="AS58" i="11"/>
  <c r="BQ58" i="11"/>
  <c r="AL51" i="11"/>
  <c r="AO51" i="11" s="1"/>
  <c r="BR51" i="11"/>
  <c r="BP51" i="11"/>
  <c r="AM51" i="11"/>
  <c r="AS38" i="11"/>
  <c r="BQ38" i="11"/>
  <c r="AQ127" i="11"/>
  <c r="AZ279" i="11"/>
  <c r="AH54" i="11"/>
  <c r="AH9" i="11"/>
  <c r="BP117" i="11"/>
  <c r="Z117" i="11"/>
  <c r="AQ116" i="11"/>
  <c r="AJ116" i="11"/>
  <c r="AH116" i="11"/>
  <c r="BP111" i="11"/>
  <c r="BO111" i="11"/>
  <c r="Z111" i="11"/>
  <c r="BQ257" i="11"/>
  <c r="BP256" i="11"/>
  <c r="BO256" i="11"/>
  <c r="Z256" i="11"/>
  <c r="AQ188" i="11"/>
  <c r="BO188" i="11"/>
  <c r="AJ188" i="11"/>
  <c r="AH184" i="11"/>
  <c r="BO184" i="11"/>
  <c r="AJ184" i="11"/>
  <c r="BO182" i="11"/>
  <c r="AJ182" i="11"/>
  <c r="AQ178" i="11"/>
  <c r="AQ48" i="11"/>
  <c r="AH48" i="11"/>
  <c r="AR48" i="11"/>
  <c r="AI48" i="11"/>
  <c r="AJ48" i="11"/>
  <c r="BQ12" i="11"/>
  <c r="AI12" i="11"/>
  <c r="BO12" i="11"/>
  <c r="AJ12" i="11"/>
  <c r="AS12" i="11"/>
  <c r="AH183" i="11"/>
  <c r="AR229" i="11"/>
  <c r="AI9" i="11"/>
  <c r="AL64" i="11"/>
  <c r="AL113" i="11"/>
  <c r="AT14" i="11"/>
  <c r="AL14" i="11"/>
  <c r="AV14" i="11"/>
  <c r="AY14" i="11" s="1"/>
  <c r="AM14" i="11"/>
  <c r="BR14" i="11"/>
  <c r="AK93" i="11"/>
  <c r="AT88" i="11"/>
  <c r="AW88" i="11" s="1"/>
  <c r="AK88" i="11"/>
  <c r="AM88" i="11"/>
  <c r="AP88" i="11" s="1"/>
  <c r="AL88" i="11"/>
  <c r="AO88" i="11" s="1"/>
  <c r="BO46" i="11"/>
  <c r="BP46" i="11"/>
  <c r="Z46" i="11"/>
  <c r="AS40" i="11"/>
  <c r="AI40" i="11"/>
  <c r="BQ40" i="11"/>
  <c r="AJ40" i="11"/>
  <c r="AH39" i="11"/>
  <c r="AQ39" i="11"/>
  <c r="AJ39" i="11"/>
  <c r="AL182" i="11"/>
  <c r="AI39" i="11"/>
  <c r="AI116" i="11"/>
  <c r="AH51" i="11"/>
  <c r="BR273" i="11"/>
  <c r="BO49" i="11"/>
  <c r="AU180" i="11"/>
  <c r="BR180" i="11"/>
  <c r="AV180" i="11"/>
  <c r="AU80" i="11"/>
  <c r="BR80" i="11"/>
  <c r="AV80" i="11"/>
  <c r="AV120" i="11"/>
  <c r="AU120" i="11"/>
  <c r="AU156" i="11"/>
  <c r="AV156" i="11"/>
  <c r="BR156" i="11"/>
  <c r="BQ188" i="11"/>
  <c r="AS188" i="11"/>
  <c r="AR188" i="11"/>
  <c r="BP152" i="11"/>
  <c r="BO152" i="11"/>
  <c r="Z152" i="11"/>
  <c r="AT125" i="11"/>
  <c r="AW125" i="11" s="1"/>
  <c r="AK125" i="11"/>
  <c r="AL125" i="11"/>
  <c r="BR125" i="11"/>
  <c r="AV125" i="11"/>
  <c r="AY125" i="11" s="1"/>
  <c r="BP125" i="11"/>
  <c r="AM125" i="11"/>
  <c r="BP109" i="11"/>
  <c r="AM109" i="11"/>
  <c r="AL109" i="11"/>
  <c r="AU109" i="11"/>
  <c r="AX109" i="11" s="1"/>
  <c r="Z102" i="11"/>
  <c r="BP102" i="11"/>
  <c r="BO102" i="11"/>
  <c r="AT109" i="11"/>
  <c r="AW109" i="11" s="1"/>
  <c r="AT34" i="11"/>
  <c r="AW34" i="11" s="1"/>
  <c r="AM19" i="11"/>
  <c r="AV19" i="11"/>
  <c r="AY19" i="11" s="1"/>
  <c r="BP19" i="11"/>
  <c r="BR19" i="11"/>
  <c r="AK19" i="11"/>
  <c r="AL19" i="11"/>
  <c r="AV34" i="11"/>
  <c r="AY34" i="11" s="1"/>
  <c r="AU56" i="11"/>
  <c r="AX56" i="11" s="1"/>
  <c r="AT207" i="11"/>
  <c r="AW207" i="11" s="1"/>
  <c r="AV207" i="11"/>
  <c r="AY207" i="11" s="1"/>
  <c r="BR207" i="11"/>
  <c r="BP207" i="11"/>
  <c r="AM207" i="11"/>
  <c r="AU207" i="11"/>
  <c r="AX207" i="11" s="1"/>
  <c r="AL207" i="11"/>
  <c r="AQ173" i="11"/>
  <c r="AH173" i="11"/>
  <c r="AS173" i="11"/>
  <c r="BQ173" i="11"/>
  <c r="BO173" i="11"/>
  <c r="AJ173" i="11"/>
  <c r="AI173" i="11"/>
  <c r="BA173" i="11" s="1"/>
  <c r="AV268" i="11"/>
  <c r="AY268" i="11" s="1"/>
  <c r="AK268" i="11"/>
  <c r="AL268" i="11"/>
  <c r="AQ235" i="11"/>
  <c r="AS235" i="11"/>
  <c r="BQ235" i="11"/>
  <c r="AI235" i="11"/>
  <c r="AJ235" i="11"/>
  <c r="BO235" i="11"/>
  <c r="AS233" i="11"/>
  <c r="BQ233" i="11"/>
  <c r="BO233" i="11"/>
  <c r="AI233" i="11"/>
  <c r="BA233" i="11" s="1"/>
  <c r="AJ233" i="11"/>
  <c r="AH216" i="11"/>
  <c r="AQ216" i="11"/>
  <c r="BO216" i="11"/>
  <c r="AI216" i="11"/>
  <c r="AJ216" i="11"/>
  <c r="BQ296" i="11"/>
  <c r="AR296" i="11"/>
  <c r="AS296" i="11"/>
  <c r="AR34" i="11"/>
  <c r="AI34" i="11"/>
  <c r="AJ34" i="11"/>
  <c r="BO34" i="11"/>
  <c r="AS225" i="11"/>
  <c r="BQ225" i="11"/>
  <c r="AQ225" i="11"/>
  <c r="AI225" i="11"/>
  <c r="AJ225" i="11"/>
  <c r="BO225" i="11"/>
  <c r="AH207" i="11"/>
  <c r="AQ207" i="11"/>
  <c r="AR207" i="11"/>
  <c r="AI207" i="11"/>
  <c r="BO207" i="11"/>
  <c r="AJ207" i="11"/>
  <c r="BA201" i="11"/>
  <c r="AT173" i="11"/>
  <c r="AW173" i="11" s="1"/>
  <c r="BR173" i="11"/>
  <c r="AV173" i="11"/>
  <c r="AY173" i="11" s="1"/>
  <c r="AM173" i="11"/>
  <c r="BP173" i="11"/>
  <c r="AZ66" i="11"/>
  <c r="AM59" i="11"/>
  <c r="AU59" i="11"/>
  <c r="AQ59" i="11"/>
  <c r="AH59" i="11"/>
  <c r="AR58" i="11"/>
  <c r="BP63" i="11"/>
  <c r="AL63" i="11"/>
  <c r="BR268" i="11"/>
  <c r="AH268" i="11"/>
  <c r="AQ268" i="11"/>
  <c r="AS227" i="11"/>
  <c r="BQ227" i="11"/>
  <c r="AJ227" i="11"/>
  <c r="BO227" i="11"/>
  <c r="AI227" i="11"/>
  <c r="AM217" i="11"/>
  <c r="BP217" i="11"/>
  <c r="AL217" i="11"/>
  <c r="BP216" i="11"/>
  <c r="AM216" i="11"/>
  <c r="AK216" i="11"/>
  <c r="AT208" i="11"/>
  <c r="AL208" i="11"/>
  <c r="BP208" i="11"/>
  <c r="AM208" i="11"/>
  <c r="AQ186" i="11"/>
  <c r="AH186" i="11"/>
  <c r="AR186" i="11"/>
  <c r="AI186" i="11"/>
  <c r="AJ186" i="11"/>
  <c r="AQ171" i="11"/>
  <c r="AH171" i="11"/>
  <c r="BQ171" i="11"/>
  <c r="AS171" i="11"/>
  <c r="BO171" i="11"/>
  <c r="AI171" i="11"/>
  <c r="AJ171" i="11"/>
  <c r="AT165" i="11"/>
  <c r="AW165" i="11" s="1"/>
  <c r="BR165" i="11"/>
  <c r="AV165" i="11"/>
  <c r="AY165" i="11" s="1"/>
  <c r="BP165" i="11"/>
  <c r="AM165" i="11"/>
  <c r="AQ163" i="11"/>
  <c r="BQ163" i="11"/>
  <c r="AH163" i="11"/>
  <c r="BO163" i="11"/>
  <c r="AS163" i="11"/>
  <c r="AJ163" i="11"/>
  <c r="AI163" i="11"/>
  <c r="AS79" i="11"/>
  <c r="BQ79" i="11"/>
  <c r="AJ79" i="11"/>
  <c r="BO79" i="11"/>
  <c r="AI79" i="11"/>
  <c r="AU68" i="11"/>
  <c r="BR68" i="11"/>
  <c r="AV68" i="11"/>
  <c r="BR144" i="11"/>
  <c r="AV144" i="11"/>
  <c r="AU144" i="11"/>
  <c r="AU168" i="11"/>
  <c r="BR168" i="11"/>
  <c r="AV168" i="11"/>
  <c r="AY168" i="11" s="1"/>
  <c r="BQ180" i="11"/>
  <c r="AR180" i="11"/>
  <c r="AS180" i="11"/>
  <c r="AS216" i="11"/>
  <c r="BQ216" i="11"/>
  <c r="AR216" i="11"/>
  <c r="AS224" i="11"/>
  <c r="BQ224" i="11"/>
  <c r="AR224" i="11"/>
  <c r="AS236" i="11"/>
  <c r="BQ236" i="11"/>
  <c r="AU248" i="11"/>
  <c r="BR248" i="11"/>
  <c r="AV248" i="11"/>
  <c r="AU260" i="11"/>
  <c r="AV260" i="11"/>
  <c r="BR260" i="11"/>
  <c r="BR280" i="11"/>
  <c r="AV280" i="11"/>
  <c r="AU280" i="11"/>
  <c r="BR288" i="11"/>
  <c r="AV288" i="11"/>
  <c r="AS300" i="11"/>
  <c r="BQ300" i="11"/>
  <c r="AR300" i="11"/>
  <c r="AH280" i="11"/>
  <c r="AS280" i="11"/>
  <c r="BQ280" i="11"/>
  <c r="AQ280" i="11"/>
  <c r="BO280" i="11"/>
  <c r="AJ280" i="11"/>
  <c r="AI280" i="11"/>
  <c r="Z62" i="11"/>
  <c r="BP62" i="11"/>
  <c r="BO62" i="11"/>
  <c r="BR10" i="11"/>
  <c r="AV10" i="11"/>
  <c r="AY10" i="11" s="1"/>
  <c r="BP136" i="11"/>
  <c r="BO136" i="11"/>
  <c r="Z136" i="11"/>
  <c r="AQ85" i="11"/>
  <c r="AS85" i="11"/>
  <c r="BQ85" i="11"/>
  <c r="AH85" i="11"/>
  <c r="AI85" i="11"/>
  <c r="AJ85" i="11"/>
  <c r="BR55" i="11"/>
  <c r="AM55" i="11"/>
  <c r="AV55" i="11"/>
  <c r="AY55" i="11" s="1"/>
  <c r="BR109" i="11"/>
  <c r="BR104" i="11"/>
  <c r="AU132" i="11"/>
  <c r="BB143" i="11"/>
  <c r="AH200" i="11"/>
  <c r="AQ200" i="11"/>
  <c r="BQ200" i="11"/>
  <c r="AS200" i="11"/>
  <c r="AI200" i="11"/>
  <c r="BO200" i="11"/>
  <c r="AJ200" i="11"/>
  <c r="AQ198" i="11"/>
  <c r="AH198" i="11"/>
  <c r="AS198" i="11"/>
  <c r="BQ198" i="11"/>
  <c r="AI198" i="11"/>
  <c r="AJ198" i="11"/>
  <c r="BO198" i="11"/>
  <c r="AQ190" i="11"/>
  <c r="AS190" i="11"/>
  <c r="AH190" i="11"/>
  <c r="BQ190" i="11"/>
  <c r="AJ190" i="11"/>
  <c r="AI190" i="11"/>
  <c r="BR138" i="11"/>
  <c r="AV138" i="11"/>
  <c r="AY138" i="11" s="1"/>
  <c r="AM138" i="11"/>
  <c r="AR50" i="11"/>
  <c r="AI50" i="11"/>
  <c r="BO50" i="11"/>
  <c r="AJ50" i="11"/>
  <c r="AL10" i="11"/>
  <c r="AT136" i="11"/>
  <c r="AW136" i="11" s="1"/>
  <c r="BR136" i="11"/>
  <c r="AV136" i="11"/>
  <c r="AY136" i="11" s="1"/>
  <c r="AM136" i="11"/>
  <c r="AL79" i="11"/>
  <c r="BR79" i="11"/>
  <c r="AV79" i="11"/>
  <c r="AY79" i="11" s="1"/>
  <c r="AK79" i="11"/>
  <c r="BP79" i="11"/>
  <c r="AM79" i="11"/>
  <c r="BQ4" i="11"/>
  <c r="AH4" i="11"/>
  <c r="AQ4" i="11"/>
  <c r="AS4" i="11"/>
  <c r="AJ4" i="11"/>
  <c r="AI4" i="11"/>
  <c r="AR20" i="11"/>
  <c r="BQ20" i="11"/>
  <c r="AS20" i="11"/>
  <c r="BQ60" i="11"/>
  <c r="AS60" i="11"/>
  <c r="AR60" i="11"/>
  <c r="BQ88" i="11"/>
  <c r="AR88" i="11"/>
  <c r="AS100" i="11"/>
  <c r="BQ100" i="11"/>
  <c r="AR100" i="11"/>
  <c r="AS124" i="11"/>
  <c r="BQ124" i="11"/>
  <c r="AR124" i="11"/>
  <c r="BQ152" i="11"/>
  <c r="AR152" i="11"/>
  <c r="BA152" i="11" s="1"/>
  <c r="AS164" i="11"/>
  <c r="BQ164" i="11"/>
  <c r="AR164" i="11"/>
  <c r="AS176" i="11"/>
  <c r="BQ176" i="11"/>
  <c r="AU188" i="11"/>
  <c r="AX188" i="11" s="1"/>
  <c r="BR188" i="11"/>
  <c r="AV188" i="11"/>
  <c r="AU244" i="11"/>
  <c r="BR244" i="11"/>
  <c r="AV244" i="11"/>
  <c r="AS256" i="11"/>
  <c r="BQ256" i="11"/>
  <c r="AR256" i="11"/>
  <c r="BQ272" i="11"/>
  <c r="AS272" i="11"/>
  <c r="AS284" i="11"/>
  <c r="BQ284" i="11"/>
  <c r="AU300" i="11"/>
  <c r="BR300" i="11"/>
  <c r="AV300" i="11"/>
  <c r="AT67" i="11"/>
  <c r="AW67" i="11" s="1"/>
  <c r="AV67" i="11"/>
  <c r="AY67" i="11" s="1"/>
  <c r="AL67" i="11"/>
  <c r="BR67" i="11"/>
  <c r="BP67" i="11"/>
  <c r="AM67" i="11"/>
  <c r="AQ109" i="11"/>
  <c r="AH109" i="11"/>
  <c r="AR109" i="11"/>
  <c r="AJ109" i="11"/>
  <c r="AI109" i="11"/>
  <c r="BO109" i="11"/>
  <c r="AT26" i="11"/>
  <c r="AW26" i="11" s="1"/>
  <c r="AK26" i="11"/>
  <c r="BR26" i="11"/>
  <c r="AV26" i="11"/>
  <c r="AY26" i="11" s="1"/>
  <c r="AM26" i="11"/>
  <c r="AU26" i="11"/>
  <c r="AX26" i="11" s="1"/>
  <c r="AL26" i="11"/>
  <c r="BP26" i="11"/>
  <c r="AS10" i="11"/>
  <c r="BQ10" i="11"/>
  <c r="AI10" i="11"/>
  <c r="BO121" i="11"/>
  <c r="BP121" i="11"/>
  <c r="Z121" i="11"/>
  <c r="AS88" i="11"/>
  <c r="BR120" i="11"/>
  <c r="AK34" i="11"/>
  <c r="AK42" i="11"/>
  <c r="AQ50" i="11"/>
  <c r="AK63" i="11"/>
  <c r="BR216" i="11"/>
  <c r="AT42" i="11"/>
  <c r="AW42" i="11" s="1"/>
  <c r="BP30" i="11"/>
  <c r="AL30" i="11"/>
  <c r="AS96" i="11"/>
  <c r="BQ96" i="11"/>
  <c r="AR96" i="11"/>
  <c r="AU20" i="11"/>
  <c r="BR20" i="11"/>
  <c r="AV20" i="11"/>
  <c r="AU72" i="11"/>
  <c r="BR72" i="11"/>
  <c r="AV72" i="11"/>
  <c r="BR164" i="11"/>
  <c r="AV164" i="11"/>
  <c r="AS196" i="11"/>
  <c r="BQ196" i="11"/>
  <c r="AR196" i="11"/>
  <c r="AQ67" i="11"/>
  <c r="AH67" i="11"/>
  <c r="AR67" i="11"/>
  <c r="AI67" i="11"/>
  <c r="BO67" i="11"/>
  <c r="AJ67" i="11"/>
  <c r="AQ30" i="11"/>
  <c r="AH30" i="11"/>
  <c r="Z44" i="11"/>
  <c r="BP44" i="11"/>
  <c r="BO44" i="11"/>
  <c r="AL37" i="11"/>
  <c r="AK37" i="11"/>
  <c r="AU37" i="11"/>
  <c r="AX37" i="11" s="1"/>
  <c r="BR37" i="11"/>
  <c r="AV37" i="11"/>
  <c r="AY37" i="11" s="1"/>
  <c r="AT37" i="11"/>
  <c r="AW37" i="11" s="1"/>
  <c r="AM37" i="11"/>
  <c r="BP37" i="11"/>
  <c r="AS152" i="11"/>
  <c r="AT138" i="11"/>
  <c r="AQ233" i="11"/>
  <c r="AZ233" i="11" s="1"/>
  <c r="AK136" i="11"/>
  <c r="AU92" i="11"/>
  <c r="AH34" i="11"/>
  <c r="AT79" i="11"/>
  <c r="AW79" i="11" s="1"/>
  <c r="BR176" i="11"/>
  <c r="AV224" i="11"/>
  <c r="AY224" i="11" s="1"/>
  <c r="AV42" i="11"/>
  <c r="AY42" i="11" s="1"/>
  <c r="AM10" i="11"/>
  <c r="AT10" i="11"/>
  <c r="AW10" i="11" s="1"/>
  <c r="BO272" i="11"/>
  <c r="Z272" i="11"/>
  <c r="BP272" i="11"/>
  <c r="AR228" i="11"/>
  <c r="BR225" i="11"/>
  <c r="AV225" i="11"/>
  <c r="AY225" i="11" s="1"/>
  <c r="BP225" i="11"/>
  <c r="AM225" i="11"/>
  <c r="AL225" i="11"/>
  <c r="BP210" i="11"/>
  <c r="BO210" i="11"/>
  <c r="Z210" i="11"/>
  <c r="AT192" i="11"/>
  <c r="AW192" i="11" s="1"/>
  <c r="BR192" i="11"/>
  <c r="AV192" i="11"/>
  <c r="AY192" i="11" s="1"/>
  <c r="AM192" i="11"/>
  <c r="BP192" i="11"/>
  <c r="AH161" i="11"/>
  <c r="AR161" i="11"/>
  <c r="BP78" i="11"/>
  <c r="BO78" i="11"/>
  <c r="Z78" i="11"/>
  <c r="BP59" i="11"/>
  <c r="Z59" i="11"/>
  <c r="BO59" i="11"/>
  <c r="BO190" i="11"/>
  <c r="AU232" i="11"/>
  <c r="AX232" i="11" s="1"/>
  <c r="BR272" i="11"/>
  <c r="AM268" i="11"/>
  <c r="AR236" i="11"/>
  <c r="BP228" i="11"/>
  <c r="BO228" i="11"/>
  <c r="BS228" i="11" s="1"/>
  <c r="AA228" i="3" s="1"/>
  <c r="Z228" i="11"/>
  <c r="AQ217" i="11"/>
  <c r="AS217" i="11"/>
  <c r="BQ217" i="11"/>
  <c r="AJ217" i="11"/>
  <c r="AI217" i="11"/>
  <c r="BO217" i="11"/>
  <c r="AQ208" i="11"/>
  <c r="AH208" i="11"/>
  <c r="AS208" i="11"/>
  <c r="BQ208" i="11"/>
  <c r="AI208" i="11"/>
  <c r="BA208" i="11" s="1"/>
  <c r="BO208" i="11"/>
  <c r="AJ208" i="11"/>
  <c r="BP186" i="11"/>
  <c r="Z186" i="11"/>
  <c r="BO186" i="11"/>
  <c r="AT171" i="11"/>
  <c r="AW171" i="11" s="1"/>
  <c r="BR171" i="11"/>
  <c r="AV171" i="11"/>
  <c r="AY171" i="11" s="1"/>
  <c r="AL171" i="11"/>
  <c r="BP171" i="11"/>
  <c r="AM171" i="11"/>
  <c r="BQ165" i="11"/>
  <c r="AQ165" i="11"/>
  <c r="AJ165" i="11"/>
  <c r="AH165" i="11"/>
  <c r="AS165" i="11"/>
  <c r="BO165" i="11"/>
  <c r="AI165" i="11"/>
  <c r="BJ2" i="11"/>
  <c r="BO85" i="11"/>
  <c r="AT250" i="11"/>
  <c r="AW250" i="11" s="1"/>
  <c r="AK250" i="11"/>
  <c r="AV250" i="11"/>
  <c r="AY250" i="11" s="1"/>
  <c r="BP250" i="11"/>
  <c r="AL250" i="11"/>
  <c r="AM250" i="11"/>
  <c r="AK227" i="11"/>
  <c r="BR227" i="11"/>
  <c r="AV227" i="11"/>
  <c r="AY227" i="11" s="1"/>
  <c r="BP227" i="11"/>
  <c r="AL227" i="11"/>
  <c r="AM227" i="11"/>
  <c r="AK186" i="11"/>
  <c r="BR186" i="11"/>
  <c r="AL186" i="11"/>
  <c r="AV186" i="11"/>
  <c r="AY186" i="11" s="1"/>
  <c r="AM186" i="11"/>
  <c r="AU186" i="11"/>
  <c r="AX186" i="11" s="1"/>
  <c r="AK163" i="11"/>
  <c r="AT163" i="11"/>
  <c r="AW163" i="11" s="1"/>
  <c r="AM163" i="11"/>
  <c r="BP163" i="11"/>
  <c r="BQ72" i="11"/>
  <c r="AS72" i="11"/>
  <c r="AR72" i="11"/>
  <c r="BA72" i="11" s="1"/>
  <c r="AS112" i="11"/>
  <c r="BQ112" i="11"/>
  <c r="AS264" i="11"/>
  <c r="AR264" i="11"/>
  <c r="BQ264" i="11"/>
  <c r="AS140" i="11"/>
  <c r="BR92" i="11"/>
  <c r="AK109" i="11"/>
  <c r="BR34" i="11"/>
  <c r="AV56" i="11"/>
  <c r="AM42" i="11"/>
  <c r="AS292" i="11"/>
  <c r="BQ292" i="11"/>
  <c r="AR292" i="11"/>
  <c r="BR88" i="11"/>
  <c r="AV88" i="11"/>
  <c r="BR124" i="11"/>
  <c r="AV124" i="11"/>
  <c r="AU124" i="11"/>
  <c r="BQ184" i="11"/>
  <c r="AR184" i="11"/>
  <c r="BQ220" i="11"/>
  <c r="AS220" i="11"/>
  <c r="AS232" i="11"/>
  <c r="BQ232" i="11"/>
  <c r="AS240" i="11"/>
  <c r="AR240" i="11"/>
  <c r="BQ240" i="11"/>
  <c r="AS252" i="11"/>
  <c r="BQ252" i="11"/>
  <c r="AR252" i="11"/>
  <c r="AV256" i="11"/>
  <c r="AU256" i="11"/>
  <c r="BR256" i="11"/>
  <c r="BR264" i="11"/>
  <c r="AV264" i="11"/>
  <c r="AU264" i="11"/>
  <c r="BR296" i="11"/>
  <c r="AV296" i="11"/>
  <c r="BO55" i="11"/>
  <c r="Z55" i="11"/>
  <c r="BP55" i="11"/>
  <c r="AJ42" i="11"/>
  <c r="AH42" i="11"/>
  <c r="AZ42" i="11" s="1"/>
  <c r="AR42" i="11"/>
  <c r="AI42" i="11"/>
  <c r="BO42" i="11"/>
  <c r="AH26" i="11"/>
  <c r="AQ26" i="11"/>
  <c r="AR26" i="11"/>
  <c r="AI26" i="11"/>
  <c r="BO26" i="11"/>
  <c r="AJ26" i="11"/>
  <c r="AL22" i="11"/>
  <c r="AV22" i="11"/>
  <c r="AY22" i="11" s="1"/>
  <c r="BR22" i="11"/>
  <c r="BP22" i="11"/>
  <c r="AU22" i="11"/>
  <c r="AX22" i="11" s="1"/>
  <c r="AM22" i="11"/>
  <c r="AQ117" i="11"/>
  <c r="AH117" i="11"/>
  <c r="AS117" i="11"/>
  <c r="BQ117" i="11"/>
  <c r="BO117" i="11"/>
  <c r="AJ117" i="11"/>
  <c r="AI117" i="11"/>
  <c r="AI102" i="11"/>
  <c r="AR102" i="11"/>
  <c r="AJ102" i="11"/>
  <c r="AH102" i="11"/>
  <c r="AZ102" i="11" s="1"/>
  <c r="AU38" i="11"/>
  <c r="AX38" i="11" s="1"/>
  <c r="BR38" i="11"/>
  <c r="AV38" i="11"/>
  <c r="AY38" i="11" s="1"/>
  <c r="AL38" i="11"/>
  <c r="BP38" i="11"/>
  <c r="AM38" i="11"/>
  <c r="AK67" i="11"/>
  <c r="AT145" i="11"/>
  <c r="AW145" i="11" s="1"/>
  <c r="BR145" i="11"/>
  <c r="AV145" i="11"/>
  <c r="AY145" i="11" s="1"/>
  <c r="AM145" i="11"/>
  <c r="AK207" i="11"/>
  <c r="AK30" i="11"/>
  <c r="AU288" i="11"/>
  <c r="AK22" i="11"/>
  <c r="AV152" i="11"/>
  <c r="AV60" i="11"/>
  <c r="AU104" i="11"/>
  <c r="AU34" i="11"/>
  <c r="AX34" i="11" s="1"/>
  <c r="BR100" i="11"/>
  <c r="AR284" i="11"/>
  <c r="BA137" i="11"/>
  <c r="AK145" i="11"/>
  <c r="BR17" i="11"/>
  <c r="AV17" i="11"/>
  <c r="AY17" i="11" s="1"/>
  <c r="AT17" i="11"/>
  <c r="AM17" i="11"/>
  <c r="AL17" i="11"/>
  <c r="BP17" i="11"/>
  <c r="AV112" i="11"/>
  <c r="AY112" i="11" s="1"/>
  <c r="AM30" i="11"/>
  <c r="AI30" i="11"/>
  <c r="AU30" i="11"/>
  <c r="AX30" i="11" s="1"/>
  <c r="BO4" i="11"/>
  <c r="BQ56" i="11"/>
  <c r="AR56" i="11"/>
  <c r="AS68" i="11"/>
  <c r="AR68" i="11"/>
  <c r="BQ68" i="11"/>
  <c r="BQ80" i="11"/>
  <c r="AR80" i="11"/>
  <c r="BA80" i="11" s="1"/>
  <c r="AS80" i="11"/>
  <c r="AS92" i="11"/>
  <c r="BQ92" i="11"/>
  <c r="AR92" i="11"/>
  <c r="AS104" i="11"/>
  <c r="BQ104" i="11"/>
  <c r="AS132" i="11"/>
  <c r="BQ132" i="11"/>
  <c r="AS144" i="11"/>
  <c r="BQ144" i="11"/>
  <c r="AR144" i="11"/>
  <c r="AS156" i="11"/>
  <c r="AR156" i="11"/>
  <c r="BQ156" i="11"/>
  <c r="BQ168" i="11"/>
  <c r="AR168" i="11"/>
  <c r="AS168" i="11"/>
  <c r="AU184" i="11"/>
  <c r="BR184" i="11"/>
  <c r="AV184" i="11"/>
  <c r="BR196" i="11"/>
  <c r="AV196" i="11"/>
  <c r="AU196" i="11"/>
  <c r="BR240" i="11"/>
  <c r="AV240" i="11"/>
  <c r="AU240" i="11"/>
  <c r="AS248" i="11"/>
  <c r="BQ248" i="11"/>
  <c r="AR248" i="11"/>
  <c r="AU252" i="11"/>
  <c r="BR252" i="11"/>
  <c r="AV252" i="11"/>
  <c r="AS268" i="11"/>
  <c r="BQ268" i="11"/>
  <c r="AS288" i="11"/>
  <c r="BB288" i="11" s="1"/>
  <c r="BQ288" i="11"/>
  <c r="AR288" i="11"/>
  <c r="AT59" i="11"/>
  <c r="AW59" i="11" s="1"/>
  <c r="BO8" i="11"/>
  <c r="Z8" i="11"/>
  <c r="BP8" i="11"/>
  <c r="BP151" i="11"/>
  <c r="BO151" i="11"/>
  <c r="Z151" i="11"/>
  <c r="Z96" i="11"/>
  <c r="BP96" i="11"/>
  <c r="BO96" i="11"/>
  <c r="BO52" i="11"/>
  <c r="Z52" i="11"/>
  <c r="BP52" i="11"/>
  <c r="AQ22" i="11"/>
  <c r="AH22" i="11"/>
  <c r="AI22" i="11"/>
  <c r="AR22" i="11"/>
  <c r="BO22" i="11"/>
  <c r="AJ22" i="11"/>
  <c r="AK102" i="11"/>
  <c r="BR102" i="11"/>
  <c r="AU102" i="11"/>
  <c r="AX102" i="11" s="1"/>
  <c r="AL102" i="11"/>
  <c r="AM102" i="11"/>
  <c r="AV102" i="11"/>
  <c r="AY102" i="11" s="1"/>
  <c r="BP48" i="11"/>
  <c r="Z48" i="11"/>
  <c r="BO48" i="11"/>
  <c r="AR38" i="11"/>
  <c r="AJ38" i="11"/>
  <c r="AI38" i="11"/>
  <c r="BO38" i="11"/>
  <c r="AT55" i="11"/>
  <c r="AW55" i="11" s="1"/>
  <c r="AH235" i="11"/>
  <c r="AS64" i="11"/>
  <c r="BQ64" i="11"/>
  <c r="BO64" i="11"/>
  <c r="AJ64" i="11"/>
  <c r="AI64" i="11"/>
  <c r="AS55" i="11"/>
  <c r="AH55" i="11"/>
  <c r="BQ55" i="11"/>
  <c r="AI55" i="11"/>
  <c r="AJ55" i="11"/>
  <c r="AR37" i="11"/>
  <c r="AJ37" i="11"/>
  <c r="AI37" i="11"/>
  <c r="BO37" i="11"/>
  <c r="AS56" i="11"/>
  <c r="AT19" i="11"/>
  <c r="AW19" i="11" s="1"/>
  <c r="AU67" i="11"/>
  <c r="AX67" i="11" s="1"/>
  <c r="AT268" i="11"/>
  <c r="AW268" i="11" s="1"/>
  <c r="AU88" i="11"/>
  <c r="AQ34" i="11"/>
  <c r="AQ38" i="11"/>
  <c r="AH50" i="11"/>
  <c r="AV109" i="11"/>
  <c r="AY109" i="11" s="1"/>
  <c r="BR132" i="11"/>
  <c r="AV163" i="11"/>
  <c r="AY163" i="11" s="1"/>
  <c r="AL163" i="11"/>
  <c r="AK55" i="11"/>
  <c r="BP34" i="11"/>
  <c r="AL34" i="11"/>
  <c r="BR250" i="11"/>
  <c r="AR176" i="11"/>
  <c r="BR224" i="11"/>
  <c r="BR42" i="11"/>
  <c r="AV100" i="11"/>
  <c r="BR284" i="11"/>
  <c r="BQ17" i="11"/>
  <c r="AH17" i="11"/>
  <c r="BO17" i="11"/>
  <c r="AI17" i="11"/>
  <c r="AS17" i="11"/>
  <c r="AJ17" i="11"/>
  <c r="AR30" i="11"/>
  <c r="AV30" i="11"/>
  <c r="AY30" i="11" s="1"/>
  <c r="BO10" i="11"/>
  <c r="BP10" i="11"/>
  <c r="AQ10" i="11"/>
  <c r="BO268" i="11"/>
  <c r="BP268" i="11"/>
  <c r="Z268" i="11"/>
  <c r="AZ212" i="11"/>
  <c r="AT200" i="11"/>
  <c r="AW200" i="11" s="1"/>
  <c r="AV200" i="11"/>
  <c r="AY200" i="11" s="1"/>
  <c r="BR200" i="11"/>
  <c r="AM200" i="11"/>
  <c r="AT198" i="11"/>
  <c r="AW198" i="11" s="1"/>
  <c r="AV198" i="11"/>
  <c r="BR198" i="11"/>
  <c r="BP198" i="11"/>
  <c r="AL198" i="11"/>
  <c r="AS192" i="11"/>
  <c r="AH192" i="11"/>
  <c r="BQ192" i="11"/>
  <c r="AJ192" i="11"/>
  <c r="BO192" i="11"/>
  <c r="AQ192" i="11"/>
  <c r="AI192" i="11"/>
  <c r="AT190" i="11"/>
  <c r="AM190" i="11"/>
  <c r="AS138" i="11"/>
  <c r="BQ138" i="11"/>
  <c r="AH138" i="11"/>
  <c r="AI138" i="11"/>
  <c r="AJ138" i="11"/>
  <c r="AI59" i="11"/>
  <c r="BR59" i="11"/>
  <c r="BO58" i="11"/>
  <c r="Z58" i="11"/>
  <c r="BP58" i="11"/>
  <c r="BR50" i="11"/>
  <c r="AV50" i="11"/>
  <c r="AY50" i="11" s="1"/>
  <c r="BP50" i="11"/>
  <c r="AM50" i="11"/>
  <c r="AU50" i="11"/>
  <c r="BP190" i="11"/>
  <c r="AU272" i="11"/>
  <c r="AX272" i="11" s="1"/>
  <c r="AV63" i="11"/>
  <c r="AK10" i="11"/>
  <c r="AI272" i="11"/>
  <c r="AQ250" i="11"/>
  <c r="AH250" i="11"/>
  <c r="AS250" i="11"/>
  <c r="BQ250" i="11"/>
  <c r="BO250" i="11"/>
  <c r="AJ250" i="11"/>
  <c r="AT235" i="11"/>
  <c r="BR235" i="11"/>
  <c r="AV235" i="11"/>
  <c r="AY235" i="11" s="1"/>
  <c r="BP235" i="11"/>
  <c r="AL235" i="11"/>
  <c r="AM235" i="11"/>
  <c r="AK233" i="11"/>
  <c r="AV233" i="11"/>
  <c r="AY233" i="11" s="1"/>
  <c r="BP233" i="11"/>
  <c r="AL233" i="11"/>
  <c r="AM233" i="11"/>
  <c r="BO218" i="11"/>
  <c r="Z218" i="11"/>
  <c r="BP218" i="11"/>
  <c r="BP209" i="11"/>
  <c r="BO209" i="11"/>
  <c r="Z209" i="11"/>
  <c r="AH136" i="11"/>
  <c r="AQ136" i="11"/>
  <c r="AS136" i="11"/>
  <c r="BQ136" i="11"/>
  <c r="AJ136" i="11"/>
  <c r="AI136" i="11"/>
  <c r="BO81" i="11"/>
  <c r="Z81" i="11"/>
  <c r="BP81" i="11"/>
  <c r="AJ10" i="11"/>
  <c r="BD82" i="11" l="1"/>
  <c r="BA33" i="11"/>
  <c r="BA289" i="11"/>
  <c r="BB152" i="11"/>
  <c r="N3" i="8"/>
  <c r="BA302" i="11"/>
  <c r="BA190" i="11"/>
  <c r="BA116" i="11"/>
  <c r="BA171" i="11"/>
  <c r="BS254" i="11"/>
  <c r="AA254" i="3" s="1"/>
  <c r="BG160" i="11"/>
  <c r="BA148" i="11"/>
  <c r="BA293" i="11"/>
  <c r="BA126" i="11"/>
  <c r="BA239" i="11"/>
  <c r="BA106" i="11"/>
  <c r="BA242" i="11"/>
  <c r="BA204" i="11"/>
  <c r="BA176" i="11"/>
  <c r="BS126" i="11"/>
  <c r="AA126" i="3" s="1"/>
  <c r="BA157" i="11"/>
  <c r="BA260" i="11"/>
  <c r="BS32" i="11"/>
  <c r="AA32" i="3" s="1"/>
  <c r="BA227" i="11"/>
  <c r="BB257" i="11"/>
  <c r="BA284" i="11"/>
  <c r="BG77" i="11"/>
  <c r="BT246" i="11"/>
  <c r="BI246" i="11" s="1"/>
  <c r="BF98" i="11"/>
  <c r="BA151" i="11"/>
  <c r="BS297" i="11"/>
  <c r="AA297" i="3" s="1"/>
  <c r="F4" i="8" a="1"/>
  <c r="F4" i="8" s="1"/>
  <c r="E4" i="8" s="1"/>
  <c r="Y3" i="8"/>
  <c r="H3" i="8" s="1"/>
  <c r="X3" i="8"/>
  <c r="G3" i="8" s="1"/>
  <c r="D3" i="8"/>
  <c r="I3" i="8"/>
  <c r="B4" i="17"/>
  <c r="B15" i="18" s="1"/>
  <c r="C4" i="17"/>
  <c r="C15" i="18" s="1"/>
  <c r="BB82" i="11"/>
  <c r="BA16" i="11"/>
  <c r="BA169" i="11"/>
  <c r="BA150" i="11"/>
  <c r="BA192" i="11"/>
  <c r="BA133" i="11"/>
  <c r="BA178" i="11"/>
  <c r="BA244" i="11"/>
  <c r="BC214" i="11"/>
  <c r="BA70" i="11"/>
  <c r="BB63" i="11"/>
  <c r="BA175" i="11"/>
  <c r="BA53" i="11"/>
  <c r="BS167" i="11"/>
  <c r="AA167" i="3" s="1"/>
  <c r="BA174" i="11"/>
  <c r="BA237" i="11"/>
  <c r="BD290" i="11"/>
  <c r="BB45" i="11"/>
  <c r="BA268" i="11"/>
  <c r="BA234" i="11"/>
  <c r="BS242" i="11"/>
  <c r="AA242" i="3" s="1"/>
  <c r="BA142" i="11"/>
  <c r="BA165" i="11"/>
  <c r="BA188" i="11"/>
  <c r="BA303" i="11"/>
  <c r="BA254" i="11"/>
  <c r="BB76" i="11"/>
  <c r="BA45" i="11"/>
  <c r="BA125" i="11"/>
  <c r="BA220" i="11"/>
  <c r="BD226" i="11"/>
  <c r="BA21" i="11"/>
  <c r="BA28" i="11"/>
  <c r="BA143" i="11"/>
  <c r="BB245" i="11"/>
  <c r="BS239" i="11"/>
  <c r="AA239" i="3" s="1"/>
  <c r="BA36" i="11"/>
  <c r="BS236" i="11"/>
  <c r="AA236" i="3" s="1"/>
  <c r="BA79" i="11"/>
  <c r="BA274" i="11"/>
  <c r="BA301" i="11"/>
  <c r="BB223" i="11"/>
  <c r="BB278" i="11"/>
  <c r="BD194" i="11"/>
  <c r="BA279" i="11"/>
  <c r="BD285" i="11"/>
  <c r="BA114" i="11"/>
  <c r="BA278" i="11"/>
  <c r="BG76" i="11"/>
  <c r="BT158" i="11"/>
  <c r="H158" i="13" s="1"/>
  <c r="BB148" i="11"/>
  <c r="BA76" i="11"/>
  <c r="BA110" i="11"/>
  <c r="BA298" i="11"/>
  <c r="BB60" i="11"/>
  <c r="BB253" i="11"/>
  <c r="BB91" i="11"/>
  <c r="BA103" i="11"/>
  <c r="BG292" i="11"/>
  <c r="BT134" i="11"/>
  <c r="Z134" i="3" s="1"/>
  <c r="BG96" i="11"/>
  <c r="BT87" i="11"/>
  <c r="H87" i="13" s="1"/>
  <c r="BE107" i="11"/>
  <c r="BH107" i="11" s="1"/>
  <c r="BT140" i="11"/>
  <c r="BI140" i="11" s="1"/>
  <c r="F15" i="18"/>
  <c r="E5" i="17" a="1"/>
  <c r="E5" i="17" s="1"/>
  <c r="B5" i="17" s="1"/>
  <c r="B31" i="18" s="1"/>
  <c r="AZ141" i="11"/>
  <c r="BE140" i="11"/>
  <c r="BH140" i="11" s="1"/>
  <c r="BD292" i="11"/>
  <c r="AP107" i="11"/>
  <c r="I63" i="13"/>
  <c r="AA63" i="3"/>
  <c r="I212" i="13"/>
  <c r="AA212" i="3"/>
  <c r="AA143" i="3"/>
  <c r="AA303" i="3"/>
  <c r="I279" i="13"/>
  <c r="AA279" i="3"/>
  <c r="I223" i="13"/>
  <c r="AA223" i="3"/>
  <c r="I231" i="13"/>
  <c r="AA231" i="3"/>
  <c r="AA265" i="3"/>
  <c r="AA155" i="3"/>
  <c r="AA241" i="3"/>
  <c r="H246" i="13"/>
  <c r="Z246" i="3"/>
  <c r="BT4" i="11"/>
  <c r="BI4" i="11" s="1"/>
  <c r="AC4" i="3" s="1"/>
  <c r="BC50" i="11"/>
  <c r="BT230" i="11"/>
  <c r="BD134" i="11"/>
  <c r="BG140" i="11"/>
  <c r="BD96" i="11"/>
  <c r="BD81" i="11"/>
  <c r="BT200" i="11"/>
  <c r="BI200" i="11" s="1"/>
  <c r="BD200" i="11"/>
  <c r="BF183" i="11"/>
  <c r="BC107" i="11"/>
  <c r="BT280" i="11"/>
  <c r="BI280" i="11" s="1"/>
  <c r="BG174" i="11"/>
  <c r="BT107" i="11"/>
  <c r="BF286" i="11"/>
  <c r="BF292" i="11"/>
  <c r="BG136" i="11"/>
  <c r="BC292" i="11"/>
  <c r="BD136" i="11"/>
  <c r="BS302" i="11"/>
  <c r="I302" i="13" s="1"/>
  <c r="BD111" i="11"/>
  <c r="BG230" i="11"/>
  <c r="BE292" i="11"/>
  <c r="BC183" i="11"/>
  <c r="BC286" i="11"/>
  <c r="BG134" i="11"/>
  <c r="BD77" i="11"/>
  <c r="BD230" i="11"/>
  <c r="AO111" i="11"/>
  <c r="BG111" i="11" s="1"/>
  <c r="BC158" i="11"/>
  <c r="BS114" i="11"/>
  <c r="BC225" i="11"/>
  <c r="BE211" i="11"/>
  <c r="BG87" i="11"/>
  <c r="BT183" i="11"/>
  <c r="BI183" i="11" s="1"/>
  <c r="BF158" i="11"/>
  <c r="BS82" i="11"/>
  <c r="BC230" i="11"/>
  <c r="BF264" i="11"/>
  <c r="BD78" i="11"/>
  <c r="BF134" i="11"/>
  <c r="BG141" i="11"/>
  <c r="BC127" i="11"/>
  <c r="BT141" i="11"/>
  <c r="BI141" i="11" s="1"/>
  <c r="BT292" i="11"/>
  <c r="BC140" i="11"/>
  <c r="BT286" i="11"/>
  <c r="BI286" i="11" s="1"/>
  <c r="BD52" i="11"/>
  <c r="BF140" i="11"/>
  <c r="BC134" i="11"/>
  <c r="BD140" i="11"/>
  <c r="BC260" i="11"/>
  <c r="BT179" i="11"/>
  <c r="BI179" i="11" s="1"/>
  <c r="BS66" i="11"/>
  <c r="AZ272" i="11"/>
  <c r="BD114" i="11"/>
  <c r="BE44" i="11"/>
  <c r="BT172" i="11"/>
  <c r="BI172" i="11" s="1"/>
  <c r="BG159" i="11"/>
  <c r="BF191" i="11"/>
  <c r="BG281" i="11"/>
  <c r="BG262" i="11"/>
  <c r="BD192" i="11"/>
  <c r="AN215" i="11"/>
  <c r="BF215" i="11" s="1"/>
  <c r="BD141" i="11"/>
  <c r="BF295" i="11"/>
  <c r="BG263" i="11"/>
  <c r="BD283" i="11"/>
  <c r="BC141" i="11"/>
  <c r="BF87" i="11"/>
  <c r="BC87" i="11"/>
  <c r="BF122" i="11"/>
  <c r="BF284" i="11"/>
  <c r="BC280" i="11"/>
  <c r="BC156" i="11"/>
  <c r="BE141" i="11"/>
  <c r="BH141" i="11" s="1"/>
  <c r="BT20" i="11"/>
  <c r="BI20" i="11" s="1"/>
  <c r="AC20" i="3" s="1"/>
  <c r="BD275" i="11"/>
  <c r="BT205" i="11"/>
  <c r="BI205" i="11" s="1"/>
  <c r="BG275" i="11"/>
  <c r="BF119" i="11"/>
  <c r="BT88" i="11"/>
  <c r="BI88" i="11" s="1"/>
  <c r="BD210" i="11"/>
  <c r="BG137" i="11"/>
  <c r="BD189" i="11"/>
  <c r="BF280" i="11"/>
  <c r="BF246" i="11"/>
  <c r="BD215" i="11"/>
  <c r="BT213" i="11"/>
  <c r="BI213" i="11" s="1"/>
  <c r="BT108" i="11"/>
  <c r="BI108" i="11" s="1"/>
  <c r="BT33" i="11"/>
  <c r="BI33" i="11" s="1"/>
  <c r="AC33" i="3" s="1"/>
  <c r="BE87" i="11"/>
  <c r="BT195" i="11"/>
  <c r="BI195" i="11" s="1"/>
  <c r="BT288" i="11"/>
  <c r="BI288" i="11" s="1"/>
  <c r="AO215" i="11"/>
  <c r="BG215" i="11" s="1"/>
  <c r="BT199" i="11"/>
  <c r="BI199" i="11" s="1"/>
  <c r="BT279" i="11"/>
  <c r="BI279" i="11" s="1"/>
  <c r="AO81" i="11"/>
  <c r="BG81" i="11" s="1"/>
  <c r="BS106" i="11"/>
  <c r="BB194" i="11"/>
  <c r="AO194" i="11"/>
  <c r="BG194" i="11" s="1"/>
  <c r="BD173" i="11"/>
  <c r="BC246" i="11"/>
  <c r="BS278" i="11"/>
  <c r="BT271" i="11"/>
  <c r="BI271" i="11" s="1"/>
  <c r="BF281" i="11"/>
  <c r="BD299" i="11"/>
  <c r="BF297" i="11"/>
  <c r="BO146" i="11"/>
  <c r="BS146" i="11" s="1"/>
  <c r="BP146" i="11"/>
  <c r="BT146" i="11" s="1"/>
  <c r="BI146" i="11" s="1"/>
  <c r="AZ302" i="11"/>
  <c r="BP138" i="11"/>
  <c r="BT138" i="11" s="1"/>
  <c r="BI138" i="11" s="1"/>
  <c r="BO138" i="11"/>
  <c r="BS138" i="11" s="1"/>
  <c r="BC104" i="11"/>
  <c r="BC248" i="11"/>
  <c r="BB147" i="11"/>
  <c r="BS234" i="11"/>
  <c r="D4" i="17"/>
  <c r="D15" i="18" s="1"/>
  <c r="BF180" i="11"/>
  <c r="AZ281" i="11"/>
  <c r="AZ206" i="11"/>
  <c r="AZ296" i="11"/>
  <c r="BP298" i="11"/>
  <c r="BT298" i="11" s="1"/>
  <c r="BI298" i="11" s="1"/>
  <c r="BT264" i="11"/>
  <c r="BI264" i="11" s="1"/>
  <c r="Z298" i="11"/>
  <c r="Z2" i="11" s="1"/>
  <c r="BA97" i="11"/>
  <c r="BT248" i="11"/>
  <c r="BI248" i="11" s="1"/>
  <c r="BS162" i="11"/>
  <c r="BC264" i="11"/>
  <c r="BS230" i="11"/>
  <c r="AZ86" i="11"/>
  <c r="BT299" i="11"/>
  <c r="BI299" i="11" s="1"/>
  <c r="AZ112" i="11"/>
  <c r="AZ146" i="11"/>
  <c r="BT296" i="11"/>
  <c r="BI296" i="11" s="1"/>
  <c r="AZ290" i="11"/>
  <c r="BF167" i="11"/>
  <c r="BC120" i="11"/>
  <c r="BT257" i="11"/>
  <c r="BI257" i="11" s="1"/>
  <c r="BE127" i="11"/>
  <c r="AZ289" i="11"/>
  <c r="AZ120" i="11"/>
  <c r="BB55" i="11"/>
  <c r="BS74" i="11"/>
  <c r="BB15" i="11"/>
  <c r="AZ170" i="11"/>
  <c r="BB208" i="11"/>
  <c r="BT166" i="11"/>
  <c r="BI166" i="11" s="1"/>
  <c r="BS243" i="11"/>
  <c r="BC299" i="11"/>
  <c r="BT169" i="11"/>
  <c r="BI169" i="11" s="1"/>
  <c r="BB280" i="11"/>
  <c r="BB85" i="11"/>
  <c r="BB142" i="11"/>
  <c r="BB233" i="11"/>
  <c r="BB32" i="11"/>
  <c r="AZ209" i="11"/>
  <c r="BC218" i="11"/>
  <c r="BS225" i="11"/>
  <c r="BG204" i="11"/>
  <c r="AN299" i="11"/>
  <c r="BF299" i="11" s="1"/>
  <c r="BB138" i="11"/>
  <c r="BB127" i="11"/>
  <c r="BT282" i="11"/>
  <c r="BI282" i="11" s="1"/>
  <c r="BB237" i="11"/>
  <c r="BC167" i="11"/>
  <c r="BS237" i="11"/>
  <c r="BA299" i="11"/>
  <c r="BF211" i="11"/>
  <c r="BT167" i="11"/>
  <c r="BI167" i="11" s="1"/>
  <c r="BC211" i="11"/>
  <c r="BT263" i="11"/>
  <c r="BI263" i="11" s="1"/>
  <c r="BA296" i="11"/>
  <c r="BG167" i="11"/>
  <c r="BD167" i="11"/>
  <c r="BT211" i="11"/>
  <c r="BI211" i="11" s="1"/>
  <c r="AZ237" i="11"/>
  <c r="BB211" i="11"/>
  <c r="BF263" i="11"/>
  <c r="AX299" i="11"/>
  <c r="BG299" i="11" s="1"/>
  <c r="BC263" i="11"/>
  <c r="AZ243" i="11"/>
  <c r="BE284" i="11"/>
  <c r="BS296" i="11"/>
  <c r="BA290" i="11"/>
  <c r="BS87" i="11"/>
  <c r="BT281" i="11"/>
  <c r="BI281" i="11" s="1"/>
  <c r="BG143" i="11"/>
  <c r="AZ240" i="11"/>
  <c r="BC284" i="11"/>
  <c r="BT284" i="11"/>
  <c r="BI284" i="11" s="1"/>
  <c r="BB261" i="11"/>
  <c r="BD281" i="11"/>
  <c r="BA270" i="11"/>
  <c r="BT178" i="11"/>
  <c r="BI178" i="11" s="1"/>
  <c r="BD263" i="11"/>
  <c r="BC281" i="11"/>
  <c r="BC201" i="11"/>
  <c r="BS147" i="11"/>
  <c r="BA282" i="11"/>
  <c r="BS159" i="11"/>
  <c r="BT5" i="11"/>
  <c r="BI5" i="11" s="1"/>
  <c r="AC5" i="3" s="1"/>
  <c r="BF185" i="11"/>
  <c r="BS290" i="11"/>
  <c r="BC257" i="11"/>
  <c r="BF257" i="11"/>
  <c r="BS139" i="11"/>
  <c r="BB290" i="11"/>
  <c r="BC81" i="11"/>
  <c r="BF290" i="11"/>
  <c r="BA147" i="11"/>
  <c r="BG187" i="11"/>
  <c r="BB300" i="11"/>
  <c r="BF178" i="11"/>
  <c r="AO172" i="11"/>
  <c r="BG172" i="11" s="1"/>
  <c r="AZ32" i="11"/>
  <c r="BA87" i="11"/>
  <c r="BT74" i="11"/>
  <c r="BI74" i="11" s="1"/>
  <c r="AN81" i="11"/>
  <c r="BF81" i="11" s="1"/>
  <c r="AZ153" i="11"/>
  <c r="I241" i="13"/>
  <c r="BS52" i="11"/>
  <c r="BC191" i="11"/>
  <c r="BB296" i="11"/>
  <c r="BT71" i="11"/>
  <c r="BI71" i="11" s="1"/>
  <c r="BC129" i="11"/>
  <c r="BE28" i="11"/>
  <c r="AZ229" i="11"/>
  <c r="BB260" i="11"/>
  <c r="BT52" i="11"/>
  <c r="BI52" i="11" s="1"/>
  <c r="BS160" i="11"/>
  <c r="AZ230" i="11"/>
  <c r="BA81" i="11"/>
  <c r="AZ126" i="11"/>
  <c r="BF261" i="11"/>
  <c r="AZ286" i="11"/>
  <c r="BF199" i="11"/>
  <c r="BC119" i="11"/>
  <c r="BS73" i="11"/>
  <c r="BS262" i="11"/>
  <c r="BS166" i="11"/>
  <c r="AO52" i="11"/>
  <c r="BG52" i="11" s="1"/>
  <c r="BA275" i="11"/>
  <c r="AZ258" i="11"/>
  <c r="AO210" i="11"/>
  <c r="BG210" i="11" s="1"/>
  <c r="AN129" i="11"/>
  <c r="BF129" i="11" s="1"/>
  <c r="AO285" i="11"/>
  <c r="BG285" i="11" s="1"/>
  <c r="BA68" i="11"/>
  <c r="BD266" i="11"/>
  <c r="BC178" i="11"/>
  <c r="BB26" i="11"/>
  <c r="BC244" i="11"/>
  <c r="BS224" i="11"/>
  <c r="BS25" i="11"/>
  <c r="BB191" i="11"/>
  <c r="AZ73" i="11"/>
  <c r="BB83" i="11"/>
  <c r="AZ248" i="11"/>
  <c r="AZ176" i="11"/>
  <c r="AZ292" i="11"/>
  <c r="BG236" i="11"/>
  <c r="BG218" i="11"/>
  <c r="BC213" i="11"/>
  <c r="BC118" i="11"/>
  <c r="AN127" i="11"/>
  <c r="BF127" i="11" s="1"/>
  <c r="BS218" i="11"/>
  <c r="AN104" i="11"/>
  <c r="BF104" i="11" s="1"/>
  <c r="BT100" i="11"/>
  <c r="BI100" i="11" s="1"/>
  <c r="BG222" i="11"/>
  <c r="BC188" i="11"/>
  <c r="BA241" i="11"/>
  <c r="BA63" i="11"/>
  <c r="BF143" i="11"/>
  <c r="BA78" i="11"/>
  <c r="BD160" i="11"/>
  <c r="BC74" i="11"/>
  <c r="BT14" i="11"/>
  <c r="BI14" i="11" s="1"/>
  <c r="AC14" i="3" s="1"/>
  <c r="BA136" i="11"/>
  <c r="AO290" i="11"/>
  <c r="BG290" i="11" s="1"/>
  <c r="BC4" i="11"/>
  <c r="BB248" i="11"/>
  <c r="BT104" i="11"/>
  <c r="BI104" i="11" s="1"/>
  <c r="AO226" i="11"/>
  <c r="BG226" i="11" s="1"/>
  <c r="BE286" i="11"/>
  <c r="BF144" i="11"/>
  <c r="BC243" i="11"/>
  <c r="BB270" i="11"/>
  <c r="BB70" i="11"/>
  <c r="BA162" i="11"/>
  <c r="BT269" i="11"/>
  <c r="BI269" i="11" s="1"/>
  <c r="BT61" i="11"/>
  <c r="BI61" i="11" s="1"/>
  <c r="BT130" i="11"/>
  <c r="BI130" i="11" s="1"/>
  <c r="BF155" i="11"/>
  <c r="BE276" i="11"/>
  <c r="BF21" i="11"/>
  <c r="AZ222" i="11"/>
  <c r="BF118" i="11"/>
  <c r="BA283" i="11"/>
  <c r="BF258" i="11"/>
  <c r="BC288" i="11"/>
  <c r="BF187" i="11"/>
  <c r="BE70" i="11"/>
  <c r="BB263" i="11"/>
  <c r="BF152" i="11"/>
  <c r="BD5" i="11"/>
  <c r="BC144" i="11"/>
  <c r="BS48" i="11"/>
  <c r="BC143" i="11"/>
  <c r="BB132" i="11"/>
  <c r="BS80" i="11"/>
  <c r="BD298" i="11"/>
  <c r="BC98" i="11"/>
  <c r="BA196" i="11"/>
  <c r="BF244" i="11"/>
  <c r="BT188" i="11"/>
  <c r="BI188" i="11" s="1"/>
  <c r="BT168" i="11"/>
  <c r="BI168" i="11" s="1"/>
  <c r="AZ225" i="11"/>
  <c r="BB228" i="11"/>
  <c r="BE187" i="11"/>
  <c r="BH187" i="11" s="1"/>
  <c r="BC168" i="11"/>
  <c r="BD218" i="11"/>
  <c r="BC297" i="11"/>
  <c r="BS196" i="11"/>
  <c r="BS284" i="11"/>
  <c r="BS245" i="11"/>
  <c r="BB230" i="11"/>
  <c r="BF209" i="11"/>
  <c r="AZ107" i="11"/>
  <c r="BG295" i="11"/>
  <c r="BA141" i="11"/>
  <c r="BT189" i="11"/>
  <c r="BI189" i="11" s="1"/>
  <c r="BA158" i="11"/>
  <c r="BF234" i="11"/>
  <c r="BC274" i="11"/>
  <c r="AN274" i="11"/>
  <c r="BF274" i="11" s="1"/>
  <c r="AX4" i="11"/>
  <c r="BG4" i="11" s="1"/>
  <c r="BD4" i="11"/>
  <c r="AX296" i="11"/>
  <c r="BG296" i="11" s="1"/>
  <c r="BD296" i="11"/>
  <c r="AZ275" i="11"/>
  <c r="BC187" i="11"/>
  <c r="AN288" i="11"/>
  <c r="BF288" i="11" s="1"/>
  <c r="BC53" i="11"/>
  <c r="BG70" i="11"/>
  <c r="BC122" i="11"/>
  <c r="BB284" i="11"/>
  <c r="BB164" i="11"/>
  <c r="BD193" i="11"/>
  <c r="BA245" i="11"/>
  <c r="BB221" i="11"/>
  <c r="BB209" i="11"/>
  <c r="BS282" i="11"/>
  <c r="BF52" i="11"/>
  <c r="BT295" i="11"/>
  <c r="BI295" i="11" s="1"/>
  <c r="AZ246" i="11"/>
  <c r="BT148" i="11"/>
  <c r="BI148" i="11" s="1"/>
  <c r="BS6" i="11"/>
  <c r="BS172" i="11"/>
  <c r="AW279" i="11"/>
  <c r="BF279" i="11" s="1"/>
  <c r="BC279" i="11"/>
  <c r="BG193" i="11"/>
  <c r="BB222" i="11"/>
  <c r="BD204" i="11"/>
  <c r="AP276" i="11"/>
  <c r="BE179" i="11"/>
  <c r="BH179" i="11" s="1"/>
  <c r="BC234" i="11"/>
  <c r="BE297" i="11"/>
  <c r="BC57" i="11"/>
  <c r="BB256" i="11"/>
  <c r="BD159" i="11"/>
  <c r="BA280" i="11"/>
  <c r="BF74" i="11"/>
  <c r="BB183" i="11"/>
  <c r="BB226" i="11"/>
  <c r="BS187" i="11"/>
  <c r="BB141" i="11"/>
  <c r="BB179" i="11"/>
  <c r="BC47" i="11"/>
  <c r="BG261" i="11"/>
  <c r="BB243" i="11"/>
  <c r="AP293" i="11"/>
  <c r="BE293" i="11"/>
  <c r="BS244" i="11"/>
  <c r="AZ162" i="11"/>
  <c r="BA246" i="11"/>
  <c r="BF153" i="11"/>
  <c r="BG25" i="11"/>
  <c r="BT152" i="11"/>
  <c r="BI152" i="11" s="1"/>
  <c r="BA215" i="11"/>
  <c r="BF175" i="11"/>
  <c r="BB269" i="11"/>
  <c r="BA154" i="11"/>
  <c r="BC77" i="11"/>
  <c r="BB295" i="11"/>
  <c r="BF76" i="11"/>
  <c r="BT149" i="11"/>
  <c r="BI149" i="11" s="1"/>
  <c r="AZ167" i="11"/>
  <c r="BB276" i="11"/>
  <c r="BS134" i="11"/>
  <c r="BA172" i="11"/>
  <c r="BG53" i="11"/>
  <c r="BA261" i="11"/>
  <c r="BA191" i="11"/>
  <c r="BF137" i="11"/>
  <c r="AZ284" i="11"/>
  <c r="BF193" i="11"/>
  <c r="BA288" i="11"/>
  <c r="BB168" i="11"/>
  <c r="BB240" i="11"/>
  <c r="BS100" i="11"/>
  <c r="BA300" i="11"/>
  <c r="BE135" i="11"/>
  <c r="BH135" i="11" s="1"/>
  <c r="BA74" i="11"/>
  <c r="BS101" i="11"/>
  <c r="BC193" i="11"/>
  <c r="BS141" i="11"/>
  <c r="BT40" i="11"/>
  <c r="BI40" i="11" s="1"/>
  <c r="AC40" i="3" s="1"/>
  <c r="BT197" i="11"/>
  <c r="BI197" i="11" s="1"/>
  <c r="AZ77" i="11"/>
  <c r="BF106" i="11"/>
  <c r="BF82" i="11"/>
  <c r="BA255" i="11"/>
  <c r="BD269" i="11"/>
  <c r="BF224" i="11"/>
  <c r="AZ273" i="11"/>
  <c r="BF139" i="11"/>
  <c r="BA194" i="11"/>
  <c r="AZ108" i="11"/>
  <c r="AZ269" i="11"/>
  <c r="AZ75" i="11"/>
  <c r="BS276" i="11"/>
  <c r="BB158" i="11"/>
  <c r="BB73" i="11"/>
  <c r="BF66" i="11"/>
  <c r="BT262" i="11"/>
  <c r="BI262" i="11" s="1"/>
  <c r="BE74" i="11"/>
  <c r="BD25" i="11"/>
  <c r="BS300" i="11"/>
  <c r="BD236" i="11"/>
  <c r="BD70" i="11"/>
  <c r="BD242" i="11"/>
  <c r="BS183" i="11"/>
  <c r="BS110" i="11"/>
  <c r="BC169" i="11"/>
  <c r="AO179" i="11"/>
  <c r="BG179" i="11" s="1"/>
  <c r="BD179" i="11"/>
  <c r="BC33" i="11"/>
  <c r="AN33" i="11"/>
  <c r="BF33" i="11" s="1"/>
  <c r="AZ111" i="11"/>
  <c r="BT204" i="11"/>
  <c r="BI204" i="11" s="1"/>
  <c r="BF294" i="11"/>
  <c r="AY53" i="11"/>
  <c r="BE53" i="11"/>
  <c r="BH53" i="11" s="1"/>
  <c r="AN77" i="11"/>
  <c r="BF77" i="11" s="1"/>
  <c r="BT252" i="11"/>
  <c r="BI252" i="11" s="1"/>
  <c r="BB140" i="11"/>
  <c r="BD32" i="11"/>
  <c r="AO32" i="11"/>
  <c r="BG32" i="11" s="1"/>
  <c r="AO108" i="11"/>
  <c r="BG108" i="11" s="1"/>
  <c r="BD108" i="11"/>
  <c r="BC6" i="11"/>
  <c r="BA96" i="11"/>
  <c r="BC137" i="11"/>
  <c r="BD53" i="11"/>
  <c r="BG175" i="11"/>
  <c r="BC294" i="11"/>
  <c r="AX209" i="11"/>
  <c r="BG209" i="11" s="1"/>
  <c r="BD209" i="11"/>
  <c r="BG302" i="11"/>
  <c r="BD23" i="11"/>
  <c r="AN270" i="11"/>
  <c r="BF270" i="11" s="1"/>
  <c r="BC270" i="11"/>
  <c r="BG29" i="11"/>
  <c r="BB274" i="11"/>
  <c r="BF53" i="11"/>
  <c r="BT303" i="11"/>
  <c r="BT191" i="11"/>
  <c r="BI191" i="11" s="1"/>
  <c r="BF91" i="11"/>
  <c r="AZ63" i="11"/>
  <c r="AZ91" i="11"/>
  <c r="BF124" i="11"/>
  <c r="AZ282" i="11"/>
  <c r="BE25" i="11"/>
  <c r="BH25" i="11" s="1"/>
  <c r="BF213" i="11"/>
  <c r="BA264" i="11"/>
  <c r="BS186" i="11"/>
  <c r="BA217" i="11"/>
  <c r="BB196" i="11"/>
  <c r="BF188" i="11"/>
  <c r="BC185" i="11"/>
  <c r="BA40" i="11"/>
  <c r="BA12" i="11"/>
  <c r="BF265" i="11"/>
  <c r="BA25" i="11"/>
  <c r="BT90" i="11"/>
  <c r="BI90" i="11" s="1"/>
  <c r="BB197" i="11"/>
  <c r="BB219" i="11"/>
  <c r="BS179" i="11"/>
  <c r="BA269" i="11"/>
  <c r="BS135" i="11"/>
  <c r="BB246" i="11"/>
  <c r="BS222" i="11"/>
  <c r="BD142" i="11"/>
  <c r="AZ36" i="11"/>
  <c r="BA132" i="11"/>
  <c r="BD190" i="11"/>
  <c r="BA286" i="11"/>
  <c r="BA273" i="11"/>
  <c r="AZ274" i="11"/>
  <c r="AZ196" i="11"/>
  <c r="BE218" i="11"/>
  <c r="BF168" i="11"/>
  <c r="BG298" i="11"/>
  <c r="BF45" i="11"/>
  <c r="BC224" i="11"/>
  <c r="BC133" i="11"/>
  <c r="BA120" i="11"/>
  <c r="AZ295" i="11"/>
  <c r="BB46" i="11"/>
  <c r="BF220" i="11"/>
  <c r="BC151" i="11"/>
  <c r="BG234" i="11"/>
  <c r="AZ288" i="11"/>
  <c r="BB252" i="11"/>
  <c r="BT37" i="11"/>
  <c r="BI37" i="11" s="1"/>
  <c r="AC37" i="3" s="1"/>
  <c r="BD143" i="11"/>
  <c r="BE204" i="11"/>
  <c r="BH204" i="11" s="1"/>
  <c r="BA29" i="11"/>
  <c r="BD286" i="11"/>
  <c r="BT132" i="11"/>
  <c r="BI132" i="11" s="1"/>
  <c r="BD148" i="11"/>
  <c r="BS26" i="11"/>
  <c r="BG201" i="11"/>
  <c r="BT44" i="11"/>
  <c r="BI44" i="11" s="1"/>
  <c r="AC44" i="3" s="1"/>
  <c r="BC253" i="11"/>
  <c r="BA10" i="11"/>
  <c r="BC126" i="11"/>
  <c r="BT119" i="11"/>
  <c r="BI119" i="11" s="1"/>
  <c r="BC262" i="11"/>
  <c r="BB151" i="11"/>
  <c r="BG18" i="11"/>
  <c r="AZ12" i="11"/>
  <c r="BD123" i="11"/>
  <c r="BT150" i="11"/>
  <c r="BI150" i="11" s="1"/>
  <c r="BA139" i="11"/>
  <c r="BE132" i="11"/>
  <c r="BH132" i="11" s="1"/>
  <c r="BT143" i="11"/>
  <c r="BI143" i="11" s="1"/>
  <c r="AZ158" i="11"/>
  <c r="BT234" i="11"/>
  <c r="BI234" i="11" s="1"/>
  <c r="BD228" i="11"/>
  <c r="BG286" i="11"/>
  <c r="BT96" i="11"/>
  <c r="BI96" i="11" s="1"/>
  <c r="BF159" i="11"/>
  <c r="BA252" i="11"/>
  <c r="BD18" i="11"/>
  <c r="BG103" i="11"/>
  <c r="BC152" i="11"/>
  <c r="BB109" i="11"/>
  <c r="BF262" i="11"/>
  <c r="BS93" i="11"/>
  <c r="BE273" i="11"/>
  <c r="BH273" i="11" s="1"/>
  <c r="BA182" i="11"/>
  <c r="BS27" i="11"/>
  <c r="I155" i="13"/>
  <c r="AZ69" i="11"/>
  <c r="BT297" i="11"/>
  <c r="BI297" i="11" s="1"/>
  <c r="BA195" i="11"/>
  <c r="BT45" i="11"/>
  <c r="BI45" i="11" s="1"/>
  <c r="AC45" i="3" s="1"/>
  <c r="BB201" i="11"/>
  <c r="BD201" i="11"/>
  <c r="AZ130" i="11"/>
  <c r="BD239" i="11"/>
  <c r="BT203" i="11"/>
  <c r="BI203" i="11" s="1"/>
  <c r="BT103" i="11"/>
  <c r="BI103" i="11" s="1"/>
  <c r="BF132" i="11"/>
  <c r="BT255" i="11"/>
  <c r="BI255" i="11" s="1"/>
  <c r="AZ106" i="11"/>
  <c r="AZ244" i="11"/>
  <c r="BG28" i="11"/>
  <c r="BA257" i="11"/>
  <c r="BD295" i="11"/>
  <c r="BB266" i="11"/>
  <c r="BC290" i="11"/>
  <c r="BT66" i="11"/>
  <c r="BI66" i="11" s="1"/>
  <c r="AZ236" i="11"/>
  <c r="AZ88" i="11"/>
  <c r="BC90" i="11"/>
  <c r="BG205" i="11"/>
  <c r="AZ128" i="11"/>
  <c r="BB297" i="11"/>
  <c r="BA122" i="11"/>
  <c r="BT135" i="11"/>
  <c r="BI135" i="11" s="1"/>
  <c r="AZ297" i="11"/>
  <c r="AZ191" i="11"/>
  <c r="BE234" i="11"/>
  <c r="BH234" i="11" s="1"/>
  <c r="BS232" i="11"/>
  <c r="BS78" i="11"/>
  <c r="AP234" i="11"/>
  <c r="BS49" i="11"/>
  <c r="BT265" i="11"/>
  <c r="BI265" i="11" s="1"/>
  <c r="BE282" i="11"/>
  <c r="BH282" i="11" s="1"/>
  <c r="BC25" i="11"/>
  <c r="BG254" i="11"/>
  <c r="BA6" i="11"/>
  <c r="BA107" i="11"/>
  <c r="BT153" i="11"/>
  <c r="BI153" i="11" s="1"/>
  <c r="BA86" i="11"/>
  <c r="BC76" i="11"/>
  <c r="BT175" i="11"/>
  <c r="BI175" i="11" s="1"/>
  <c r="AZ224" i="11"/>
  <c r="BB6" i="11"/>
  <c r="BF71" i="11"/>
  <c r="BE290" i="11"/>
  <c r="BH290" i="11" s="1"/>
  <c r="BC66" i="11"/>
  <c r="BG5" i="11"/>
  <c r="BE242" i="11"/>
  <c r="BC242" i="11"/>
  <c r="BC258" i="11"/>
  <c r="BC61" i="11"/>
  <c r="BC105" i="11"/>
  <c r="BE193" i="11"/>
  <c r="BA183" i="11"/>
  <c r="BC175" i="11"/>
  <c r="AZ18" i="11"/>
  <c r="AZ96" i="11"/>
  <c r="BA281" i="11"/>
  <c r="BA59" i="11"/>
  <c r="BE287" i="11"/>
  <c r="BF242" i="11"/>
  <c r="BA248" i="11"/>
  <c r="BA156" i="11"/>
  <c r="BS240" i="11"/>
  <c r="BS292" i="11"/>
  <c r="BC202" i="11"/>
  <c r="AO23" i="11"/>
  <c r="BG23" i="11" s="1"/>
  <c r="AN25" i="11"/>
  <c r="BF25" i="11" s="1"/>
  <c r="BF105" i="11"/>
  <c r="BB236" i="11"/>
  <c r="BB34" i="11"/>
  <c r="BC301" i="11"/>
  <c r="BS189" i="11"/>
  <c r="BS177" i="11"/>
  <c r="BC199" i="11"/>
  <c r="BB87" i="11"/>
  <c r="BA153" i="11"/>
  <c r="BT147" i="11"/>
  <c r="BI147" i="11" s="1"/>
  <c r="BS120" i="11"/>
  <c r="BA226" i="11"/>
  <c r="BD282" i="11"/>
  <c r="BB251" i="11"/>
  <c r="AZ8" i="11"/>
  <c r="BS33" i="11"/>
  <c r="BT6" i="11"/>
  <c r="BI6" i="11" s="1"/>
  <c r="AC6" i="3" s="1"/>
  <c r="BA250" i="11"/>
  <c r="AZ60" i="11"/>
  <c r="BF301" i="11"/>
  <c r="AZ123" i="11"/>
  <c r="BA240" i="11"/>
  <c r="BF202" i="11"/>
  <c r="BA228" i="11"/>
  <c r="BC111" i="11"/>
  <c r="BG266" i="11"/>
  <c r="BC153" i="11"/>
  <c r="BA256" i="11"/>
  <c r="AN271" i="11"/>
  <c r="BF271" i="11" s="1"/>
  <c r="BB181" i="11"/>
  <c r="AO82" i="11"/>
  <c r="BG82" i="11" s="1"/>
  <c r="BT105" i="11"/>
  <c r="BI105" i="11" s="1"/>
  <c r="BS54" i="11"/>
  <c r="AO189" i="11"/>
  <c r="BG189" i="11" s="1"/>
  <c r="BB167" i="11"/>
  <c r="BB71" i="11"/>
  <c r="BT21" i="11"/>
  <c r="BI21" i="11" s="1"/>
  <c r="BT97" i="11"/>
  <c r="BI97" i="11" s="1"/>
  <c r="BT266" i="11"/>
  <c r="BI266" i="11" s="1"/>
  <c r="BF254" i="11"/>
  <c r="BT193" i="11"/>
  <c r="BI193" i="11" s="1"/>
  <c r="BT106" i="11"/>
  <c r="BI106" i="11" s="1"/>
  <c r="AZ122" i="11"/>
  <c r="AZ97" i="11"/>
  <c r="BS214" i="11"/>
  <c r="BS174" i="11"/>
  <c r="BB244" i="11"/>
  <c r="BF229" i="11"/>
  <c r="BT220" i="11"/>
  <c r="BI220" i="11" s="1"/>
  <c r="BS24" i="11"/>
  <c r="BT114" i="11"/>
  <c r="BI114" i="11" s="1"/>
  <c r="BC223" i="11"/>
  <c r="BA295" i="11"/>
  <c r="BD138" i="11"/>
  <c r="AO138" i="11"/>
  <c r="BG138" i="11" s="1"/>
  <c r="AZ134" i="11"/>
  <c r="BC32" i="11"/>
  <c r="BT176" i="11"/>
  <c r="BI176" i="11" s="1"/>
  <c r="BC135" i="11"/>
  <c r="AP290" i="11"/>
  <c r="BB189" i="11"/>
  <c r="BS213" i="11"/>
  <c r="BD137" i="11"/>
  <c r="AO40" i="11"/>
  <c r="BG40" i="11" s="1"/>
  <c r="BD40" i="11"/>
  <c r="BT221" i="11"/>
  <c r="BI221" i="11" s="1"/>
  <c r="BA219" i="11"/>
  <c r="AN147" i="11"/>
  <c r="BF147" i="11" s="1"/>
  <c r="BC147" i="11"/>
  <c r="BF238" i="11"/>
  <c r="BT190" i="11"/>
  <c r="BI190" i="11" s="1"/>
  <c r="BE118" i="11"/>
  <c r="BA64" i="11"/>
  <c r="BD274" i="11"/>
  <c r="AY127" i="11"/>
  <c r="BF6" i="11"/>
  <c r="BF135" i="11"/>
  <c r="BE262" i="11"/>
  <c r="BH262" i="11" s="1"/>
  <c r="BT208" i="11"/>
  <c r="BI208" i="11" s="1"/>
  <c r="BA225" i="11"/>
  <c r="BG242" i="11"/>
  <c r="AO283" i="11"/>
  <c r="BG283" i="11" s="1"/>
  <c r="BS182" i="11"/>
  <c r="AN90" i="11"/>
  <c r="BF90" i="11" s="1"/>
  <c r="BC252" i="11"/>
  <c r="AZ93" i="11"/>
  <c r="BD175" i="11"/>
  <c r="BT28" i="11"/>
  <c r="BI28" i="11" s="1"/>
  <c r="AC28" i="3" s="1"/>
  <c r="BB283" i="11"/>
  <c r="BE303" i="11"/>
  <c r="BB170" i="11"/>
  <c r="BA75" i="11"/>
  <c r="BC272" i="11"/>
  <c r="BB53" i="11"/>
  <c r="AN296" i="11"/>
  <c r="BF296" i="11" s="1"/>
  <c r="BC296" i="11"/>
  <c r="AX246" i="11"/>
  <c r="BG246" i="11" s="1"/>
  <c r="BD246" i="11"/>
  <c r="BT42" i="11"/>
  <c r="BI42" i="11" s="1"/>
  <c r="AC42" i="3" s="1"/>
  <c r="BS288" i="11"/>
  <c r="BS264" i="11"/>
  <c r="AO190" i="11"/>
  <c r="BG190" i="11" s="1"/>
  <c r="BE104" i="11"/>
  <c r="BG274" i="11"/>
  <c r="BF133" i="11"/>
  <c r="AX284" i="11"/>
  <c r="BG284" i="11" s="1"/>
  <c r="BD284" i="11"/>
  <c r="BB54" i="11"/>
  <c r="BB162" i="11"/>
  <c r="BA167" i="11"/>
  <c r="BB249" i="11"/>
  <c r="BS226" i="11"/>
  <c r="BE301" i="11"/>
  <c r="BA134" i="11"/>
  <c r="AZ266" i="11"/>
  <c r="AP45" i="11"/>
  <c r="BE45" i="11"/>
  <c r="BS86" i="11"/>
  <c r="BS60" i="11"/>
  <c r="BB224" i="11"/>
  <c r="BB180" i="11"/>
  <c r="BA163" i="11"/>
  <c r="BT180" i="11"/>
  <c r="BI180" i="11" s="1"/>
  <c r="BB184" i="11"/>
  <c r="BS293" i="11"/>
  <c r="BB61" i="11"/>
  <c r="BT251" i="11"/>
  <c r="BI251" i="11" s="1"/>
  <c r="BB177" i="11"/>
  <c r="BB81" i="11"/>
  <c r="BD87" i="11"/>
  <c r="BS16" i="11"/>
  <c r="AZ119" i="11"/>
  <c r="BS299" i="11"/>
  <c r="BB281" i="11"/>
  <c r="BA179" i="11"/>
  <c r="BS270" i="11"/>
  <c r="BS70" i="11"/>
  <c r="BA222" i="11"/>
  <c r="BS118" i="11"/>
  <c r="BS5" i="11"/>
  <c r="BA218" i="11"/>
  <c r="BD249" i="11"/>
  <c r="BA31" i="11"/>
  <c r="BB24" i="11"/>
  <c r="BB89" i="11"/>
  <c r="BB123" i="11"/>
  <c r="BB86" i="11"/>
  <c r="AZ252" i="11"/>
  <c r="AZ148" i="11"/>
  <c r="BG61" i="11"/>
  <c r="AZ218" i="11"/>
  <c r="BA90" i="11"/>
  <c r="BC130" i="11"/>
  <c r="AZ27" i="11"/>
  <c r="BT253" i="11"/>
  <c r="BI253" i="11" s="1"/>
  <c r="AZ270" i="11"/>
  <c r="AZ205" i="11"/>
  <c r="BD16" i="11"/>
  <c r="BA127" i="11"/>
  <c r="BS76" i="11"/>
  <c r="AA76" i="3" s="1"/>
  <c r="BF16" i="11"/>
  <c r="BF60" i="11"/>
  <c r="AZ213" i="11"/>
  <c r="BF166" i="11"/>
  <c r="BT177" i="11"/>
  <c r="BI177" i="11" s="1"/>
  <c r="BE71" i="11"/>
  <c r="BH71" i="11" s="1"/>
  <c r="BF195" i="11"/>
  <c r="BG130" i="11"/>
  <c r="BG224" i="11"/>
  <c r="AZ169" i="11"/>
  <c r="BG148" i="11"/>
  <c r="BA251" i="11"/>
  <c r="AZ65" i="11"/>
  <c r="BT162" i="11"/>
  <c r="BI162" i="11" s="1"/>
  <c r="BT70" i="11"/>
  <c r="BI70" i="11" s="1"/>
  <c r="BG36" i="11"/>
  <c r="BF115" i="11"/>
  <c r="BT73" i="11"/>
  <c r="BI73" i="11" s="1"/>
  <c r="BC91" i="11"/>
  <c r="AZ285" i="11"/>
  <c r="AZ149" i="11"/>
  <c r="BT222" i="11"/>
  <c r="BI222" i="11" s="1"/>
  <c r="BF245" i="11"/>
  <c r="BS158" i="11"/>
  <c r="BC155" i="11"/>
  <c r="AZ174" i="11"/>
  <c r="BD262" i="11"/>
  <c r="BD222" i="11"/>
  <c r="BG74" i="11"/>
  <c r="AZ188" i="11"/>
  <c r="BS194" i="11"/>
  <c r="BT53" i="11"/>
  <c r="BI53" i="11" s="1"/>
  <c r="BS201" i="11"/>
  <c r="AZ100" i="11"/>
  <c r="BE255" i="11"/>
  <c r="BS130" i="11"/>
  <c r="BA277" i="11"/>
  <c r="BF253" i="11"/>
  <c r="BB301" i="11"/>
  <c r="AZ238" i="11"/>
  <c r="BB225" i="11"/>
  <c r="BG115" i="11"/>
  <c r="BD28" i="11"/>
  <c r="BS37" i="11"/>
  <c r="BS248" i="11"/>
  <c r="BD205" i="11"/>
  <c r="BC160" i="11"/>
  <c r="BS252" i="11"/>
  <c r="BE62" i="11"/>
  <c r="AP132" i="11"/>
  <c r="BD276" i="11"/>
  <c r="BC159" i="11"/>
  <c r="BE97" i="11"/>
  <c r="BH97" i="11" s="1"/>
  <c r="BF203" i="11"/>
  <c r="BD74" i="11"/>
  <c r="BA200" i="11"/>
  <c r="AP44" i="11"/>
  <c r="BD118" i="11"/>
  <c r="BC83" i="11"/>
  <c r="AN120" i="11"/>
  <c r="BF120" i="11" s="1"/>
  <c r="BA41" i="11"/>
  <c r="BD154" i="11"/>
  <c r="BG303" i="11"/>
  <c r="BG165" i="11"/>
  <c r="BT31" i="11"/>
  <c r="BI31" i="11" s="1"/>
  <c r="AC31" i="3" s="1"/>
  <c r="BB103" i="11"/>
  <c r="BA291" i="11"/>
  <c r="BA214" i="11"/>
  <c r="BG133" i="11"/>
  <c r="BF61" i="11"/>
  <c r="BG71" i="11"/>
  <c r="BG195" i="11"/>
  <c r="AO239" i="11"/>
  <c r="BG239" i="11" s="1"/>
  <c r="BF65" i="11"/>
  <c r="BE269" i="11"/>
  <c r="BH269" i="11" s="1"/>
  <c r="BB42" i="11"/>
  <c r="BB96" i="11"/>
  <c r="AN151" i="11"/>
  <c r="BF151" i="11" s="1"/>
  <c r="BE241" i="11"/>
  <c r="BE134" i="11"/>
  <c r="BD187" i="11"/>
  <c r="BF174" i="11"/>
  <c r="BB95" i="11"/>
  <c r="BF160" i="11"/>
  <c r="AZ259" i="11"/>
  <c r="BG279" i="11"/>
  <c r="BT57" i="11"/>
  <c r="BI57" i="11" s="1"/>
  <c r="BF114" i="11"/>
  <c r="BD103" i="11"/>
  <c r="AZ245" i="11"/>
  <c r="BS205" i="11"/>
  <c r="AA205" i="3" s="1"/>
  <c r="BG202" i="11"/>
  <c r="AZ83" i="11"/>
  <c r="BC204" i="11"/>
  <c r="BE203" i="11"/>
  <c r="BF205" i="11"/>
  <c r="BC21" i="11"/>
  <c r="AZ264" i="11"/>
  <c r="BT290" i="11"/>
  <c r="BI290" i="11" s="1"/>
  <c r="BG112" i="11"/>
  <c r="AO192" i="11"/>
  <c r="BG192" i="11" s="1"/>
  <c r="BC266" i="11"/>
  <c r="BC285" i="11"/>
  <c r="BS65" i="11"/>
  <c r="BE245" i="11"/>
  <c r="BH245" i="11" s="1"/>
  <c r="BD6" i="11"/>
  <c r="AZ99" i="11"/>
  <c r="BT155" i="11"/>
  <c r="BI155" i="11" s="1"/>
  <c r="BF75" i="11"/>
  <c r="BT126" i="11"/>
  <c r="BI126" i="11" s="1"/>
  <c r="BS295" i="11"/>
  <c r="BB90" i="11"/>
  <c r="AZ214" i="11"/>
  <c r="BB218" i="11"/>
  <c r="BF247" i="11"/>
  <c r="BD133" i="11"/>
  <c r="BC65" i="11"/>
  <c r="BA117" i="11"/>
  <c r="BT120" i="11"/>
  <c r="BI120" i="11" s="1"/>
  <c r="BA235" i="11"/>
  <c r="BS221" i="11"/>
  <c r="BS14" i="11"/>
  <c r="BT81" i="11"/>
  <c r="BI81" i="11" s="1"/>
  <c r="AZ138" i="11"/>
  <c r="BE96" i="11"/>
  <c r="BH96" i="11" s="1"/>
  <c r="BD106" i="11"/>
  <c r="BC60" i="11"/>
  <c r="BD234" i="11"/>
  <c r="BF266" i="11"/>
  <c r="BF285" i="11"/>
  <c r="AP71" i="11"/>
  <c r="BF204" i="11"/>
  <c r="BB88" i="11"/>
  <c r="BS46" i="11"/>
  <c r="BS181" i="11"/>
  <c r="BS193" i="11"/>
  <c r="BB25" i="11"/>
  <c r="BS125" i="11"/>
  <c r="BB161" i="11"/>
  <c r="BD254" i="11"/>
  <c r="AZ7" i="11"/>
  <c r="AZ64" i="11"/>
  <c r="BF169" i="11"/>
  <c r="BC283" i="11"/>
  <c r="BT201" i="11"/>
  <c r="BI201" i="11" s="1"/>
  <c r="BT302" i="11"/>
  <c r="BE143" i="11"/>
  <c r="BT187" i="11"/>
  <c r="BF112" i="11"/>
  <c r="BG155" i="11"/>
  <c r="AP175" i="11"/>
  <c r="BE175" i="11"/>
  <c r="AW189" i="11"/>
  <c r="BF189" i="11" s="1"/>
  <c r="BC189" i="11"/>
  <c r="BT112" i="11"/>
  <c r="BI112" i="11" s="1"/>
  <c r="AY153" i="11"/>
  <c r="BE153" i="11"/>
  <c r="BH153" i="11" s="1"/>
  <c r="BC162" i="11"/>
  <c r="AW276" i="11"/>
  <c r="BF276" i="11" s="1"/>
  <c r="BC276" i="11"/>
  <c r="AZ6" i="11"/>
  <c r="BT218" i="11"/>
  <c r="BI218" i="11" s="1"/>
  <c r="BD71" i="11"/>
  <c r="BC275" i="11"/>
  <c r="BD279" i="11"/>
  <c r="BT240" i="11"/>
  <c r="BI240" i="11" s="1"/>
  <c r="BS132" i="11"/>
  <c r="BD223" i="11"/>
  <c r="BF13" i="11"/>
  <c r="BE24" i="11"/>
  <c r="BH24" i="11" s="1"/>
  <c r="BC114" i="11"/>
  <c r="BT300" i="11"/>
  <c r="BI300" i="11" s="1"/>
  <c r="BS50" i="11"/>
  <c r="BC148" i="11"/>
  <c r="BC293" i="11"/>
  <c r="BC51" i="11"/>
  <c r="BA85" i="11"/>
  <c r="BS273" i="11"/>
  <c r="BA69" i="11"/>
  <c r="BC282" i="11"/>
  <c r="BE90" i="11"/>
  <c r="BH90" i="11" s="1"/>
  <c r="BE21" i="11"/>
  <c r="BH21" i="11" s="1"/>
  <c r="BB107" i="11"/>
  <c r="BE114" i="11"/>
  <c r="BH114" i="11" s="1"/>
  <c r="BB30" i="11"/>
  <c r="BS298" i="11"/>
  <c r="BA263" i="11"/>
  <c r="BA18" i="11"/>
  <c r="BC9" i="11"/>
  <c r="AO114" i="11"/>
  <c r="BG114" i="11" s="1"/>
  <c r="BE243" i="11"/>
  <c r="BH243" i="11" s="1"/>
  <c r="AO16" i="11"/>
  <c r="BG16" i="11" s="1"/>
  <c r="BD36" i="11"/>
  <c r="BA8" i="11"/>
  <c r="AP69" i="11"/>
  <c r="BE69" i="11"/>
  <c r="BH69" i="11" s="1"/>
  <c r="BG122" i="11"/>
  <c r="AY52" i="11"/>
  <c r="BE52" i="11"/>
  <c r="BH52" i="11" s="1"/>
  <c r="AY271" i="11"/>
  <c r="BE271" i="11"/>
  <c r="BH271" i="11" s="1"/>
  <c r="BS123" i="11"/>
  <c r="BA46" i="11"/>
  <c r="AZ257" i="11"/>
  <c r="AZ299" i="11"/>
  <c r="AW303" i="11"/>
  <c r="BF303" i="11" s="1"/>
  <c r="BC303" i="11"/>
  <c r="BT267" i="11"/>
  <c r="BI267" i="11" s="1"/>
  <c r="BT223" i="11"/>
  <c r="BI223" i="11" s="1"/>
  <c r="BC166" i="11"/>
  <c r="BF243" i="11"/>
  <c r="AZ55" i="11"/>
  <c r="BB104" i="11"/>
  <c r="BE119" i="11"/>
  <c r="BH119" i="11" s="1"/>
  <c r="BB264" i="11"/>
  <c r="BC205" i="11"/>
  <c r="BT228" i="11"/>
  <c r="BI228" i="11" s="1"/>
  <c r="BC295" i="11"/>
  <c r="BE148" i="11"/>
  <c r="BC41" i="11"/>
  <c r="BB48" i="11"/>
  <c r="BD294" i="11"/>
  <c r="BD155" i="11"/>
  <c r="BS83" i="11"/>
  <c r="AN99" i="11"/>
  <c r="BF99" i="11" s="1"/>
  <c r="BC99" i="11"/>
  <c r="AY189" i="11"/>
  <c r="BE189" i="11"/>
  <c r="BH189" i="11" s="1"/>
  <c r="BD174" i="11"/>
  <c r="BD115" i="11"/>
  <c r="BD43" i="11"/>
  <c r="BB156" i="11"/>
  <c r="BE117" i="11"/>
  <c r="BH117" i="11" s="1"/>
  <c r="BB232" i="11"/>
  <c r="AN223" i="11"/>
  <c r="BF223" i="11" s="1"/>
  <c r="BC16" i="11"/>
  <c r="BA236" i="11"/>
  <c r="BE58" i="11"/>
  <c r="BH58" i="11" s="1"/>
  <c r="BD214" i="11"/>
  <c r="BC176" i="11"/>
  <c r="BE279" i="11"/>
  <c r="BH279" i="11" s="1"/>
  <c r="BC69" i="11"/>
  <c r="BF241" i="11"/>
  <c r="BD224" i="11"/>
  <c r="BA60" i="11"/>
  <c r="BC195" i="11"/>
  <c r="BD202" i="11"/>
  <c r="BD302" i="11"/>
  <c r="AP203" i="11"/>
  <c r="BC220" i="11"/>
  <c r="BG276" i="11"/>
  <c r="BG43" i="11"/>
  <c r="AO78" i="11"/>
  <c r="BG78" i="11" s="1"/>
  <c r="BT48" i="11"/>
  <c r="BI48" i="11" s="1"/>
  <c r="AC48" i="3" s="1"/>
  <c r="BS8" i="11"/>
  <c r="BC180" i="11"/>
  <c r="BC203" i="11"/>
  <c r="BF176" i="11"/>
  <c r="BS109" i="11"/>
  <c r="BC241" i="11"/>
  <c r="BS176" i="11"/>
  <c r="BB100" i="11"/>
  <c r="BF148" i="11"/>
  <c r="BF293" i="11"/>
  <c r="BA224" i="11"/>
  <c r="BC124" i="11"/>
  <c r="BA181" i="11"/>
  <c r="BA189" i="11"/>
  <c r="BC259" i="11"/>
  <c r="BF282" i="11"/>
  <c r="BD29" i="11"/>
  <c r="BS219" i="11"/>
  <c r="BA211" i="11"/>
  <c r="BG84" i="11"/>
  <c r="BA135" i="11"/>
  <c r="BT293" i="11"/>
  <c r="BI293" i="11" s="1"/>
  <c r="BB111" i="11"/>
  <c r="BT283" i="11"/>
  <c r="BI283" i="11" s="1"/>
  <c r="BD73" i="11"/>
  <c r="BT301" i="11"/>
  <c r="BI301" i="11" s="1"/>
  <c r="AX257" i="11"/>
  <c r="BG257" i="11" s="1"/>
  <c r="BD257" i="11"/>
  <c r="AZ70" i="11"/>
  <c r="BT154" i="11"/>
  <c r="BI154" i="11" s="1"/>
  <c r="BF126" i="11"/>
  <c r="BS207" i="11"/>
  <c r="BT80" i="11"/>
  <c r="BI80" i="11" s="1"/>
  <c r="BS257" i="11"/>
  <c r="AZ54" i="11"/>
  <c r="BB58" i="11"/>
  <c r="BS261" i="11"/>
  <c r="BF259" i="11"/>
  <c r="BS274" i="11"/>
  <c r="AZ49" i="11"/>
  <c r="BA14" i="11"/>
  <c r="BT245" i="11"/>
  <c r="BI245" i="11" s="1"/>
  <c r="BA197" i="11"/>
  <c r="BS107" i="11"/>
  <c r="BS128" i="11"/>
  <c r="BS275" i="11"/>
  <c r="BB31" i="11"/>
  <c r="BT98" i="11"/>
  <c r="BI98" i="11" s="1"/>
  <c r="BB187" i="11"/>
  <c r="BT35" i="11"/>
  <c r="BI35" i="11" s="1"/>
  <c r="AC35" i="3" s="1"/>
  <c r="BA249" i="11"/>
  <c r="BS287" i="11"/>
  <c r="BS195" i="11"/>
  <c r="BF283" i="11"/>
  <c r="BT39" i="11"/>
  <c r="BI39" i="11" s="1"/>
  <c r="BB213" i="11"/>
  <c r="BT258" i="11"/>
  <c r="BI258" i="11" s="1"/>
  <c r="BT139" i="11"/>
  <c r="BI139" i="11" s="1"/>
  <c r="BB44" i="11"/>
  <c r="AZ210" i="11"/>
  <c r="BS140" i="11"/>
  <c r="BT23" i="11"/>
  <c r="BI23" i="11" s="1"/>
  <c r="AC23" i="3" s="1"/>
  <c r="AZ47" i="11"/>
  <c r="BE73" i="11"/>
  <c r="BH73" i="11" s="1"/>
  <c r="AZ31" i="11"/>
  <c r="BG228" i="11"/>
  <c r="BT170" i="11"/>
  <c r="BI170" i="11" s="1"/>
  <c r="AZ291" i="11"/>
  <c r="BC45" i="11"/>
  <c r="AZ203" i="11"/>
  <c r="BC96" i="11"/>
  <c r="AZ160" i="11"/>
  <c r="BA111" i="11"/>
  <c r="AZ95" i="11"/>
  <c r="AZ140" i="11"/>
  <c r="BD197" i="11"/>
  <c r="BS150" i="11"/>
  <c r="BG127" i="11"/>
  <c r="BT60" i="11"/>
  <c r="BI60" i="11" s="1"/>
  <c r="BC273" i="11"/>
  <c r="BT226" i="11"/>
  <c r="BI226" i="11" s="1"/>
  <c r="BC209" i="11"/>
  <c r="AZ14" i="11"/>
  <c r="AZ221" i="11"/>
  <c r="BA159" i="11"/>
  <c r="AZ194" i="11"/>
  <c r="BS263" i="11"/>
  <c r="BF32" i="11"/>
  <c r="BT160" i="11"/>
  <c r="BI160" i="11" s="1"/>
  <c r="AZ232" i="11"/>
  <c r="BE139" i="11"/>
  <c r="BH139" i="11" s="1"/>
  <c r="BE106" i="11"/>
  <c r="BH106" i="11" s="1"/>
  <c r="BS58" i="11"/>
  <c r="BF149" i="11"/>
  <c r="BA168" i="11"/>
  <c r="BA92" i="11"/>
  <c r="BE89" i="11"/>
  <c r="BH89" i="11" s="1"/>
  <c r="BB176" i="11"/>
  <c r="BG41" i="11"/>
  <c r="AY87" i="11"/>
  <c r="BT142" i="11"/>
  <c r="BI142" i="11" s="1"/>
  <c r="BT215" i="11"/>
  <c r="BI215" i="11" s="1"/>
  <c r="AN273" i="11"/>
  <c r="BF273" i="11" s="1"/>
  <c r="BB18" i="11"/>
  <c r="BA287" i="11"/>
  <c r="BA267" i="11"/>
  <c r="BA99" i="11"/>
  <c r="BA71" i="11"/>
  <c r="AZ228" i="11"/>
  <c r="BF256" i="11"/>
  <c r="BA123" i="11"/>
  <c r="AZ57" i="11"/>
  <c r="BS301" i="11"/>
  <c r="I301" i="13" s="1"/>
  <c r="AZ251" i="11"/>
  <c r="AZ17" i="11"/>
  <c r="BF7" i="11"/>
  <c r="AN218" i="11"/>
  <c r="BF218" i="11" s="1"/>
  <c r="BD289" i="11"/>
  <c r="BC28" i="11"/>
  <c r="AN96" i="11"/>
  <c r="BF96" i="11" s="1"/>
  <c r="AN156" i="11"/>
  <c r="BF156" i="11" s="1"/>
  <c r="BC240" i="11"/>
  <c r="BC52" i="11"/>
  <c r="BC277" i="11"/>
  <c r="BF212" i="11"/>
  <c r="BC238" i="11"/>
  <c r="BE295" i="11"/>
  <c r="BH295" i="11" s="1"/>
  <c r="BC112" i="11"/>
  <c r="BC265" i="11"/>
  <c r="BT236" i="11"/>
  <c r="BI236" i="11" s="1"/>
  <c r="BS97" i="11"/>
  <c r="BE126" i="11"/>
  <c r="BH126" i="11" s="1"/>
  <c r="BE43" i="11"/>
  <c r="BA138" i="11"/>
  <c r="AO123" i="11"/>
  <c r="BG123" i="11" s="1"/>
  <c r="BC75" i="11"/>
  <c r="BC239" i="11"/>
  <c r="BG289" i="11"/>
  <c r="BF28" i="11"/>
  <c r="BS190" i="11"/>
  <c r="BE209" i="11"/>
  <c r="BH209" i="11" s="1"/>
  <c r="BF240" i="11"/>
  <c r="BS44" i="11"/>
  <c r="BF298" i="11"/>
  <c r="BC212" i="11"/>
  <c r="BE253" i="11"/>
  <c r="AY211" i="11"/>
  <c r="BB51" i="11"/>
  <c r="BC206" i="11"/>
  <c r="BT131" i="11"/>
  <c r="BI131" i="11" s="1"/>
  <c r="BA101" i="11"/>
  <c r="BB75" i="11"/>
  <c r="BS18" i="11"/>
  <c r="BS247" i="11"/>
  <c r="BB271" i="11"/>
  <c r="BA213" i="11"/>
  <c r="BB134" i="11"/>
  <c r="BE251" i="11"/>
  <c r="BH251" i="11" s="1"/>
  <c r="BF51" i="11"/>
  <c r="BD86" i="11"/>
  <c r="BA205" i="11"/>
  <c r="AZ150" i="11"/>
  <c r="BE23" i="11"/>
  <c r="BT231" i="11"/>
  <c r="BI231" i="11" s="1"/>
  <c r="BT274" i="11"/>
  <c r="BI274" i="11" s="1"/>
  <c r="AZ271" i="11"/>
  <c r="AZ219" i="11"/>
  <c r="BB108" i="11"/>
  <c r="BT118" i="11"/>
  <c r="BI118" i="11" s="1"/>
  <c r="AZ211" i="11"/>
  <c r="BC132" i="11"/>
  <c r="BC115" i="11"/>
  <c r="BG243" i="11"/>
  <c r="AZ215" i="11"/>
  <c r="BS258" i="11"/>
  <c r="BS90" i="11"/>
  <c r="BT241" i="11"/>
  <c r="BI241" i="11" s="1"/>
  <c r="BB8" i="11"/>
  <c r="BA247" i="11"/>
  <c r="BA160" i="11"/>
  <c r="BT287" i="11"/>
  <c r="BI287" i="11" s="1"/>
  <c r="BA88" i="11"/>
  <c r="BT47" i="11"/>
  <c r="BI47" i="11" s="1"/>
  <c r="AC47" i="3" s="1"/>
  <c r="BA258" i="11"/>
  <c r="BC249" i="11"/>
  <c r="BE151" i="11"/>
  <c r="BC228" i="11"/>
  <c r="BS255" i="11"/>
  <c r="BT49" i="11"/>
  <c r="BI49" i="11" s="1"/>
  <c r="BB285" i="11"/>
  <c r="AZ11" i="11"/>
  <c r="BD146" i="11"/>
  <c r="BA89" i="11"/>
  <c r="BE65" i="11"/>
  <c r="BH65" i="11" s="1"/>
  <c r="BC254" i="11"/>
  <c r="AZ118" i="11"/>
  <c r="BB128" i="11"/>
  <c r="BA24" i="11"/>
  <c r="BA149" i="11"/>
  <c r="BF302" i="11"/>
  <c r="BC298" i="11"/>
  <c r="BE270" i="11"/>
  <c r="BA259" i="11"/>
  <c r="BT285" i="11"/>
  <c r="BI285" i="11" s="1"/>
  <c r="BT25" i="11"/>
  <c r="BI25" i="11" s="1"/>
  <c r="AC25" i="3" s="1"/>
  <c r="BT93" i="11"/>
  <c r="BI93" i="11" s="1"/>
  <c r="BG9" i="11"/>
  <c r="BT294" i="11"/>
  <c r="BI294" i="11" s="1"/>
  <c r="BT18" i="11"/>
  <c r="BI18" i="11" s="1"/>
  <c r="BT212" i="11"/>
  <c r="BI212" i="11" s="1"/>
  <c r="BE32" i="11"/>
  <c r="BF41" i="11"/>
  <c r="BA77" i="11"/>
  <c r="BT270" i="11"/>
  <c r="BI270" i="11" s="1"/>
  <c r="BT133" i="11"/>
  <c r="BI133" i="11" s="1"/>
  <c r="BA52" i="11"/>
  <c r="BS108" i="11"/>
  <c r="BE199" i="11"/>
  <c r="AZ101" i="11"/>
  <c r="AZ124" i="11"/>
  <c r="AZ129" i="11"/>
  <c r="BE236" i="11"/>
  <c r="BH236" i="11" s="1"/>
  <c r="BT13" i="11"/>
  <c r="BI13" i="11" s="1"/>
  <c r="AC13" i="3" s="1"/>
  <c r="BT159" i="11"/>
  <c r="BI159" i="11" s="1"/>
  <c r="BF46" i="11"/>
  <c r="AZ159" i="11"/>
  <c r="BT242" i="11"/>
  <c r="BI242" i="11" s="1"/>
  <c r="BE210" i="11"/>
  <c r="BH210" i="11" s="1"/>
  <c r="AZ293" i="11"/>
  <c r="BA43" i="11"/>
  <c r="BT16" i="11"/>
  <c r="BI16" i="11" s="1"/>
  <c r="AC16" i="3" s="1"/>
  <c r="BF170" i="11"/>
  <c r="BT254" i="11"/>
  <c r="BI254" i="11" s="1"/>
  <c r="AZ247" i="11"/>
  <c r="BF101" i="11"/>
  <c r="AP16" i="11"/>
  <c r="BE16" i="11"/>
  <c r="AP92" i="11"/>
  <c r="BE92" i="11"/>
  <c r="AW31" i="11"/>
  <c r="BF31" i="11" s="1"/>
  <c r="BC31" i="11"/>
  <c r="I297" i="13"/>
  <c r="AY166" i="11"/>
  <c r="BE166" i="11"/>
  <c r="BH166" i="11" s="1"/>
  <c r="AX253" i="11"/>
  <c r="BG253" i="11" s="1"/>
  <c r="BD253" i="11"/>
  <c r="BG150" i="11"/>
  <c r="BB37" i="11"/>
  <c r="BB68" i="11"/>
  <c r="BC221" i="11"/>
  <c r="AP236" i="11"/>
  <c r="BE201" i="11"/>
  <c r="BC287" i="11"/>
  <c r="BC139" i="11"/>
  <c r="BT224" i="11"/>
  <c r="BI224" i="11" s="1"/>
  <c r="BF97" i="11"/>
  <c r="BC121" i="11"/>
  <c r="BS151" i="11"/>
  <c r="BA144" i="11"/>
  <c r="BS42" i="11"/>
  <c r="BB220" i="11"/>
  <c r="BC210" i="11"/>
  <c r="AZ217" i="11"/>
  <c r="AN130" i="11"/>
  <c r="BF130" i="11" s="1"/>
  <c r="BS67" i="11"/>
  <c r="BT273" i="11"/>
  <c r="BI273" i="11" s="1"/>
  <c r="BE108" i="11"/>
  <c r="BH108" i="11" s="1"/>
  <c r="BD13" i="11"/>
  <c r="AO13" i="11"/>
  <c r="BG13" i="11" s="1"/>
  <c r="BC247" i="11"/>
  <c r="AO90" i="11"/>
  <c r="BG90" i="11" s="1"/>
  <c r="BD90" i="11"/>
  <c r="AY121" i="11"/>
  <c r="BE121" i="11"/>
  <c r="AW289" i="11"/>
  <c r="BF289" i="11" s="1"/>
  <c r="BC289" i="11"/>
  <c r="AY294" i="11"/>
  <c r="BE294" i="11"/>
  <c r="BH294" i="11" s="1"/>
  <c r="BE150" i="11"/>
  <c r="AY150" i="11"/>
  <c r="BE195" i="11"/>
  <c r="BS10" i="11"/>
  <c r="BE223" i="11"/>
  <c r="BC97" i="11"/>
  <c r="BF121" i="11"/>
  <c r="BE229" i="11"/>
  <c r="BH229" i="11" s="1"/>
  <c r="BD237" i="11"/>
  <c r="BB112" i="11"/>
  <c r="AP199" i="11"/>
  <c r="BC106" i="11"/>
  <c r="BG44" i="11"/>
  <c r="BC269" i="11"/>
  <c r="BC15" i="11"/>
  <c r="BE289" i="11"/>
  <c r="BH289" i="11" s="1"/>
  <c r="BB139" i="11"/>
  <c r="BT85" i="11"/>
  <c r="BI85" i="11" s="1"/>
  <c r="BA285" i="11"/>
  <c r="BT83" i="11"/>
  <c r="BI83" i="11" s="1"/>
  <c r="BE122" i="11"/>
  <c r="BH122" i="11" s="1"/>
  <c r="AW73" i="11"/>
  <c r="BF73" i="11" s="1"/>
  <c r="BC73" i="11"/>
  <c r="AX75" i="11"/>
  <c r="BG75" i="11" s="1"/>
  <c r="BD75" i="11"/>
  <c r="AX212" i="11"/>
  <c r="BG212" i="11" s="1"/>
  <c r="BD212" i="11"/>
  <c r="AP237" i="11"/>
  <c r="BE237" i="11"/>
  <c r="BC170" i="11"/>
  <c r="AO278" i="11"/>
  <c r="BG278" i="11" s="1"/>
  <c r="BD278" i="11"/>
  <c r="AY130" i="11"/>
  <c r="BE130" i="11"/>
  <c r="BH130" i="11" s="1"/>
  <c r="AX287" i="11"/>
  <c r="BG287" i="11" s="1"/>
  <c r="BD287" i="11"/>
  <c r="AW56" i="11"/>
  <c r="BF56" i="11" s="1"/>
  <c r="BC56" i="11"/>
  <c r="AY172" i="11"/>
  <c r="BE172" i="11"/>
  <c r="BH172" i="11" s="1"/>
  <c r="BF287" i="11"/>
  <c r="BD199" i="11"/>
  <c r="BD15" i="11"/>
  <c r="BS62" i="11"/>
  <c r="BT260" i="11"/>
  <c r="BI260" i="11" s="1"/>
  <c r="BE263" i="11"/>
  <c r="BE15" i="11"/>
  <c r="BD61" i="11"/>
  <c r="BB229" i="11"/>
  <c r="BC82" i="11"/>
  <c r="BA170" i="11"/>
  <c r="BT232" i="11"/>
  <c r="BI232" i="11" s="1"/>
  <c r="BS202" i="11"/>
  <c r="BF15" i="11"/>
  <c r="AY99" i="11"/>
  <c r="BE99" i="11"/>
  <c r="BH99" i="11" s="1"/>
  <c r="AY261" i="11"/>
  <c r="BE261" i="11"/>
  <c r="BH261" i="11" s="1"/>
  <c r="AZ287" i="11"/>
  <c r="BD157" i="11"/>
  <c r="AO157" i="11"/>
  <c r="BG157" i="11" s="1"/>
  <c r="BT92" i="11"/>
  <c r="BI92" i="11" s="1"/>
  <c r="BT164" i="11"/>
  <c r="BI164" i="11" s="1"/>
  <c r="BF277" i="11"/>
  <c r="BA198" i="11"/>
  <c r="BF269" i="11"/>
  <c r="BA180" i="11"/>
  <c r="BF162" i="11"/>
  <c r="BB277" i="11"/>
  <c r="BE272" i="11"/>
  <c r="BB65" i="11"/>
  <c r="BT289" i="11"/>
  <c r="BI289" i="11" s="1"/>
  <c r="BT94" i="11"/>
  <c r="BI94" i="11" s="1"/>
  <c r="BB210" i="11"/>
  <c r="BS91" i="11"/>
  <c r="BS285" i="11"/>
  <c r="BS142" i="11"/>
  <c r="BA57" i="11"/>
  <c r="BS267" i="11"/>
  <c r="BB195" i="11"/>
  <c r="BE39" i="11"/>
  <c r="AZ80" i="11"/>
  <c r="BT229" i="11"/>
  <c r="BI229" i="11" s="1"/>
  <c r="BS260" i="11"/>
  <c r="BA94" i="11"/>
  <c r="BC7" i="11"/>
  <c r="BC43" i="11"/>
  <c r="BG154" i="11"/>
  <c r="BT43" i="11"/>
  <c r="BI43" i="11" s="1"/>
  <c r="AC43" i="3" s="1"/>
  <c r="BS259" i="11"/>
  <c r="BE274" i="11"/>
  <c r="BC80" i="11"/>
  <c r="AN80" i="11"/>
  <c r="BF80" i="11" s="1"/>
  <c r="BA93" i="11"/>
  <c r="AZ202" i="11"/>
  <c r="BA95" i="11"/>
  <c r="BS103" i="11"/>
  <c r="AZ72" i="11"/>
  <c r="BB5" i="11"/>
  <c r="BT243" i="11"/>
  <c r="BI243" i="11" s="1"/>
  <c r="AZ35" i="11"/>
  <c r="BT24" i="11"/>
  <c r="BI24" i="11" s="1"/>
  <c r="AC24" i="3" s="1"/>
  <c r="BA130" i="11"/>
  <c r="BT237" i="11"/>
  <c r="BI237" i="11" s="1"/>
  <c r="BT239" i="11"/>
  <c r="BI239" i="11" s="1"/>
  <c r="BC68" i="11"/>
  <c r="BG169" i="11"/>
  <c r="BC150" i="11"/>
  <c r="BB166" i="11"/>
  <c r="AZ168" i="11"/>
  <c r="BC181" i="11"/>
  <c r="AZ33" i="11"/>
  <c r="BB80" i="11"/>
  <c r="BG269" i="11"/>
  <c r="BG237" i="11"/>
  <c r="BS72" i="11"/>
  <c r="AZ161" i="11"/>
  <c r="BS210" i="11"/>
  <c r="BG199" i="11"/>
  <c r="BG15" i="11"/>
  <c r="BG119" i="11"/>
  <c r="BB130" i="11"/>
  <c r="BA177" i="11"/>
  <c r="BA221" i="11"/>
  <c r="BS53" i="11"/>
  <c r="BB47" i="11"/>
  <c r="BS197" i="11"/>
  <c r="BT181" i="11"/>
  <c r="BI181" i="11" s="1"/>
  <c r="BS157" i="11"/>
  <c r="BF206" i="11"/>
  <c r="BB275" i="11"/>
  <c r="BB153" i="11"/>
  <c r="BS75" i="11"/>
  <c r="BE8" i="11"/>
  <c r="BH8" i="11" s="1"/>
  <c r="BF43" i="11"/>
  <c r="BG151" i="11"/>
  <c r="BT122" i="11"/>
  <c r="BI122" i="11" s="1"/>
  <c r="BB206" i="11"/>
  <c r="BA210" i="11"/>
  <c r="BG62" i="11"/>
  <c r="BD44" i="11"/>
  <c r="AZ76" i="11"/>
  <c r="AZ89" i="11"/>
  <c r="BC229" i="11"/>
  <c r="BB33" i="11"/>
  <c r="BT15" i="11"/>
  <c r="BI15" i="11" s="1"/>
  <c r="BF108" i="11"/>
  <c r="BA108" i="11"/>
  <c r="AZ135" i="11"/>
  <c r="AZ227" i="11"/>
  <c r="BT276" i="11"/>
  <c r="BI276" i="11" s="1"/>
  <c r="AZ256" i="11"/>
  <c r="BA32" i="11"/>
  <c r="BD183" i="11"/>
  <c r="AX183" i="11"/>
  <c r="BG183" i="11" s="1"/>
  <c r="AP267" i="11"/>
  <c r="BE267" i="11"/>
  <c r="AP149" i="11"/>
  <c r="BE149" i="11"/>
  <c r="BE133" i="11"/>
  <c r="BH133" i="11" s="1"/>
  <c r="BD69" i="11"/>
  <c r="BF275" i="11"/>
  <c r="AN181" i="11"/>
  <c r="BF181" i="11" s="1"/>
  <c r="BG214" i="11"/>
  <c r="BE157" i="11"/>
  <c r="BH157" i="11" s="1"/>
  <c r="BD62" i="11"/>
  <c r="BG170" i="11"/>
  <c r="BA229" i="11"/>
  <c r="BC177" i="11"/>
  <c r="AW142" i="11"/>
  <c r="BF142" i="11" s="1"/>
  <c r="BC142" i="11"/>
  <c r="AO49" i="11"/>
  <c r="BG49" i="11" s="1"/>
  <c r="BD49" i="11"/>
  <c r="BB174" i="11"/>
  <c r="BS294" i="11"/>
  <c r="BA262" i="11"/>
  <c r="AN100" i="11"/>
  <c r="BF100" i="11" s="1"/>
  <c r="BC100" i="11"/>
  <c r="AP275" i="11"/>
  <c r="BE275" i="11"/>
  <c r="AX158" i="11"/>
  <c r="BG158" i="11" s="1"/>
  <c r="BD158" i="11"/>
  <c r="BE239" i="11"/>
  <c r="BC86" i="11"/>
  <c r="BE154" i="11"/>
  <c r="AY154" i="11"/>
  <c r="BE123" i="11"/>
  <c r="BH123" i="11" s="1"/>
  <c r="BC108" i="11"/>
  <c r="BB291" i="11"/>
  <c r="BD270" i="11"/>
  <c r="AO270" i="11"/>
  <c r="BG270" i="11" s="1"/>
  <c r="AY75" i="11"/>
  <c r="BE75" i="11"/>
  <c r="AY183" i="11"/>
  <c r="BE183" i="11"/>
  <c r="BH183" i="11" s="1"/>
  <c r="BD221" i="11"/>
  <c r="AO221" i="11"/>
  <c r="BG221" i="11" s="1"/>
  <c r="BD153" i="11"/>
  <c r="AO153" i="11"/>
  <c r="BG153" i="11" s="1"/>
  <c r="AN68" i="11"/>
  <c r="BF68" i="11" s="1"/>
  <c r="BF217" i="11"/>
  <c r="AQ2" i="11"/>
  <c r="BB182" i="11"/>
  <c r="BD11" i="11"/>
  <c r="AX97" i="11"/>
  <c r="BG97" i="11" s="1"/>
  <c r="BD97" i="11"/>
  <c r="AY278" i="11"/>
  <c r="BE278" i="11"/>
  <c r="AO238" i="11"/>
  <c r="BG238" i="11" s="1"/>
  <c r="BD238" i="11"/>
  <c r="BC70" i="11"/>
  <c r="AN70" i="11"/>
  <c r="BF70" i="11" s="1"/>
  <c r="AY66" i="11"/>
  <c r="BE66" i="11"/>
  <c r="BS148" i="11"/>
  <c r="AA148" i="3" s="1"/>
  <c r="AP5" i="11"/>
  <c r="BE5" i="11"/>
  <c r="BH5" i="11" s="1"/>
  <c r="BT278" i="11"/>
  <c r="AN179" i="11"/>
  <c r="BF179" i="11" s="1"/>
  <c r="BC179" i="11"/>
  <c r="AN278" i="11"/>
  <c r="BF278" i="11" s="1"/>
  <c r="BC278" i="11"/>
  <c r="BC245" i="11"/>
  <c r="BC5" i="11"/>
  <c r="BC149" i="11"/>
  <c r="BD247" i="11"/>
  <c r="AO173" i="11"/>
  <c r="BG173" i="11" s="1"/>
  <c r="BC217" i="11"/>
  <c r="BS168" i="11"/>
  <c r="BG223" i="11"/>
  <c r="BA184" i="11"/>
  <c r="BD45" i="11"/>
  <c r="BT244" i="11"/>
  <c r="BI244" i="11" s="1"/>
  <c r="BB124" i="11"/>
  <c r="BE228" i="11"/>
  <c r="BD135" i="11"/>
  <c r="BC237" i="11"/>
  <c r="BD170" i="11"/>
  <c r="BF161" i="11"/>
  <c r="BC172" i="11"/>
  <c r="BA39" i="11"/>
  <c r="BC302" i="11"/>
  <c r="BF177" i="11"/>
  <c r="BD130" i="11"/>
  <c r="AO11" i="11"/>
  <c r="BG11" i="11" s="1"/>
  <c r="BT291" i="11"/>
  <c r="BI291" i="11" s="1"/>
  <c r="BT268" i="11"/>
  <c r="BI268" i="11" s="1"/>
  <c r="BC101" i="11"/>
  <c r="BF5" i="11"/>
  <c r="BG247" i="11"/>
  <c r="BA55" i="11"/>
  <c r="BS144" i="11"/>
  <c r="BS68" i="11"/>
  <c r="BC48" i="11"/>
  <c r="BS184" i="11"/>
  <c r="BT163" i="11"/>
  <c r="BI163" i="11" s="1"/>
  <c r="BE191" i="11"/>
  <c r="BH191" i="11" s="1"/>
  <c r="BT210" i="11"/>
  <c r="BI210" i="11" s="1"/>
  <c r="AY39" i="11"/>
  <c r="BA100" i="11"/>
  <c r="BB20" i="11"/>
  <c r="BG135" i="11"/>
  <c r="BF237" i="11"/>
  <c r="BS180" i="11"/>
  <c r="BC161" i="11"/>
  <c r="BD229" i="11"/>
  <c r="BT56" i="11"/>
  <c r="BI56" i="11" s="1"/>
  <c r="BS229" i="11"/>
  <c r="BS129" i="11"/>
  <c r="BD66" i="11"/>
  <c r="AN150" i="11"/>
  <c r="BF150" i="11" s="1"/>
  <c r="AX57" i="11"/>
  <c r="BG57" i="11" s="1"/>
  <c r="BD57" i="11"/>
  <c r="BD127" i="11"/>
  <c r="BD31" i="11"/>
  <c r="AO31" i="11"/>
  <c r="BG31" i="11" s="1"/>
  <c r="AZ20" i="11"/>
  <c r="AY259" i="11"/>
  <c r="BE259" i="11"/>
  <c r="BH259" i="11" s="1"/>
  <c r="AN62" i="11"/>
  <c r="BF62" i="11" s="1"/>
  <c r="BC62" i="11"/>
  <c r="BF172" i="11"/>
  <c r="BG229" i="11"/>
  <c r="BB149" i="11"/>
  <c r="BT137" i="11"/>
  <c r="BI137" i="11" s="1"/>
  <c r="BA146" i="11"/>
  <c r="BG66" i="11"/>
  <c r="BT91" i="11"/>
  <c r="BI91" i="11" s="1"/>
  <c r="BB299" i="11"/>
  <c r="BA11" i="11"/>
  <c r="BS89" i="11"/>
  <c r="BB36" i="11"/>
  <c r="BS116" i="11"/>
  <c r="BT69" i="11"/>
  <c r="BI69" i="11" s="1"/>
  <c r="BB203" i="11"/>
  <c r="BB135" i="11"/>
  <c r="BB118" i="11"/>
  <c r="BT89" i="11"/>
  <c r="BI89" i="11" s="1"/>
  <c r="BT77" i="11"/>
  <c r="BI77" i="11" s="1"/>
  <c r="BT86" i="11"/>
  <c r="BI86" i="11" s="1"/>
  <c r="BT65" i="11"/>
  <c r="BI65" i="11" s="1"/>
  <c r="BB78" i="11"/>
  <c r="BB286" i="11"/>
  <c r="BS286" i="11"/>
  <c r="BA166" i="11"/>
  <c r="BT219" i="11"/>
  <c r="BT156" i="11"/>
  <c r="BI156" i="11" s="1"/>
  <c r="BT46" i="11"/>
  <c r="BI46" i="11" s="1"/>
  <c r="BB116" i="11"/>
  <c r="BA61" i="11"/>
  <c r="BB120" i="11"/>
  <c r="BT116" i="11"/>
  <c r="BI116" i="11" s="1"/>
  <c r="BT249" i="11"/>
  <c r="BI249" i="11" s="1"/>
  <c r="BS191" i="11"/>
  <c r="BS211" i="11"/>
  <c r="BS31" i="11"/>
  <c r="BT202" i="11"/>
  <c r="BI202" i="11" s="1"/>
  <c r="BE40" i="11"/>
  <c r="BB202" i="11"/>
  <c r="BB287" i="11"/>
  <c r="BT9" i="11"/>
  <c r="BI9" i="11" s="1"/>
  <c r="BT277" i="11"/>
  <c r="BI277" i="11" s="1"/>
  <c r="AZ53" i="11"/>
  <c r="BS271" i="11"/>
  <c r="BA23" i="11"/>
  <c r="AZ144" i="11"/>
  <c r="AZ201" i="11"/>
  <c r="BB214" i="11"/>
  <c r="BG118" i="11"/>
  <c r="BF252" i="11"/>
  <c r="BF86" i="11"/>
  <c r="AZ90" i="11"/>
  <c r="BT127" i="11"/>
  <c r="I143" i="13"/>
  <c r="AN272" i="11"/>
  <c r="BF272" i="11" s="1"/>
  <c r="BE219" i="11"/>
  <c r="AY257" i="11"/>
  <c r="BE257" i="11"/>
  <c r="BH257" i="11" s="1"/>
  <c r="AX139" i="11"/>
  <c r="BG139" i="11" s="1"/>
  <c r="BD139" i="11"/>
  <c r="AX162" i="11"/>
  <c r="BG162" i="11" s="1"/>
  <c r="BD162" i="11"/>
  <c r="AY238" i="11"/>
  <c r="BE238" i="11"/>
  <c r="AW226" i="11"/>
  <c r="BF226" i="11" s="1"/>
  <c r="BC226" i="11"/>
  <c r="AW300" i="11"/>
  <c r="BF300" i="11" s="1"/>
  <c r="BC300" i="11"/>
  <c r="AN219" i="11"/>
  <c r="BF219" i="11" s="1"/>
  <c r="BC219" i="11"/>
  <c r="AW23" i="11"/>
  <c r="BF23" i="11" s="1"/>
  <c r="BC23" i="11"/>
  <c r="AX191" i="11"/>
  <c r="BG191" i="11" s="1"/>
  <c r="BD191" i="11"/>
  <c r="AY18" i="11"/>
  <c r="BE18" i="11"/>
  <c r="AO24" i="11"/>
  <c r="BG24" i="11" s="1"/>
  <c r="BD24" i="11"/>
  <c r="AW154" i="11"/>
  <c r="BF154" i="11" s="1"/>
  <c r="BC154" i="11"/>
  <c r="AX271" i="11"/>
  <c r="BG271" i="11" s="1"/>
  <c r="BD271" i="11"/>
  <c r="BE36" i="11"/>
  <c r="AP274" i="11"/>
  <c r="BF40" i="11"/>
  <c r="AX60" i="11"/>
  <c r="BG60" i="11" s="1"/>
  <c r="BD60" i="11"/>
  <c r="AX245" i="11"/>
  <c r="BG245" i="11" s="1"/>
  <c r="BD245" i="11"/>
  <c r="AX145" i="11"/>
  <c r="BG145" i="11" s="1"/>
  <c r="BD145" i="11"/>
  <c r="BE230" i="11"/>
  <c r="AY230" i="11"/>
  <c r="BS251" i="11"/>
  <c r="BD117" i="11"/>
  <c r="AO117" i="11"/>
  <c r="BG117" i="11" s="1"/>
  <c r="AP222" i="11"/>
  <c r="BE222" i="11"/>
  <c r="AN116" i="11"/>
  <c r="BF116" i="11" s="1"/>
  <c r="BC116" i="11"/>
  <c r="AN267" i="11"/>
  <c r="BF267" i="11" s="1"/>
  <c r="BC267" i="11"/>
  <c r="AY298" i="11"/>
  <c r="BE298" i="11"/>
  <c r="AP77" i="11"/>
  <c r="BE77" i="11"/>
  <c r="AY285" i="11"/>
  <c r="BE285" i="11"/>
  <c r="AP6" i="11"/>
  <c r="BE6" i="11"/>
  <c r="AO89" i="11"/>
  <c r="BG89" i="11" s="1"/>
  <c r="BD89" i="11"/>
  <c r="BE231" i="11"/>
  <c r="BH231" i="11" s="1"/>
  <c r="AP123" i="11"/>
  <c r="BS121" i="11"/>
  <c r="BD8" i="11"/>
  <c r="AP202" i="11"/>
  <c r="BE202" i="11"/>
  <c r="AO7" i="11"/>
  <c r="BG7" i="11" s="1"/>
  <c r="BD7" i="11"/>
  <c r="BD55" i="11"/>
  <c r="AO55" i="11"/>
  <c r="BG55" i="11" s="1"/>
  <c r="I169" i="13"/>
  <c r="AX128" i="11"/>
  <c r="BG128" i="11" s="1"/>
  <c r="BD128" i="11"/>
  <c r="BE86" i="11"/>
  <c r="BH86" i="11" s="1"/>
  <c r="AP86" i="11"/>
  <c r="AW197" i="11"/>
  <c r="BF197" i="11" s="1"/>
  <c r="BC197" i="11"/>
  <c r="BD100" i="11"/>
  <c r="AO100" i="11"/>
  <c r="BG100" i="11" s="1"/>
  <c r="AY266" i="11"/>
  <c r="BE266" i="11"/>
  <c r="BH266" i="11" s="1"/>
  <c r="AP197" i="11"/>
  <c r="BE197" i="11"/>
  <c r="AX95" i="11"/>
  <c r="BG95" i="11" s="1"/>
  <c r="BD95" i="11"/>
  <c r="AP76" i="11"/>
  <c r="BE76" i="11"/>
  <c r="AX216" i="11"/>
  <c r="BG216" i="11" s="1"/>
  <c r="BD216" i="11"/>
  <c r="AX166" i="11"/>
  <c r="BG166" i="11" s="1"/>
  <c r="BD166" i="11"/>
  <c r="AP226" i="11"/>
  <c r="BE226" i="11"/>
  <c r="AN103" i="11"/>
  <c r="BF103" i="11" s="1"/>
  <c r="BC103" i="11"/>
  <c r="AW255" i="11"/>
  <c r="BF255" i="11" s="1"/>
  <c r="BC255" i="11"/>
  <c r="AW232" i="11"/>
  <c r="BF232" i="11" s="1"/>
  <c r="BC232" i="11"/>
  <c r="BG106" i="11"/>
  <c r="BF57" i="11"/>
  <c r="BB272" i="11"/>
  <c r="BA124" i="11"/>
  <c r="BB186" i="11"/>
  <c r="BS111" i="11"/>
  <c r="BS277" i="11"/>
  <c r="BB101" i="11"/>
  <c r="BS289" i="11"/>
  <c r="BS269" i="11"/>
  <c r="BT32" i="11"/>
  <c r="BI32" i="11" s="1"/>
  <c r="BT99" i="11"/>
  <c r="BI99" i="11" s="1"/>
  <c r="AZ199" i="11"/>
  <c r="BA271" i="11"/>
  <c r="BS238" i="11"/>
  <c r="BA206" i="11"/>
  <c r="AZ87" i="11"/>
  <c r="BT36" i="11"/>
  <c r="BG251" i="11"/>
  <c r="BB150" i="11"/>
  <c r="AZ5" i="11"/>
  <c r="BB259" i="11"/>
  <c r="BT58" i="11"/>
  <c r="BI58" i="11" s="1"/>
  <c r="BG98" i="11"/>
  <c r="BF239" i="11"/>
  <c r="BA56" i="11"/>
  <c r="BF210" i="11"/>
  <c r="BS112" i="11"/>
  <c r="BB67" i="11"/>
  <c r="AN47" i="11"/>
  <c r="BF47" i="11" s="1"/>
  <c r="BF83" i="11"/>
  <c r="BT144" i="11"/>
  <c r="BI144" i="11" s="1"/>
  <c r="BT68" i="11"/>
  <c r="BI68" i="11" s="1"/>
  <c r="BT217" i="11"/>
  <c r="BI217" i="11" s="1"/>
  <c r="BS34" i="11"/>
  <c r="BE247" i="11"/>
  <c r="BS61" i="11"/>
  <c r="BB49" i="11"/>
  <c r="BT128" i="11"/>
  <c r="BI128" i="11" s="1"/>
  <c r="AZ15" i="11"/>
  <c r="BS77" i="11"/>
  <c r="BT157" i="11"/>
  <c r="BI157" i="11" s="1"/>
  <c r="AZ92" i="11"/>
  <c r="BG146" i="11"/>
  <c r="BB199" i="11"/>
  <c r="BA121" i="11"/>
  <c r="BB267" i="11"/>
  <c r="BT123" i="11"/>
  <c r="BI123" i="11" s="1"/>
  <c r="BA266" i="11"/>
  <c r="BT75" i="11"/>
  <c r="BI75" i="11" s="1"/>
  <c r="BT275" i="11"/>
  <c r="BI275" i="11" s="1"/>
  <c r="BT82" i="11"/>
  <c r="BI82" i="11" s="1"/>
  <c r="AZ249" i="11"/>
  <c r="BG69" i="11"/>
  <c r="BC231" i="11"/>
  <c r="AN231" i="11"/>
  <c r="BF231" i="11" s="1"/>
  <c r="AP160" i="11"/>
  <c r="BE160" i="11"/>
  <c r="BD231" i="11"/>
  <c r="AO231" i="11"/>
  <c r="BG231" i="11" s="1"/>
  <c r="AZ267" i="11"/>
  <c r="BA203" i="11"/>
  <c r="BS23" i="11"/>
  <c r="BA65" i="11"/>
  <c r="AZ44" i="11"/>
  <c r="BB106" i="11"/>
  <c r="BD98" i="11"/>
  <c r="BB241" i="11"/>
  <c r="BD150" i="11"/>
  <c r="BA44" i="11"/>
  <c r="BB159" i="11"/>
  <c r="AX152" i="11"/>
  <c r="BG152" i="11" s="1"/>
  <c r="BD152" i="11"/>
  <c r="I203" i="13"/>
  <c r="AO164" i="11"/>
  <c r="BG164" i="11" s="1"/>
  <c r="BD164" i="11"/>
  <c r="AP254" i="11"/>
  <c r="BE254" i="11"/>
  <c r="BH254" i="11" s="1"/>
  <c r="BD203" i="11"/>
  <c r="AX203" i="11"/>
  <c r="BG203" i="11" s="1"/>
  <c r="AP176" i="11"/>
  <c r="BE176" i="11"/>
  <c r="BH176" i="11" s="1"/>
  <c r="BD94" i="11"/>
  <c r="AO197" i="11"/>
  <c r="BG197" i="11" s="1"/>
  <c r="BG126" i="11"/>
  <c r="BB35" i="11"/>
  <c r="I291" i="13"/>
  <c r="AN78" i="11"/>
  <c r="BF78" i="11" s="1"/>
  <c r="BC78" i="11"/>
  <c r="BE98" i="11"/>
  <c r="BH98" i="11" s="1"/>
  <c r="BS124" i="11"/>
  <c r="BA20" i="11"/>
  <c r="BE212" i="11"/>
  <c r="BD220" i="11"/>
  <c r="BC222" i="11"/>
  <c r="AN50" i="11"/>
  <c r="BF50" i="11" s="1"/>
  <c r="BA13" i="11"/>
  <c r="BG211" i="11"/>
  <c r="BD126" i="11"/>
  <c r="BD107" i="11"/>
  <c r="BE206" i="11"/>
  <c r="BS99" i="11"/>
  <c r="BB7" i="11"/>
  <c r="BE283" i="11"/>
  <c r="BH283" i="11" s="1"/>
  <c r="BS57" i="11"/>
  <c r="BC89" i="11"/>
  <c r="AY115" i="11"/>
  <c r="BE115" i="11"/>
  <c r="BH115" i="11" s="1"/>
  <c r="BS170" i="11"/>
  <c r="BF48" i="11"/>
  <c r="AO259" i="11"/>
  <c r="BG259" i="11" s="1"/>
  <c r="BD259" i="11"/>
  <c r="BA5" i="11"/>
  <c r="AR2" i="11"/>
  <c r="AW194" i="11"/>
  <c r="BF194" i="11" s="1"/>
  <c r="BC194" i="11"/>
  <c r="AX65" i="11"/>
  <c r="BG65" i="11" s="1"/>
  <c r="BD65" i="11"/>
  <c r="BC13" i="11"/>
  <c r="I265" i="13"/>
  <c r="BD211" i="11"/>
  <c r="BA91" i="11"/>
  <c r="AZ262" i="11"/>
  <c r="AW95" i="11"/>
  <c r="BF95" i="11" s="1"/>
  <c r="BC95" i="11"/>
  <c r="AW146" i="11"/>
  <c r="BF146" i="11" s="1"/>
  <c r="BC146" i="11"/>
  <c r="AY170" i="11"/>
  <c r="BE170" i="11"/>
  <c r="AN131" i="11"/>
  <c r="BF131" i="11" s="1"/>
  <c r="BC131" i="11"/>
  <c r="BT233" i="11"/>
  <c r="BI233" i="11" s="1"/>
  <c r="BA272" i="11"/>
  <c r="AO86" i="11"/>
  <c r="BG86" i="11" s="1"/>
  <c r="AZ235" i="11"/>
  <c r="BS96" i="11"/>
  <c r="BA292" i="11"/>
  <c r="BD169" i="11"/>
  <c r="BG301" i="11"/>
  <c r="BF69" i="11"/>
  <c r="AN225" i="11"/>
  <c r="BF225" i="11" s="1"/>
  <c r="AZ10" i="11"/>
  <c r="BC24" i="11"/>
  <c r="BC117" i="11"/>
  <c r="BC64" i="11"/>
  <c r="BB56" i="11"/>
  <c r="AZ26" i="11"/>
  <c r="BD301" i="11"/>
  <c r="AN260" i="11"/>
  <c r="BF260" i="11" s="1"/>
  <c r="BC71" i="11"/>
  <c r="BF222" i="11"/>
  <c r="BE246" i="11"/>
  <c r="BH246" i="11" s="1"/>
  <c r="BF89" i="11"/>
  <c r="BE33" i="11"/>
  <c r="BH33" i="11" s="1"/>
  <c r="AX282" i="11"/>
  <c r="BG282" i="11" s="1"/>
  <c r="AN93" i="11"/>
  <c r="BF93" i="11" s="1"/>
  <c r="BC93" i="11"/>
  <c r="AW72" i="11"/>
  <c r="BF72" i="11" s="1"/>
  <c r="BC72" i="11"/>
  <c r="BD267" i="11"/>
  <c r="BG101" i="11"/>
  <c r="BD195" i="11"/>
  <c r="BG8" i="11"/>
  <c r="BE94" i="11"/>
  <c r="BE167" i="11"/>
  <c r="AY167" i="11"/>
  <c r="AX241" i="11"/>
  <c r="BG241" i="11" s="1"/>
  <c r="BD241" i="11"/>
  <c r="AX21" i="11"/>
  <c r="BG21" i="11" s="1"/>
  <c r="BD21" i="11"/>
  <c r="BE221" i="11"/>
  <c r="AY161" i="11"/>
  <c r="BE161" i="11"/>
  <c r="BA238" i="11"/>
  <c r="AX33" i="11"/>
  <c r="BG33" i="11" s="1"/>
  <c r="BD33" i="11"/>
  <c r="AY41" i="11"/>
  <c r="BE41" i="11"/>
  <c r="BH41" i="11" s="1"/>
  <c r="AY146" i="11"/>
  <c r="BE146" i="11"/>
  <c r="BH146" i="11" s="1"/>
  <c r="AW44" i="11"/>
  <c r="BF44" i="11" s="1"/>
  <c r="BC44" i="11"/>
  <c r="AZ71" i="11"/>
  <c r="BT259" i="11"/>
  <c r="BF24" i="11"/>
  <c r="BG94" i="11"/>
  <c r="BF64" i="11"/>
  <c r="AZ38" i="11"/>
  <c r="BB144" i="11"/>
  <c r="BS104" i="11"/>
  <c r="BD112" i="11"/>
  <c r="BT145" i="11"/>
  <c r="BI145" i="11" s="1"/>
  <c r="BS220" i="11"/>
  <c r="BB292" i="11"/>
  <c r="BS85" i="11"/>
  <c r="BG51" i="11"/>
  <c r="AZ67" i="11"/>
  <c r="BS164" i="11"/>
  <c r="BS20" i="11"/>
  <c r="BG161" i="11"/>
  <c r="BF18" i="11"/>
  <c r="BS102" i="11"/>
  <c r="AZ184" i="11"/>
  <c r="BB13" i="11"/>
  <c r="BT115" i="11"/>
  <c r="BI115" i="11" s="1"/>
  <c r="BT182" i="11"/>
  <c r="BI182" i="11" s="1"/>
  <c r="BB289" i="11"/>
  <c r="BB97" i="11"/>
  <c r="BA140" i="11"/>
  <c r="BC261" i="11"/>
  <c r="BS94" i="11"/>
  <c r="BE158" i="11"/>
  <c r="BH158" i="11" s="1"/>
  <c r="BE11" i="11"/>
  <c r="BH11" i="11" s="1"/>
  <c r="BF228" i="11"/>
  <c r="BG267" i="11"/>
  <c r="BB11" i="11"/>
  <c r="BT11" i="11"/>
  <c r="BI11" i="11" s="1"/>
  <c r="AC11" i="3" s="1"/>
  <c r="AZ142" i="11"/>
  <c r="BS281" i="11"/>
  <c r="BS71" i="11"/>
  <c r="BG35" i="11"/>
  <c r="BC84" i="11"/>
  <c r="BE174" i="11"/>
  <c r="BE27" i="11"/>
  <c r="BD122" i="11"/>
  <c r="BS122" i="11"/>
  <c r="BT261" i="11"/>
  <c r="BI261" i="11" s="1"/>
  <c r="BT129" i="11"/>
  <c r="BI129" i="11" s="1"/>
  <c r="BF20" i="11"/>
  <c r="BD161" i="11"/>
  <c r="BB94" i="11"/>
  <c r="AP82" i="11"/>
  <c r="BE82" i="11"/>
  <c r="BS283" i="11"/>
  <c r="BA35" i="11"/>
  <c r="BG107" i="11"/>
  <c r="BS15" i="11"/>
  <c r="AA15" i="3" s="1"/>
  <c r="AZ182" i="11"/>
  <c r="BT161" i="11"/>
  <c r="BI161" i="11" s="1"/>
  <c r="BD35" i="11"/>
  <c r="BC40" i="11"/>
  <c r="BB122" i="11"/>
  <c r="BA118" i="11"/>
  <c r="BS95" i="11"/>
  <c r="BF117" i="11"/>
  <c r="AZ156" i="11"/>
  <c r="BT41" i="11"/>
  <c r="BI41" i="11" s="1"/>
  <c r="AC41" i="3" s="1"/>
  <c r="BF58" i="11"/>
  <c r="BC123" i="11"/>
  <c r="BF249" i="11"/>
  <c r="BC256" i="11"/>
  <c r="AP103" i="11"/>
  <c r="BE103" i="11"/>
  <c r="BS43" i="11"/>
  <c r="AA43" i="3" s="1"/>
  <c r="BT238" i="11"/>
  <c r="BB27" i="11"/>
  <c r="BB77" i="11"/>
  <c r="BA98" i="11"/>
  <c r="AX249" i="11"/>
  <c r="BG249" i="11" s="1"/>
  <c r="I204" i="13"/>
  <c r="AZ164" i="11"/>
  <c r="BF85" i="11"/>
  <c r="BB62" i="11"/>
  <c r="BT10" i="11"/>
  <c r="BI10" i="11" s="1"/>
  <c r="AC10" i="3" s="1"/>
  <c r="BG176" i="11"/>
  <c r="BC251" i="11"/>
  <c r="AW251" i="11"/>
  <c r="BF251" i="11" s="1"/>
  <c r="BA17" i="11"/>
  <c r="BD255" i="11"/>
  <c r="BD42" i="11"/>
  <c r="BB113" i="11"/>
  <c r="AN123" i="11"/>
  <c r="BF123" i="11" s="1"/>
  <c r="BS215" i="11"/>
  <c r="BC85" i="11"/>
  <c r="BG177" i="11"/>
  <c r="AP98" i="11"/>
  <c r="BF165" i="11"/>
  <c r="BT247" i="11"/>
  <c r="BI247" i="11" s="1"/>
  <c r="BT95" i="11"/>
  <c r="BI95" i="11" s="1"/>
  <c r="AZ40" i="11"/>
  <c r="BF36" i="11"/>
  <c r="AO83" i="11"/>
  <c r="BG83" i="11" s="1"/>
  <c r="BD83" i="11"/>
  <c r="AZ226" i="11"/>
  <c r="BT76" i="11"/>
  <c r="AY302" i="11"/>
  <c r="BE302" i="11"/>
  <c r="AZ132" i="11"/>
  <c r="BS266" i="11"/>
  <c r="AA266" i="3" s="1"/>
  <c r="BT184" i="11"/>
  <c r="BI184" i="11" s="1"/>
  <c r="AZ58" i="11"/>
  <c r="AN128" i="11"/>
  <c r="BF128" i="11" s="1"/>
  <c r="BC128" i="11"/>
  <c r="BE159" i="11"/>
  <c r="BH159" i="11" s="1"/>
  <c r="BE13" i="11"/>
  <c r="BS38" i="11"/>
  <c r="BT151" i="11"/>
  <c r="BI151" i="11" s="1"/>
  <c r="BT55" i="11"/>
  <c r="BI55" i="11" s="1"/>
  <c r="BD251" i="11"/>
  <c r="BD297" i="11"/>
  <c r="AN201" i="11"/>
  <c r="BF201" i="11" s="1"/>
  <c r="BB50" i="11"/>
  <c r="BD261" i="11"/>
  <c r="AN84" i="11"/>
  <c r="BF84" i="11" s="1"/>
  <c r="BC58" i="11"/>
  <c r="BT62" i="11"/>
  <c r="BI62" i="11" s="1"/>
  <c r="BS280" i="11"/>
  <c r="I242" i="13"/>
  <c r="BE162" i="11"/>
  <c r="BA58" i="11"/>
  <c r="AO73" i="11"/>
  <c r="BG73" i="11" s="1"/>
  <c r="BD41" i="11"/>
  <c r="BC18" i="11"/>
  <c r="AZ116" i="11"/>
  <c r="BS9" i="11"/>
  <c r="AZ139" i="11"/>
  <c r="BS29" i="11"/>
  <c r="BT209" i="11"/>
  <c r="BI209" i="11" s="1"/>
  <c r="BE220" i="11"/>
  <c r="BE95" i="11"/>
  <c r="BH95" i="11" s="1"/>
  <c r="BC46" i="11"/>
  <c r="BB22" i="11"/>
  <c r="BB102" i="11"/>
  <c r="BB72" i="11"/>
  <c r="BT192" i="11"/>
  <c r="BI192" i="11" s="1"/>
  <c r="BG297" i="11"/>
  <c r="AO200" i="11"/>
  <c r="BG200" i="11" s="1"/>
  <c r="BG255" i="11"/>
  <c r="BA164" i="11"/>
  <c r="BT63" i="11"/>
  <c r="BI63" i="11" s="1"/>
  <c r="AZ173" i="11"/>
  <c r="AZ9" i="11"/>
  <c r="BS149" i="11"/>
  <c r="BA113" i="11"/>
  <c r="BD243" i="11"/>
  <c r="BC54" i="11"/>
  <c r="BB129" i="11"/>
  <c r="BB258" i="11"/>
  <c r="BB69" i="11"/>
  <c r="BG294" i="11"/>
  <c r="BS249" i="11"/>
  <c r="BS119" i="11"/>
  <c r="BD76" i="11"/>
  <c r="BD101" i="11"/>
  <c r="BE31" i="11"/>
  <c r="BT214" i="11"/>
  <c r="BI214" i="11" s="1"/>
  <c r="BE128" i="11"/>
  <c r="BH128" i="11" s="1"/>
  <c r="AZ37" i="11"/>
  <c r="BT101" i="11"/>
  <c r="BI101" i="11" s="1"/>
  <c r="BS35" i="11"/>
  <c r="BB23" i="11"/>
  <c r="AZ260" i="11"/>
  <c r="I175" i="13"/>
  <c r="AN236" i="11"/>
  <c r="BF236" i="11" s="1"/>
  <c r="BC236" i="11"/>
  <c r="BC35" i="11"/>
  <c r="AN35" i="11"/>
  <c r="BF35" i="11" s="1"/>
  <c r="BB247" i="11"/>
  <c r="AY214" i="11"/>
  <c r="BE214" i="11"/>
  <c r="BE194" i="11"/>
  <c r="BG149" i="11"/>
  <c r="BA22" i="11"/>
  <c r="BS156" i="11"/>
  <c r="BF27" i="11"/>
  <c r="AP40" i="11"/>
  <c r="BS59" i="11"/>
  <c r="BT78" i="11"/>
  <c r="BI78" i="11" s="1"/>
  <c r="BE47" i="11"/>
  <c r="BH47" i="11" s="1"/>
  <c r="BE101" i="11"/>
  <c r="BH101" i="11" s="1"/>
  <c r="BD9" i="11"/>
  <c r="BG220" i="11"/>
  <c r="BD48" i="11"/>
  <c r="BD84" i="11"/>
  <c r="BC94" i="11"/>
  <c r="BT51" i="11"/>
  <c r="BI51" i="11" s="1"/>
  <c r="AP8" i="11"/>
  <c r="BT185" i="11"/>
  <c r="BI185" i="11" s="1"/>
  <c r="BT113" i="11"/>
  <c r="BI113" i="11" s="1"/>
  <c r="BS41" i="11"/>
  <c r="AZ29" i="11"/>
  <c r="BG219" i="11"/>
  <c r="BB119" i="11"/>
  <c r="BC20" i="11"/>
  <c r="BA145" i="11"/>
  <c r="AZ81" i="11"/>
  <c r="BC36" i="11"/>
  <c r="BF157" i="11"/>
  <c r="BT206" i="11"/>
  <c r="BD56" i="11"/>
  <c r="BD149" i="11"/>
  <c r="BD277" i="11"/>
  <c r="BB268" i="11"/>
  <c r="BT196" i="11"/>
  <c r="BI196" i="11" s="1"/>
  <c r="BS56" i="11"/>
  <c r="BC27" i="11"/>
  <c r="BE232" i="11"/>
  <c r="BH232" i="11" s="1"/>
  <c r="BT72" i="11"/>
  <c r="BI72" i="11" s="1"/>
  <c r="BS256" i="11"/>
  <c r="BS88" i="11"/>
  <c r="BG48" i="11"/>
  <c r="BF94" i="11"/>
  <c r="AZ127" i="11"/>
  <c r="AO142" i="11"/>
  <c r="BG142" i="11" s="1"/>
  <c r="BA161" i="11"/>
  <c r="BD219" i="11"/>
  <c r="BC182" i="11"/>
  <c r="BD291" i="11"/>
  <c r="BE155" i="11"/>
  <c r="BS36" i="11"/>
  <c r="BF291" i="11"/>
  <c r="BB121" i="11"/>
  <c r="BT27" i="11"/>
  <c r="BI27" i="11" s="1"/>
  <c r="AZ105" i="11"/>
  <c r="BD206" i="11"/>
  <c r="AO206" i="11"/>
  <c r="BG206" i="11" s="1"/>
  <c r="AP61" i="11"/>
  <c r="BE61" i="11"/>
  <c r="AZ121" i="11"/>
  <c r="BC164" i="11"/>
  <c r="AN164" i="11"/>
  <c r="BF164" i="11" s="1"/>
  <c r="AO258" i="11"/>
  <c r="BG258" i="11" s="1"/>
  <c r="BD258" i="11"/>
  <c r="AZ250" i="11"/>
  <c r="BG277" i="11"/>
  <c r="BS22" i="11"/>
  <c r="BG45" i="11"/>
  <c r="BS272" i="11"/>
  <c r="BE129" i="11"/>
  <c r="BH129" i="11" s="1"/>
  <c r="BC173" i="11"/>
  <c r="BA50" i="11"/>
  <c r="AO42" i="11"/>
  <c r="BG42" i="11" s="1"/>
  <c r="BD58" i="11"/>
  <c r="BE4" i="11"/>
  <c r="BS115" i="11"/>
  <c r="AA115" i="3" s="1"/>
  <c r="BS178" i="11"/>
  <c r="BS28" i="11"/>
  <c r="BS51" i="11"/>
  <c r="BD303" i="11"/>
  <c r="BE299" i="11"/>
  <c r="BG291" i="11"/>
  <c r="BS153" i="11"/>
  <c r="BC113" i="11"/>
  <c r="BB99" i="11"/>
  <c r="BA7" i="11"/>
  <c r="BC291" i="11"/>
  <c r="BF38" i="11"/>
  <c r="BT84" i="11"/>
  <c r="BI84" i="11" s="1"/>
  <c r="BT194" i="11"/>
  <c r="BI194" i="11" s="1"/>
  <c r="BS246" i="11"/>
  <c r="AA246" i="3" s="1"/>
  <c r="BT174" i="11"/>
  <c r="BI174" i="11" s="1"/>
  <c r="AP258" i="11"/>
  <c r="BE258" i="11"/>
  <c r="AZ23" i="11"/>
  <c r="AZ104" i="11"/>
  <c r="I126" i="13"/>
  <c r="I206" i="13"/>
  <c r="I19" i="13"/>
  <c r="BG188" i="11"/>
  <c r="BA38" i="11"/>
  <c r="BS92" i="11"/>
  <c r="BD165" i="11"/>
  <c r="BT124" i="11"/>
  <c r="BI124" i="11" s="1"/>
  <c r="BC38" i="11"/>
  <c r="BD293" i="11"/>
  <c r="BF171" i="11"/>
  <c r="AN9" i="11"/>
  <c r="BF9" i="11" s="1"/>
  <c r="BE7" i="11"/>
  <c r="BD116" i="11"/>
  <c r="AZ268" i="11"/>
  <c r="BB173" i="11"/>
  <c r="BS152" i="11"/>
  <c r="BS188" i="11"/>
  <c r="BS21" i="11"/>
  <c r="BF54" i="11"/>
  <c r="AZ193" i="11"/>
  <c r="AW113" i="11"/>
  <c r="BF113" i="11" s="1"/>
  <c r="BB185" i="11"/>
  <c r="AY83" i="11"/>
  <c r="BE83" i="11"/>
  <c r="BG99" i="11"/>
  <c r="BB131" i="11"/>
  <c r="BA27" i="11"/>
  <c r="AP142" i="11"/>
  <c r="BE142" i="11"/>
  <c r="BS84" i="11"/>
  <c r="AA84" i="3" s="1"/>
  <c r="AY281" i="11"/>
  <c r="BE281" i="11"/>
  <c r="AP84" i="11"/>
  <c r="BE84" i="11"/>
  <c r="AZ154" i="11"/>
  <c r="BS13" i="11"/>
  <c r="AX91" i="11"/>
  <c r="BG91" i="11" s="1"/>
  <c r="BD91" i="11"/>
  <c r="AY205" i="11"/>
  <c r="BE205" i="11"/>
  <c r="AX147" i="11"/>
  <c r="BG147" i="11" s="1"/>
  <c r="BD147" i="11"/>
  <c r="BB192" i="11"/>
  <c r="BS17" i="11"/>
  <c r="BD188" i="11"/>
  <c r="BS64" i="11"/>
  <c r="BC174" i="11"/>
  <c r="BA42" i="11"/>
  <c r="BT256" i="11"/>
  <c r="BI256" i="11" s="1"/>
  <c r="BC110" i="11"/>
  <c r="BG293" i="11"/>
  <c r="BD27" i="11"/>
  <c r="BT121" i="11"/>
  <c r="BI121" i="11" s="1"/>
  <c r="BT67" i="11"/>
  <c r="BI67" i="11" s="1"/>
  <c r="BG39" i="11"/>
  <c r="BG116" i="11"/>
  <c r="BB79" i="11"/>
  <c r="BS163" i="11"/>
  <c r="BS171" i="11"/>
  <c r="AZ59" i="11"/>
  <c r="BB207" i="11"/>
  <c r="BE81" i="11"/>
  <c r="BH81" i="11" s="1"/>
  <c r="BA216" i="11"/>
  <c r="BS233" i="11"/>
  <c r="AP272" i="11"/>
  <c r="BE9" i="11"/>
  <c r="BH9" i="11" s="1"/>
  <c r="BG58" i="11"/>
  <c r="AZ51" i="11"/>
  <c r="BB39" i="11"/>
  <c r="BT111" i="11"/>
  <c r="BI111" i="11" s="1"/>
  <c r="BS69" i="11"/>
  <c r="AA69" i="3" s="1"/>
  <c r="BD151" i="11"/>
  <c r="BS30" i="11"/>
  <c r="BS185" i="11"/>
  <c r="BA54" i="11"/>
  <c r="BE46" i="11"/>
  <c r="BB157" i="11"/>
  <c r="BE277" i="11"/>
  <c r="BD131" i="11"/>
  <c r="AO131" i="11"/>
  <c r="BG131" i="11" s="1"/>
  <c r="BB28" i="11"/>
  <c r="AY249" i="11"/>
  <c r="BE249" i="11"/>
  <c r="BD99" i="11"/>
  <c r="BE78" i="11"/>
  <c r="AN49" i="11"/>
  <c r="BF49" i="11" s="1"/>
  <c r="BC49" i="11"/>
  <c r="AY215" i="11"/>
  <c r="BE215" i="11"/>
  <c r="AY57" i="11"/>
  <c r="BE57" i="11"/>
  <c r="BB84" i="11"/>
  <c r="BS39" i="11"/>
  <c r="AA39" i="3" s="1"/>
  <c r="BE291" i="11"/>
  <c r="BT7" i="11"/>
  <c r="AN8" i="11"/>
  <c r="BF8" i="11" s="1"/>
  <c r="BC8" i="11"/>
  <c r="AO46" i="11"/>
  <c r="BG46" i="11" s="1"/>
  <c r="BD46" i="11"/>
  <c r="BA202" i="11"/>
  <c r="BC157" i="11"/>
  <c r="BS154" i="11"/>
  <c r="AA154" i="3" s="1"/>
  <c r="BS105" i="11"/>
  <c r="AA105" i="3" s="1"/>
  <c r="BB154" i="11"/>
  <c r="BF110" i="11"/>
  <c r="BG27" i="11"/>
  <c r="BT26" i="11"/>
  <c r="BI26" i="11" s="1"/>
  <c r="AC26" i="3" s="1"/>
  <c r="BD39" i="11"/>
  <c r="BA186" i="11"/>
  <c r="AZ48" i="11"/>
  <c r="AZ74" i="11"/>
  <c r="BF182" i="11"/>
  <c r="BT29" i="11"/>
  <c r="BI29" i="11" s="1"/>
  <c r="AC29" i="3" s="1"/>
  <c r="BE93" i="11"/>
  <c r="BB178" i="11"/>
  <c r="BA185" i="11"/>
  <c r="BB16" i="11"/>
  <c r="BS161" i="11"/>
  <c r="BS47" i="11"/>
  <c r="BA51" i="11"/>
  <c r="BE131" i="11"/>
  <c r="AP131" i="11"/>
  <c r="AN11" i="11"/>
  <c r="BF11" i="11" s="1"/>
  <c r="BC11" i="11"/>
  <c r="AY91" i="11"/>
  <c r="BE91" i="11"/>
  <c r="BS131" i="11"/>
  <c r="AA131" i="3" s="1"/>
  <c r="I137" i="13"/>
  <c r="BS11" i="11"/>
  <c r="AA11" i="3" s="1"/>
  <c r="I32" i="13"/>
  <c r="BS7" i="11"/>
  <c r="AA7" i="3" s="1"/>
  <c r="AX121" i="11"/>
  <c r="BG121" i="11" s="1"/>
  <c r="BD121" i="11"/>
  <c r="AY147" i="11"/>
  <c r="BE147" i="11"/>
  <c r="AY35" i="11"/>
  <c r="BE35" i="11"/>
  <c r="BS199" i="11"/>
  <c r="AA199" i="3" s="1"/>
  <c r="AY111" i="11"/>
  <c r="BE111" i="11"/>
  <c r="I45" i="13"/>
  <c r="BE14" i="11"/>
  <c r="AP14" i="11"/>
  <c r="I253" i="13"/>
  <c r="AX265" i="11"/>
  <c r="BG265" i="11" s="1"/>
  <c r="BD265" i="11"/>
  <c r="AO178" i="11"/>
  <c r="BG178" i="11" s="1"/>
  <c r="BD178" i="11"/>
  <c r="AZ183" i="11"/>
  <c r="BS209" i="11"/>
  <c r="BC192" i="11"/>
  <c r="BB38" i="11"/>
  <c r="BS217" i="11"/>
  <c r="BT30" i="11"/>
  <c r="BI30" i="11" s="1"/>
  <c r="AC30" i="3" s="1"/>
  <c r="BB190" i="11"/>
  <c r="BS198" i="11"/>
  <c r="BD176" i="11"/>
  <c r="BT173" i="11"/>
  <c r="BI173" i="11" s="1"/>
  <c r="AZ207" i="11"/>
  <c r="BB235" i="11"/>
  <c r="BT19" i="11"/>
  <c r="BI19" i="11" s="1"/>
  <c r="BE51" i="11"/>
  <c r="AP51" i="11"/>
  <c r="AY213" i="11"/>
  <c r="BE213" i="11"/>
  <c r="BA9" i="11"/>
  <c r="AN184" i="11"/>
  <c r="BF184" i="11" s="1"/>
  <c r="BC184" i="11"/>
  <c r="BE182" i="11"/>
  <c r="AP182" i="11"/>
  <c r="AO185" i="11"/>
  <c r="BG185" i="11" s="1"/>
  <c r="BD185" i="11"/>
  <c r="AX85" i="11"/>
  <c r="BG85" i="11" s="1"/>
  <c r="BD85" i="11"/>
  <c r="BB126" i="11"/>
  <c r="AX105" i="11"/>
  <c r="BG105" i="11" s="1"/>
  <c r="BD105" i="11"/>
  <c r="BS40" i="11"/>
  <c r="AA40" i="3" s="1"/>
  <c r="AP110" i="11"/>
  <c r="BE110" i="11"/>
  <c r="BE49" i="11"/>
  <c r="AP49" i="11"/>
  <c r="BE54" i="11"/>
  <c r="AP54" i="11"/>
  <c r="BT64" i="11"/>
  <c r="BT50" i="11"/>
  <c r="BI50" i="11" s="1"/>
  <c r="BS192" i="11"/>
  <c r="BF192" i="11"/>
  <c r="AZ165" i="11"/>
  <c r="BC171" i="11"/>
  <c r="BS227" i="11"/>
  <c r="BD119" i="11"/>
  <c r="AO182" i="11"/>
  <c r="BG182" i="11" s="1"/>
  <c r="BD182" i="11"/>
  <c r="AZ39" i="11"/>
  <c r="BD14" i="11"/>
  <c r="AO14" i="11"/>
  <c r="BG14" i="11" s="1"/>
  <c r="AO113" i="11"/>
  <c r="BG113" i="11" s="1"/>
  <c r="BD113" i="11"/>
  <c r="AO64" i="11"/>
  <c r="BG64" i="11" s="1"/>
  <c r="BD64" i="11"/>
  <c r="BB12" i="11"/>
  <c r="AX213" i="11"/>
  <c r="BG213" i="11" s="1"/>
  <c r="BD213" i="11"/>
  <c r="BB98" i="11"/>
  <c r="AY177" i="11"/>
  <c r="BE177" i="11"/>
  <c r="BC39" i="11"/>
  <c r="AN39" i="11"/>
  <c r="BF39" i="11" s="1"/>
  <c r="BD47" i="11"/>
  <c r="AO47" i="11"/>
  <c r="BG47" i="11" s="1"/>
  <c r="AP12" i="11"/>
  <c r="BE12" i="11"/>
  <c r="AP48" i="11"/>
  <c r="BE48" i="11"/>
  <c r="BS113" i="11"/>
  <c r="AA113" i="3" s="1"/>
  <c r="BB41" i="11"/>
  <c r="AP64" i="11"/>
  <c r="BE64" i="11"/>
  <c r="AN29" i="11"/>
  <c r="BF29" i="11" s="1"/>
  <c r="BC29" i="11"/>
  <c r="AY265" i="11"/>
  <c r="BE265" i="11"/>
  <c r="BA49" i="11"/>
  <c r="BB93" i="11"/>
  <c r="AY169" i="11"/>
  <c r="BE169" i="11"/>
  <c r="AP178" i="11"/>
  <c r="BE178" i="11"/>
  <c r="AN196" i="11"/>
  <c r="BF196" i="11" s="1"/>
  <c r="BC196" i="11"/>
  <c r="BT54" i="11"/>
  <c r="AN88" i="11"/>
  <c r="BF88" i="11" s="1"/>
  <c r="BC88" i="11"/>
  <c r="BD110" i="11"/>
  <c r="AO110" i="11"/>
  <c r="BG110" i="11" s="1"/>
  <c r="AO12" i="11"/>
  <c r="BG12" i="11" s="1"/>
  <c r="BD12" i="11"/>
  <c r="AP185" i="11"/>
  <c r="BE185" i="11"/>
  <c r="AY137" i="11"/>
  <c r="BE137" i="11"/>
  <c r="BA119" i="11"/>
  <c r="AX273" i="11"/>
  <c r="BG273" i="11" s="1"/>
  <c r="BD273" i="11"/>
  <c r="I133" i="13"/>
  <c r="AN92" i="11"/>
  <c r="BF92" i="11" s="1"/>
  <c r="BC92" i="11"/>
  <c r="AY85" i="11"/>
  <c r="BE85" i="11"/>
  <c r="BG56" i="11"/>
  <c r="BB92" i="11"/>
  <c r="BB10" i="11"/>
  <c r="AZ136" i="11"/>
  <c r="BB250" i="11"/>
  <c r="BS81" i="11"/>
  <c r="AZ50" i="11"/>
  <c r="BR2" i="11"/>
  <c r="BS117" i="11"/>
  <c r="BS55" i="11"/>
  <c r="BD51" i="11"/>
  <c r="AZ190" i="11"/>
  <c r="BS200" i="11"/>
  <c r="BS79" i="11"/>
  <c r="AZ171" i="11"/>
  <c r="AZ186" i="11"/>
  <c r="BB227" i="11"/>
  <c r="BB188" i="11"/>
  <c r="BB40" i="11"/>
  <c r="AW14" i="11"/>
  <c r="BF14" i="11" s="1"/>
  <c r="BC14" i="11"/>
  <c r="BS12" i="11"/>
  <c r="AA12" i="3" s="1"/>
  <c r="BA48" i="11"/>
  <c r="AZ178" i="11"/>
  <c r="BB74" i="11"/>
  <c r="BB14" i="11"/>
  <c r="BS98" i="11"/>
  <c r="AA98" i="3" s="1"/>
  <c r="AZ98" i="11"/>
  <c r="AZ113" i="11"/>
  <c r="BS127" i="11"/>
  <c r="AA127" i="3" s="1"/>
  <c r="BT12" i="11"/>
  <c r="AN12" i="11"/>
  <c r="BF12" i="11" s="1"/>
  <c r="BC12" i="11"/>
  <c r="AX181" i="11"/>
  <c r="BG181" i="11" s="1"/>
  <c r="BD181" i="11"/>
  <c r="AZ41" i="11"/>
  <c r="BE113" i="11"/>
  <c r="BB215" i="11"/>
  <c r="BB29" i="11"/>
  <c r="AY105" i="11"/>
  <c r="BE105" i="11"/>
  <c r="BT117" i="11"/>
  <c r="AX129" i="11"/>
  <c r="BG129" i="11" s="1"/>
  <c r="BD129" i="11"/>
  <c r="BE29" i="11"/>
  <c r="AP29" i="11"/>
  <c r="BD177" i="11"/>
  <c r="BE116" i="11"/>
  <c r="AP116" i="11"/>
  <c r="BD93" i="11"/>
  <c r="AO93" i="11"/>
  <c r="BG93" i="11" s="1"/>
  <c r="BS145" i="11"/>
  <c r="AA145" i="3" s="1"/>
  <c r="AO54" i="11"/>
  <c r="BG54" i="11" s="1"/>
  <c r="BD54" i="11"/>
  <c r="BT110" i="11"/>
  <c r="AY181" i="11"/>
  <c r="BE181" i="11"/>
  <c r="AZ192" i="11"/>
  <c r="BE200" i="11"/>
  <c r="AP200" i="11"/>
  <c r="AY252" i="11"/>
  <c r="BE252" i="11"/>
  <c r="BE184" i="11"/>
  <c r="AY184" i="11"/>
  <c r="AO17" i="11"/>
  <c r="BG17" i="11" s="1"/>
  <c r="BD17" i="11"/>
  <c r="AX104" i="11"/>
  <c r="BG104" i="11" s="1"/>
  <c r="BD104" i="11"/>
  <c r="BE145" i="11"/>
  <c r="AP145" i="11"/>
  <c r="BE38" i="11"/>
  <c r="AP38" i="11"/>
  <c r="BB136" i="11"/>
  <c r="BE233" i="11"/>
  <c r="AP233" i="11"/>
  <c r="BC233" i="11"/>
  <c r="AN233" i="11"/>
  <c r="BF233" i="11" s="1"/>
  <c r="AO235" i="11"/>
  <c r="BG235" i="11" s="1"/>
  <c r="BD235" i="11"/>
  <c r="AW235" i="11"/>
  <c r="BF235" i="11" s="1"/>
  <c r="BC235" i="11"/>
  <c r="BC10" i="11"/>
  <c r="AN10" i="11"/>
  <c r="BF10" i="11" s="1"/>
  <c r="AW190" i="11"/>
  <c r="BF190" i="11" s="1"/>
  <c r="BC190" i="11"/>
  <c r="BD198" i="11"/>
  <c r="AO198" i="11"/>
  <c r="BG198" i="11" s="1"/>
  <c r="BC55" i="11"/>
  <c r="AN55" i="11"/>
  <c r="BF55" i="11" s="1"/>
  <c r="BA37" i="11"/>
  <c r="BE102" i="11"/>
  <c r="AP102" i="11"/>
  <c r="BC102" i="11"/>
  <c r="AN102" i="11"/>
  <c r="BF102" i="11" s="1"/>
  <c r="AX252" i="11"/>
  <c r="BG252" i="11" s="1"/>
  <c r="BD252" i="11"/>
  <c r="AX240" i="11"/>
  <c r="BG240" i="11" s="1"/>
  <c r="BD240" i="11"/>
  <c r="AY196" i="11"/>
  <c r="BE196" i="11"/>
  <c r="AX184" i="11"/>
  <c r="BG184" i="11" s="1"/>
  <c r="BD184" i="11"/>
  <c r="AP30" i="11"/>
  <c r="BE30" i="11"/>
  <c r="AW17" i="11"/>
  <c r="BF17" i="11" s="1"/>
  <c r="BC17" i="11"/>
  <c r="AN145" i="11"/>
  <c r="BF145" i="11" s="1"/>
  <c r="BC145" i="11"/>
  <c r="AY152" i="11"/>
  <c r="BE152" i="11"/>
  <c r="AX288" i="11"/>
  <c r="BG288" i="11" s="1"/>
  <c r="BD288" i="11"/>
  <c r="AN67" i="11"/>
  <c r="BF67" i="11" s="1"/>
  <c r="BC67" i="11"/>
  <c r="BD38" i="11"/>
  <c r="AO38" i="11"/>
  <c r="BG38" i="11" s="1"/>
  <c r="BD22" i="11"/>
  <c r="AO22" i="11"/>
  <c r="BG22" i="11" s="1"/>
  <c r="AY88" i="11"/>
  <c r="BE88" i="11"/>
  <c r="AN109" i="11"/>
  <c r="BF109" i="11" s="1"/>
  <c r="BC109" i="11"/>
  <c r="BE268" i="11"/>
  <c r="AP268" i="11"/>
  <c r="BE10" i="11"/>
  <c r="AP10" i="11"/>
  <c r="AM2" i="11"/>
  <c r="AX92" i="11"/>
  <c r="BG92" i="11" s="1"/>
  <c r="BD92" i="11"/>
  <c r="AV2" i="11"/>
  <c r="BF200" i="11"/>
  <c r="AY188" i="11"/>
  <c r="BE188" i="11"/>
  <c r="BA4" i="11"/>
  <c r="AI2" i="11"/>
  <c r="AK2" i="11"/>
  <c r="AZ4" i="11"/>
  <c r="AH2" i="11"/>
  <c r="BE79" i="11"/>
  <c r="AP79" i="11"/>
  <c r="BC198" i="11"/>
  <c r="AO63" i="11"/>
  <c r="BG63" i="11" s="1"/>
  <c r="BD63" i="11"/>
  <c r="BD232" i="11"/>
  <c r="AX59" i="11"/>
  <c r="BG59" i="11" s="1"/>
  <c r="BD59" i="11"/>
  <c r="AP207" i="11"/>
  <c r="BE207" i="11"/>
  <c r="BE34" i="11"/>
  <c r="BE125" i="11"/>
  <c r="AP125" i="11"/>
  <c r="BD125" i="11"/>
  <c r="AO125" i="11"/>
  <c r="BG125" i="11" s="1"/>
  <c r="AX120" i="11"/>
  <c r="BG120" i="11" s="1"/>
  <c r="BD120" i="11"/>
  <c r="AX80" i="11"/>
  <c r="BG80" i="11" s="1"/>
  <c r="BD80" i="11"/>
  <c r="AP50" i="11"/>
  <c r="BE50" i="11"/>
  <c r="BD34" i="11"/>
  <c r="AO34" i="11"/>
  <c r="BG34" i="11" s="1"/>
  <c r="BF4" i="11"/>
  <c r="AO233" i="11"/>
  <c r="BG233" i="11" s="1"/>
  <c r="BD233" i="11"/>
  <c r="BT235" i="11"/>
  <c r="BS250" i="11"/>
  <c r="AA250" i="3" s="1"/>
  <c r="AX50" i="11"/>
  <c r="BG50" i="11" s="1"/>
  <c r="BD50" i="11"/>
  <c r="BT198" i="11"/>
  <c r="BD163" i="11"/>
  <c r="AO163" i="11"/>
  <c r="BG163" i="11" s="1"/>
  <c r="BB64" i="11"/>
  <c r="BD102" i="11"/>
  <c r="AO102" i="11"/>
  <c r="BG102" i="11" s="1"/>
  <c r="AZ22" i="11"/>
  <c r="BT8" i="11"/>
  <c r="AY240" i="11"/>
  <c r="BE240" i="11"/>
  <c r="BT17" i="11"/>
  <c r="BC30" i="11"/>
  <c r="AN30" i="11"/>
  <c r="BF30" i="11" s="1"/>
  <c r="BB117" i="11"/>
  <c r="AZ117" i="11"/>
  <c r="BT22" i="11"/>
  <c r="AX264" i="11"/>
  <c r="BG264" i="11" s="1"/>
  <c r="BD264" i="11"/>
  <c r="AX256" i="11"/>
  <c r="BG256" i="11" s="1"/>
  <c r="BD256" i="11"/>
  <c r="AX124" i="11"/>
  <c r="BG124" i="11" s="1"/>
  <c r="BD124" i="11"/>
  <c r="BE56" i="11"/>
  <c r="AY56" i="11"/>
  <c r="BE163" i="11"/>
  <c r="AP163" i="11"/>
  <c r="BE186" i="11"/>
  <c r="AP186" i="11"/>
  <c r="BC186" i="11"/>
  <c r="AN186" i="11"/>
  <c r="BF186" i="11" s="1"/>
  <c r="AP227" i="11"/>
  <c r="BE227" i="11"/>
  <c r="BE250" i="11"/>
  <c r="AP250" i="11"/>
  <c r="BC250" i="11"/>
  <c r="AN250" i="11"/>
  <c r="BF250" i="11" s="1"/>
  <c r="BE171" i="11"/>
  <c r="AP171" i="11"/>
  <c r="AO225" i="11"/>
  <c r="BG225" i="11" s="1"/>
  <c r="BD225" i="11"/>
  <c r="AP37" i="11"/>
  <c r="BE37" i="11"/>
  <c r="AZ30" i="11"/>
  <c r="BA67" i="11"/>
  <c r="AY20" i="11"/>
  <c r="BE20" i="11"/>
  <c r="BE112" i="11"/>
  <c r="AN63" i="11"/>
  <c r="BF63" i="11" s="1"/>
  <c r="BC63" i="11"/>
  <c r="BC200" i="11"/>
  <c r="BC59" i="11"/>
  <c r="BT59" i="11"/>
  <c r="AP225" i="11"/>
  <c r="BE225" i="11"/>
  <c r="BT272" i="11"/>
  <c r="AW138" i="11"/>
  <c r="BF138" i="11" s="1"/>
  <c r="BC138" i="11"/>
  <c r="AN37" i="11"/>
  <c r="BF37" i="11" s="1"/>
  <c r="BC37" i="11"/>
  <c r="AY72" i="11"/>
  <c r="BE72" i="11"/>
  <c r="AO30" i="11"/>
  <c r="BG30" i="11" s="1"/>
  <c r="BD30" i="11"/>
  <c r="AN26" i="11"/>
  <c r="BF26" i="11" s="1"/>
  <c r="BC26" i="11"/>
  <c r="BA109" i="11"/>
  <c r="BD67" i="11"/>
  <c r="AO67" i="11"/>
  <c r="BG67" i="11" s="1"/>
  <c r="AS2" i="11"/>
  <c r="BC79" i="11"/>
  <c r="AN79" i="11"/>
  <c r="BF79" i="11" s="1"/>
  <c r="AP136" i="11"/>
  <c r="BE136" i="11"/>
  <c r="BE224" i="11"/>
  <c r="BD272" i="11"/>
  <c r="BE235" i="11"/>
  <c r="AP235" i="11"/>
  <c r="AY63" i="11"/>
  <c r="BE63" i="11"/>
  <c r="BE190" i="11"/>
  <c r="AP190" i="11"/>
  <c r="AY198" i="11"/>
  <c r="BE198" i="11"/>
  <c r="BS268" i="11"/>
  <c r="AA268" i="3" s="1"/>
  <c r="BB17" i="11"/>
  <c r="AY100" i="11"/>
  <c r="BE100" i="11"/>
  <c r="BT34" i="11"/>
  <c r="AX88" i="11"/>
  <c r="BG88" i="11" s="1"/>
  <c r="BD88" i="11"/>
  <c r="AX196" i="11"/>
  <c r="BG196" i="11" s="1"/>
  <c r="BD196" i="11"/>
  <c r="BS4" i="11"/>
  <c r="AA4" i="3" s="1"/>
  <c r="BA30" i="11"/>
  <c r="BE17" i="11"/>
  <c r="AP17" i="11"/>
  <c r="AY60" i="11"/>
  <c r="BE60" i="11"/>
  <c r="BC22" i="11"/>
  <c r="AN22" i="11"/>
  <c r="BF22" i="11" s="1"/>
  <c r="AN207" i="11"/>
  <c r="BF207" i="11" s="1"/>
  <c r="BC207" i="11"/>
  <c r="BT38" i="11"/>
  <c r="BA102" i="11"/>
  <c r="BE22" i="11"/>
  <c r="AP22" i="11"/>
  <c r="BA26" i="11"/>
  <c r="AY296" i="11"/>
  <c r="BE296" i="11"/>
  <c r="BC163" i="11"/>
  <c r="AN163" i="11"/>
  <c r="BF163" i="11" s="1"/>
  <c r="AO186" i="11"/>
  <c r="BG186" i="11" s="1"/>
  <c r="BD186" i="11"/>
  <c r="BT227" i="11"/>
  <c r="BT250" i="11"/>
  <c r="BS165" i="11"/>
  <c r="AA165" i="3" s="1"/>
  <c r="BD171" i="11"/>
  <c r="AO171" i="11"/>
  <c r="BG171" i="11" s="1"/>
  <c r="BT186" i="11"/>
  <c r="AU2" i="11"/>
  <c r="AZ34" i="11"/>
  <c r="AO37" i="11"/>
  <c r="BG37" i="11" s="1"/>
  <c r="BD37" i="11"/>
  <c r="AX20" i="11"/>
  <c r="BG20" i="11" s="1"/>
  <c r="BD20" i="11"/>
  <c r="AN42" i="11"/>
  <c r="BF42" i="11" s="1"/>
  <c r="BC42" i="11"/>
  <c r="BE26" i="11"/>
  <c r="AP26" i="11"/>
  <c r="AP67" i="11"/>
  <c r="BE67" i="11"/>
  <c r="AX300" i="11"/>
  <c r="BG300" i="11" s="1"/>
  <c r="BD300" i="11"/>
  <c r="AY244" i="11"/>
  <c r="BE244" i="11"/>
  <c r="BS136" i="11"/>
  <c r="AA136" i="3" s="1"/>
  <c r="AX144" i="11"/>
  <c r="BG144" i="11" s="1"/>
  <c r="BD144" i="11"/>
  <c r="AW208" i="11"/>
  <c r="BF208" i="11" s="1"/>
  <c r="BC208" i="11"/>
  <c r="BD217" i="11"/>
  <c r="AO217" i="11"/>
  <c r="BG217" i="11" s="1"/>
  <c r="BE264" i="11"/>
  <c r="AY264" i="11"/>
  <c r="AY256" i="11"/>
  <c r="BE256" i="11"/>
  <c r="BE124" i="11"/>
  <c r="AY124" i="11"/>
  <c r="BE42" i="11"/>
  <c r="AP42" i="11"/>
  <c r="BD227" i="11"/>
  <c r="AO227" i="11"/>
  <c r="BG227" i="11" s="1"/>
  <c r="BC227" i="11"/>
  <c r="AN227" i="11"/>
  <c r="BF227" i="11" s="1"/>
  <c r="BD250" i="11"/>
  <c r="AO250" i="11"/>
  <c r="BG250" i="11" s="1"/>
  <c r="BB165" i="11"/>
  <c r="BT171" i="11"/>
  <c r="BS208" i="11"/>
  <c r="AA208" i="3" s="1"/>
  <c r="AZ208" i="11"/>
  <c r="BB217" i="11"/>
  <c r="I228" i="13"/>
  <c r="BE192" i="11"/>
  <c r="AP192" i="11"/>
  <c r="BT225" i="11"/>
  <c r="BC136" i="11"/>
  <c r="AN136" i="11"/>
  <c r="BF136" i="11" s="1"/>
  <c r="BE164" i="11"/>
  <c r="AY164" i="11"/>
  <c r="AX72" i="11"/>
  <c r="BG72" i="11" s="1"/>
  <c r="BD72" i="11"/>
  <c r="BC165" i="11"/>
  <c r="BF173" i="11"/>
  <c r="BC34" i="11"/>
  <c r="AN34" i="11"/>
  <c r="BF34" i="11" s="1"/>
  <c r="AT2" i="11"/>
  <c r="BD26" i="11"/>
  <c r="AO26" i="11"/>
  <c r="BG26" i="11" s="1"/>
  <c r="AZ109" i="11"/>
  <c r="BE300" i="11"/>
  <c r="AY300" i="11"/>
  <c r="AX244" i="11"/>
  <c r="BG244" i="11" s="1"/>
  <c r="BD244" i="11"/>
  <c r="AL2" i="11"/>
  <c r="BB4" i="11"/>
  <c r="AJ2" i="11"/>
  <c r="BQ2" i="11"/>
  <c r="BT79" i="11"/>
  <c r="BD79" i="11"/>
  <c r="AO79" i="11"/>
  <c r="BG79" i="11" s="1"/>
  <c r="AO10" i="11"/>
  <c r="BG10" i="11" s="1"/>
  <c r="BD10" i="11"/>
  <c r="BF59" i="11"/>
  <c r="BB198" i="11"/>
  <c r="AZ198" i="11"/>
  <c r="BB200" i="11"/>
  <c r="BE55" i="11"/>
  <c r="AP55" i="11"/>
  <c r="AZ85" i="11"/>
  <c r="BE288" i="11"/>
  <c r="AY288" i="11"/>
  <c r="AY248" i="11"/>
  <c r="BE248" i="11"/>
  <c r="BD168" i="11"/>
  <c r="AX168" i="11"/>
  <c r="BG168" i="11" s="1"/>
  <c r="AX68" i="11"/>
  <c r="BG68" i="11" s="1"/>
  <c r="BD68" i="11"/>
  <c r="BB163" i="11"/>
  <c r="BB171" i="11"/>
  <c r="AO208" i="11"/>
  <c r="BG208" i="11" s="1"/>
  <c r="BD208" i="11"/>
  <c r="BT216" i="11"/>
  <c r="BG272" i="11"/>
  <c r="BG232" i="11"/>
  <c r="BA34" i="11"/>
  <c r="BB216" i="11"/>
  <c r="AZ216" i="11"/>
  <c r="BS235" i="11"/>
  <c r="AA235" i="3" s="1"/>
  <c r="BS173" i="11"/>
  <c r="AA173" i="3" s="1"/>
  <c r="BT109" i="11"/>
  <c r="AX156" i="11"/>
  <c r="BG156" i="11" s="1"/>
  <c r="BD156" i="11"/>
  <c r="AX180" i="11"/>
  <c r="BG180" i="11" s="1"/>
  <c r="BD180" i="11"/>
  <c r="AP138" i="11"/>
  <c r="BE138" i="11"/>
  <c r="AZ200" i="11"/>
  <c r="BF198" i="11"/>
  <c r="AX132" i="11"/>
  <c r="BG132" i="11" s="1"/>
  <c r="BD132" i="11"/>
  <c r="BT136" i="11"/>
  <c r="AZ280" i="11"/>
  <c r="AX280" i="11"/>
  <c r="BG280" i="11" s="1"/>
  <c r="BD280" i="11"/>
  <c r="BE260" i="11"/>
  <c r="AY260" i="11"/>
  <c r="AX248" i="11"/>
  <c r="BG248" i="11" s="1"/>
  <c r="BD248" i="11"/>
  <c r="AY144" i="11"/>
  <c r="BE144" i="11"/>
  <c r="BE68" i="11"/>
  <c r="AY68" i="11"/>
  <c r="BE165" i="11"/>
  <c r="AP165" i="11"/>
  <c r="BE208" i="11"/>
  <c r="AP208" i="11"/>
  <c r="BC216" i="11"/>
  <c r="AN216" i="11"/>
  <c r="BF216" i="11" s="1"/>
  <c r="BE59" i="11"/>
  <c r="AP59" i="11"/>
  <c r="BE173" i="11"/>
  <c r="AP173" i="11"/>
  <c r="BA207" i="11"/>
  <c r="BS216" i="11"/>
  <c r="AA216" i="3" s="1"/>
  <c r="AO268" i="11"/>
  <c r="BG268" i="11" s="1"/>
  <c r="BD268" i="11"/>
  <c r="BT207" i="11"/>
  <c r="AO19" i="11"/>
  <c r="BG19" i="11" s="1"/>
  <c r="BD19" i="11"/>
  <c r="AO109" i="11"/>
  <c r="BG109" i="11" s="1"/>
  <c r="BD109" i="11"/>
  <c r="BT125" i="11"/>
  <c r="AN125" i="11"/>
  <c r="BF125" i="11" s="1"/>
  <c r="BC125" i="11"/>
  <c r="AY120" i="11"/>
  <c r="BE120" i="11"/>
  <c r="AY180" i="11"/>
  <c r="BE180" i="11"/>
  <c r="AY280" i="11"/>
  <c r="BE280" i="11"/>
  <c r="AX260" i="11"/>
  <c r="BG260" i="11" s="1"/>
  <c r="BD260" i="11"/>
  <c r="AZ163" i="11"/>
  <c r="BT165" i="11"/>
  <c r="BE216" i="11"/>
  <c r="AP216" i="11"/>
  <c r="BE217" i="11"/>
  <c r="AP217" i="11"/>
  <c r="BE168" i="11"/>
  <c r="BC268" i="11"/>
  <c r="AN268" i="11"/>
  <c r="BF268" i="11" s="1"/>
  <c r="BD207" i="11"/>
  <c r="AO207" i="11"/>
  <c r="BG207" i="11" s="1"/>
  <c r="BC19" i="11"/>
  <c r="AN19" i="11"/>
  <c r="BF19" i="11" s="1"/>
  <c r="BE19" i="11"/>
  <c r="AP19" i="11"/>
  <c r="BT102" i="11"/>
  <c r="AP109" i="11"/>
  <c r="BE109" i="11"/>
  <c r="BE156" i="11"/>
  <c r="AY156" i="11"/>
  <c r="BE80" i="11"/>
  <c r="AY80" i="11"/>
  <c r="A3" i="8" l="1"/>
  <c r="N4" i="8"/>
  <c r="I167" i="13"/>
  <c r="I254" i="13"/>
  <c r="F5" i="8" a="1"/>
  <c r="F5" i="8" s="1"/>
  <c r="E5" i="8" s="1"/>
  <c r="Y4" i="8"/>
  <c r="H4" i="8" s="1"/>
  <c r="X4" i="8"/>
  <c r="G4" i="8" s="1"/>
  <c r="D4" i="8"/>
  <c r="I4" i="8"/>
  <c r="A15" i="18"/>
  <c r="I239" i="13"/>
  <c r="I236" i="13"/>
  <c r="H140" i="13"/>
  <c r="BI54" i="11"/>
  <c r="BI207" i="11"/>
  <c r="BI225" i="11"/>
  <c r="BI171" i="11"/>
  <c r="BI227" i="11"/>
  <c r="BI59" i="11"/>
  <c r="BI22" i="11"/>
  <c r="AC22" i="3" s="1"/>
  <c r="BI8" i="11"/>
  <c r="BI7" i="11"/>
  <c r="BI259" i="11"/>
  <c r="BI36" i="11"/>
  <c r="AC36" i="3" s="1"/>
  <c r="BI127" i="11"/>
  <c r="BI278" i="11"/>
  <c r="BI187" i="11"/>
  <c r="BI303" i="11"/>
  <c r="BI107" i="11"/>
  <c r="BI165" i="11"/>
  <c r="BI125" i="11"/>
  <c r="BI186" i="11"/>
  <c r="BI250" i="11"/>
  <c r="BI38" i="11"/>
  <c r="AC38" i="3" s="1"/>
  <c r="BI198" i="11"/>
  <c r="BI235" i="11"/>
  <c r="BI102" i="11"/>
  <c r="BI109" i="11"/>
  <c r="BI216" i="11"/>
  <c r="BI79" i="11"/>
  <c r="BI272" i="11"/>
  <c r="BI17" i="11"/>
  <c r="AC17" i="3" s="1"/>
  <c r="BI110" i="11"/>
  <c r="BI12" i="11"/>
  <c r="AC12" i="3" s="1"/>
  <c r="BI206" i="11"/>
  <c r="BI76" i="11"/>
  <c r="BI238" i="11"/>
  <c r="BI292" i="11"/>
  <c r="BK292" i="11" s="1"/>
  <c r="BL292" i="11" s="1"/>
  <c r="BI87" i="11"/>
  <c r="BK87" i="11" s="1"/>
  <c r="BL87" i="11" s="1"/>
  <c r="BI158" i="11"/>
  <c r="BK158" i="11" s="1"/>
  <c r="BL158" i="11" s="1"/>
  <c r="BI136" i="11"/>
  <c r="BI34" i="11"/>
  <c r="AC34" i="3" s="1"/>
  <c r="BI117" i="11"/>
  <c r="BI64" i="11"/>
  <c r="BI302" i="11"/>
  <c r="BI219" i="11"/>
  <c r="BI230" i="11"/>
  <c r="BI134" i="11"/>
  <c r="Z158" i="3"/>
  <c r="Z87" i="3"/>
  <c r="H134" i="13"/>
  <c r="BK287" i="11"/>
  <c r="BL287" i="11" s="1"/>
  <c r="BK160" i="11"/>
  <c r="BL160" i="11" s="1"/>
  <c r="BK191" i="11"/>
  <c r="BL191" i="11" s="1"/>
  <c r="BK260" i="11"/>
  <c r="BL260" i="11" s="1"/>
  <c r="BK283" i="11"/>
  <c r="BL283" i="11" s="1"/>
  <c r="BK265" i="11"/>
  <c r="BL265" i="11" s="1"/>
  <c r="BK255" i="11"/>
  <c r="BL255" i="11" s="1"/>
  <c r="BK45" i="11"/>
  <c r="BL45" i="11" s="1"/>
  <c r="BK258" i="11"/>
  <c r="BL258" i="11" s="1"/>
  <c r="BK269" i="11"/>
  <c r="BL269" i="11" s="1"/>
  <c r="E8" i="19"/>
  <c r="BK286" i="11"/>
  <c r="BL286" i="11" s="1"/>
  <c r="BK273" i="11"/>
  <c r="BL273" i="11" s="1"/>
  <c r="BK251" i="11"/>
  <c r="BL251" i="11" s="1"/>
  <c r="BK266" i="11"/>
  <c r="BL266" i="11" s="1"/>
  <c r="BK252" i="11"/>
  <c r="BL252" i="11" s="1"/>
  <c r="BK263" i="11"/>
  <c r="BL263" i="11" s="1"/>
  <c r="BK282" i="11"/>
  <c r="BL282" i="11" s="1"/>
  <c r="BK264" i="11"/>
  <c r="BL264" i="11" s="1"/>
  <c r="BK271" i="11"/>
  <c r="BL271" i="11" s="1"/>
  <c r="BK279" i="11"/>
  <c r="BL279" i="11" s="1"/>
  <c r="BK195" i="11"/>
  <c r="BL195" i="11" s="1"/>
  <c r="Z140" i="3"/>
  <c r="AB140" i="3" s="1"/>
  <c r="BK254" i="11"/>
  <c r="BL254" i="11" s="1"/>
  <c r="BK274" i="11"/>
  <c r="BL274" i="11" s="1"/>
  <c r="BK256" i="11"/>
  <c r="BL256" i="11" s="1"/>
  <c r="BK131" i="11"/>
  <c r="BL131" i="11" s="1"/>
  <c r="BK222" i="11"/>
  <c r="BL222" i="11" s="1"/>
  <c r="BK297" i="11"/>
  <c r="BL297" i="11" s="1"/>
  <c r="BK197" i="11"/>
  <c r="BL197" i="11" s="1"/>
  <c r="BK284" i="11"/>
  <c r="BL284" i="11" s="1"/>
  <c r="BK281" i="11"/>
  <c r="BL281" i="11" s="1"/>
  <c r="BK169" i="11"/>
  <c r="BL169" i="11" s="1"/>
  <c r="BK257" i="11"/>
  <c r="BL257" i="11" s="1"/>
  <c r="BK296" i="11"/>
  <c r="BL296" i="11" s="1"/>
  <c r="BK248" i="11"/>
  <c r="BL248" i="11" s="1"/>
  <c r="BK298" i="11"/>
  <c r="BL298" i="11" s="1"/>
  <c r="BK280" i="11"/>
  <c r="BL280" i="11" s="1"/>
  <c r="AB87" i="3"/>
  <c r="J87" i="13" s="1"/>
  <c r="Z4" i="3"/>
  <c r="AB4" i="3" s="1"/>
  <c r="Z110" i="3"/>
  <c r="AB110" i="3" s="1"/>
  <c r="Z7" i="3"/>
  <c r="AB7" i="3" s="1"/>
  <c r="J7" i="13" s="1"/>
  <c r="Z76" i="3"/>
  <c r="AB76" i="3" s="1"/>
  <c r="J76" i="13" s="1"/>
  <c r="Z207" i="3"/>
  <c r="AB207" i="3" s="1"/>
  <c r="Z225" i="3"/>
  <c r="AB225" i="3" s="1"/>
  <c r="Z171" i="3"/>
  <c r="AB171" i="3" s="1"/>
  <c r="Z227" i="3"/>
  <c r="AB227" i="3" s="1"/>
  <c r="Z59" i="3"/>
  <c r="AB59" i="3" s="1"/>
  <c r="Z22" i="3"/>
  <c r="AB22" i="3" s="1"/>
  <c r="Z8" i="3"/>
  <c r="AB8" i="3" s="1"/>
  <c r="Z206" i="3"/>
  <c r="AB206" i="3" s="1"/>
  <c r="Z219" i="3"/>
  <c r="AB219" i="3" s="1"/>
  <c r="J219" i="13" s="1"/>
  <c r="Z187" i="3"/>
  <c r="AB187" i="3" s="1"/>
  <c r="H303" i="13"/>
  <c r="H107" i="13"/>
  <c r="Z259" i="3"/>
  <c r="AB259" i="3" s="1"/>
  <c r="Z127" i="3"/>
  <c r="AB127" i="3" s="1"/>
  <c r="Z102" i="3"/>
  <c r="AB102" i="3" s="1"/>
  <c r="Z272" i="3"/>
  <c r="AB272" i="3" s="1"/>
  <c r="J272" i="13" s="1"/>
  <c r="Z17" i="3"/>
  <c r="AB17" i="3" s="1"/>
  <c r="Z36" i="3"/>
  <c r="AB36" i="3" s="1"/>
  <c r="J36" i="13" s="1"/>
  <c r="Z136" i="3"/>
  <c r="AB136" i="3" s="1"/>
  <c r="Z34" i="3"/>
  <c r="AB34" i="3" s="1"/>
  <c r="Z117" i="3"/>
  <c r="AB117" i="3" s="1"/>
  <c r="Z64" i="3"/>
  <c r="AB64" i="3" s="1"/>
  <c r="Z238" i="3"/>
  <c r="AB238" i="3" s="1"/>
  <c r="H302" i="13"/>
  <c r="Z109" i="3"/>
  <c r="AB109" i="3" s="1"/>
  <c r="Z216" i="3"/>
  <c r="AB216" i="3" s="1"/>
  <c r="Z79" i="3"/>
  <c r="AB79" i="3" s="1"/>
  <c r="Z12" i="3"/>
  <c r="AB12" i="3" s="1"/>
  <c r="Z278" i="3"/>
  <c r="AB278" i="3" s="1"/>
  <c r="J278" i="13" s="1"/>
  <c r="Z165" i="3"/>
  <c r="AB165" i="3" s="1"/>
  <c r="Z125" i="3"/>
  <c r="AB125" i="3" s="1"/>
  <c r="Z186" i="3"/>
  <c r="AB186" i="3" s="1"/>
  <c r="Z250" i="3"/>
  <c r="AB250" i="3" s="1"/>
  <c r="Z38" i="3"/>
  <c r="AB38" i="3" s="1"/>
  <c r="Z198" i="3"/>
  <c r="AB198" i="3" s="1"/>
  <c r="Z235" i="3"/>
  <c r="AB235" i="3" s="1"/>
  <c r="Z54" i="3"/>
  <c r="AB54" i="3" s="1"/>
  <c r="Z230" i="3"/>
  <c r="AB230" i="3" s="1"/>
  <c r="K140" i="13"/>
  <c r="BK140" i="11"/>
  <c r="BL140" i="11" s="1"/>
  <c r="H292" i="13"/>
  <c r="AE230" i="3"/>
  <c r="E6" i="17" a="1"/>
  <c r="E6" i="17" s="1"/>
  <c r="E7" i="17" s="1" a="1"/>
  <c r="E7" i="17" s="1"/>
  <c r="E8" i="17" s="1" a="1"/>
  <c r="E8" i="17" s="1"/>
  <c r="Z301" i="3"/>
  <c r="AB301" i="3" s="1"/>
  <c r="J301" i="13" s="1"/>
  <c r="H301" i="13"/>
  <c r="H230" i="13"/>
  <c r="AB134" i="3"/>
  <c r="I117" i="13"/>
  <c r="AA117" i="3"/>
  <c r="AA217" i="3"/>
  <c r="AA152" i="3"/>
  <c r="I28" i="13"/>
  <c r="AA28" i="3"/>
  <c r="I38" i="13"/>
  <c r="AA38" i="3"/>
  <c r="AA96" i="3"/>
  <c r="I34" i="13"/>
  <c r="AA34" i="3"/>
  <c r="AA251" i="3"/>
  <c r="AA197" i="3"/>
  <c r="I91" i="13"/>
  <c r="AA91" i="3"/>
  <c r="I108" i="13"/>
  <c r="AA108" i="3"/>
  <c r="AA18" i="3"/>
  <c r="AA301" i="3"/>
  <c r="I58" i="13"/>
  <c r="AA58" i="3"/>
  <c r="I150" i="13"/>
  <c r="AA150" i="3"/>
  <c r="AA140" i="3"/>
  <c r="AA195" i="3"/>
  <c r="AA128" i="3"/>
  <c r="AA261" i="3"/>
  <c r="I8" i="13"/>
  <c r="AA8" i="3"/>
  <c r="AA50" i="3"/>
  <c r="I299" i="13"/>
  <c r="AA299" i="3"/>
  <c r="I293" i="13"/>
  <c r="AA293" i="3"/>
  <c r="I264" i="13"/>
  <c r="AA264" i="3"/>
  <c r="AA213" i="3"/>
  <c r="I174" i="13"/>
  <c r="AA174" i="3"/>
  <c r="I186" i="13"/>
  <c r="AA186" i="3"/>
  <c r="I300" i="13"/>
  <c r="AA300" i="3"/>
  <c r="I100" i="13"/>
  <c r="AA100" i="3"/>
  <c r="I48" i="13"/>
  <c r="AA48" i="3"/>
  <c r="I73" i="13"/>
  <c r="AA73" i="3"/>
  <c r="AA160" i="3"/>
  <c r="AA139" i="3"/>
  <c r="AA147" i="3"/>
  <c r="AA237" i="3"/>
  <c r="AA225" i="3"/>
  <c r="I227" i="13"/>
  <c r="AA227" i="3"/>
  <c r="I192" i="13"/>
  <c r="AA192" i="3"/>
  <c r="AA233" i="3"/>
  <c r="I17" i="13"/>
  <c r="AA17" i="3"/>
  <c r="I92" i="13"/>
  <c r="AA92" i="3"/>
  <c r="I178" i="13"/>
  <c r="AA178" i="3"/>
  <c r="I272" i="13"/>
  <c r="AA272" i="3"/>
  <c r="I59" i="13"/>
  <c r="AA59" i="3"/>
  <c r="I35" i="13"/>
  <c r="AA35" i="3"/>
  <c r="I119" i="13"/>
  <c r="AA119" i="3"/>
  <c r="I9" i="13"/>
  <c r="AA9" i="3"/>
  <c r="AA280" i="3"/>
  <c r="AA281" i="3"/>
  <c r="I94" i="13"/>
  <c r="AA94" i="3"/>
  <c r="I20" i="13"/>
  <c r="AA20" i="3"/>
  <c r="I85" i="13"/>
  <c r="AA85" i="3"/>
  <c r="I124" i="13"/>
  <c r="AA124" i="3"/>
  <c r="I269" i="13"/>
  <c r="AA269" i="3"/>
  <c r="I111" i="13"/>
  <c r="AA111" i="3"/>
  <c r="I116" i="13"/>
  <c r="AA116" i="3"/>
  <c r="I129" i="13"/>
  <c r="AA129" i="3"/>
  <c r="I68" i="13"/>
  <c r="AA68" i="3"/>
  <c r="I210" i="13"/>
  <c r="AA210" i="3"/>
  <c r="AA259" i="3"/>
  <c r="I202" i="13"/>
  <c r="AA202" i="3"/>
  <c r="AA255" i="3"/>
  <c r="I90" i="13"/>
  <c r="AA90" i="3"/>
  <c r="I190" i="13"/>
  <c r="AA190" i="3"/>
  <c r="AA287" i="3"/>
  <c r="AA107" i="3"/>
  <c r="I207" i="13"/>
  <c r="AA207" i="3"/>
  <c r="AA123" i="3"/>
  <c r="I193" i="13"/>
  <c r="AA193" i="3"/>
  <c r="AA65" i="3"/>
  <c r="AA252" i="3"/>
  <c r="I37" i="13"/>
  <c r="AA37" i="3"/>
  <c r="AA130" i="3"/>
  <c r="AA158" i="3"/>
  <c r="F8" i="19"/>
  <c r="AA5" i="3"/>
  <c r="I270" i="13"/>
  <c r="AA270" i="3"/>
  <c r="I226" i="13"/>
  <c r="AA226" i="3"/>
  <c r="AA288" i="3"/>
  <c r="I214" i="13"/>
  <c r="AA214" i="3"/>
  <c r="I54" i="13"/>
  <c r="AA54" i="3"/>
  <c r="AA189" i="3"/>
  <c r="I292" i="13"/>
  <c r="AA292" i="3"/>
  <c r="I78" i="13"/>
  <c r="AA78" i="3"/>
  <c r="I6" i="13"/>
  <c r="AA6" i="3"/>
  <c r="AA245" i="3"/>
  <c r="AA80" i="3"/>
  <c r="I218" i="13"/>
  <c r="AA218" i="3"/>
  <c r="I25" i="13"/>
  <c r="AA25" i="3"/>
  <c r="AA52" i="3"/>
  <c r="I87" i="13"/>
  <c r="AA87" i="3"/>
  <c r="I278" i="13"/>
  <c r="AA278" i="3"/>
  <c r="AA302" i="3"/>
  <c r="AA30" i="3"/>
  <c r="I13" i="13"/>
  <c r="AA13" i="3"/>
  <c r="I238" i="13"/>
  <c r="AA238" i="3"/>
  <c r="I191" i="13"/>
  <c r="AA191" i="3"/>
  <c r="AA294" i="3"/>
  <c r="I267" i="13"/>
  <c r="AA267" i="3"/>
  <c r="AA42" i="3"/>
  <c r="AA109" i="3"/>
  <c r="AA221" i="3"/>
  <c r="AA248" i="3"/>
  <c r="AA201" i="3"/>
  <c r="I70" i="13"/>
  <c r="AA70" i="3"/>
  <c r="I24" i="13"/>
  <c r="AA24" i="3"/>
  <c r="AA177" i="3"/>
  <c r="I222" i="13"/>
  <c r="AA222" i="3"/>
  <c r="I179" i="13"/>
  <c r="AA179" i="3"/>
  <c r="I183" i="13"/>
  <c r="AA183" i="3"/>
  <c r="I101" i="13"/>
  <c r="AA101" i="3"/>
  <c r="AA172" i="3"/>
  <c r="I47" i="13"/>
  <c r="AA47" i="3"/>
  <c r="I171" i="13"/>
  <c r="AA171" i="3"/>
  <c r="I21" i="13"/>
  <c r="AA21" i="3"/>
  <c r="I88" i="13"/>
  <c r="AA88" i="3"/>
  <c r="I249" i="13"/>
  <c r="AA249" i="3"/>
  <c r="AA149" i="3"/>
  <c r="I283" i="13"/>
  <c r="AA283" i="3"/>
  <c r="AA122" i="3"/>
  <c r="I102" i="13"/>
  <c r="AA102" i="3"/>
  <c r="AA164" i="3"/>
  <c r="I104" i="13"/>
  <c r="AA104" i="3"/>
  <c r="I99" i="13"/>
  <c r="AA99" i="3"/>
  <c r="AA77" i="3"/>
  <c r="AA61" i="3"/>
  <c r="I289" i="13"/>
  <c r="AA289" i="3"/>
  <c r="I121" i="13"/>
  <c r="AA121" i="3"/>
  <c r="I271" i="13"/>
  <c r="AA271" i="3"/>
  <c r="I31" i="13"/>
  <c r="AA31" i="3"/>
  <c r="I286" i="13"/>
  <c r="AA286" i="3"/>
  <c r="AA229" i="3"/>
  <c r="I180" i="13"/>
  <c r="AA180" i="3"/>
  <c r="I144" i="13"/>
  <c r="AA144" i="3"/>
  <c r="I168" i="13"/>
  <c r="AA168" i="3"/>
  <c r="AA75" i="3"/>
  <c r="I157" i="13"/>
  <c r="AA157" i="3"/>
  <c r="AA53" i="3"/>
  <c r="AA103" i="3"/>
  <c r="AA142" i="3"/>
  <c r="I62" i="13"/>
  <c r="AA62" i="3"/>
  <c r="AA10" i="3"/>
  <c r="AA151" i="3"/>
  <c r="AA258" i="3"/>
  <c r="AA44" i="3"/>
  <c r="I97" i="13"/>
  <c r="AA97" i="3"/>
  <c r="AA263" i="3"/>
  <c r="I274" i="13"/>
  <c r="AA274" i="3"/>
  <c r="AA176" i="3"/>
  <c r="AA132" i="3"/>
  <c r="I181" i="13"/>
  <c r="AA181" i="3"/>
  <c r="AA295" i="3"/>
  <c r="I194" i="13"/>
  <c r="AA194" i="3"/>
  <c r="AA118" i="3"/>
  <c r="AA16" i="3"/>
  <c r="I60" i="13"/>
  <c r="AA60" i="3"/>
  <c r="I182" i="13"/>
  <c r="AA182" i="3"/>
  <c r="I33" i="13"/>
  <c r="AA33" i="3"/>
  <c r="I240" i="13"/>
  <c r="AA240" i="3"/>
  <c r="I232" i="13"/>
  <c r="AA232" i="3"/>
  <c r="I93" i="13"/>
  <c r="AA93" i="3"/>
  <c r="AA26" i="3"/>
  <c r="I135" i="13"/>
  <c r="AA135" i="3"/>
  <c r="I141" i="13"/>
  <c r="AA141" i="3"/>
  <c r="I282" i="13"/>
  <c r="AA282" i="3"/>
  <c r="AA284" i="3"/>
  <c r="I224" i="13"/>
  <c r="AA224" i="3"/>
  <c r="AA166" i="3"/>
  <c r="I159" i="13"/>
  <c r="AA159" i="3"/>
  <c r="AA243" i="3"/>
  <c r="AA230" i="3"/>
  <c r="AA106" i="3"/>
  <c r="AA114" i="3"/>
  <c r="I200" i="13"/>
  <c r="AA200" i="3"/>
  <c r="AA198" i="3"/>
  <c r="I156" i="13"/>
  <c r="AA156" i="3"/>
  <c r="AA95" i="3"/>
  <c r="AA71" i="3"/>
  <c r="I23" i="13"/>
  <c r="AA23" i="3"/>
  <c r="AA277" i="3"/>
  <c r="AA79" i="3"/>
  <c r="I55" i="13"/>
  <c r="AA55" i="3"/>
  <c r="AA81" i="3"/>
  <c r="I209" i="13"/>
  <c r="AA209" i="3"/>
  <c r="AA161" i="3"/>
  <c r="AA185" i="3"/>
  <c r="I163" i="13"/>
  <c r="AA163" i="3"/>
  <c r="I64" i="13"/>
  <c r="AA64" i="3"/>
  <c r="I188" i="13"/>
  <c r="AA188" i="3"/>
  <c r="I153" i="13"/>
  <c r="AA153" i="3"/>
  <c r="AA51" i="3"/>
  <c r="I22" i="13"/>
  <c r="AA22" i="3"/>
  <c r="I36" i="13"/>
  <c r="AA36" i="3"/>
  <c r="AA256" i="3"/>
  <c r="AA56" i="3"/>
  <c r="AA41" i="3"/>
  <c r="I29" i="13"/>
  <c r="AA29" i="3"/>
  <c r="I215" i="13"/>
  <c r="AA215" i="3"/>
  <c r="I220" i="13"/>
  <c r="AA220" i="3"/>
  <c r="I170" i="13"/>
  <c r="AA170" i="3"/>
  <c r="I57" i="13"/>
  <c r="AA57" i="3"/>
  <c r="I112" i="13"/>
  <c r="AA112" i="3"/>
  <c r="AA211" i="3"/>
  <c r="AA89" i="3"/>
  <c r="I184" i="13"/>
  <c r="AA184" i="3"/>
  <c r="AA72" i="3"/>
  <c r="AA260" i="3"/>
  <c r="I285" i="13"/>
  <c r="AA285" i="3"/>
  <c r="AA67" i="3"/>
  <c r="I247" i="13"/>
  <c r="AA247" i="3"/>
  <c r="AA275" i="3"/>
  <c r="AA257" i="3"/>
  <c r="AA219" i="3"/>
  <c r="I83" i="13"/>
  <c r="AA83" i="3"/>
  <c r="AA298" i="3"/>
  <c r="I273" i="13"/>
  <c r="AA273" i="3"/>
  <c r="I125" i="13"/>
  <c r="AA125" i="3"/>
  <c r="AA46" i="3"/>
  <c r="AA14" i="3"/>
  <c r="I86" i="13"/>
  <c r="AA86" i="3"/>
  <c r="AA120" i="3"/>
  <c r="I49" i="13"/>
  <c r="AA49" i="3"/>
  <c r="AA27" i="3"/>
  <c r="I110" i="13"/>
  <c r="AA110" i="3"/>
  <c r="AA276" i="3"/>
  <c r="I134" i="13"/>
  <c r="AA134" i="3"/>
  <c r="I244" i="13"/>
  <c r="AA244" i="3"/>
  <c r="I187" i="13"/>
  <c r="AA187" i="3"/>
  <c r="AA196" i="3"/>
  <c r="I262" i="13"/>
  <c r="AA262" i="3"/>
  <c r="AA290" i="3"/>
  <c r="AA296" i="3"/>
  <c r="I74" i="13"/>
  <c r="AA74" i="3"/>
  <c r="I66" i="13"/>
  <c r="AA66" i="3"/>
  <c r="AA162" i="3"/>
  <c r="AA234" i="3"/>
  <c r="I138" i="13"/>
  <c r="AA138" i="3"/>
  <c r="AA146" i="3"/>
  <c r="I82" i="13"/>
  <c r="AA82" i="3"/>
  <c r="H29" i="13"/>
  <c r="Z29" i="3"/>
  <c r="AB29" i="3" s="1"/>
  <c r="Z121" i="3"/>
  <c r="AB121" i="3" s="1"/>
  <c r="Z256" i="3"/>
  <c r="AB256" i="3" s="1"/>
  <c r="H124" i="13"/>
  <c r="Z124" i="3"/>
  <c r="AB124" i="3" s="1"/>
  <c r="H51" i="13"/>
  <c r="Z51" i="3"/>
  <c r="AB51" i="3" s="1"/>
  <c r="H192" i="13"/>
  <c r="Z192" i="3"/>
  <c r="AB192" i="3" s="1"/>
  <c r="H151" i="13"/>
  <c r="Z151" i="3"/>
  <c r="AB151" i="3" s="1"/>
  <c r="H11" i="13"/>
  <c r="Z11" i="3"/>
  <c r="AB11" i="3" s="1"/>
  <c r="AE115" i="3"/>
  <c r="Z115" i="3"/>
  <c r="AB115" i="3" s="1"/>
  <c r="AE82" i="3"/>
  <c r="Z82" i="3"/>
  <c r="AB82" i="3" s="1"/>
  <c r="Z123" i="3"/>
  <c r="AB123" i="3" s="1"/>
  <c r="Z144" i="3"/>
  <c r="AB144" i="3" s="1"/>
  <c r="Z99" i="3"/>
  <c r="AB99" i="3" s="1"/>
  <c r="J99" i="13" s="1"/>
  <c r="H156" i="13"/>
  <c r="Z156" i="3"/>
  <c r="AB156" i="3" s="1"/>
  <c r="H77" i="13"/>
  <c r="Z77" i="3"/>
  <c r="AB77" i="3" s="1"/>
  <c r="H56" i="13"/>
  <c r="Z56" i="3"/>
  <c r="AB56" i="3" s="1"/>
  <c r="Z268" i="3"/>
  <c r="AB268" i="3" s="1"/>
  <c r="H181" i="13"/>
  <c r="Z181" i="3"/>
  <c r="AB181" i="3" s="1"/>
  <c r="AE237" i="3"/>
  <c r="Z237" i="3"/>
  <c r="AB237" i="3" s="1"/>
  <c r="Z243" i="3"/>
  <c r="AB243" i="3" s="1"/>
  <c r="Z289" i="3"/>
  <c r="AB289" i="3" s="1"/>
  <c r="H270" i="13"/>
  <c r="Z270" i="3"/>
  <c r="AB270" i="3" s="1"/>
  <c r="Z212" i="3"/>
  <c r="AB212" i="3" s="1"/>
  <c r="Z93" i="3"/>
  <c r="AB93" i="3" s="1"/>
  <c r="Z131" i="3"/>
  <c r="AB131" i="3" s="1"/>
  <c r="Z236" i="3"/>
  <c r="AB236" i="3" s="1"/>
  <c r="Z215" i="3"/>
  <c r="AB215" i="3" s="1"/>
  <c r="AE23" i="3"/>
  <c r="Z23" i="3"/>
  <c r="AB23" i="3" s="1"/>
  <c r="Z139" i="3"/>
  <c r="AB139" i="3" s="1"/>
  <c r="Z35" i="3"/>
  <c r="AB35" i="3" s="1"/>
  <c r="H245" i="13"/>
  <c r="Z245" i="3"/>
  <c r="AB245" i="3" s="1"/>
  <c r="Z154" i="3"/>
  <c r="AB154" i="3" s="1"/>
  <c r="H293" i="13"/>
  <c r="Z293" i="3"/>
  <c r="AB293" i="3" s="1"/>
  <c r="H267" i="13"/>
  <c r="Z267" i="3"/>
  <c r="AB267" i="3" s="1"/>
  <c r="Z240" i="3"/>
  <c r="AB240" i="3" s="1"/>
  <c r="Z218" i="3"/>
  <c r="AB218" i="3" s="1"/>
  <c r="Z302" i="3"/>
  <c r="AB302" i="3" s="1"/>
  <c r="AE126" i="3"/>
  <c r="Z126" i="3"/>
  <c r="AB126" i="3" s="1"/>
  <c r="Z222" i="3"/>
  <c r="AB222" i="3" s="1"/>
  <c r="J222" i="13" s="1"/>
  <c r="H73" i="13"/>
  <c r="Z73" i="3"/>
  <c r="AB73" i="3" s="1"/>
  <c r="Z162" i="3"/>
  <c r="AB162" i="3" s="1"/>
  <c r="Z208" i="3"/>
  <c r="AB208" i="3" s="1"/>
  <c r="Z190" i="3"/>
  <c r="AB190" i="3" s="1"/>
  <c r="Z114" i="3"/>
  <c r="AB114" i="3" s="1"/>
  <c r="Z266" i="3"/>
  <c r="AB266" i="3" s="1"/>
  <c r="K143" i="13"/>
  <c r="Z143" i="3"/>
  <c r="AB143" i="3" s="1"/>
  <c r="Z90" i="3"/>
  <c r="AB90" i="3" s="1"/>
  <c r="H252" i="13"/>
  <c r="Z252" i="3"/>
  <c r="AB252" i="3" s="1"/>
  <c r="Z262" i="3"/>
  <c r="AB262" i="3" s="1"/>
  <c r="H189" i="13"/>
  <c r="Z189" i="3"/>
  <c r="AB189" i="3" s="1"/>
  <c r="Z168" i="3"/>
  <c r="AB168" i="3" s="1"/>
  <c r="Z130" i="3"/>
  <c r="AB130" i="3" s="1"/>
  <c r="Z100" i="3"/>
  <c r="AB100" i="3" s="1"/>
  <c r="H211" i="13"/>
  <c r="Z211" i="3"/>
  <c r="AB211" i="3" s="1"/>
  <c r="Z263" i="3"/>
  <c r="AB263" i="3" s="1"/>
  <c r="Z282" i="3"/>
  <c r="AB282" i="3" s="1"/>
  <c r="Z166" i="3"/>
  <c r="AB166" i="3" s="1"/>
  <c r="Z299" i="3"/>
  <c r="AB299" i="3" s="1"/>
  <c r="Z146" i="3"/>
  <c r="AB146" i="3" s="1"/>
  <c r="H288" i="13"/>
  <c r="Z288" i="3"/>
  <c r="AB288" i="3" s="1"/>
  <c r="H108" i="13"/>
  <c r="Z108" i="3"/>
  <c r="AB108" i="3" s="1"/>
  <c r="H88" i="13"/>
  <c r="Z88" i="3"/>
  <c r="AB88" i="3" s="1"/>
  <c r="Z172" i="3"/>
  <c r="AB172" i="3" s="1"/>
  <c r="AE107" i="3"/>
  <c r="Z107" i="3"/>
  <c r="AB107" i="3" s="1"/>
  <c r="Z264" i="3"/>
  <c r="AB264" i="3" s="1"/>
  <c r="H271" i="13"/>
  <c r="Z271" i="3"/>
  <c r="AB271" i="3" s="1"/>
  <c r="H279" i="13"/>
  <c r="Z279" i="3"/>
  <c r="AB279" i="3" s="1"/>
  <c r="Z195" i="3"/>
  <c r="AB195" i="3" s="1"/>
  <c r="Z213" i="3"/>
  <c r="AB213" i="3" s="1"/>
  <c r="H20" i="13"/>
  <c r="Z20" i="3"/>
  <c r="AB20" i="3" s="1"/>
  <c r="Z179" i="3"/>
  <c r="AB179" i="3" s="1"/>
  <c r="Z292" i="3"/>
  <c r="AB292" i="3" s="1"/>
  <c r="AE194" i="3"/>
  <c r="Z194" i="3"/>
  <c r="AB194" i="3" s="1"/>
  <c r="Z196" i="3"/>
  <c r="AB196" i="3" s="1"/>
  <c r="H113" i="13"/>
  <c r="Z113" i="3"/>
  <c r="AB113" i="3" s="1"/>
  <c r="Z10" i="3"/>
  <c r="AB10" i="3" s="1"/>
  <c r="H129" i="13"/>
  <c r="Z129" i="3"/>
  <c r="AB129" i="3" s="1"/>
  <c r="Z145" i="3"/>
  <c r="AB145" i="3" s="1"/>
  <c r="Z275" i="3"/>
  <c r="AB275" i="3" s="1"/>
  <c r="Z128" i="3"/>
  <c r="AB128" i="3" s="1"/>
  <c r="H58" i="13"/>
  <c r="Z58" i="3"/>
  <c r="AB58" i="3" s="1"/>
  <c r="H89" i="13"/>
  <c r="Z89" i="3"/>
  <c r="AB89" i="3" s="1"/>
  <c r="Z291" i="3"/>
  <c r="AB291" i="3" s="1"/>
  <c r="Z229" i="3"/>
  <c r="AB229" i="3" s="1"/>
  <c r="J229" i="13" s="1"/>
  <c r="H85" i="13"/>
  <c r="Z85" i="3"/>
  <c r="AB85" i="3" s="1"/>
  <c r="H254" i="13"/>
  <c r="Z254" i="3"/>
  <c r="AB254" i="3" s="1"/>
  <c r="J254" i="13" s="1"/>
  <c r="Z25" i="3"/>
  <c r="AB25" i="3" s="1"/>
  <c r="H49" i="13"/>
  <c r="Z49" i="3"/>
  <c r="AB49" i="3" s="1"/>
  <c r="H287" i="13"/>
  <c r="Z287" i="3"/>
  <c r="AB287" i="3" s="1"/>
  <c r="H274" i="13"/>
  <c r="Z274" i="3"/>
  <c r="AB274" i="3" s="1"/>
  <c r="Z160" i="3"/>
  <c r="AB160" i="3" s="1"/>
  <c r="Z258" i="3"/>
  <c r="AB258" i="3" s="1"/>
  <c r="Z31" i="3"/>
  <c r="AB31" i="3" s="1"/>
  <c r="K221" i="13"/>
  <c r="Z221" i="3"/>
  <c r="AB221" i="3" s="1"/>
  <c r="Z176" i="3"/>
  <c r="AB176" i="3" s="1"/>
  <c r="Z106" i="3"/>
  <c r="AB106" i="3" s="1"/>
  <c r="AE97" i="3"/>
  <c r="Z97" i="3"/>
  <c r="AB97" i="3" s="1"/>
  <c r="Z147" i="3"/>
  <c r="AB147" i="3" s="1"/>
  <c r="Z153" i="3"/>
  <c r="AB153" i="3" s="1"/>
  <c r="Z44" i="3"/>
  <c r="AB44" i="3" s="1"/>
  <c r="H295" i="13"/>
  <c r="Z295" i="3"/>
  <c r="AB295" i="3" s="1"/>
  <c r="J295" i="13" s="1"/>
  <c r="Z188" i="3"/>
  <c r="AB188" i="3" s="1"/>
  <c r="Z178" i="3"/>
  <c r="AB178" i="3" s="1"/>
  <c r="Z284" i="3"/>
  <c r="AB284" i="3" s="1"/>
  <c r="H281" i="13"/>
  <c r="Z281" i="3"/>
  <c r="AB281" i="3" s="1"/>
  <c r="H296" i="13"/>
  <c r="Z296" i="3"/>
  <c r="AB296" i="3" s="1"/>
  <c r="H50" i="13"/>
  <c r="Z50" i="3"/>
  <c r="AB50" i="3" s="1"/>
  <c r="H173" i="13"/>
  <c r="Z173" i="3"/>
  <c r="AB173" i="3" s="1"/>
  <c r="Z26" i="3"/>
  <c r="AB26" i="3" s="1"/>
  <c r="H84" i="13"/>
  <c r="Z84" i="3"/>
  <c r="AB84" i="3" s="1"/>
  <c r="H185" i="13"/>
  <c r="Z185" i="3"/>
  <c r="AB185" i="3" s="1"/>
  <c r="Z214" i="3"/>
  <c r="AB214" i="3" s="1"/>
  <c r="Z95" i="3"/>
  <c r="AB95" i="3" s="1"/>
  <c r="H41" i="13"/>
  <c r="Z41" i="3"/>
  <c r="AB41" i="3" s="1"/>
  <c r="Z161" i="3"/>
  <c r="AB161" i="3" s="1"/>
  <c r="Z261" i="3"/>
  <c r="AB261" i="3" s="1"/>
  <c r="Z75" i="3"/>
  <c r="AB75" i="3" s="1"/>
  <c r="Z157" i="3"/>
  <c r="AB157" i="3" s="1"/>
  <c r="H217" i="13"/>
  <c r="Z217" i="3"/>
  <c r="AB217" i="3" s="1"/>
  <c r="AE9" i="3"/>
  <c r="Z9" i="3"/>
  <c r="AB9" i="3" s="1"/>
  <c r="Z202" i="3"/>
  <c r="AB202" i="3" s="1"/>
  <c r="Z249" i="3"/>
  <c r="AB249" i="3" s="1"/>
  <c r="H65" i="13"/>
  <c r="Z65" i="3"/>
  <c r="AB65" i="3" s="1"/>
  <c r="Z137" i="3"/>
  <c r="AB137" i="3" s="1"/>
  <c r="AE15" i="3"/>
  <c r="Z15" i="3"/>
  <c r="AB15" i="3" s="1"/>
  <c r="Z24" i="3"/>
  <c r="AB24" i="3" s="1"/>
  <c r="Z92" i="3"/>
  <c r="AB92" i="3" s="1"/>
  <c r="H260" i="13"/>
  <c r="Z260" i="3"/>
  <c r="AB260" i="3" s="1"/>
  <c r="Z224" i="3"/>
  <c r="AB224" i="3" s="1"/>
  <c r="Z159" i="3"/>
  <c r="AB159" i="3" s="1"/>
  <c r="BK294" i="11"/>
  <c r="BL294" i="11" s="1"/>
  <c r="Z294" i="3"/>
  <c r="AB294" i="3" s="1"/>
  <c r="Z285" i="3"/>
  <c r="AB285" i="3" s="1"/>
  <c r="Z231" i="3"/>
  <c r="AB231" i="3" s="1"/>
  <c r="H98" i="13"/>
  <c r="Z98" i="3"/>
  <c r="AB98" i="3" s="1"/>
  <c r="Z283" i="3"/>
  <c r="AB283" i="3" s="1"/>
  <c r="Z48" i="3"/>
  <c r="AB48" i="3" s="1"/>
  <c r="Z300" i="3"/>
  <c r="AB300" i="3" s="1"/>
  <c r="H155" i="13"/>
  <c r="Z155" i="3"/>
  <c r="AB155" i="3" s="1"/>
  <c r="H53" i="13"/>
  <c r="Z53" i="3"/>
  <c r="AB53" i="3" s="1"/>
  <c r="AE28" i="3"/>
  <c r="Z28" i="3"/>
  <c r="AB28" i="3" s="1"/>
  <c r="Z220" i="3"/>
  <c r="AB220" i="3" s="1"/>
  <c r="Z193" i="3"/>
  <c r="AB193" i="3" s="1"/>
  <c r="AE21" i="3"/>
  <c r="Z21" i="3"/>
  <c r="AB21" i="3" s="1"/>
  <c r="H6" i="13"/>
  <c r="Z6" i="3"/>
  <c r="AB6" i="3" s="1"/>
  <c r="Z175" i="3"/>
  <c r="AB175" i="3" s="1"/>
  <c r="Z203" i="3"/>
  <c r="AB203" i="3" s="1"/>
  <c r="H234" i="13"/>
  <c r="Z234" i="3"/>
  <c r="AB234" i="3" s="1"/>
  <c r="Z37" i="3"/>
  <c r="AB37" i="3" s="1"/>
  <c r="Z191" i="3"/>
  <c r="AB191" i="3" s="1"/>
  <c r="H40" i="13"/>
  <c r="Z40" i="3"/>
  <c r="AB40" i="3" s="1"/>
  <c r="H269" i="13"/>
  <c r="Z269" i="3"/>
  <c r="AB269" i="3" s="1"/>
  <c r="Z104" i="3"/>
  <c r="AB104" i="3" s="1"/>
  <c r="Z52" i="3"/>
  <c r="AB52" i="3" s="1"/>
  <c r="Z74" i="3"/>
  <c r="AB74" i="3" s="1"/>
  <c r="Z5" i="3"/>
  <c r="AB5" i="3" s="1"/>
  <c r="G8" i="19" s="1"/>
  <c r="Z167" i="3"/>
  <c r="AB167" i="3" s="1"/>
  <c r="Z248" i="3"/>
  <c r="AB248" i="3" s="1"/>
  <c r="Z298" i="3"/>
  <c r="AB298" i="3" s="1"/>
  <c r="Z138" i="3"/>
  <c r="AB138" i="3" s="1"/>
  <c r="Z199" i="3"/>
  <c r="AB199" i="3" s="1"/>
  <c r="Z141" i="3"/>
  <c r="AB141" i="3" s="1"/>
  <c r="J141" i="13" s="1"/>
  <c r="Z280" i="3"/>
  <c r="AB280" i="3" s="1"/>
  <c r="Z200" i="3"/>
  <c r="AB200" i="3" s="1"/>
  <c r="Z27" i="3"/>
  <c r="AB27" i="3" s="1"/>
  <c r="J27" i="13" s="1"/>
  <c r="Z72" i="3"/>
  <c r="AB72" i="3" s="1"/>
  <c r="H78" i="13"/>
  <c r="Z78" i="3"/>
  <c r="AB78" i="3" s="1"/>
  <c r="H233" i="13"/>
  <c r="Z233" i="3"/>
  <c r="AB233" i="3" s="1"/>
  <c r="Z32" i="3"/>
  <c r="AB32" i="3" s="1"/>
  <c r="H277" i="13"/>
  <c r="Z277" i="3"/>
  <c r="AB277" i="3" s="1"/>
  <c r="H69" i="13"/>
  <c r="Z69" i="3"/>
  <c r="AB69" i="3" s="1"/>
  <c r="Z210" i="3"/>
  <c r="AB210" i="3" s="1"/>
  <c r="H276" i="13"/>
  <c r="Z276" i="3"/>
  <c r="AB276" i="3" s="1"/>
  <c r="Z164" i="3"/>
  <c r="AB164" i="3" s="1"/>
  <c r="H18" i="13"/>
  <c r="Z18" i="3"/>
  <c r="AB18" i="3" s="1"/>
  <c r="J18" i="13" s="1"/>
  <c r="H241" i="13"/>
  <c r="Z241" i="3"/>
  <c r="AB241" i="3" s="1"/>
  <c r="AE118" i="3"/>
  <c r="Z118" i="3"/>
  <c r="AB118" i="3" s="1"/>
  <c r="Z142" i="3"/>
  <c r="AB142" i="3" s="1"/>
  <c r="H226" i="13"/>
  <c r="Z226" i="3"/>
  <c r="AB226" i="3" s="1"/>
  <c r="Z80" i="3"/>
  <c r="AB80" i="3" s="1"/>
  <c r="H201" i="13"/>
  <c r="Z201" i="3"/>
  <c r="AB201" i="3" s="1"/>
  <c r="Z177" i="3"/>
  <c r="AB177" i="3" s="1"/>
  <c r="H103" i="13"/>
  <c r="Z103" i="3"/>
  <c r="AB103" i="3" s="1"/>
  <c r="Z297" i="3"/>
  <c r="AB297" i="3" s="1"/>
  <c r="Z119" i="3"/>
  <c r="AB119" i="3" s="1"/>
  <c r="H132" i="13"/>
  <c r="Z132" i="3"/>
  <c r="AB132" i="3" s="1"/>
  <c r="K204" i="13"/>
  <c r="Z204" i="3"/>
  <c r="AB204" i="3" s="1"/>
  <c r="J204" i="13" s="1"/>
  <c r="Z197" i="3"/>
  <c r="AB197" i="3" s="1"/>
  <c r="Z61" i="3"/>
  <c r="AB61" i="3" s="1"/>
  <c r="Z169" i="3"/>
  <c r="AB169" i="3" s="1"/>
  <c r="Z257" i="3"/>
  <c r="AB257" i="3" s="1"/>
  <c r="Z19" i="3"/>
  <c r="AB19" i="3" s="1"/>
  <c r="Z30" i="3"/>
  <c r="AB30" i="3" s="1"/>
  <c r="H111" i="13"/>
  <c r="Z111" i="3"/>
  <c r="AB111" i="3" s="1"/>
  <c r="Z67" i="3"/>
  <c r="AB67" i="3" s="1"/>
  <c r="Z174" i="3"/>
  <c r="AB174" i="3" s="1"/>
  <c r="H101" i="13"/>
  <c r="Z101" i="3"/>
  <c r="AB101" i="3" s="1"/>
  <c r="Z63" i="3"/>
  <c r="AB63" i="3" s="1"/>
  <c r="H209" i="13"/>
  <c r="Z209" i="3"/>
  <c r="AB209" i="3" s="1"/>
  <c r="Z62" i="3"/>
  <c r="AB62" i="3" s="1"/>
  <c r="Z55" i="3"/>
  <c r="AB55" i="3" s="1"/>
  <c r="Z184" i="3"/>
  <c r="AB184" i="3" s="1"/>
  <c r="H247" i="13"/>
  <c r="Z247" i="3"/>
  <c r="AB247" i="3" s="1"/>
  <c r="J247" i="13" s="1"/>
  <c r="Z182" i="3"/>
  <c r="AB182" i="3" s="1"/>
  <c r="Z68" i="3"/>
  <c r="AB68" i="3" s="1"/>
  <c r="Z116" i="3"/>
  <c r="AB116" i="3" s="1"/>
  <c r="H46" i="13"/>
  <c r="Z46" i="3"/>
  <c r="AB46" i="3" s="1"/>
  <c r="Z86" i="3"/>
  <c r="AB86" i="3" s="1"/>
  <c r="Z91" i="3"/>
  <c r="AB91" i="3" s="1"/>
  <c r="H163" i="13"/>
  <c r="Z163" i="3"/>
  <c r="AB163" i="3" s="1"/>
  <c r="Z244" i="3"/>
  <c r="AB244" i="3" s="1"/>
  <c r="AE122" i="3"/>
  <c r="Z122" i="3"/>
  <c r="AB122" i="3" s="1"/>
  <c r="H239" i="13"/>
  <c r="Z239" i="3"/>
  <c r="AB239" i="3" s="1"/>
  <c r="Z43" i="3"/>
  <c r="AB43" i="3" s="1"/>
  <c r="H94" i="13"/>
  <c r="Z94" i="3"/>
  <c r="AB94" i="3" s="1"/>
  <c r="Z232" i="3"/>
  <c r="AB232" i="3" s="1"/>
  <c r="J232" i="13" s="1"/>
  <c r="H83" i="13"/>
  <c r="Z83" i="3"/>
  <c r="AB83" i="3" s="1"/>
  <c r="Z273" i="3"/>
  <c r="AB273" i="3" s="1"/>
  <c r="J273" i="13" s="1"/>
  <c r="H16" i="13"/>
  <c r="Z16" i="3"/>
  <c r="AB16" i="3" s="1"/>
  <c r="H242" i="13"/>
  <c r="Z242" i="3"/>
  <c r="AB242" i="3" s="1"/>
  <c r="Z13" i="3"/>
  <c r="AB13" i="3" s="1"/>
  <c r="K133" i="13"/>
  <c r="Z133" i="3"/>
  <c r="AB133" i="3" s="1"/>
  <c r="AE47" i="3"/>
  <c r="Z47" i="3"/>
  <c r="AB47" i="3" s="1"/>
  <c r="AE60" i="3"/>
  <c r="Z60" i="3"/>
  <c r="AB60" i="3" s="1"/>
  <c r="Z170" i="3"/>
  <c r="AB170" i="3" s="1"/>
  <c r="Z39" i="3"/>
  <c r="AB39" i="3" s="1"/>
  <c r="H228" i="13"/>
  <c r="Z228" i="3"/>
  <c r="AB228" i="3" s="1"/>
  <c r="Z223" i="3"/>
  <c r="AB223" i="3" s="1"/>
  <c r="Z112" i="3"/>
  <c r="AB112" i="3" s="1"/>
  <c r="H81" i="13"/>
  <c r="Z81" i="3"/>
  <c r="AB81" i="3" s="1"/>
  <c r="Z120" i="3"/>
  <c r="AB120" i="3" s="1"/>
  <c r="Z290" i="3"/>
  <c r="AB290" i="3" s="1"/>
  <c r="Z57" i="3"/>
  <c r="AB57" i="3" s="1"/>
  <c r="Z70" i="3"/>
  <c r="AB70" i="3" s="1"/>
  <c r="Z253" i="3"/>
  <c r="AB253" i="3" s="1"/>
  <c r="H251" i="13"/>
  <c r="Z251" i="3"/>
  <c r="AB251" i="3" s="1"/>
  <c r="Z180" i="3"/>
  <c r="AB180" i="3" s="1"/>
  <c r="H42" i="13"/>
  <c r="Z42" i="3"/>
  <c r="AB42" i="3" s="1"/>
  <c r="Z105" i="3"/>
  <c r="AB105" i="3" s="1"/>
  <c r="Z265" i="3"/>
  <c r="AB265" i="3" s="1"/>
  <c r="H135" i="13"/>
  <c r="Z135" i="3"/>
  <c r="AB135" i="3" s="1"/>
  <c r="AE66" i="3"/>
  <c r="Z66" i="3"/>
  <c r="AB66" i="3" s="1"/>
  <c r="Z255" i="3"/>
  <c r="AB255" i="3" s="1"/>
  <c r="Z45" i="3"/>
  <c r="AB45" i="3" s="1"/>
  <c r="H96" i="13"/>
  <c r="Z96" i="3"/>
  <c r="AB96" i="3" s="1"/>
  <c r="Z150" i="3"/>
  <c r="AB150" i="3" s="1"/>
  <c r="Z303" i="3"/>
  <c r="AB303" i="3" s="1"/>
  <c r="J303" i="13" s="1"/>
  <c r="Z149" i="3"/>
  <c r="AB149" i="3" s="1"/>
  <c r="H152" i="13"/>
  <c r="Z152" i="3"/>
  <c r="AB152" i="3" s="1"/>
  <c r="Z148" i="3"/>
  <c r="AB148" i="3" s="1"/>
  <c r="H14" i="13"/>
  <c r="Z14" i="3"/>
  <c r="AB14" i="3" s="1"/>
  <c r="Z71" i="3"/>
  <c r="AB71" i="3" s="1"/>
  <c r="Z33" i="3"/>
  <c r="AB33" i="3" s="1"/>
  <c r="Z205" i="3"/>
  <c r="AB205" i="3" s="1"/>
  <c r="Z286" i="3"/>
  <c r="AB286" i="3" s="1"/>
  <c r="Z183" i="3"/>
  <c r="AB183" i="3" s="1"/>
  <c r="H280" i="13"/>
  <c r="H200" i="13"/>
  <c r="H286" i="13"/>
  <c r="H183" i="13"/>
  <c r="I114" i="13"/>
  <c r="BH292" i="11"/>
  <c r="BH44" i="11"/>
  <c r="BH211" i="11"/>
  <c r="H179" i="13"/>
  <c r="AE158" i="3"/>
  <c r="AE222" i="3"/>
  <c r="AE169" i="3"/>
  <c r="AE197" i="3"/>
  <c r="AE191" i="3"/>
  <c r="H141" i="13"/>
  <c r="H172" i="13"/>
  <c r="H199" i="13"/>
  <c r="H205" i="13"/>
  <c r="H195" i="13"/>
  <c r="H213" i="13"/>
  <c r="BH87" i="11"/>
  <c r="BK288" i="11"/>
  <c r="BL288" i="11" s="1"/>
  <c r="H33" i="13"/>
  <c r="I106" i="13"/>
  <c r="BP2" i="11"/>
  <c r="H264" i="13"/>
  <c r="BO2" i="11"/>
  <c r="I234" i="13"/>
  <c r="H248" i="13"/>
  <c r="I230" i="13"/>
  <c r="I243" i="13"/>
  <c r="BH127" i="11"/>
  <c r="H299" i="13"/>
  <c r="I162" i="13"/>
  <c r="I225" i="13"/>
  <c r="H257" i="13"/>
  <c r="C5" i="17"/>
  <c r="C31" i="18" s="1"/>
  <c r="A31" i="18"/>
  <c r="D5" i="17"/>
  <c r="D31" i="18" s="1"/>
  <c r="F31" i="18"/>
  <c r="H166" i="13"/>
  <c r="I237" i="13"/>
  <c r="H169" i="13"/>
  <c r="I147" i="13"/>
  <c r="H282" i="13"/>
  <c r="H263" i="13"/>
  <c r="BH28" i="11"/>
  <c r="H178" i="13"/>
  <c r="H167" i="13"/>
  <c r="H37" i="13"/>
  <c r="I139" i="13"/>
  <c r="BH284" i="11"/>
  <c r="H284" i="13"/>
  <c r="H61" i="13"/>
  <c r="I160" i="13"/>
  <c r="I296" i="13"/>
  <c r="H5" i="13"/>
  <c r="I290" i="13"/>
  <c r="H266" i="13"/>
  <c r="H114" i="13"/>
  <c r="H197" i="13"/>
  <c r="H188" i="13"/>
  <c r="BH293" i="11"/>
  <c r="H255" i="13"/>
  <c r="H204" i="13"/>
  <c r="I166" i="13"/>
  <c r="I80" i="13"/>
  <c r="H71" i="13"/>
  <c r="H74" i="13"/>
  <c r="I52" i="13"/>
  <c r="BH193" i="11"/>
  <c r="H262" i="13"/>
  <c r="BH297" i="11"/>
  <c r="BH287" i="11"/>
  <c r="H104" i="13"/>
  <c r="I26" i="13"/>
  <c r="H153" i="13"/>
  <c r="I27" i="13"/>
  <c r="I284" i="13"/>
  <c r="H52" i="13"/>
  <c r="BH276" i="11"/>
  <c r="H191" i="13"/>
  <c r="H143" i="13"/>
  <c r="H100" i="13"/>
  <c r="I276" i="13"/>
  <c r="H298" i="13"/>
  <c r="H130" i="13"/>
  <c r="BH228" i="11"/>
  <c r="I196" i="13"/>
  <c r="BH286" i="11"/>
  <c r="H45" i="13"/>
  <c r="H168" i="13"/>
  <c r="I140" i="13"/>
  <c r="I172" i="13"/>
  <c r="H66" i="13"/>
  <c r="H150" i="13"/>
  <c r="I118" i="13"/>
  <c r="I263" i="13"/>
  <c r="BH70" i="11"/>
  <c r="BH201" i="11"/>
  <c r="H149" i="13"/>
  <c r="H4" i="13"/>
  <c r="I245" i="13"/>
  <c r="I221" i="13"/>
  <c r="I107" i="13"/>
  <c r="BH74" i="11"/>
  <c r="I42" i="13"/>
  <c r="BH278" i="11"/>
  <c r="H265" i="13"/>
  <c r="BH303" i="11"/>
  <c r="I120" i="13"/>
  <c r="H180" i="13"/>
  <c r="H97" i="13"/>
  <c r="BH242" i="11"/>
  <c r="BH255" i="11"/>
  <c r="BH32" i="11"/>
  <c r="H208" i="13"/>
  <c r="H44" i="13"/>
  <c r="BH104" i="11"/>
  <c r="I16" i="13"/>
  <c r="K303" i="13"/>
  <c r="H162" i="13"/>
  <c r="H148" i="13"/>
  <c r="AE297" i="3"/>
  <c r="BH272" i="11"/>
  <c r="BH149" i="11"/>
  <c r="H90" i="13"/>
  <c r="I189" i="13"/>
  <c r="H119" i="13"/>
  <c r="H159" i="13"/>
  <c r="H218" i="13"/>
  <c r="BH218" i="11"/>
  <c r="H240" i="13"/>
  <c r="I287" i="13"/>
  <c r="H80" i="13"/>
  <c r="I255" i="13"/>
  <c r="H105" i="13"/>
  <c r="I261" i="13"/>
  <c r="I50" i="13"/>
  <c r="BH274" i="11"/>
  <c r="H164" i="13"/>
  <c r="H13" i="13"/>
  <c r="BH253" i="11"/>
  <c r="H147" i="13"/>
  <c r="H131" i="13"/>
  <c r="H126" i="13"/>
  <c r="H215" i="13"/>
  <c r="I18" i="13"/>
  <c r="I44" i="13"/>
  <c r="H43" i="13"/>
  <c r="H203" i="13"/>
  <c r="H137" i="13"/>
  <c r="I219" i="13"/>
  <c r="H122" i="13"/>
  <c r="BH241" i="11"/>
  <c r="H268" i="13"/>
  <c r="BH197" i="11"/>
  <c r="BH76" i="11"/>
  <c r="I89" i="13"/>
  <c r="H154" i="13"/>
  <c r="H297" i="13"/>
  <c r="H220" i="13"/>
  <c r="BK276" i="11"/>
  <c r="BL276" i="11" s="1"/>
  <c r="H184" i="13"/>
  <c r="H28" i="13"/>
  <c r="H21" i="13"/>
  <c r="AE285" i="3"/>
  <c r="BH45" i="11"/>
  <c r="BH148" i="11"/>
  <c r="BH263" i="11"/>
  <c r="BH62" i="11"/>
  <c r="I72" i="13"/>
  <c r="I248" i="13"/>
  <c r="I177" i="13"/>
  <c r="H31" i="13"/>
  <c r="I275" i="13"/>
  <c r="I65" i="13"/>
  <c r="H294" i="13"/>
  <c r="BH301" i="11"/>
  <c r="I201" i="13"/>
  <c r="H285" i="13"/>
  <c r="H190" i="13"/>
  <c r="H177" i="13"/>
  <c r="H99" i="13"/>
  <c r="I96" i="13"/>
  <c r="BH167" i="11"/>
  <c r="H175" i="13"/>
  <c r="H146" i="13"/>
  <c r="H15" i="13"/>
  <c r="H193" i="13"/>
  <c r="I123" i="13"/>
  <c r="H106" i="13"/>
  <c r="I76" i="13"/>
  <c r="I252" i="13"/>
  <c r="I142" i="13"/>
  <c r="I195" i="13"/>
  <c r="BK134" i="11"/>
  <c r="BL134" i="11" s="1"/>
  <c r="I176" i="13"/>
  <c r="H176" i="13"/>
  <c r="I14" i="13"/>
  <c r="H70" i="13"/>
  <c r="BH118" i="11"/>
  <c r="I10" i="13"/>
  <c r="I288" i="13"/>
  <c r="I213" i="13"/>
  <c r="H91" i="13"/>
  <c r="BH175" i="11"/>
  <c r="BH121" i="11"/>
  <c r="I128" i="13"/>
  <c r="I257" i="13"/>
  <c r="I103" i="13"/>
  <c r="I158" i="13"/>
  <c r="H253" i="13"/>
  <c r="I5" i="13"/>
  <c r="BH143" i="11"/>
  <c r="H221" i="13"/>
  <c r="H222" i="13"/>
  <c r="BH154" i="11"/>
  <c r="H123" i="13"/>
  <c r="BH23" i="11"/>
  <c r="I185" i="13"/>
  <c r="H273" i="13"/>
  <c r="BH151" i="11"/>
  <c r="I295" i="13"/>
  <c r="H57" i="13"/>
  <c r="H32" i="13"/>
  <c r="H258" i="13"/>
  <c r="H118" i="13"/>
  <c r="H60" i="13"/>
  <c r="AB246" i="3"/>
  <c r="BH134" i="11"/>
  <c r="I109" i="13"/>
  <c r="H120" i="13"/>
  <c r="H210" i="13"/>
  <c r="H202" i="13"/>
  <c r="H39" i="13"/>
  <c r="H170" i="13"/>
  <c r="I130" i="13"/>
  <c r="BH203" i="11"/>
  <c r="H92" i="13"/>
  <c r="H224" i="13"/>
  <c r="BH223" i="11"/>
  <c r="BH230" i="11"/>
  <c r="BH298" i="11"/>
  <c r="I277" i="13"/>
  <c r="I259" i="13"/>
  <c r="I132" i="13"/>
  <c r="I46" i="13"/>
  <c r="H275" i="13"/>
  <c r="BH40" i="11"/>
  <c r="I258" i="13"/>
  <c r="H25" i="13"/>
  <c r="BH212" i="11"/>
  <c r="H290" i="13"/>
  <c r="I205" i="13"/>
  <c r="BH66" i="11"/>
  <c r="I151" i="13"/>
  <c r="H112" i="13"/>
  <c r="BH92" i="11"/>
  <c r="BH36" i="11"/>
  <c r="H48" i="13"/>
  <c r="BH220" i="11"/>
  <c r="I146" i="13"/>
  <c r="I298" i="13"/>
  <c r="H187" i="13"/>
  <c r="H160" i="13"/>
  <c r="BH199" i="11"/>
  <c r="H223" i="13"/>
  <c r="BH15" i="11"/>
  <c r="I67" i="13"/>
  <c r="BH39" i="11"/>
  <c r="H86" i="13"/>
  <c r="BH226" i="11"/>
  <c r="H300" i="13"/>
  <c r="BH43" i="11"/>
  <c r="BH77" i="11"/>
  <c r="I229" i="13"/>
  <c r="H35" i="13"/>
  <c r="H142" i="13"/>
  <c r="H283" i="13"/>
  <c r="K301" i="13"/>
  <c r="BH270" i="11"/>
  <c r="I61" i="13"/>
  <c r="H212" i="13"/>
  <c r="H93" i="13"/>
  <c r="BH219" i="11"/>
  <c r="H139" i="13"/>
  <c r="I53" i="13"/>
  <c r="I77" i="13"/>
  <c r="H23" i="13"/>
  <c r="H236" i="13"/>
  <c r="BH150" i="11"/>
  <c r="I41" i="13"/>
  <c r="I197" i="13"/>
  <c r="I260" i="13"/>
  <c r="H231" i="13"/>
  <c r="H243" i="13"/>
  <c r="H289" i="13"/>
  <c r="H237" i="13"/>
  <c r="BH162" i="11"/>
  <c r="H47" i="13"/>
  <c r="H144" i="13"/>
  <c r="I280" i="13"/>
  <c r="BK246" i="11"/>
  <c r="BL246" i="11" s="1"/>
  <c r="BH206" i="11"/>
  <c r="I71" i="13"/>
  <c r="H133" i="13"/>
  <c r="H196" i="13"/>
  <c r="BH16" i="11"/>
  <c r="I164" i="13"/>
  <c r="H214" i="13"/>
  <c r="H249" i="13"/>
  <c r="I281" i="13"/>
  <c r="I75" i="13"/>
  <c r="H24" i="13"/>
  <c r="H232" i="13"/>
  <c r="BH174" i="11"/>
  <c r="I79" i="13"/>
  <c r="BH195" i="11"/>
  <c r="BH237" i="11"/>
  <c r="BH238" i="11"/>
  <c r="AZ2" i="11"/>
  <c r="H244" i="13"/>
  <c r="H10" i="13"/>
  <c r="H9" i="13"/>
  <c r="BH13" i="11"/>
  <c r="AB158" i="3"/>
  <c r="J158" i="13" s="1"/>
  <c r="I294" i="13"/>
  <c r="BH267" i="11"/>
  <c r="H229" i="13"/>
  <c r="I148" i="13"/>
  <c r="BH239" i="11"/>
  <c r="BH18" i="11"/>
  <c r="BH27" i="11"/>
  <c r="BH170" i="11"/>
  <c r="BH275" i="11"/>
  <c r="H182" i="13"/>
  <c r="H75" i="13"/>
  <c r="BH75" i="11"/>
  <c r="H128" i="13"/>
  <c r="H161" i="13"/>
  <c r="I211" i="13"/>
  <c r="BH222" i="11"/>
  <c r="H127" i="13"/>
  <c r="H219" i="13"/>
  <c r="H278" i="13"/>
  <c r="H68" i="13"/>
  <c r="I149" i="13"/>
  <c r="BH4" i="11"/>
  <c r="H116" i="13"/>
  <c r="H291" i="13"/>
  <c r="H62" i="13"/>
  <c r="H157" i="13"/>
  <c r="H145" i="13"/>
  <c r="I51" i="13"/>
  <c r="BH202" i="11"/>
  <c r="H72" i="13"/>
  <c r="BH6" i="11"/>
  <c r="I122" i="13"/>
  <c r="BH160" i="11"/>
  <c r="H63" i="13"/>
  <c r="BH277" i="11"/>
  <c r="BH247" i="11"/>
  <c r="I251" i="13"/>
  <c r="BH194" i="11"/>
  <c r="BH161" i="11"/>
  <c r="I198" i="13"/>
  <c r="H138" i="13"/>
  <c r="H82" i="13"/>
  <c r="H36" i="13"/>
  <c r="BH285" i="11"/>
  <c r="I233" i="13"/>
  <c r="I217" i="13"/>
  <c r="H238" i="13"/>
  <c r="H259" i="13"/>
  <c r="BH94" i="11"/>
  <c r="H19" i="13"/>
  <c r="H174" i="13"/>
  <c r="I43" i="13"/>
  <c r="BH221" i="11"/>
  <c r="I256" i="13"/>
  <c r="BH7" i="11"/>
  <c r="H121" i="13"/>
  <c r="I81" i="13"/>
  <c r="BA2" i="11"/>
  <c r="H256" i="13"/>
  <c r="H55" i="13"/>
  <c r="H115" i="13"/>
  <c r="BH31" i="11"/>
  <c r="H261" i="13"/>
  <c r="I95" i="13"/>
  <c r="BH103" i="11"/>
  <c r="I15" i="13"/>
  <c r="BH82" i="11"/>
  <c r="BH155" i="11"/>
  <c r="H194" i="13"/>
  <c r="BH302" i="11"/>
  <c r="H30" i="13"/>
  <c r="H95" i="13"/>
  <c r="BH299" i="11"/>
  <c r="I266" i="13"/>
  <c r="H76" i="13"/>
  <c r="I152" i="13"/>
  <c r="H67" i="13"/>
  <c r="I56" i="13"/>
  <c r="BH93" i="11"/>
  <c r="I161" i="13"/>
  <c r="I115" i="13"/>
  <c r="BH61" i="11"/>
  <c r="BH214" i="11"/>
  <c r="H26" i="13"/>
  <c r="I246" i="13"/>
  <c r="H27" i="13"/>
  <c r="I30" i="13"/>
  <c r="BH258" i="11"/>
  <c r="K246" i="13"/>
  <c r="H206" i="13"/>
  <c r="I131" i="13"/>
  <c r="BH111" i="11"/>
  <c r="I199" i="13"/>
  <c r="BH91" i="11"/>
  <c r="I105" i="13"/>
  <c r="H7" i="13"/>
  <c r="BH57" i="11"/>
  <c r="I69" i="13"/>
  <c r="BH205" i="11"/>
  <c r="BH84" i="11"/>
  <c r="I84" i="13"/>
  <c r="BH147" i="11"/>
  <c r="BH46" i="11"/>
  <c r="BH35" i="11"/>
  <c r="I7" i="13"/>
  <c r="I11" i="13"/>
  <c r="BH131" i="11"/>
  <c r="I154" i="13"/>
  <c r="BH291" i="11"/>
  <c r="BH249" i="11"/>
  <c r="BH142" i="11"/>
  <c r="I39" i="13"/>
  <c r="BH215" i="11"/>
  <c r="BH78" i="11"/>
  <c r="BH281" i="11"/>
  <c r="BH83" i="11"/>
  <c r="I145" i="13"/>
  <c r="H12" i="13"/>
  <c r="BH85" i="11"/>
  <c r="BH64" i="11"/>
  <c r="BC2" i="11"/>
  <c r="BH181" i="11"/>
  <c r="H110" i="13"/>
  <c r="BH116" i="11"/>
  <c r="H117" i="13"/>
  <c r="I98" i="13"/>
  <c r="BH137" i="11"/>
  <c r="BH185" i="11"/>
  <c r="BH178" i="11"/>
  <c r="BH48" i="11"/>
  <c r="BH177" i="11"/>
  <c r="BH54" i="11"/>
  <c r="BH182" i="11"/>
  <c r="BH14" i="11"/>
  <c r="BD2" i="11"/>
  <c r="AW2" i="11"/>
  <c r="BH29" i="11"/>
  <c r="BH105" i="11"/>
  <c r="BH113" i="11"/>
  <c r="I127" i="13"/>
  <c r="I12" i="13"/>
  <c r="H54" i="13"/>
  <c r="BH265" i="11"/>
  <c r="I40" i="13"/>
  <c r="BH51" i="11"/>
  <c r="BB2" i="11"/>
  <c r="AY2" i="11"/>
  <c r="AE292" i="3"/>
  <c r="K292" i="13"/>
  <c r="BH169" i="11"/>
  <c r="I113" i="13"/>
  <c r="BH12" i="11"/>
  <c r="H64" i="13"/>
  <c r="BH49" i="11"/>
  <c r="BH110" i="11"/>
  <c r="BH213" i="11"/>
  <c r="I165" i="13"/>
  <c r="I4" i="13"/>
  <c r="BS2" i="11"/>
  <c r="BH63" i="11"/>
  <c r="BH20" i="11"/>
  <c r="BH171" i="11"/>
  <c r="BH227" i="11"/>
  <c r="BF2" i="11"/>
  <c r="BH34" i="11"/>
  <c r="BH207" i="11"/>
  <c r="BH252" i="11"/>
  <c r="BH80" i="11"/>
  <c r="BH168" i="11"/>
  <c r="BH216" i="11"/>
  <c r="BH120" i="11"/>
  <c r="H207" i="13"/>
  <c r="BH173" i="11"/>
  <c r="K134" i="13"/>
  <c r="AE134" i="3"/>
  <c r="H102" i="13"/>
  <c r="BH68" i="11"/>
  <c r="AE246" i="3"/>
  <c r="BH248" i="11"/>
  <c r="BH300" i="11"/>
  <c r="H225" i="13"/>
  <c r="BH192" i="11"/>
  <c r="BH264" i="11"/>
  <c r="BH244" i="11"/>
  <c r="BH67" i="11"/>
  <c r="BH224" i="11"/>
  <c r="BH156" i="11"/>
  <c r="BH217" i="11"/>
  <c r="AO2" i="11"/>
  <c r="BH180" i="11"/>
  <c r="H125" i="13"/>
  <c r="BH59" i="11"/>
  <c r="BH144" i="11"/>
  <c r="H136" i="13"/>
  <c r="K298" i="13"/>
  <c r="AE298" i="3"/>
  <c r="I235" i="13"/>
  <c r="BH55" i="11"/>
  <c r="AE279" i="3"/>
  <c r="H79" i="13"/>
  <c r="BH164" i="11"/>
  <c r="I208" i="13"/>
  <c r="BH256" i="11"/>
  <c r="BH136" i="11"/>
  <c r="BH72" i="11"/>
  <c r="AX2" i="11"/>
  <c r="H272" i="13"/>
  <c r="H59" i="13"/>
  <c r="BH109" i="11"/>
  <c r="BH19" i="11"/>
  <c r="H165" i="13"/>
  <c r="BH280" i="11"/>
  <c r="BG2" i="11"/>
  <c r="I216" i="13"/>
  <c r="BH208" i="11"/>
  <c r="BH165" i="11"/>
  <c r="BH260" i="11"/>
  <c r="BH138" i="11"/>
  <c r="I173" i="13"/>
  <c r="BH288" i="11"/>
  <c r="H171" i="13"/>
  <c r="BH42" i="11"/>
  <c r="BH124" i="11"/>
  <c r="I136" i="13"/>
  <c r="H186" i="13"/>
  <c r="BH296" i="11"/>
  <c r="H38" i="13"/>
  <c r="BH17" i="11"/>
  <c r="BH100" i="11"/>
  <c r="BH198" i="11"/>
  <c r="BH225" i="11"/>
  <c r="BH186" i="11"/>
  <c r="BH163" i="11"/>
  <c r="BH56" i="11"/>
  <c r="H17" i="13"/>
  <c r="H8" i="13"/>
  <c r="BH79" i="11"/>
  <c r="BH188" i="11"/>
  <c r="AP2" i="11"/>
  <c r="BH88" i="11"/>
  <c r="BH102" i="11"/>
  <c r="BH145" i="11"/>
  <c r="BH184" i="11"/>
  <c r="BH200" i="11"/>
  <c r="H109" i="13"/>
  <c r="H216" i="13"/>
  <c r="BH26" i="11"/>
  <c r="H250" i="13"/>
  <c r="BH60" i="11"/>
  <c r="H34" i="13"/>
  <c r="I268" i="13"/>
  <c r="BH190" i="11"/>
  <c r="BH235" i="11"/>
  <c r="BH37" i="11"/>
  <c r="H22" i="13"/>
  <c r="BH240" i="11"/>
  <c r="I250" i="13"/>
  <c r="H235" i="13"/>
  <c r="BH50" i="11"/>
  <c r="BH10" i="11"/>
  <c r="BE2" i="11"/>
  <c r="BH268" i="11"/>
  <c r="BH30" i="11"/>
  <c r="H227" i="13"/>
  <c r="BH22" i="11"/>
  <c r="BT2" i="11"/>
  <c r="BH112" i="11"/>
  <c r="BH250" i="11"/>
  <c r="H198" i="13"/>
  <c r="AN2" i="11"/>
  <c r="BH125" i="11"/>
  <c r="BH152" i="11"/>
  <c r="BH196" i="11"/>
  <c r="BH233" i="11"/>
  <c r="BH38" i="11"/>
  <c r="F6" i="8" l="1" a="1"/>
  <c r="F6" i="8" s="1"/>
  <c r="N5" i="8"/>
  <c r="A4" i="8"/>
  <c r="K4" i="8"/>
  <c r="J4" i="8"/>
  <c r="K5" i="8"/>
  <c r="Y5" i="8"/>
  <c r="H5" i="8" s="1"/>
  <c r="X5" i="8"/>
  <c r="G5" i="8" s="1"/>
  <c r="J5" i="8"/>
  <c r="I5" i="8"/>
  <c r="D5" i="8"/>
  <c r="J4" i="17"/>
  <c r="K18" i="18" s="1"/>
  <c r="K3" i="8"/>
  <c r="J3" i="8"/>
  <c r="I4" i="17"/>
  <c r="J140" i="13"/>
  <c r="E9" i="19"/>
  <c r="F9" i="19"/>
  <c r="E10" i="19"/>
  <c r="F10" i="19"/>
  <c r="AE140" i="3"/>
  <c r="AF140" i="3" s="1"/>
  <c r="J230" i="13"/>
  <c r="AF230" i="3"/>
  <c r="BK230" i="11"/>
  <c r="BL230" i="11" s="1"/>
  <c r="C6" i="17"/>
  <c r="C47" i="18" s="1"/>
  <c r="E9" i="17" a="1"/>
  <c r="E9" i="17" s="1"/>
  <c r="BK302" i="11"/>
  <c r="BL302" i="11" s="1"/>
  <c r="K302" i="13"/>
  <c r="BK300" i="11"/>
  <c r="BL300" i="11" s="1"/>
  <c r="J302" i="13"/>
  <c r="BK72" i="11"/>
  <c r="BL72" i="11" s="1"/>
  <c r="BK212" i="11"/>
  <c r="BL212" i="11" s="1"/>
  <c r="BK208" i="11"/>
  <c r="BL208" i="11" s="1"/>
  <c r="BK244" i="11"/>
  <c r="BL244" i="11" s="1"/>
  <c r="BK182" i="11"/>
  <c r="BL182" i="11" s="1"/>
  <c r="BK80" i="11"/>
  <c r="BL80" i="11" s="1"/>
  <c r="BK138" i="11"/>
  <c r="BL138" i="11" s="1"/>
  <c r="BK184" i="11"/>
  <c r="BL184" i="11" s="1"/>
  <c r="AE143" i="3"/>
  <c r="AF143" i="3" s="1"/>
  <c r="BK123" i="11"/>
  <c r="BL123" i="11" s="1"/>
  <c r="BK115" i="11"/>
  <c r="BL115" i="11" s="1"/>
  <c r="AF134" i="3"/>
  <c r="J134" i="13"/>
  <c r="BK126" i="11"/>
  <c r="BL126" i="11" s="1"/>
  <c r="BK63" i="11"/>
  <c r="BL63" i="11" s="1"/>
  <c r="BK147" i="11"/>
  <c r="BL147" i="11" s="1"/>
  <c r="BK221" i="11"/>
  <c r="BL221" i="11" s="1"/>
  <c r="BK200" i="11"/>
  <c r="BL200" i="11" s="1"/>
  <c r="BK10" i="11"/>
  <c r="BL10" i="11" s="1"/>
  <c r="K237" i="13"/>
  <c r="BK19" i="11"/>
  <c r="BL19" i="11" s="1"/>
  <c r="J151" i="13"/>
  <c r="BK190" i="11"/>
  <c r="BL190" i="11" s="1"/>
  <c r="BK82" i="11"/>
  <c r="BL82" i="11" s="1"/>
  <c r="BK215" i="11"/>
  <c r="BL215" i="11" s="1"/>
  <c r="BK141" i="11"/>
  <c r="BL141" i="11" s="1"/>
  <c r="BK145" i="11"/>
  <c r="BL145" i="11" s="1"/>
  <c r="BK188" i="11"/>
  <c r="BL188" i="11" s="1"/>
  <c r="BK62" i="11"/>
  <c r="BL62" i="11" s="1"/>
  <c r="BK44" i="11"/>
  <c r="BL44" i="11" s="1"/>
  <c r="AE221" i="3"/>
  <c r="AF221" i="3" s="1"/>
  <c r="BK142" i="11"/>
  <c r="BL142" i="11" s="1"/>
  <c r="BK237" i="11"/>
  <c r="BL237" i="11" s="1"/>
  <c r="BK144" i="11"/>
  <c r="BL144" i="11" s="1"/>
  <c r="J127" i="13"/>
  <c r="BK86" i="11"/>
  <c r="BL86" i="11" s="1"/>
  <c r="BK199" i="11"/>
  <c r="BL199" i="11" s="1"/>
  <c r="BK121" i="11"/>
  <c r="BL121" i="11" s="1"/>
  <c r="BK194" i="11"/>
  <c r="BL194" i="11" s="1"/>
  <c r="BK28" i="11"/>
  <c r="BL28" i="11" s="1"/>
  <c r="BK118" i="11"/>
  <c r="BL118" i="11" s="1"/>
  <c r="BK97" i="11"/>
  <c r="BL97" i="11" s="1"/>
  <c r="BK243" i="11"/>
  <c r="BL243" i="11" s="1"/>
  <c r="BK57" i="11"/>
  <c r="BL57" i="11" s="1"/>
  <c r="J4" i="13"/>
  <c r="BK105" i="11"/>
  <c r="BL105" i="11" s="1"/>
  <c r="BK143" i="11"/>
  <c r="BL143" i="11" s="1"/>
  <c r="BK60" i="11"/>
  <c r="BL60" i="11" s="1"/>
  <c r="AE204" i="3"/>
  <c r="AF204" i="3" s="1"/>
  <c r="BK67" i="11"/>
  <c r="BL67" i="11" s="1"/>
  <c r="BK104" i="11"/>
  <c r="BL104" i="11" s="1"/>
  <c r="BK153" i="11"/>
  <c r="BL153" i="11" s="1"/>
  <c r="BK178" i="11"/>
  <c r="BL178" i="11" s="1"/>
  <c r="BK47" i="11"/>
  <c r="BL47" i="11" s="1"/>
  <c r="BK204" i="11"/>
  <c r="BL204" i="11" s="1"/>
  <c r="BK48" i="11"/>
  <c r="BL48" i="11" s="1"/>
  <c r="BK93" i="11"/>
  <c r="BL93" i="11" s="1"/>
  <c r="J206" i="13"/>
  <c r="BK95" i="11"/>
  <c r="BL95" i="11" s="1"/>
  <c r="BK166" i="11"/>
  <c r="BL166" i="11" s="1"/>
  <c r="J107" i="13"/>
  <c r="BK214" i="11"/>
  <c r="BL214" i="11" s="1"/>
  <c r="K170" i="13"/>
  <c r="AF107" i="3"/>
  <c r="BK99" i="11"/>
  <c r="BL99" i="11" s="1"/>
  <c r="BK154" i="11"/>
  <c r="BL154" i="11" s="1"/>
  <c r="BK23" i="11"/>
  <c r="BL23" i="11" s="1"/>
  <c r="BK232" i="11"/>
  <c r="BL232" i="11" s="1"/>
  <c r="BK137" i="11"/>
  <c r="BL137" i="11" s="1"/>
  <c r="BK75" i="11"/>
  <c r="BL75" i="11" s="1"/>
  <c r="J74" i="13"/>
  <c r="AA2" i="3"/>
  <c r="AE170" i="3"/>
  <c r="AF170" i="3" s="1"/>
  <c r="BK33" i="11"/>
  <c r="BL33" i="11" s="1"/>
  <c r="BK170" i="11"/>
  <c r="BL170" i="11" s="1"/>
  <c r="Z2" i="3"/>
  <c r="J93" i="13"/>
  <c r="BK91" i="11"/>
  <c r="BL91" i="11" s="1"/>
  <c r="J237" i="13"/>
  <c r="BK116" i="11"/>
  <c r="BL116" i="11" s="1"/>
  <c r="BK15" i="11"/>
  <c r="BL15" i="11" s="1"/>
  <c r="J284" i="13"/>
  <c r="J77" i="13"/>
  <c r="J104" i="13"/>
  <c r="J241" i="13"/>
  <c r="J31" i="13"/>
  <c r="AF237" i="3"/>
  <c r="BK66" i="11"/>
  <c r="BL66" i="11" s="1"/>
  <c r="J75" i="13"/>
  <c r="AF292" i="3"/>
  <c r="BK61" i="11"/>
  <c r="BL61" i="11" s="1"/>
  <c r="J154" i="13"/>
  <c r="J293" i="13"/>
  <c r="J277" i="13"/>
  <c r="BK122" i="11"/>
  <c r="BL122" i="11" s="1"/>
  <c r="J292" i="13"/>
  <c r="J118" i="13"/>
  <c r="J287" i="13"/>
  <c r="AF222" i="3"/>
  <c r="BK205" i="11"/>
  <c r="BL205" i="11" s="1"/>
  <c r="BK107" i="11"/>
  <c r="BL107" i="11" s="1"/>
  <c r="AF118" i="3"/>
  <c r="BK26" i="11"/>
  <c r="BL26" i="11" s="1"/>
  <c r="BK70" i="11"/>
  <c r="BL70" i="11" s="1"/>
  <c r="AF23" i="3"/>
  <c r="BK174" i="11"/>
  <c r="BL174" i="11" s="1"/>
  <c r="BK9" i="11"/>
  <c r="BL9" i="11" s="1"/>
  <c r="BK21" i="11"/>
  <c r="BL21" i="11" s="1"/>
  <c r="BK133" i="11"/>
  <c r="BL133" i="11" s="1"/>
  <c r="J270" i="13"/>
  <c r="J218" i="13"/>
  <c r="J298" i="13"/>
  <c r="J242" i="13"/>
  <c r="BK183" i="11"/>
  <c r="BL183" i="11" s="1"/>
  <c r="J193" i="13"/>
  <c r="AF298" i="3"/>
  <c r="J70" i="13"/>
  <c r="J167" i="13"/>
  <c r="J62" i="13"/>
  <c r="J15" i="13"/>
  <c r="J202" i="13"/>
  <c r="J161" i="13"/>
  <c r="J275" i="13"/>
  <c r="J212" i="13"/>
  <c r="J175" i="13"/>
  <c r="J44" i="13"/>
  <c r="J274" i="13"/>
  <c r="J150" i="13"/>
  <c r="J46" i="13"/>
  <c r="J149" i="13"/>
  <c r="J223" i="13"/>
  <c r="J276" i="13"/>
  <c r="J220" i="13"/>
  <c r="J195" i="13"/>
  <c r="J162" i="13"/>
  <c r="AF15" i="3"/>
  <c r="J297" i="13"/>
  <c r="J148" i="13"/>
  <c r="J45" i="13"/>
  <c r="AF194" i="3"/>
  <c r="AF297" i="3"/>
  <c r="J253" i="13"/>
  <c r="AF66" i="3"/>
  <c r="J201" i="13"/>
  <c r="J263" i="13"/>
  <c r="J28" i="13"/>
  <c r="AF197" i="3"/>
  <c r="AF28" i="3"/>
  <c r="J170" i="13"/>
  <c r="J197" i="13"/>
  <c r="J211" i="13"/>
  <c r="J174" i="13"/>
  <c r="J40" i="13"/>
  <c r="J66" i="13"/>
  <c r="J194" i="13"/>
  <c r="BI2" i="11"/>
  <c r="BK2" i="11" s="1"/>
  <c r="BK179" i="11"/>
  <c r="BL179" i="11" s="1"/>
  <c r="BK128" i="11"/>
  <c r="BL128" i="11" s="1"/>
  <c r="AE128" i="3"/>
  <c r="AF128" i="3" s="1"/>
  <c r="BK164" i="11"/>
  <c r="BL164" i="11" s="1"/>
  <c r="BK163" i="11"/>
  <c r="BL163" i="11" s="1"/>
  <c r="AE163" i="3"/>
  <c r="AF163" i="3" s="1"/>
  <c r="BK32" i="11"/>
  <c r="BL32" i="11" s="1"/>
  <c r="AE32" i="3"/>
  <c r="AF32" i="3" s="1"/>
  <c r="BK228" i="11"/>
  <c r="BL228" i="11" s="1"/>
  <c r="BK217" i="11"/>
  <c r="BL217" i="11" s="1"/>
  <c r="BK58" i="11"/>
  <c r="BL58" i="11" s="1"/>
  <c r="K58" i="13"/>
  <c r="BK69" i="11"/>
  <c r="BL69" i="11" s="1"/>
  <c r="K69" i="13"/>
  <c r="BK56" i="11"/>
  <c r="BL56" i="11" s="1"/>
  <c r="K56" i="13"/>
  <c r="BK196" i="11"/>
  <c r="BL196" i="11" s="1"/>
  <c r="K196" i="13"/>
  <c r="BK226" i="11"/>
  <c r="BL226" i="11" s="1"/>
  <c r="AE226" i="3"/>
  <c r="AF226" i="3" s="1"/>
  <c r="BK68" i="11"/>
  <c r="BL68" i="11" s="1"/>
  <c r="K68" i="13"/>
  <c r="BK43" i="11"/>
  <c r="BL43" i="11" s="1"/>
  <c r="BK31" i="11"/>
  <c r="BL31" i="11" s="1"/>
  <c r="AE203" i="3"/>
  <c r="AF203" i="3" s="1"/>
  <c r="BK242" i="11"/>
  <c r="BL242" i="11" s="1"/>
  <c r="AE149" i="3"/>
  <c r="AF149" i="3" s="1"/>
  <c r="AE189" i="3"/>
  <c r="AF189" i="3" s="1"/>
  <c r="BK114" i="11"/>
  <c r="BL114" i="11" s="1"/>
  <c r="BK71" i="11"/>
  <c r="BL71" i="11" s="1"/>
  <c r="BK20" i="11"/>
  <c r="BL20" i="11" s="1"/>
  <c r="K20" i="13"/>
  <c r="BK88" i="11"/>
  <c r="BL88" i="11" s="1"/>
  <c r="BK202" i="11"/>
  <c r="BL202" i="11" s="1"/>
  <c r="BK112" i="11"/>
  <c r="BL112" i="11" s="1"/>
  <c r="AE112" i="3"/>
  <c r="AF112" i="3" s="1"/>
  <c r="BK159" i="11"/>
  <c r="BL159" i="11" s="1"/>
  <c r="BK30" i="11"/>
  <c r="BL30" i="11" s="1"/>
  <c r="AE30" i="3"/>
  <c r="AF30" i="3" s="1"/>
  <c r="BK113" i="11"/>
  <c r="BL113" i="11" s="1"/>
  <c r="K113" i="13"/>
  <c r="BK124" i="11"/>
  <c r="BL124" i="11" s="1"/>
  <c r="BK224" i="11"/>
  <c r="BL224" i="11" s="1"/>
  <c r="BK92" i="11"/>
  <c r="BL92" i="11" s="1"/>
  <c r="K92" i="13"/>
  <c r="BK94" i="11"/>
  <c r="BL94" i="11" s="1"/>
  <c r="BK181" i="11"/>
  <c r="BL181" i="11" s="1"/>
  <c r="K181" i="13"/>
  <c r="BK176" i="11"/>
  <c r="BL176" i="11" s="1"/>
  <c r="K176" i="13"/>
  <c r="BK24" i="11"/>
  <c r="BL24" i="11" s="1"/>
  <c r="K24" i="13"/>
  <c r="BK42" i="11"/>
  <c r="BL42" i="11" s="1"/>
  <c r="K42" i="13"/>
  <c r="AE73" i="3"/>
  <c r="AF73" i="3" s="1"/>
  <c r="AE130" i="3"/>
  <c r="AF130" i="3" s="1"/>
  <c r="AE14" i="3"/>
  <c r="AF14" i="3" s="1"/>
  <c r="BK96" i="11"/>
  <c r="BL96" i="11" s="1"/>
  <c r="BK108" i="11"/>
  <c r="BL108" i="11" s="1"/>
  <c r="BK51" i="11"/>
  <c r="BL51" i="11" s="1"/>
  <c r="K51" i="13"/>
  <c r="BK65" i="11"/>
  <c r="BL65" i="11" s="1"/>
  <c r="BK98" i="11"/>
  <c r="BL98" i="11" s="1"/>
  <c r="K98" i="13"/>
  <c r="BK13" i="11"/>
  <c r="BL13" i="11" s="1"/>
  <c r="BK152" i="11"/>
  <c r="BL152" i="11" s="1"/>
  <c r="BK90" i="11"/>
  <c r="BL90" i="11" s="1"/>
  <c r="K90" i="13"/>
  <c r="AE201" i="3"/>
  <c r="AF201" i="3" s="1"/>
  <c r="BK168" i="11"/>
  <c r="BL168" i="11" s="1"/>
  <c r="BK29" i="11"/>
  <c r="BL29" i="11" s="1"/>
  <c r="K29" i="13"/>
  <c r="BK209" i="11"/>
  <c r="BL209" i="11" s="1"/>
  <c r="AE209" i="3"/>
  <c r="AF209" i="3" s="1"/>
  <c r="BK233" i="11"/>
  <c r="BL233" i="11" s="1"/>
  <c r="AE85" i="3"/>
  <c r="AF85" i="3" s="1"/>
  <c r="BK46" i="11"/>
  <c r="BL46" i="11" s="1"/>
  <c r="BK247" i="11"/>
  <c r="BL247" i="11" s="1"/>
  <c r="AE247" i="3"/>
  <c r="AF247" i="3" s="1"/>
  <c r="BK18" i="11"/>
  <c r="BL18" i="11" s="1"/>
  <c r="BK35" i="11"/>
  <c r="BL35" i="11" s="1"/>
  <c r="BK53" i="11"/>
  <c r="BL53" i="11" s="1"/>
  <c r="AE53" i="3"/>
  <c r="AF53" i="3" s="1"/>
  <c r="BK83" i="11"/>
  <c r="BL83" i="11" s="1"/>
  <c r="BK155" i="11"/>
  <c r="BL155" i="11" s="1"/>
  <c r="AE229" i="3"/>
  <c r="AF229" i="3" s="1"/>
  <c r="BK103" i="11"/>
  <c r="BL103" i="11" s="1"/>
  <c r="BK119" i="11"/>
  <c r="BL119" i="11" s="1"/>
  <c r="BK162" i="11"/>
  <c r="BL162" i="11" s="1"/>
  <c r="BK49" i="11"/>
  <c r="BL49" i="11" s="1"/>
  <c r="AE49" i="3"/>
  <c r="AF49" i="3" s="1"/>
  <c r="BK74" i="11"/>
  <c r="BL74" i="11" s="1"/>
  <c r="AE74" i="3"/>
  <c r="AF74" i="3" s="1"/>
  <c r="BK150" i="11"/>
  <c r="BL150" i="11" s="1"/>
  <c r="AE150" i="3"/>
  <c r="AF150" i="3" s="1"/>
  <c r="BK213" i="11"/>
  <c r="BL213" i="11" s="1"/>
  <c r="K213" i="13"/>
  <c r="BK172" i="11"/>
  <c r="BL172" i="11" s="1"/>
  <c r="AE172" i="3"/>
  <c r="AF172" i="3" s="1"/>
  <c r="BK189" i="11"/>
  <c r="BL189" i="11" s="1"/>
  <c r="BK6" i="11"/>
  <c r="BL6" i="11" s="1"/>
  <c r="K6" i="13"/>
  <c r="BK299" i="11"/>
  <c r="BL299" i="11" s="1"/>
  <c r="K296" i="13"/>
  <c r="F47" i="18"/>
  <c r="B6" i="17"/>
  <c r="J7" i="17"/>
  <c r="K66" i="18" s="1"/>
  <c r="D6" i="17"/>
  <c r="D47" i="18" s="1"/>
  <c r="K223" i="13"/>
  <c r="J255" i="13"/>
  <c r="J226" i="13"/>
  <c r="J43" i="13"/>
  <c r="J228" i="13"/>
  <c r="J9" i="13"/>
  <c r="J32" i="13"/>
  <c r="J238" i="13"/>
  <c r="J203" i="13"/>
  <c r="J115" i="13"/>
  <c r="J41" i="13"/>
  <c r="J294" i="13"/>
  <c r="J8" i="13"/>
  <c r="J155" i="13"/>
  <c r="J13" i="13"/>
  <c r="J92" i="13"/>
  <c r="J159" i="13"/>
  <c r="J176" i="13"/>
  <c r="J199" i="13"/>
  <c r="J128" i="13"/>
  <c r="J97" i="13"/>
  <c r="J299" i="13"/>
  <c r="J108" i="13"/>
  <c r="J172" i="13"/>
  <c r="J261" i="13"/>
  <c r="J71" i="13"/>
  <c r="K258" i="13"/>
  <c r="K289" i="13"/>
  <c r="H8" i="19"/>
  <c r="J39" i="13"/>
  <c r="J117" i="13"/>
  <c r="J269" i="13"/>
  <c r="J132" i="13"/>
  <c r="J121" i="13"/>
  <c r="J101" i="13"/>
  <c r="J267" i="13"/>
  <c r="J157" i="13"/>
  <c r="J65" i="13"/>
  <c r="J234" i="13"/>
  <c r="J286" i="13"/>
  <c r="J183" i="13"/>
  <c r="K193" i="13"/>
  <c r="J58" i="13"/>
  <c r="J126" i="13"/>
  <c r="J89" i="13"/>
  <c r="J90" i="13"/>
  <c r="J53" i="13"/>
  <c r="J179" i="13"/>
  <c r="K295" i="13"/>
  <c r="J23" i="13"/>
  <c r="J259" i="13"/>
  <c r="J139" i="13"/>
  <c r="J262" i="13"/>
  <c r="J166" i="13"/>
  <c r="J143" i="13"/>
  <c r="J73" i="13"/>
  <c r="J290" i="13"/>
  <c r="K282" i="13"/>
  <c r="BK167" i="11"/>
  <c r="BL167" i="11" s="1"/>
  <c r="AE211" i="3"/>
  <c r="AF211" i="3" s="1"/>
  <c r="K211" i="13"/>
  <c r="BK211" i="11"/>
  <c r="BL211" i="11" s="1"/>
  <c r="K5" i="13"/>
  <c r="BK37" i="11"/>
  <c r="BL37" i="11" s="1"/>
  <c r="AE5" i="3"/>
  <c r="AF5" i="3" s="1"/>
  <c r="BK5" i="11"/>
  <c r="BL5" i="11" s="1"/>
  <c r="BK100" i="11"/>
  <c r="BL100" i="11" s="1"/>
  <c r="K269" i="13"/>
  <c r="BK135" i="11"/>
  <c r="BL135" i="11" s="1"/>
  <c r="BK262" i="11"/>
  <c r="BL262" i="11" s="1"/>
  <c r="J187" i="13"/>
  <c r="AE193" i="3"/>
  <c r="AF193" i="3" s="1"/>
  <c r="BK240" i="11"/>
  <c r="BL240" i="11" s="1"/>
  <c r="BK303" i="11"/>
  <c r="BL303" i="11" s="1"/>
  <c r="AE251" i="3"/>
  <c r="AF251" i="3" s="1"/>
  <c r="AE175" i="3"/>
  <c r="AF175" i="3" s="1"/>
  <c r="J251" i="13"/>
  <c r="BK210" i="11"/>
  <c r="BL210" i="11" s="1"/>
  <c r="AE252" i="3"/>
  <c r="AF252" i="3" s="1"/>
  <c r="K175" i="13"/>
  <c r="BK295" i="11"/>
  <c r="BL295" i="11" s="1"/>
  <c r="BK201" i="11"/>
  <c r="BL201" i="11" s="1"/>
  <c r="BK293" i="11"/>
  <c r="BL293" i="11" s="1"/>
  <c r="AE295" i="3"/>
  <c r="AF295" i="3" s="1"/>
  <c r="J25" i="13"/>
  <c r="AE133" i="3"/>
  <c r="AF133" i="3" s="1"/>
  <c r="BK175" i="11"/>
  <c r="BL175" i="11" s="1"/>
  <c r="AE258" i="3"/>
  <c r="AF258" i="3" s="1"/>
  <c r="BK89" i="11"/>
  <c r="BL89" i="11" s="1"/>
  <c r="AE234" i="3"/>
  <c r="AF234" i="3" s="1"/>
  <c r="BK14" i="11"/>
  <c r="BL14" i="11" s="1"/>
  <c r="BK130" i="11"/>
  <c r="BL130" i="11" s="1"/>
  <c r="BK151" i="11"/>
  <c r="BL151" i="11" s="1"/>
  <c r="BK180" i="11"/>
  <c r="BL180" i="11" s="1"/>
  <c r="BK52" i="11"/>
  <c r="BL52" i="11" s="1"/>
  <c r="BK40" i="11"/>
  <c r="BL40" i="11" s="1"/>
  <c r="BK220" i="11"/>
  <c r="BL220" i="11" s="1"/>
  <c r="J24" i="13"/>
  <c r="J153" i="13"/>
  <c r="J210" i="13"/>
  <c r="J135" i="13"/>
  <c r="BK245" i="11"/>
  <c r="BL245" i="11" s="1"/>
  <c r="BK203" i="11"/>
  <c r="BL203" i="11" s="1"/>
  <c r="J106" i="13"/>
  <c r="BK120" i="11"/>
  <c r="BL120" i="11" s="1"/>
  <c r="J189" i="13"/>
  <c r="J133" i="13"/>
  <c r="J245" i="13"/>
  <c r="BK4" i="11"/>
  <c r="BL4" i="11" s="1"/>
  <c r="J95" i="13"/>
  <c r="BK149" i="11"/>
  <c r="BL149" i="11" s="1"/>
  <c r="BK148" i="11"/>
  <c r="BL148" i="11" s="1"/>
  <c r="J96" i="13"/>
  <c r="K148" i="13"/>
  <c r="AE241" i="3"/>
  <c r="AF241" i="3" s="1"/>
  <c r="J209" i="13"/>
  <c r="J114" i="13"/>
  <c r="BK241" i="11"/>
  <c r="BL241" i="11" s="1"/>
  <c r="J231" i="13"/>
  <c r="AE283" i="3"/>
  <c r="AF283" i="3" s="1"/>
  <c r="BK73" i="11"/>
  <c r="BL73" i="11" s="1"/>
  <c r="BK234" i="11"/>
  <c r="BL234" i="11" s="1"/>
  <c r="BK218" i="11"/>
  <c r="BL218" i="11" s="1"/>
  <c r="AE25" i="3"/>
  <c r="AF25" i="3" s="1"/>
  <c r="BK229" i="11"/>
  <c r="BL229" i="11" s="1"/>
  <c r="AF115" i="3"/>
  <c r="AE148" i="3"/>
  <c r="AF148" i="3" s="1"/>
  <c r="J271" i="13"/>
  <c r="J98" i="13"/>
  <c r="BK39" i="11"/>
  <c r="BL39" i="11" s="1"/>
  <c r="J279" i="13"/>
  <c r="K297" i="13"/>
  <c r="J52" i="13"/>
  <c r="I5" i="17"/>
  <c r="AE116" i="3"/>
  <c r="AF116" i="3" s="1"/>
  <c r="AE277" i="3"/>
  <c r="AF277" i="3" s="1"/>
  <c r="J5" i="13"/>
  <c r="BK177" i="11"/>
  <c r="BL177" i="11" s="1"/>
  <c r="J122" i="13"/>
  <c r="BK231" i="11"/>
  <c r="BL231" i="11" s="1"/>
  <c r="J5" i="17"/>
  <c r="K34" i="18" s="1"/>
  <c r="AF126" i="3"/>
  <c r="AF279" i="3"/>
  <c r="AE231" i="3"/>
  <c r="AF231" i="3" s="1"/>
  <c r="AF122" i="3"/>
  <c r="J123" i="13"/>
  <c r="K231" i="13"/>
  <c r="J246" i="13"/>
  <c r="BK193" i="11"/>
  <c r="BL193" i="11" s="1"/>
  <c r="J243" i="13"/>
  <c r="J130" i="13"/>
  <c r="BK25" i="11"/>
  <c r="BL25" i="11" s="1"/>
  <c r="J129" i="13"/>
  <c r="BK132" i="11"/>
  <c r="BL132" i="11" s="1"/>
  <c r="BK156" i="11"/>
  <c r="BL156" i="11" s="1"/>
  <c r="AF246" i="3"/>
  <c r="J282" i="13"/>
  <c r="BK249" i="11"/>
  <c r="BL249" i="11" s="1"/>
  <c r="BK106" i="11"/>
  <c r="BL106" i="11" s="1"/>
  <c r="BK16" i="11"/>
  <c r="BL16" i="11" s="1"/>
  <c r="K285" i="13"/>
  <c r="BK223" i="11"/>
  <c r="BL223" i="11" s="1"/>
  <c r="AF97" i="3"/>
  <c r="AE131" i="3"/>
  <c r="AF131" i="3" s="1"/>
  <c r="BK285" i="11"/>
  <c r="BL285" i="11" s="1"/>
  <c r="AE39" i="3"/>
  <c r="AF39" i="3" s="1"/>
  <c r="BK11" i="11"/>
  <c r="BL11" i="11" s="1"/>
  <c r="BK146" i="11"/>
  <c r="BL146" i="11" s="1"/>
  <c r="BK291" i="11"/>
  <c r="BL291" i="11" s="1"/>
  <c r="AE253" i="3"/>
  <c r="AF253" i="3" s="1"/>
  <c r="BK253" i="11"/>
  <c r="BL253" i="11" s="1"/>
  <c r="J289" i="13"/>
  <c r="K122" i="13"/>
  <c r="J119" i="13"/>
  <c r="BK81" i="11"/>
  <c r="BL81" i="11" s="1"/>
  <c r="BK173" i="11"/>
  <c r="BL173" i="11" s="1"/>
  <c r="BK185" i="11"/>
  <c r="BL185" i="11" s="1"/>
  <c r="BK267" i="11"/>
  <c r="BL267" i="11" s="1"/>
  <c r="J69" i="13"/>
  <c r="J21" i="13"/>
  <c r="BK187" i="11"/>
  <c r="BL187" i="11" s="1"/>
  <c r="J146" i="13"/>
  <c r="AF21" i="3"/>
  <c r="K191" i="13"/>
  <c r="BK290" i="11"/>
  <c r="BL290" i="11" s="1"/>
  <c r="BK192" i="11"/>
  <c r="BL192" i="11" s="1"/>
  <c r="AE41" i="3"/>
  <c r="AF41" i="3" s="1"/>
  <c r="AE223" i="3"/>
  <c r="AF223" i="3" s="1"/>
  <c r="AE289" i="3"/>
  <c r="AF289" i="3" s="1"/>
  <c r="J257" i="13"/>
  <c r="J33" i="13"/>
  <c r="AE45" i="3"/>
  <c r="AF45" i="3" s="1"/>
  <c r="BK236" i="11"/>
  <c r="BL236" i="11" s="1"/>
  <c r="J236" i="13"/>
  <c r="BK289" i="11"/>
  <c r="BL289" i="11" s="1"/>
  <c r="BK139" i="11"/>
  <c r="BL139" i="11" s="1"/>
  <c r="BK41" i="11"/>
  <c r="BL41" i="11" s="1"/>
  <c r="AE139" i="3"/>
  <c r="AF139" i="3" s="1"/>
  <c r="BK268" i="11"/>
  <c r="BL268" i="11" s="1"/>
  <c r="AE261" i="3"/>
  <c r="AF261" i="3" s="1"/>
  <c r="J283" i="13"/>
  <c r="BK301" i="11"/>
  <c r="BL301" i="11" s="1"/>
  <c r="BK129" i="11"/>
  <c r="BL129" i="11" s="1"/>
  <c r="AF285" i="3"/>
  <c r="BK270" i="11"/>
  <c r="BL270" i="11" s="1"/>
  <c r="AF158" i="3"/>
  <c r="AE87" i="3"/>
  <c r="AF87" i="3" s="1"/>
  <c r="J16" i="13"/>
  <c r="BK55" i="11"/>
  <c r="BL55" i="11" s="1"/>
  <c r="J191" i="13"/>
  <c r="K160" i="13"/>
  <c r="AE160" i="3"/>
  <c r="AF160" i="3" s="1"/>
  <c r="BK157" i="11"/>
  <c r="BL157" i="11" s="1"/>
  <c r="J47" i="13"/>
  <c r="AF191" i="3"/>
  <c r="BK85" i="11"/>
  <c r="BL85" i="11" s="1"/>
  <c r="BK239" i="11"/>
  <c r="BL239" i="11" s="1"/>
  <c r="J86" i="13"/>
  <c r="BK277" i="11"/>
  <c r="BL277" i="11" s="1"/>
  <c r="BK161" i="11"/>
  <c r="BL161" i="11" s="1"/>
  <c r="AF82" i="3"/>
  <c r="BK278" i="11"/>
  <c r="BL278" i="11" s="1"/>
  <c r="J81" i="13"/>
  <c r="K195" i="13"/>
  <c r="BK219" i="11"/>
  <c r="BL219" i="11" s="1"/>
  <c r="K222" i="13"/>
  <c r="BK127" i="11"/>
  <c r="BL127" i="11" s="1"/>
  <c r="BK77" i="11"/>
  <c r="BL77" i="11" s="1"/>
  <c r="J239" i="13"/>
  <c r="J11" i="13"/>
  <c r="BK36" i="11"/>
  <c r="BL36" i="11" s="1"/>
  <c r="J160" i="13"/>
  <c r="J6" i="13"/>
  <c r="G9" i="19"/>
  <c r="AE195" i="3"/>
  <c r="AF195" i="3" s="1"/>
  <c r="BK275" i="11"/>
  <c r="BL275" i="11" s="1"/>
  <c r="AE174" i="3"/>
  <c r="AF174" i="3" s="1"/>
  <c r="J285" i="13"/>
  <c r="J266" i="13"/>
  <c r="J94" i="13"/>
  <c r="BK259" i="11"/>
  <c r="BL259" i="11" s="1"/>
  <c r="BK50" i="11"/>
  <c r="BL50" i="11" s="1"/>
  <c r="K261" i="13"/>
  <c r="J82" i="13"/>
  <c r="BK84" i="11"/>
  <c r="BL84" i="11" s="1"/>
  <c r="J221" i="13"/>
  <c r="BK238" i="11"/>
  <c r="BL238" i="11" s="1"/>
  <c r="K241" i="13"/>
  <c r="AF9" i="3"/>
  <c r="AF47" i="3"/>
  <c r="BK261" i="11"/>
  <c r="BL261" i="11" s="1"/>
  <c r="J103" i="13"/>
  <c r="BK78" i="11"/>
  <c r="BL78" i="11" s="1"/>
  <c r="K194" i="13"/>
  <c r="BK101" i="11"/>
  <c r="BL101" i="11" s="1"/>
  <c r="BK76" i="11"/>
  <c r="BL76" i="11" s="1"/>
  <c r="AE303" i="3"/>
  <c r="AF303" i="3" s="1"/>
  <c r="K294" i="13"/>
  <c r="AE294" i="3"/>
  <c r="AF294" i="3" s="1"/>
  <c r="J258" i="13"/>
  <c r="BK27" i="11"/>
  <c r="BL27" i="11" s="1"/>
  <c r="J214" i="13"/>
  <c r="AF60" i="3"/>
  <c r="AE243" i="3"/>
  <c r="AF243" i="3" s="1"/>
  <c r="K243" i="13"/>
  <c r="J61" i="13"/>
  <c r="AE154" i="3"/>
  <c r="AF154" i="3" s="1"/>
  <c r="K154" i="13"/>
  <c r="BK206" i="11"/>
  <c r="BL206" i="11" s="1"/>
  <c r="BK111" i="11"/>
  <c r="BL111" i="11" s="1"/>
  <c r="J83" i="13"/>
  <c r="J78" i="13"/>
  <c r="J249" i="13"/>
  <c r="J147" i="13"/>
  <c r="AE99" i="3"/>
  <c r="AF99" i="3" s="1"/>
  <c r="K99" i="13"/>
  <c r="J205" i="13"/>
  <c r="K215" i="13"/>
  <c r="AE215" i="3"/>
  <c r="AF215" i="3" s="1"/>
  <c r="K75" i="13"/>
  <c r="AE75" i="3"/>
  <c r="AF75" i="3" s="1"/>
  <c r="J281" i="13"/>
  <c r="AE11" i="3"/>
  <c r="AF11" i="3" s="1"/>
  <c r="K11" i="13"/>
  <c r="J131" i="13"/>
  <c r="K147" i="13"/>
  <c r="AE147" i="3"/>
  <c r="AF147" i="3" s="1"/>
  <c r="J291" i="13"/>
  <c r="J35" i="13"/>
  <c r="K291" i="13"/>
  <c r="AE291" i="3"/>
  <c r="AF291" i="3" s="1"/>
  <c r="AE299" i="3"/>
  <c r="AF299" i="3" s="1"/>
  <c r="K299" i="13"/>
  <c r="J84" i="13"/>
  <c r="BK7" i="11"/>
  <c r="BL7" i="11" s="1"/>
  <c r="J91" i="13"/>
  <c r="AE281" i="3"/>
  <c r="AF281" i="3" s="1"/>
  <c r="K142" i="13"/>
  <c r="AE142" i="3"/>
  <c r="AF142" i="3" s="1"/>
  <c r="J215" i="13"/>
  <c r="J142" i="13"/>
  <c r="AE214" i="3"/>
  <c r="AF214" i="3" s="1"/>
  <c r="K214" i="13"/>
  <c r="AE57" i="3"/>
  <c r="AF57" i="3" s="1"/>
  <c r="J57" i="13"/>
  <c r="J111" i="13"/>
  <c r="AE105" i="3"/>
  <c r="AF105" i="3" s="1"/>
  <c r="J265" i="13"/>
  <c r="AE249" i="3"/>
  <c r="AF249" i="3" s="1"/>
  <c r="K249" i="13"/>
  <c r="BK54" i="11"/>
  <c r="BL54" i="11" s="1"/>
  <c r="K245" i="13"/>
  <c r="AE245" i="3"/>
  <c r="AF245" i="3" s="1"/>
  <c r="J14" i="13"/>
  <c r="K93" i="13"/>
  <c r="AE93" i="3"/>
  <c r="AF93" i="3" s="1"/>
  <c r="J54" i="13"/>
  <c r="J48" i="13"/>
  <c r="K177" i="13"/>
  <c r="AE177" i="3"/>
  <c r="AF177" i="3" s="1"/>
  <c r="K183" i="13"/>
  <c r="AE183" i="3"/>
  <c r="AF183" i="3" s="1"/>
  <c r="J181" i="13"/>
  <c r="J110" i="13"/>
  <c r="J169" i="13"/>
  <c r="AE185" i="3"/>
  <c r="AF185" i="3" s="1"/>
  <c r="K185" i="13"/>
  <c r="J105" i="13"/>
  <c r="K267" i="13"/>
  <c r="AE267" i="3"/>
  <c r="AF267" i="3" s="1"/>
  <c r="J178" i="13"/>
  <c r="J185" i="13"/>
  <c r="AE265" i="3"/>
  <c r="AF265" i="3" s="1"/>
  <c r="K265" i="13"/>
  <c r="I6" i="17"/>
  <c r="BH2" i="11"/>
  <c r="J6" i="17"/>
  <c r="K50" i="18" s="1"/>
  <c r="K153" i="13"/>
  <c r="AE153" i="3"/>
  <c r="AF153" i="3" s="1"/>
  <c r="BK64" i="11"/>
  <c r="BL64" i="11" s="1"/>
  <c r="J12" i="13"/>
  <c r="AE91" i="3"/>
  <c r="AF91" i="3" s="1"/>
  <c r="K91" i="13"/>
  <c r="J113" i="13"/>
  <c r="J29" i="13"/>
  <c r="AF169" i="3"/>
  <c r="K182" i="13"/>
  <c r="AE182" i="3"/>
  <c r="AF182" i="3" s="1"/>
  <c r="AE137" i="3"/>
  <c r="AF137" i="3" s="1"/>
  <c r="AE61" i="3"/>
  <c r="AF61" i="3" s="1"/>
  <c r="J116" i="13"/>
  <c r="K178" i="13"/>
  <c r="AE178" i="3"/>
  <c r="AF178" i="3" s="1"/>
  <c r="J85" i="13"/>
  <c r="BK12" i="11"/>
  <c r="BL12" i="11" s="1"/>
  <c r="J64" i="13"/>
  <c r="J213" i="13"/>
  <c r="J49" i="13"/>
  <c r="AE273" i="3"/>
  <c r="AF273" i="3" s="1"/>
  <c r="J51" i="13"/>
  <c r="K271" i="13"/>
  <c r="AE271" i="3"/>
  <c r="AF271" i="3" s="1"/>
  <c r="J182" i="13"/>
  <c r="J177" i="13"/>
  <c r="J137" i="13"/>
  <c r="K120" i="13"/>
  <c r="BK117" i="11"/>
  <c r="BL117" i="11" s="1"/>
  <c r="BK110" i="11"/>
  <c r="BL110" i="11" s="1"/>
  <c r="AE50" i="3"/>
  <c r="AF50" i="3" s="1"/>
  <c r="K264" i="13"/>
  <c r="AE264" i="3"/>
  <c r="AF264" i="3" s="1"/>
  <c r="K10" i="13"/>
  <c r="AE10" i="3"/>
  <c r="AF10" i="3" s="1"/>
  <c r="J30" i="13"/>
  <c r="J268" i="13"/>
  <c r="BK235" i="11"/>
  <c r="BL235" i="11" s="1"/>
  <c r="BK34" i="11"/>
  <c r="BL34" i="11" s="1"/>
  <c r="K184" i="13"/>
  <c r="AE184" i="3"/>
  <c r="AF184" i="3" s="1"/>
  <c r="J60" i="13"/>
  <c r="AE120" i="3"/>
  <c r="AF120" i="3" s="1"/>
  <c r="J200" i="13"/>
  <c r="J145" i="13"/>
  <c r="AE19" i="3"/>
  <c r="AF19" i="3" s="1"/>
  <c r="K19" i="13"/>
  <c r="J186" i="13"/>
  <c r="J225" i="13"/>
  <c r="J100" i="13"/>
  <c r="BK171" i="11"/>
  <c r="BL171" i="11" s="1"/>
  <c r="J138" i="13"/>
  <c r="J260" i="13"/>
  <c r="J165" i="13"/>
  <c r="J280" i="13"/>
  <c r="BK165" i="11"/>
  <c r="BL165" i="11" s="1"/>
  <c r="BK272" i="11"/>
  <c r="BL272" i="11" s="1"/>
  <c r="J72" i="13"/>
  <c r="J164" i="13"/>
  <c r="K199" i="13"/>
  <c r="AE199" i="3"/>
  <c r="AF199" i="3" s="1"/>
  <c r="J224" i="13"/>
  <c r="J248" i="13"/>
  <c r="K33" i="13"/>
  <c r="AE33" i="3"/>
  <c r="AF33" i="3" s="1"/>
  <c r="AE62" i="3"/>
  <c r="AF62" i="3" s="1"/>
  <c r="K266" i="13"/>
  <c r="AE266" i="3"/>
  <c r="AF266" i="3" s="1"/>
  <c r="K52" i="13"/>
  <c r="AE52" i="3"/>
  <c r="AF52" i="3" s="1"/>
  <c r="J63" i="13"/>
  <c r="J196" i="13"/>
  <c r="AE210" i="3"/>
  <c r="AF210" i="3" s="1"/>
  <c r="J125" i="13"/>
  <c r="K135" i="13"/>
  <c r="AE135" i="3"/>
  <c r="AF135" i="3" s="1"/>
  <c r="AE100" i="3"/>
  <c r="AF100" i="3" s="1"/>
  <c r="K100" i="13"/>
  <c r="J38" i="13"/>
  <c r="J233" i="13"/>
  <c r="AB2" i="3"/>
  <c r="AE55" i="3"/>
  <c r="AF55" i="3" s="1"/>
  <c r="K55" i="13"/>
  <c r="K192" i="13"/>
  <c r="AE192" i="3"/>
  <c r="AF192" i="3" s="1"/>
  <c r="J22" i="13"/>
  <c r="BK227" i="11"/>
  <c r="BL227" i="11" s="1"/>
  <c r="K129" i="13"/>
  <c r="AE129" i="3"/>
  <c r="AF129" i="3" s="1"/>
  <c r="J240" i="13"/>
  <c r="BK250" i="11"/>
  <c r="BL250" i="11" s="1"/>
  <c r="J26" i="13"/>
  <c r="BK198" i="11"/>
  <c r="BL198" i="11" s="1"/>
  <c r="J250" i="13"/>
  <c r="K167" i="13"/>
  <c r="AE167" i="3"/>
  <c r="AF167" i="3" s="1"/>
  <c r="AE40" i="3"/>
  <c r="AF40" i="3" s="1"/>
  <c r="K40" i="13"/>
  <c r="AE220" i="3"/>
  <c r="AF220" i="3" s="1"/>
  <c r="K179" i="13"/>
  <c r="AE179" i="3"/>
  <c r="AF179" i="3" s="1"/>
  <c r="K151" i="13"/>
  <c r="AE151" i="3"/>
  <c r="AF151" i="3" s="1"/>
  <c r="K256" i="13"/>
  <c r="AE256" i="3"/>
  <c r="AF256" i="3" s="1"/>
  <c r="J10" i="13"/>
  <c r="J50" i="13"/>
  <c r="K132" i="13"/>
  <c r="AE132" i="3"/>
  <c r="AF132" i="3" s="1"/>
  <c r="K138" i="13"/>
  <c r="AE138" i="3"/>
  <c r="AF138" i="3" s="1"/>
  <c r="K25" i="13"/>
  <c r="BK22" i="11"/>
  <c r="BL22" i="11" s="1"/>
  <c r="K81" i="13"/>
  <c r="AE81" i="3"/>
  <c r="AF81" i="3" s="1"/>
  <c r="J235" i="13"/>
  <c r="K86" i="13"/>
  <c r="AE86" i="3"/>
  <c r="AF86" i="3" s="1"/>
  <c r="AE280" i="3"/>
  <c r="AF280" i="3" s="1"/>
  <c r="K280" i="13"/>
  <c r="BK109" i="11"/>
  <c r="BL109" i="11" s="1"/>
  <c r="AE240" i="3"/>
  <c r="AF240" i="3" s="1"/>
  <c r="K95" i="13"/>
  <c r="AE95" i="3"/>
  <c r="AF95" i="3" s="1"/>
  <c r="AE296" i="3"/>
  <c r="AF296" i="3" s="1"/>
  <c r="K26" i="13"/>
  <c r="AE26" i="3"/>
  <c r="AF26" i="3" s="1"/>
  <c r="J188" i="13"/>
  <c r="J163" i="13"/>
  <c r="K70" i="13"/>
  <c r="AE70" i="3"/>
  <c r="AF70" i="3" s="1"/>
  <c r="BK38" i="11"/>
  <c r="BL38" i="11" s="1"/>
  <c r="BK186" i="11"/>
  <c r="BL186" i="11" s="1"/>
  <c r="K188" i="13"/>
  <c r="AE188" i="3"/>
  <c r="AF188" i="3" s="1"/>
  <c r="AE156" i="3"/>
  <c r="AF156" i="3" s="1"/>
  <c r="K156" i="13"/>
  <c r="J19" i="13"/>
  <c r="K288" i="13"/>
  <c r="AE288" i="3"/>
  <c r="AF288" i="3" s="1"/>
  <c r="AE293" i="3"/>
  <c r="AF293" i="3" s="1"/>
  <c r="K293" i="13"/>
  <c r="J144" i="13"/>
  <c r="AE212" i="3"/>
  <c r="AF212" i="3" s="1"/>
  <c r="K212" i="13"/>
  <c r="K180" i="13"/>
  <c r="AE180" i="3"/>
  <c r="AF180" i="3" s="1"/>
  <c r="AE72" i="3"/>
  <c r="AF72" i="3" s="1"/>
  <c r="K72" i="13"/>
  <c r="J67" i="13"/>
  <c r="J68" i="13"/>
  <c r="J252" i="13"/>
  <c r="AE244" i="3"/>
  <c r="AF244" i="3" s="1"/>
  <c r="K244" i="13"/>
  <c r="J34" i="13"/>
  <c r="J227" i="13"/>
  <c r="J20" i="13"/>
  <c r="K141" i="13"/>
  <c r="AE141" i="3"/>
  <c r="AF141" i="3" s="1"/>
  <c r="J152" i="13"/>
  <c r="K78" i="13"/>
  <c r="AE78" i="3"/>
  <c r="AF78" i="3" s="1"/>
  <c r="K268" i="13"/>
  <c r="AE268" i="3"/>
  <c r="AF268" i="3" s="1"/>
  <c r="K89" i="13"/>
  <c r="AE89" i="3"/>
  <c r="AF89" i="3" s="1"/>
  <c r="J37" i="13"/>
  <c r="J112" i="13"/>
  <c r="AE190" i="3"/>
  <c r="AF190" i="3" s="1"/>
  <c r="K190" i="13"/>
  <c r="K218" i="13"/>
  <c r="AE218" i="3"/>
  <c r="AF218" i="3" s="1"/>
  <c r="J190" i="13"/>
  <c r="BK216" i="11"/>
  <c r="BL216" i="11" s="1"/>
  <c r="AE80" i="3"/>
  <c r="AF80" i="3" s="1"/>
  <c r="AE284" i="3"/>
  <c r="AF284" i="3" s="1"/>
  <c r="K284" i="13"/>
  <c r="J184" i="13"/>
  <c r="K67" i="13"/>
  <c r="AE67" i="3"/>
  <c r="AF67" i="3" s="1"/>
  <c r="J79" i="13"/>
  <c r="K262" i="13"/>
  <c r="AE262" i="3"/>
  <c r="AF262" i="3" s="1"/>
  <c r="J56" i="13"/>
  <c r="J198" i="13"/>
  <c r="J124" i="13"/>
  <c r="J109" i="13"/>
  <c r="K121" i="13"/>
  <c r="AE121" i="3"/>
  <c r="AF121" i="3" s="1"/>
  <c r="J256" i="13"/>
  <c r="BK79" i="11"/>
  <c r="BL79" i="11" s="1"/>
  <c r="K137" i="13"/>
  <c r="BK136" i="11"/>
  <c r="BL136" i="11" s="1"/>
  <c r="AE166" i="3"/>
  <c r="AF166" i="3" s="1"/>
  <c r="K166" i="13"/>
  <c r="J217" i="13"/>
  <c r="AE232" i="3"/>
  <c r="AF232" i="3" s="1"/>
  <c r="K232" i="13"/>
  <c r="J156" i="13"/>
  <c r="K248" i="13"/>
  <c r="AE248" i="3"/>
  <c r="AF248" i="3" s="1"/>
  <c r="J300" i="13"/>
  <c r="BK102" i="11"/>
  <c r="BL102" i="11" s="1"/>
  <c r="K104" i="13"/>
  <c r="AE104" i="3"/>
  <c r="AF104" i="3" s="1"/>
  <c r="J216" i="13"/>
  <c r="J168" i="13"/>
  <c r="K255" i="13"/>
  <c r="AE255" i="3"/>
  <c r="AF255" i="3" s="1"/>
  <c r="J207" i="13"/>
  <c r="K205" i="13"/>
  <c r="AE205" i="3"/>
  <c r="AF205" i="3" s="1"/>
  <c r="J171" i="13"/>
  <c r="K257" i="13"/>
  <c r="AE257" i="3"/>
  <c r="AF257" i="3" s="1"/>
  <c r="K48" i="13"/>
  <c r="AE48" i="3"/>
  <c r="AF48" i="3" s="1"/>
  <c r="K173" i="13"/>
  <c r="AE173" i="3"/>
  <c r="AF173" i="3" s="1"/>
  <c r="AE286" i="3"/>
  <c r="AF286" i="3" s="1"/>
  <c r="K286" i="13"/>
  <c r="J102" i="13"/>
  <c r="AE145" i="3"/>
  <c r="AF145" i="3" s="1"/>
  <c r="K145" i="13"/>
  <c r="J88" i="13"/>
  <c r="K9" i="13"/>
  <c r="BK8" i="11"/>
  <c r="BL8" i="11" s="1"/>
  <c r="BK17" i="11"/>
  <c r="BL17" i="11" s="1"/>
  <c r="K157" i="13"/>
  <c r="AE157" i="3"/>
  <c r="AF157" i="3" s="1"/>
  <c r="J17" i="13"/>
  <c r="J296" i="13"/>
  <c r="J42" i="13"/>
  <c r="J288" i="13"/>
  <c r="J208" i="13"/>
  <c r="K62" i="13"/>
  <c r="BK59" i="11"/>
  <c r="BL59" i="11" s="1"/>
  <c r="J136" i="13"/>
  <c r="J55" i="13"/>
  <c r="J59" i="13"/>
  <c r="BK125" i="11"/>
  <c r="BL125" i="11" s="1"/>
  <c r="J180" i="13"/>
  <c r="AE208" i="3"/>
  <c r="AF208" i="3" s="1"/>
  <c r="J244" i="13"/>
  <c r="J264" i="13"/>
  <c r="J192" i="13"/>
  <c r="BK225" i="11"/>
  <c r="BL225" i="11" s="1"/>
  <c r="AE37" i="3"/>
  <c r="AF37" i="3" s="1"/>
  <c r="AE63" i="3"/>
  <c r="AF63" i="3" s="1"/>
  <c r="K63" i="13"/>
  <c r="J173" i="13"/>
  <c r="K208" i="13"/>
  <c r="BK207" i="11"/>
  <c r="BL207" i="11" s="1"/>
  <c r="J120" i="13"/>
  <c r="K144" i="13"/>
  <c r="AE144" i="3"/>
  <c r="AF144" i="3" s="1"/>
  <c r="J80" i="13"/>
  <c r="AE236" i="3"/>
  <c r="AF236" i="3" s="1"/>
  <c r="AE123" i="3"/>
  <c r="AF123" i="3" s="1"/>
  <c r="K123" i="13"/>
  <c r="AE44" i="3"/>
  <c r="AF44" i="3" s="1"/>
  <c r="K44" i="13"/>
  <c r="K200" i="13"/>
  <c r="AE200" i="3"/>
  <c r="AF200" i="3" s="1"/>
  <c r="J6" i="8" l="1"/>
  <c r="E6" i="8"/>
  <c r="L6" i="8"/>
  <c r="I6" i="8"/>
  <c r="Y6" i="8"/>
  <c r="H6" i="8" s="1"/>
  <c r="X6" i="8"/>
  <c r="G6" i="8" s="1"/>
  <c r="K6" i="8"/>
  <c r="N6" i="8"/>
  <c r="A5" i="8"/>
  <c r="F7" i="8" a="1"/>
  <c r="F7" i="8" s="1"/>
  <c r="E7" i="8" s="1"/>
  <c r="D6" i="8"/>
  <c r="L5" i="8"/>
  <c r="L4" i="8"/>
  <c r="L3" i="8"/>
  <c r="K4" i="17"/>
  <c r="I15" i="18" s="1"/>
  <c r="A6" i="8"/>
  <c r="L6" i="13"/>
  <c r="G10" i="19"/>
  <c r="A47" i="18"/>
  <c r="B47" i="18"/>
  <c r="K300" i="13"/>
  <c r="AE302" i="3"/>
  <c r="AF302" i="3" s="1"/>
  <c r="E10" i="17" a="1"/>
  <c r="E10" i="17" s="1"/>
  <c r="E11" i="17" s="1" a="1"/>
  <c r="E11" i="17" s="1"/>
  <c r="AE300" i="3"/>
  <c r="AF300" i="3" s="1"/>
  <c r="AE4" i="3"/>
  <c r="AF4" i="3" s="1"/>
  <c r="K4" i="13"/>
  <c r="AE88" i="3"/>
  <c r="AF88" i="3" s="1"/>
  <c r="AE213" i="3"/>
  <c r="AF213" i="3" s="1"/>
  <c r="K14" i="13"/>
  <c r="K88" i="13"/>
  <c r="AE20" i="3"/>
  <c r="AF20" i="3" s="1"/>
  <c r="K150" i="13"/>
  <c r="K73" i="13"/>
  <c r="K85" i="13"/>
  <c r="K108" i="13"/>
  <c r="AE108" i="3"/>
  <c r="AF108" i="3" s="1"/>
  <c r="AE282" i="3"/>
  <c r="AF282" i="3" s="1"/>
  <c r="F63" i="18"/>
  <c r="I7" i="17"/>
  <c r="A66" i="18" s="1"/>
  <c r="D7" i="17"/>
  <c r="D63" i="18" s="1"/>
  <c r="B7" i="17"/>
  <c r="K7" i="17"/>
  <c r="I63" i="18" s="1"/>
  <c r="C7" i="17"/>
  <c r="C63" i="18" s="1"/>
  <c r="AE263" i="3"/>
  <c r="AF263" i="3" s="1"/>
  <c r="K220" i="13"/>
  <c r="K39" i="13"/>
  <c r="K276" i="13"/>
  <c r="K37" i="13"/>
  <c r="K155" i="13"/>
  <c r="K158" i="13"/>
  <c r="K201" i="13"/>
  <c r="K236" i="13"/>
  <c r="K105" i="13"/>
  <c r="K45" i="13"/>
  <c r="K131" i="13"/>
  <c r="K130" i="13"/>
  <c r="K253" i="13"/>
  <c r="K189" i="13"/>
  <c r="K41" i="13"/>
  <c r="K15" i="13"/>
  <c r="K80" i="13"/>
  <c r="K82" i="13"/>
  <c r="K210" i="13"/>
  <c r="K21" i="13"/>
  <c r="K228" i="13"/>
  <c r="K230" i="13"/>
  <c r="K61" i="13"/>
  <c r="K149" i="13"/>
  <c r="K139" i="13"/>
  <c r="K174" i="13"/>
  <c r="K116" i="13"/>
  <c r="K87" i="13"/>
  <c r="K240" i="13"/>
  <c r="K273" i="13"/>
  <c r="K229" i="13"/>
  <c r="K234" i="13"/>
  <c r="K57" i="13"/>
  <c r="K172" i="13"/>
  <c r="K217" i="13"/>
  <c r="K28" i="13"/>
  <c r="K46" i="13"/>
  <c r="K47" i="13"/>
  <c r="K18" i="13"/>
  <c r="K197" i="13"/>
  <c r="K126" i="13"/>
  <c r="K118" i="13"/>
  <c r="K164" i="13"/>
  <c r="K203" i="13"/>
  <c r="K169" i="13"/>
  <c r="K279" i="13"/>
  <c r="AE114" i="3"/>
  <c r="AF114" i="3" s="1"/>
  <c r="K115" i="13"/>
  <c r="K60" i="13"/>
  <c r="K107" i="13"/>
  <c r="AE65" i="3"/>
  <c r="AF65" i="3" s="1"/>
  <c r="K66" i="13"/>
  <c r="K23" i="13"/>
  <c r="K50" i="13"/>
  <c r="K277" i="13"/>
  <c r="K97" i="13"/>
  <c r="AE71" i="3"/>
  <c r="AF71" i="3" s="1"/>
  <c r="J50" i="18"/>
  <c r="A50" i="18"/>
  <c r="K71" i="13"/>
  <c r="J34" i="18"/>
  <c r="A34" i="18"/>
  <c r="J18" i="18"/>
  <c r="A18" i="18"/>
  <c r="K263" i="13"/>
  <c r="AE96" i="3"/>
  <c r="AF96" i="3" s="1"/>
  <c r="K96" i="13"/>
  <c r="K281" i="13"/>
  <c r="AE6" i="3"/>
  <c r="AF6" i="3" s="1"/>
  <c r="AE260" i="3"/>
  <c r="AF260" i="3" s="1"/>
  <c r="K74" i="13"/>
  <c r="AE31" i="3"/>
  <c r="AF31" i="3" s="1"/>
  <c r="K260" i="13"/>
  <c r="AE269" i="3"/>
  <c r="AF269" i="3" s="1"/>
  <c r="AE13" i="3"/>
  <c r="AF13" i="3" s="1"/>
  <c r="L5" i="13"/>
  <c r="K13" i="13"/>
  <c r="AE176" i="3"/>
  <c r="AF176" i="3" s="1"/>
  <c r="AE168" i="3"/>
  <c r="AF168" i="3" s="1"/>
  <c r="AE92" i="3"/>
  <c r="AF92" i="3" s="1"/>
  <c r="AE83" i="3"/>
  <c r="AF83" i="3" s="1"/>
  <c r="K83" i="13"/>
  <c r="AE162" i="3"/>
  <c r="AF162" i="3" s="1"/>
  <c r="K162" i="13"/>
  <c r="K65" i="13"/>
  <c r="AE90" i="3"/>
  <c r="AF90" i="3" s="1"/>
  <c r="K43" i="13"/>
  <c r="K252" i="13"/>
  <c r="K168" i="13"/>
  <c r="AE152" i="3"/>
  <c r="AF152" i="3" s="1"/>
  <c r="K31" i="13"/>
  <c r="AE276" i="3"/>
  <c r="AF276" i="3" s="1"/>
  <c r="K251" i="13"/>
  <c r="K152" i="13"/>
  <c r="AE228" i="3"/>
  <c r="AF228" i="3" s="1"/>
  <c r="AE43" i="3"/>
  <c r="AF43" i="3" s="1"/>
  <c r="AE196" i="3"/>
  <c r="AF196" i="3" s="1"/>
  <c r="K35" i="13"/>
  <c r="K114" i="13"/>
  <c r="AE35" i="3"/>
  <c r="AF35" i="3" s="1"/>
  <c r="AE24" i="3"/>
  <c r="AF24" i="3" s="1"/>
  <c r="AE119" i="3"/>
  <c r="AF119" i="3" s="1"/>
  <c r="K119" i="13"/>
  <c r="K49" i="13"/>
  <c r="K112" i="13"/>
  <c r="K209" i="13"/>
  <c r="K283" i="13"/>
  <c r="AE242" i="3"/>
  <c r="AF242" i="3" s="1"/>
  <c r="AE98" i="3"/>
  <c r="AF98" i="3" s="1"/>
  <c r="K159" i="13"/>
  <c r="AE159" i="3"/>
  <c r="AF159" i="3" s="1"/>
  <c r="AE217" i="3"/>
  <c r="AF217" i="3" s="1"/>
  <c r="AE42" i="3"/>
  <c r="AF42" i="3" s="1"/>
  <c r="K5" i="17"/>
  <c r="AE233" i="3"/>
  <c r="AF233" i="3" s="1"/>
  <c r="AE58" i="3"/>
  <c r="AF58" i="3" s="1"/>
  <c r="K128" i="13"/>
  <c r="K242" i="13"/>
  <c r="K233" i="13"/>
  <c r="AE224" i="3"/>
  <c r="AF224" i="3" s="1"/>
  <c r="AE69" i="3"/>
  <c r="AF69" i="3" s="1"/>
  <c r="AE155" i="3"/>
  <c r="AF155" i="3" s="1"/>
  <c r="AE94" i="3"/>
  <c r="AF94" i="3" s="1"/>
  <c r="K94" i="13"/>
  <c r="K53" i="13"/>
  <c r="K274" i="13"/>
  <c r="AE68" i="3"/>
  <c r="AF68" i="3" s="1"/>
  <c r="K32" i="13"/>
  <c r="K103" i="13"/>
  <c r="AE181" i="3"/>
  <c r="AF181" i="3" s="1"/>
  <c r="AE103" i="3"/>
  <c r="AF103" i="3" s="1"/>
  <c r="AE18" i="3"/>
  <c r="AF18" i="3" s="1"/>
  <c r="AE254" i="3"/>
  <c r="AF254" i="3" s="1"/>
  <c r="AE274" i="3"/>
  <c r="AF274" i="3" s="1"/>
  <c r="AE164" i="3"/>
  <c r="AF164" i="3" s="1"/>
  <c r="AE46" i="3"/>
  <c r="AF46" i="3" s="1"/>
  <c r="AE287" i="3"/>
  <c r="AF287" i="3" s="1"/>
  <c r="K287" i="13"/>
  <c r="AE16" i="3"/>
  <c r="AF16" i="3" s="1"/>
  <c r="K16" i="13"/>
  <c r="K106" i="13"/>
  <c r="AE106" i="3"/>
  <c r="AF106" i="3" s="1"/>
  <c r="K254" i="13"/>
  <c r="K224" i="13"/>
  <c r="K226" i="13"/>
  <c r="AE113" i="3"/>
  <c r="AF113" i="3" s="1"/>
  <c r="K247" i="13"/>
  <c r="AE146" i="3"/>
  <c r="AF146" i="3" s="1"/>
  <c r="K146" i="13"/>
  <c r="AE29" i="3"/>
  <c r="AF29" i="3" s="1"/>
  <c r="BL2" i="11"/>
  <c r="K290" i="13"/>
  <c r="AE290" i="3"/>
  <c r="AF290" i="3" s="1"/>
  <c r="AE187" i="3"/>
  <c r="AF187" i="3" s="1"/>
  <c r="K187" i="13"/>
  <c r="AE301" i="3"/>
  <c r="AF301" i="3" s="1"/>
  <c r="AE202" i="3"/>
  <c r="AF202" i="3" s="1"/>
  <c r="K202" i="13"/>
  <c r="K163" i="13"/>
  <c r="K124" i="13"/>
  <c r="K270" i="13"/>
  <c r="AE270" i="3"/>
  <c r="AF270" i="3" s="1"/>
  <c r="AE124" i="3"/>
  <c r="AF124" i="3" s="1"/>
  <c r="AE56" i="3"/>
  <c r="AF56" i="3" s="1"/>
  <c r="K239" i="13"/>
  <c r="AE239" i="3"/>
  <c r="AF239" i="3" s="1"/>
  <c r="K161" i="13"/>
  <c r="AE161" i="3"/>
  <c r="AF161" i="3" s="1"/>
  <c r="K278" i="13"/>
  <c r="AE278" i="3"/>
  <c r="AF278" i="3" s="1"/>
  <c r="K30" i="13"/>
  <c r="AE51" i="3"/>
  <c r="AF51" i="3" s="1"/>
  <c r="K127" i="13"/>
  <c r="AE127" i="3"/>
  <c r="AF127" i="3" s="1"/>
  <c r="AE77" i="3"/>
  <c r="AF77" i="3" s="1"/>
  <c r="K77" i="13"/>
  <c r="AE219" i="3"/>
  <c r="AF219" i="3" s="1"/>
  <c r="K219" i="13"/>
  <c r="K275" i="13"/>
  <c r="AE275" i="3"/>
  <c r="AF275" i="3" s="1"/>
  <c r="K36" i="13"/>
  <c r="AE36" i="3"/>
  <c r="AF36" i="3" s="1"/>
  <c r="AE259" i="3"/>
  <c r="AF259" i="3" s="1"/>
  <c r="K259" i="13"/>
  <c r="AE238" i="3"/>
  <c r="AF238" i="3" s="1"/>
  <c r="K238" i="13"/>
  <c r="AE84" i="3"/>
  <c r="AF84" i="3" s="1"/>
  <c r="K84" i="13"/>
  <c r="AE76" i="3"/>
  <c r="AF76" i="3" s="1"/>
  <c r="K76" i="13"/>
  <c r="K101" i="13"/>
  <c r="AE101" i="3"/>
  <c r="AF101" i="3" s="1"/>
  <c r="K27" i="13"/>
  <c r="AE27" i="3"/>
  <c r="AF27" i="3" s="1"/>
  <c r="K111" i="13"/>
  <c r="AE111" i="3"/>
  <c r="AF111" i="3" s="1"/>
  <c r="AE206" i="3"/>
  <c r="AF206" i="3" s="1"/>
  <c r="K206" i="13"/>
  <c r="K7" i="13"/>
  <c r="AE7" i="3"/>
  <c r="AF7" i="3" s="1"/>
  <c r="AE110" i="3"/>
  <c r="AF110" i="3" s="1"/>
  <c r="K110" i="13"/>
  <c r="K64" i="13"/>
  <c r="AE64" i="3"/>
  <c r="AF64" i="3" s="1"/>
  <c r="AE54" i="3"/>
  <c r="AF54" i="3" s="1"/>
  <c r="K54" i="13"/>
  <c r="K6" i="17"/>
  <c r="I47" i="18" s="1"/>
  <c r="AE117" i="3"/>
  <c r="AF117" i="3" s="1"/>
  <c r="K117" i="13"/>
  <c r="AE12" i="3"/>
  <c r="AF12" i="3" s="1"/>
  <c r="K12" i="13"/>
  <c r="AE186" i="3"/>
  <c r="AF186" i="3" s="1"/>
  <c r="K186" i="13"/>
  <c r="K102" i="13"/>
  <c r="AE102" i="3"/>
  <c r="AF102" i="3" s="1"/>
  <c r="K136" i="13"/>
  <c r="AE136" i="3"/>
  <c r="AF136" i="3" s="1"/>
  <c r="K216" i="13"/>
  <c r="AE216" i="3"/>
  <c r="AF216" i="3" s="1"/>
  <c r="K109" i="13"/>
  <c r="AE109" i="3"/>
  <c r="AF109" i="3" s="1"/>
  <c r="K198" i="13"/>
  <c r="AE198" i="3"/>
  <c r="AF198" i="3" s="1"/>
  <c r="AE227" i="3"/>
  <c r="AF227" i="3" s="1"/>
  <c r="K227" i="13"/>
  <c r="K165" i="13"/>
  <c r="AE165" i="3"/>
  <c r="AF165" i="3" s="1"/>
  <c r="AE235" i="3"/>
  <c r="AF235" i="3" s="1"/>
  <c r="K235" i="13"/>
  <c r="AE207" i="3"/>
  <c r="AF207" i="3" s="1"/>
  <c r="K207" i="13"/>
  <c r="K8" i="13"/>
  <c r="AE8" i="3"/>
  <c r="AF8" i="3" s="1"/>
  <c r="K38" i="13"/>
  <c r="AE38" i="3"/>
  <c r="AF38" i="3" s="1"/>
  <c r="K22" i="13"/>
  <c r="AE22" i="3"/>
  <c r="AF22" i="3" s="1"/>
  <c r="AE250" i="3"/>
  <c r="AF250" i="3" s="1"/>
  <c r="K250" i="13"/>
  <c r="AE34" i="3"/>
  <c r="AF34" i="3" s="1"/>
  <c r="K34" i="13"/>
  <c r="K225" i="13"/>
  <c r="AE225" i="3"/>
  <c r="AF225" i="3" s="1"/>
  <c r="K59" i="13"/>
  <c r="AE59" i="3"/>
  <c r="AF59" i="3" s="1"/>
  <c r="AC2" i="3"/>
  <c r="AE2" i="3" s="1"/>
  <c r="AF2" i="3" s="1"/>
  <c r="AE17" i="3"/>
  <c r="AF17" i="3" s="1"/>
  <c r="K17" i="13"/>
  <c r="K125" i="13"/>
  <c r="AE125" i="3"/>
  <c r="AF125" i="3" s="1"/>
  <c r="K79" i="13"/>
  <c r="AE79" i="3"/>
  <c r="AF79" i="3" s="1"/>
  <c r="K272" i="13"/>
  <c r="AE272" i="3"/>
  <c r="AF272" i="3" s="1"/>
  <c r="AE171" i="3"/>
  <c r="AF171" i="3" s="1"/>
  <c r="K171" i="13"/>
  <c r="M6" i="8" l="1"/>
  <c r="O6" i="8" s="1"/>
  <c r="M7" i="8"/>
  <c r="N7" i="8"/>
  <c r="F8" i="8" a="1"/>
  <c r="F8" i="8" s="1"/>
  <c r="E8" i="8" s="1"/>
  <c r="I7" i="8"/>
  <c r="L7" i="8"/>
  <c r="O7" i="8" s="1"/>
  <c r="D7" i="8"/>
  <c r="X7" i="8"/>
  <c r="G7" i="8" s="1"/>
  <c r="J7" i="8"/>
  <c r="Y7" i="8"/>
  <c r="H7" i="8" s="1"/>
  <c r="K7" i="8"/>
  <c r="M5" i="8"/>
  <c r="O5" i="8" s="1"/>
  <c r="M4" i="8"/>
  <c r="O4" i="8" s="1"/>
  <c r="L4" i="13"/>
  <c r="M3" i="8"/>
  <c r="O3" i="8" s="1"/>
  <c r="L4" i="17"/>
  <c r="M4" i="17" s="1"/>
  <c r="L8" i="17"/>
  <c r="A92" i="18" s="1"/>
  <c r="H10" i="19"/>
  <c r="H9" i="19"/>
  <c r="A63" i="18"/>
  <c r="B63" i="18"/>
  <c r="E12" i="17" a="1"/>
  <c r="E12" i="17" s="1"/>
  <c r="E13" i="17" s="1" a="1"/>
  <c r="E13" i="17" s="1"/>
  <c r="E14" i="17" s="1" a="1"/>
  <c r="E14" i="17" s="1"/>
  <c r="E15" i="17" s="1" a="1"/>
  <c r="E15" i="17" s="1"/>
  <c r="E16" i="17" s="1" a="1"/>
  <c r="E16" i="17" s="1"/>
  <c r="E17" i="17" s="1" a="1"/>
  <c r="E17" i="17" s="1"/>
  <c r="E18" i="17" s="1" a="1"/>
  <c r="E18" i="17" s="1"/>
  <c r="E19" i="17" s="1" a="1"/>
  <c r="E19" i="17" s="1"/>
  <c r="E20" i="17" s="1" a="1"/>
  <c r="E20" i="17" s="1"/>
  <c r="E21" i="17" s="1" a="1"/>
  <c r="E21" i="17" s="1"/>
  <c r="E22" i="17" s="1" a="1"/>
  <c r="E22" i="17" s="1"/>
  <c r="E23" i="17" s="1" a="1"/>
  <c r="E23" i="17" s="1"/>
  <c r="E24" i="17" s="1" a="1"/>
  <c r="E24" i="17" s="1"/>
  <c r="E25" i="17" s="1" a="1"/>
  <c r="E25" i="17" s="1"/>
  <c r="E26" i="17" s="1" a="1"/>
  <c r="E26" i="17" s="1"/>
  <c r="E27" i="17" s="1" a="1"/>
  <c r="E27" i="17" s="1"/>
  <c r="E28" i="17" s="1" a="1"/>
  <c r="E28" i="17" s="1"/>
  <c r="E29" i="17" s="1" a="1"/>
  <c r="E29" i="17" s="1"/>
  <c r="E30" i="17" s="1" a="1"/>
  <c r="E30" i="17" s="1"/>
  <c r="E31" i="17" s="1" a="1"/>
  <c r="E31" i="17" s="1"/>
  <c r="E32" i="17" s="1" a="1"/>
  <c r="E32" i="17" s="1"/>
  <c r="E33" i="17" s="1" a="1"/>
  <c r="E33" i="17" s="1"/>
  <c r="E34" i="17" s="1" a="1"/>
  <c r="E34" i="17" s="1"/>
  <c r="E35" i="17" s="1" a="1"/>
  <c r="E35" i="17" s="1"/>
  <c r="E36" i="17" s="1" a="1"/>
  <c r="E36" i="17" s="1"/>
  <c r="E37" i="17" s="1" a="1"/>
  <c r="E37" i="17" s="1"/>
  <c r="E38" i="17" s="1" a="1"/>
  <c r="E38" i="17" s="1"/>
  <c r="E39" i="17" s="1" a="1"/>
  <c r="E39" i="17" s="1"/>
  <c r="E40" i="17" s="1" a="1"/>
  <c r="E40" i="17" s="1"/>
  <c r="E41" i="17" s="1" a="1"/>
  <c r="E41" i="17" s="1"/>
  <c r="E42" i="17" s="1" a="1"/>
  <c r="E42" i="17" s="1"/>
  <c r="E43" i="17" s="1" a="1"/>
  <c r="E43" i="17" s="1"/>
  <c r="E44" i="17" s="1" a="1"/>
  <c r="E44" i="17" s="1"/>
  <c r="E45" i="17" s="1" a="1"/>
  <c r="E45" i="17" s="1"/>
  <c r="E46" i="17" s="1" a="1"/>
  <c r="E46" i="17" s="1"/>
  <c r="E47" i="17" s="1" a="1"/>
  <c r="E47" i="17" s="1"/>
  <c r="E48" i="17" s="1" a="1"/>
  <c r="E48" i="17" s="1"/>
  <c r="E49" i="17" s="1" a="1"/>
  <c r="E49" i="17" s="1"/>
  <c r="E50" i="17" s="1" a="1"/>
  <c r="E50" i="17" s="1"/>
  <c r="E51" i="17" s="1" a="1"/>
  <c r="E51" i="17" s="1"/>
  <c r="E52" i="17" s="1" a="1"/>
  <c r="E52" i="17" s="1"/>
  <c r="E53" i="17" s="1" a="1"/>
  <c r="E53" i="17" s="1"/>
  <c r="L66" i="18"/>
  <c r="J66" i="18"/>
  <c r="J8" i="17"/>
  <c r="K82" i="18" s="1"/>
  <c r="B8" i="17"/>
  <c r="D8" i="17"/>
  <c r="D79" i="18" s="1"/>
  <c r="F95" i="18"/>
  <c r="F79" i="18"/>
  <c r="C8" i="17"/>
  <c r="C79" i="18" s="1"/>
  <c r="K8" i="17"/>
  <c r="I8" i="17"/>
  <c r="A82" i="18" s="1"/>
  <c r="L18" i="18"/>
  <c r="L34" i="18"/>
  <c r="L5" i="17"/>
  <c r="M5" i="17" s="1"/>
  <c r="I31" i="18"/>
  <c r="L7" i="17"/>
  <c r="M7" i="17" s="1"/>
  <c r="D75" i="18" s="1"/>
  <c r="L50" i="18"/>
  <c r="L6" i="17"/>
  <c r="M6" i="17" s="1"/>
  <c r="L8" i="8" l="1"/>
  <c r="D8" i="8"/>
  <c r="Y8" i="8"/>
  <c r="H8" i="8" s="1"/>
  <c r="J8" i="8"/>
  <c r="X8" i="8"/>
  <c r="G8" i="8" s="1"/>
  <c r="A7" i="8"/>
  <c r="I8" i="8"/>
  <c r="K8" i="8"/>
  <c r="M8" i="8"/>
  <c r="F9" i="8" a="1"/>
  <c r="F9" i="8" s="1"/>
  <c r="E9" i="8" s="1"/>
  <c r="N8" i="8"/>
  <c r="D92" i="18"/>
  <c r="A79" i="18"/>
  <c r="B79" i="18"/>
  <c r="M8" i="17"/>
  <c r="A91" i="18" s="1"/>
  <c r="A75" i="18"/>
  <c r="L82" i="18"/>
  <c r="I79" i="18"/>
  <c r="C9" i="17"/>
  <c r="C95" i="18" s="1"/>
  <c r="B9" i="17"/>
  <c r="J82" i="18"/>
  <c r="K9" i="17"/>
  <c r="D9" i="17"/>
  <c r="D95" i="18" s="1"/>
  <c r="J9" i="17"/>
  <c r="K98" i="18" s="1"/>
  <c r="B11" i="17"/>
  <c r="I9" i="17"/>
  <c r="J98" i="18" s="1"/>
  <c r="L9" i="17"/>
  <c r="D108" i="18" s="1"/>
  <c r="D59" i="18"/>
  <c r="A59" i="18"/>
  <c r="D44" i="18"/>
  <c r="A44" i="18"/>
  <c r="A60" i="18"/>
  <c r="D60" i="18"/>
  <c r="A76" i="18"/>
  <c r="D76" i="18"/>
  <c r="A43" i="18"/>
  <c r="D43" i="18"/>
  <c r="A28" i="18"/>
  <c r="D28" i="18"/>
  <c r="A8" i="8" l="1"/>
  <c r="O8" i="8"/>
  <c r="N9" i="8"/>
  <c r="X9" i="8"/>
  <c r="G9" i="8" s="1"/>
  <c r="D9" i="8"/>
  <c r="A9" i="8" s="1"/>
  <c r="L9" i="8"/>
  <c r="I9" i="8"/>
  <c r="M9" i="8"/>
  <c r="J9" i="8"/>
  <c r="Y9" i="8"/>
  <c r="H9" i="8" s="1"/>
  <c r="K9" i="8"/>
  <c r="F10" i="8" a="1"/>
  <c r="F10" i="8" s="1"/>
  <c r="E10" i="8" s="1"/>
  <c r="A95" i="18"/>
  <c r="B95" i="18"/>
  <c r="A127" i="18"/>
  <c r="B127" i="18"/>
  <c r="M9" i="17"/>
  <c r="A107" i="18" s="1"/>
  <c r="D91" i="18"/>
  <c r="I95" i="18"/>
  <c r="L98" i="18"/>
  <c r="D12" i="17"/>
  <c r="D143" i="18" s="1"/>
  <c r="C10" i="17"/>
  <c r="C111" i="18" s="1"/>
  <c r="K11" i="17"/>
  <c r="I127" i="18" s="1"/>
  <c r="J11" i="17"/>
  <c r="K130" i="18" s="1"/>
  <c r="K10" i="17"/>
  <c r="F111" i="18"/>
  <c r="F127" i="18"/>
  <c r="I10" i="17"/>
  <c r="A114" i="18" s="1"/>
  <c r="A108" i="18"/>
  <c r="L10" i="17"/>
  <c r="D124" i="18" s="1"/>
  <c r="D10" i="17"/>
  <c r="D111" i="18" s="1"/>
  <c r="C11" i="17"/>
  <c r="C127" i="18" s="1"/>
  <c r="J10" i="17"/>
  <c r="K114" i="18" s="1"/>
  <c r="A98" i="18"/>
  <c r="I11" i="17"/>
  <c r="J130" i="18" s="1"/>
  <c r="B10" i="17"/>
  <c r="B111" i="18" s="1"/>
  <c r="D11" i="17"/>
  <c r="D127" i="18" s="1"/>
  <c r="L11" i="17"/>
  <c r="D140" i="18" s="1"/>
  <c r="A27" i="18"/>
  <c r="D27" i="18"/>
  <c r="O9" i="8" l="1"/>
  <c r="F11" i="8" a="1"/>
  <c r="F11" i="8" s="1"/>
  <c r="E11" i="8" s="1"/>
  <c r="N10" i="8"/>
  <c r="X10" i="8"/>
  <c r="G10" i="8" s="1"/>
  <c r="Y10" i="8"/>
  <c r="H10" i="8" s="1"/>
  <c r="L10" i="8"/>
  <c r="I10" i="8"/>
  <c r="M10" i="8"/>
  <c r="J10" i="8"/>
  <c r="K10" i="8"/>
  <c r="D10" i="8"/>
  <c r="M10" i="17"/>
  <c r="D123" i="18" s="1"/>
  <c r="D107" i="18"/>
  <c r="A124" i="18"/>
  <c r="I111" i="18"/>
  <c r="L114" i="18"/>
  <c r="L130" i="18"/>
  <c r="M11" i="17"/>
  <c r="A139" i="18" s="1"/>
  <c r="A140" i="18"/>
  <c r="C12" i="17"/>
  <c r="C143" i="18" s="1"/>
  <c r="B12" i="17"/>
  <c r="J114" i="18"/>
  <c r="I13" i="17"/>
  <c r="A162" i="18" s="1"/>
  <c r="J12" i="17"/>
  <c r="K146" i="18" s="1"/>
  <c r="K12" i="17"/>
  <c r="L146" i="18" s="1"/>
  <c r="L12" i="17"/>
  <c r="D156" i="18" s="1"/>
  <c r="A111" i="18"/>
  <c r="I12" i="17"/>
  <c r="A146" i="18" s="1"/>
  <c r="A130" i="18"/>
  <c r="F143" i="18"/>
  <c r="A10" i="8" l="1"/>
  <c r="O10" i="8"/>
  <c r="F12" i="8" a="1"/>
  <c r="F12" i="8" s="1"/>
  <c r="E12" i="8" s="1"/>
  <c r="N11" i="8"/>
  <c r="M11" i="8"/>
  <c r="L11" i="8"/>
  <c r="J11" i="8"/>
  <c r="K11" i="8"/>
  <c r="X11" i="8"/>
  <c r="G11" i="8" s="1"/>
  <c r="I11" i="8"/>
  <c r="Y11" i="8"/>
  <c r="H11" i="8" s="1"/>
  <c r="D11" i="8"/>
  <c r="A123" i="18"/>
  <c r="A143" i="18"/>
  <c r="B143" i="18"/>
  <c r="D139" i="18"/>
  <c r="D13" i="17"/>
  <c r="D159" i="18" s="1"/>
  <c r="A156" i="18"/>
  <c r="K13" i="17"/>
  <c r="I159" i="18" s="1"/>
  <c r="B13" i="17"/>
  <c r="F159" i="18"/>
  <c r="I14" i="17"/>
  <c r="A178" i="18" s="1"/>
  <c r="I143" i="18"/>
  <c r="C13" i="17"/>
  <c r="C159" i="18" s="1"/>
  <c r="J146" i="18"/>
  <c r="J162" i="18"/>
  <c r="M12" i="17"/>
  <c r="D155" i="18" s="1"/>
  <c r="L13" i="17"/>
  <c r="D172" i="18" s="1"/>
  <c r="J13" i="17"/>
  <c r="K162" i="18" s="1"/>
  <c r="A11" i="8" l="1"/>
  <c r="O11" i="8"/>
  <c r="F13" i="8" a="1"/>
  <c r="F13" i="8" s="1"/>
  <c r="E13" i="8" s="1"/>
  <c r="N12" i="8"/>
  <c r="M12" i="8"/>
  <c r="L12" i="8"/>
  <c r="D12" i="8"/>
  <c r="K12" i="8"/>
  <c r="X12" i="8"/>
  <c r="G12" i="8" s="1"/>
  <c r="Y12" i="8"/>
  <c r="H12" i="8" s="1"/>
  <c r="J12" i="8"/>
  <c r="I12" i="8"/>
  <c r="A159" i="18"/>
  <c r="B159" i="18"/>
  <c r="A172" i="18"/>
  <c r="A155" i="18"/>
  <c r="J178" i="18"/>
  <c r="J14" i="17"/>
  <c r="K178" i="18" s="1"/>
  <c r="D14" i="17"/>
  <c r="D175" i="18" s="1"/>
  <c r="B14" i="17"/>
  <c r="D15" i="17"/>
  <c r="D191" i="18" s="1"/>
  <c r="L162" i="18"/>
  <c r="F175" i="18"/>
  <c r="M13" i="17"/>
  <c r="D171" i="18" s="1"/>
  <c r="C14" i="17"/>
  <c r="C175" i="18" s="1"/>
  <c r="L14" i="17"/>
  <c r="D188" i="18" s="1"/>
  <c r="K14" i="17"/>
  <c r="O12" i="8" l="1"/>
  <c r="F14" i="8" a="1"/>
  <c r="F14" i="8" s="1"/>
  <c r="E14" i="8" s="1"/>
  <c r="J13" i="8"/>
  <c r="D13" i="8"/>
  <c r="X13" i="8"/>
  <c r="G13" i="8" s="1"/>
  <c r="L13" i="8"/>
  <c r="I13" i="8"/>
  <c r="K13" i="8"/>
  <c r="N13" i="8"/>
  <c r="M13" i="8"/>
  <c r="Y13" i="8"/>
  <c r="H13" i="8" s="1"/>
  <c r="A12" i="8"/>
  <c r="M14" i="17"/>
  <c r="D187" i="18" s="1"/>
  <c r="A175" i="18"/>
  <c r="B175" i="18"/>
  <c r="A171" i="18"/>
  <c r="L15" i="17"/>
  <c r="A204" i="18" s="1"/>
  <c r="C15" i="17"/>
  <c r="C191" i="18" s="1"/>
  <c r="K15" i="17"/>
  <c r="I191" i="18" s="1"/>
  <c r="A188" i="18"/>
  <c r="L16" i="17"/>
  <c r="D220" i="18" s="1"/>
  <c r="B15" i="17"/>
  <c r="I15" i="17"/>
  <c r="A194" i="18" s="1"/>
  <c r="I175" i="18"/>
  <c r="L178" i="18"/>
  <c r="F191" i="18"/>
  <c r="J15" i="17"/>
  <c r="K194" i="18" s="1"/>
  <c r="O13" i="8" l="1"/>
  <c r="Y14" i="8"/>
  <c r="H14" i="8" s="1"/>
  <c r="L14" i="8"/>
  <c r="J14" i="8"/>
  <c r="I14" i="8"/>
  <c r="N14" i="8"/>
  <c r="F15" i="8" a="1"/>
  <c r="F15" i="8" s="1"/>
  <c r="E15" i="8" s="1"/>
  <c r="X14" i="8"/>
  <c r="G14" i="8" s="1"/>
  <c r="M14" i="8"/>
  <c r="A13" i="8"/>
  <c r="K14" i="8"/>
  <c r="D14" i="8"/>
  <c r="A14" i="8" s="1"/>
  <c r="A187" i="18"/>
  <c r="A191" i="18"/>
  <c r="B191" i="18"/>
  <c r="K16" i="17"/>
  <c r="I207" i="18" s="1"/>
  <c r="J16" i="17"/>
  <c r="K210" i="18" s="1"/>
  <c r="A220" i="18"/>
  <c r="F207" i="18"/>
  <c r="J194" i="18"/>
  <c r="C16" i="17"/>
  <c r="C207" i="18" s="1"/>
  <c r="D204" i="18"/>
  <c r="B16" i="17"/>
  <c r="M15" i="17"/>
  <c r="D203" i="18" s="1"/>
  <c r="D16" i="17"/>
  <c r="D207" i="18" s="1"/>
  <c r="I16" i="17"/>
  <c r="A210" i="18" s="1"/>
  <c r="L194" i="18"/>
  <c r="I17" i="17"/>
  <c r="A226" i="18" s="1"/>
  <c r="O14" i="8" l="1"/>
  <c r="I15" i="8"/>
  <c r="D15" i="8"/>
  <c r="N15" i="8"/>
  <c r="M15" i="8"/>
  <c r="J15" i="8"/>
  <c r="K15" i="8"/>
  <c r="X15" i="8"/>
  <c r="G15" i="8" s="1"/>
  <c r="F16" i="8" a="1"/>
  <c r="F16" i="8" s="1"/>
  <c r="E16" i="8" s="1"/>
  <c r="L15" i="8"/>
  <c r="Y15" i="8"/>
  <c r="H15" i="8" s="1"/>
  <c r="A207" i="18"/>
  <c r="B207" i="18"/>
  <c r="M16" i="17"/>
  <c r="D219" i="18" s="1"/>
  <c r="L210" i="18"/>
  <c r="J17" i="17"/>
  <c r="K226" i="18" s="1"/>
  <c r="J210" i="18"/>
  <c r="F223" i="18"/>
  <c r="D17" i="17"/>
  <c r="D223" i="18" s="1"/>
  <c r="J226" i="18"/>
  <c r="I18" i="17"/>
  <c r="A242" i="18" s="1"/>
  <c r="L17" i="17"/>
  <c r="A236" i="18" s="1"/>
  <c r="C17" i="17"/>
  <c r="C223" i="18" s="1"/>
  <c r="A203" i="18"/>
  <c r="B17" i="17"/>
  <c r="K17" i="17"/>
  <c r="A15" i="8" l="1"/>
  <c r="O15" i="8"/>
  <c r="F17" i="8" a="1"/>
  <c r="F17" i="8" s="1"/>
  <c r="E17" i="8" s="1"/>
  <c r="L16" i="8"/>
  <c r="X16" i="8"/>
  <c r="G16" i="8" s="1"/>
  <c r="I16" i="8"/>
  <c r="D16" i="8"/>
  <c r="N16" i="8"/>
  <c r="K16" i="8"/>
  <c r="Y16" i="8"/>
  <c r="H16" i="8" s="1"/>
  <c r="M16" i="8"/>
  <c r="J16" i="8"/>
  <c r="M17" i="17"/>
  <c r="D235" i="18" s="1"/>
  <c r="A223" i="18"/>
  <c r="B223" i="18"/>
  <c r="A219" i="18"/>
  <c r="D236" i="18"/>
  <c r="L226" i="18"/>
  <c r="I223" i="18"/>
  <c r="F239" i="18"/>
  <c r="D18" i="17"/>
  <c r="D239" i="18" s="1"/>
  <c r="C18" i="17"/>
  <c r="C239" i="18" s="1"/>
  <c r="B18" i="17"/>
  <c r="B239" i="18" s="1"/>
  <c r="D19" i="17"/>
  <c r="D255" i="18" s="1"/>
  <c r="K18" i="17"/>
  <c r="I239" i="18" s="1"/>
  <c r="L18" i="17"/>
  <c r="A252" i="18" s="1"/>
  <c r="J18" i="17"/>
  <c r="K242" i="18" s="1"/>
  <c r="J242" i="18"/>
  <c r="A16" i="8" l="1"/>
  <c r="A235" i="18"/>
  <c r="O16" i="8"/>
  <c r="K17" i="8"/>
  <c r="M17" i="8"/>
  <c r="X17" i="8"/>
  <c r="G17" i="8" s="1"/>
  <c r="D17" i="8"/>
  <c r="N17" i="8"/>
  <c r="F18" i="8" a="1"/>
  <c r="F18" i="8" s="1"/>
  <c r="E18" i="8" s="1"/>
  <c r="Y17" i="8"/>
  <c r="H17" i="8" s="1"/>
  <c r="L17" i="8"/>
  <c r="I17" i="8"/>
  <c r="J17" i="8"/>
  <c r="D252" i="18"/>
  <c r="M18" i="17"/>
  <c r="A251" i="18" s="1"/>
  <c r="C19" i="17"/>
  <c r="C255" i="18" s="1"/>
  <c r="K19" i="17"/>
  <c r="M19" i="17" s="1"/>
  <c r="D267" i="18" s="1"/>
  <c r="I19" i="17"/>
  <c r="A258" i="18" s="1"/>
  <c r="L242" i="18"/>
  <c r="J20" i="17"/>
  <c r="K274" i="18" s="1"/>
  <c r="A239" i="18"/>
  <c r="B19" i="17"/>
  <c r="J19" i="17"/>
  <c r="K258" i="18" s="1"/>
  <c r="L19" i="17"/>
  <c r="A268" i="18" s="1"/>
  <c r="F255" i="18"/>
  <c r="A17" i="8" l="1"/>
  <c r="O17" i="8"/>
  <c r="F19" i="8" a="1"/>
  <c r="F19" i="8" s="1"/>
  <c r="E19" i="8" s="1"/>
  <c r="Y18" i="8"/>
  <c r="H18" i="8" s="1"/>
  <c r="M18" i="8"/>
  <c r="L18" i="8"/>
  <c r="O18" i="8" s="1"/>
  <c r="X18" i="8"/>
  <c r="G18" i="8" s="1"/>
  <c r="D18" i="8"/>
  <c r="I18" i="8"/>
  <c r="J18" i="8"/>
  <c r="K18" i="8"/>
  <c r="N18" i="8"/>
  <c r="A255" i="18"/>
  <c r="B255" i="18"/>
  <c r="D251" i="18"/>
  <c r="A267" i="18"/>
  <c r="I255" i="18"/>
  <c r="L258" i="18"/>
  <c r="J258" i="18"/>
  <c r="F271" i="18"/>
  <c r="K20" i="17"/>
  <c r="I271" i="18" s="1"/>
  <c r="L21" i="17"/>
  <c r="A300" i="18" s="1"/>
  <c r="D268" i="18"/>
  <c r="L20" i="17"/>
  <c r="A284" i="18" s="1"/>
  <c r="B20" i="17"/>
  <c r="B271" i="18" s="1"/>
  <c r="I20" i="17"/>
  <c r="A274" i="18" s="1"/>
  <c r="D20" i="17"/>
  <c r="D271" i="18" s="1"/>
  <c r="C20" i="17"/>
  <c r="C271" i="18" s="1"/>
  <c r="A18" i="8" l="1"/>
  <c r="X19" i="8"/>
  <c r="G19" i="8" s="1"/>
  <c r="J19" i="8"/>
  <c r="F20" i="8" a="1"/>
  <c r="F20" i="8" s="1"/>
  <c r="E20" i="8" s="1"/>
  <c r="K19" i="8"/>
  <c r="L19" i="8"/>
  <c r="O19" i="8" s="1"/>
  <c r="I19" i="8"/>
  <c r="D19" i="8"/>
  <c r="N19" i="8"/>
  <c r="M19" i="8"/>
  <c r="Y19" i="8"/>
  <c r="H19" i="8" s="1"/>
  <c r="A271" i="18"/>
  <c r="J21" i="17"/>
  <c r="K290" i="18" s="1"/>
  <c r="I22" i="17"/>
  <c r="A306" i="18" s="1"/>
  <c r="L274" i="18"/>
  <c r="D300" i="18"/>
  <c r="M20" i="17"/>
  <c r="A283" i="18" s="1"/>
  <c r="F287" i="18"/>
  <c r="C21" i="17"/>
  <c r="C287" i="18" s="1"/>
  <c r="J274" i="18"/>
  <c r="D21" i="17"/>
  <c r="D287" i="18" s="1"/>
  <c r="I21" i="17"/>
  <c r="A290" i="18" s="1"/>
  <c r="D284" i="18"/>
  <c r="B21" i="17"/>
  <c r="K21" i="17"/>
  <c r="L290" i="18" s="1"/>
  <c r="A19" i="8" l="1"/>
  <c r="F21" i="8" a="1"/>
  <c r="F21" i="8" s="1"/>
  <c r="E21" i="8" s="1"/>
  <c r="X20" i="8"/>
  <c r="G20" i="8" s="1"/>
  <c r="J20" i="8"/>
  <c r="K20" i="8"/>
  <c r="D20" i="8"/>
  <c r="N20" i="8"/>
  <c r="M20" i="8"/>
  <c r="Y20" i="8"/>
  <c r="H20" i="8" s="1"/>
  <c r="L20" i="8"/>
  <c r="O20" i="8" s="1"/>
  <c r="I20" i="8"/>
  <c r="A287" i="18"/>
  <c r="B287" i="18"/>
  <c r="D283" i="18"/>
  <c r="I287" i="18"/>
  <c r="M21" i="17"/>
  <c r="A299" i="18" s="1"/>
  <c r="D22" i="17"/>
  <c r="D303" i="18" s="1"/>
  <c r="K22" i="17"/>
  <c r="I303" i="18" s="1"/>
  <c r="J290" i="18"/>
  <c r="B22" i="17"/>
  <c r="B303" i="18" s="1"/>
  <c r="J22" i="17"/>
  <c r="K306" i="18" s="1"/>
  <c r="J306" i="18"/>
  <c r="L22" i="17"/>
  <c r="D316" i="18" s="1"/>
  <c r="F303" i="18"/>
  <c r="L23" i="17"/>
  <c r="D332" i="18" s="1"/>
  <c r="C22" i="17"/>
  <c r="C303" i="18" s="1"/>
  <c r="A20" i="8" l="1"/>
  <c r="F22" i="8" a="1"/>
  <c r="F22" i="8" s="1"/>
  <c r="E22" i="8" s="1"/>
  <c r="M21" i="8"/>
  <c r="X21" i="8"/>
  <c r="G21" i="8" s="1"/>
  <c r="D21" i="8"/>
  <c r="K21" i="8"/>
  <c r="N21" i="8"/>
  <c r="J21" i="8"/>
  <c r="I21" i="8"/>
  <c r="L21" i="8"/>
  <c r="O21" i="8" s="1"/>
  <c r="Y21" i="8"/>
  <c r="H21" i="8" s="1"/>
  <c r="D299" i="18"/>
  <c r="A303" i="18"/>
  <c r="A316" i="18"/>
  <c r="L306" i="18"/>
  <c r="A332" i="18"/>
  <c r="I23" i="17"/>
  <c r="A322" i="18" s="1"/>
  <c r="B23" i="17"/>
  <c r="F319" i="18"/>
  <c r="C23" i="17"/>
  <c r="C319" i="18" s="1"/>
  <c r="M22" i="17"/>
  <c r="D315" i="18" s="1"/>
  <c r="J23" i="17"/>
  <c r="K322" i="18" s="1"/>
  <c r="K23" i="17"/>
  <c r="L322" i="18" s="1"/>
  <c r="D23" i="17"/>
  <c r="D319" i="18" s="1"/>
  <c r="B24" i="17"/>
  <c r="B335" i="18" s="1"/>
  <c r="A21" i="8" l="1"/>
  <c r="F23" i="8" a="1"/>
  <c r="F23" i="8" s="1"/>
  <c r="E23" i="8" s="1"/>
  <c r="I22" i="8"/>
  <c r="K22" i="8"/>
  <c r="L22" i="8"/>
  <c r="O22" i="8" s="1"/>
  <c r="Y22" i="8"/>
  <c r="H22" i="8" s="1"/>
  <c r="J22" i="8"/>
  <c r="D22" i="8"/>
  <c r="N22" i="8"/>
  <c r="M22" i="8"/>
  <c r="X22" i="8"/>
  <c r="G22" i="8" s="1"/>
  <c r="A319" i="18"/>
  <c r="B319" i="18"/>
  <c r="A315" i="18"/>
  <c r="I319" i="18"/>
  <c r="F335" i="18"/>
  <c r="J322" i="18"/>
  <c r="D24" i="17"/>
  <c r="D335" i="18" s="1"/>
  <c r="C24" i="17"/>
  <c r="C335" i="18" s="1"/>
  <c r="L24" i="17"/>
  <c r="D348" i="18" s="1"/>
  <c r="B25" i="17"/>
  <c r="M23" i="17"/>
  <c r="D331" i="18" s="1"/>
  <c r="J24" i="17"/>
  <c r="K338" i="18" s="1"/>
  <c r="A335" i="18"/>
  <c r="K24" i="17"/>
  <c r="L338" i="18" s="1"/>
  <c r="I24" i="17"/>
  <c r="A338" i="18" s="1"/>
  <c r="F24" i="8" l="1" a="1"/>
  <c r="F24" i="8" s="1"/>
  <c r="E24" i="8" s="1"/>
  <c r="M23" i="8"/>
  <c r="D23" i="8"/>
  <c r="A22" i="8"/>
  <c r="K23" i="8"/>
  <c r="X23" i="8"/>
  <c r="G23" i="8" s="1"/>
  <c r="J23" i="8"/>
  <c r="I23" i="8"/>
  <c r="N23" i="8"/>
  <c r="Y23" i="8"/>
  <c r="H23" i="8" s="1"/>
  <c r="L23" i="8"/>
  <c r="O23" i="8" s="1"/>
  <c r="A351" i="18"/>
  <c r="B351" i="18"/>
  <c r="A331" i="18"/>
  <c r="J338" i="18"/>
  <c r="J25" i="17"/>
  <c r="K354" i="18" s="1"/>
  <c r="A348" i="18"/>
  <c r="K25" i="17"/>
  <c r="M25" i="17" s="1"/>
  <c r="A363" i="18" s="1"/>
  <c r="D25" i="17"/>
  <c r="D351" i="18" s="1"/>
  <c r="I335" i="18"/>
  <c r="I25" i="17"/>
  <c r="A354" i="18" s="1"/>
  <c r="B26" i="17"/>
  <c r="B367" i="18" s="1"/>
  <c r="F351" i="18"/>
  <c r="L25" i="17"/>
  <c r="D364" i="18" s="1"/>
  <c r="M24" i="17"/>
  <c r="A347" i="18" s="1"/>
  <c r="C25" i="17"/>
  <c r="C351" i="18" s="1"/>
  <c r="K24" i="8" l="1"/>
  <c r="D24" i="8"/>
  <c r="A23" i="8"/>
  <c r="F25" i="8" a="1"/>
  <c r="F25" i="8" s="1"/>
  <c r="Y24" i="8"/>
  <c r="H24" i="8" s="1"/>
  <c r="X24" i="8"/>
  <c r="G24" i="8" s="1"/>
  <c r="M24" i="8"/>
  <c r="I24" i="8"/>
  <c r="N24" i="8"/>
  <c r="L24" i="8"/>
  <c r="O24" i="8" s="1"/>
  <c r="J24" i="8"/>
  <c r="D347" i="18"/>
  <c r="D363" i="18"/>
  <c r="I351" i="18"/>
  <c r="L354" i="18"/>
  <c r="J27" i="17"/>
  <c r="K386" i="18" s="1"/>
  <c r="L26" i="17"/>
  <c r="A380" i="18" s="1"/>
  <c r="J354" i="18"/>
  <c r="A367" i="18"/>
  <c r="J26" i="17"/>
  <c r="K370" i="18" s="1"/>
  <c r="K26" i="17"/>
  <c r="L370" i="18" s="1"/>
  <c r="F367" i="18"/>
  <c r="A364" i="18"/>
  <c r="C26" i="17"/>
  <c r="C367" i="18" s="1"/>
  <c r="D26" i="17"/>
  <c r="D367" i="18" s="1"/>
  <c r="I26" i="17"/>
  <c r="A370" i="18" s="1"/>
  <c r="J25" i="8" l="1"/>
  <c r="E25" i="8"/>
  <c r="M25" i="8"/>
  <c r="Y25" i="8"/>
  <c r="H25" i="8" s="1"/>
  <c r="D25" i="8"/>
  <c r="F26" i="8" a="1"/>
  <c r="F26" i="8" s="1"/>
  <c r="E26" i="8" s="1"/>
  <c r="X25" i="8"/>
  <c r="G25" i="8" s="1"/>
  <c r="L25" i="8"/>
  <c r="O25" i="8" s="1"/>
  <c r="I25" i="8"/>
  <c r="K25" i="8"/>
  <c r="N25" i="8"/>
  <c r="A24" i="8"/>
  <c r="B27" i="17"/>
  <c r="J370" i="18"/>
  <c r="D27" i="17"/>
  <c r="D383" i="18" s="1"/>
  <c r="F383" i="18"/>
  <c r="M26" i="17"/>
  <c r="D379" i="18" s="1"/>
  <c r="L28" i="17"/>
  <c r="A412" i="18" s="1"/>
  <c r="D380" i="18"/>
  <c r="K27" i="17"/>
  <c r="I383" i="18" s="1"/>
  <c r="L27" i="17"/>
  <c r="A396" i="18" s="1"/>
  <c r="I27" i="17"/>
  <c r="J386" i="18" s="1"/>
  <c r="I367" i="18"/>
  <c r="C27" i="17"/>
  <c r="C383" i="18" s="1"/>
  <c r="L26" i="8" l="1"/>
  <c r="O26" i="8" s="1"/>
  <c r="K26" i="8"/>
  <c r="J26" i="8"/>
  <c r="X26" i="8"/>
  <c r="G26" i="8" s="1"/>
  <c r="M26" i="8"/>
  <c r="Y26" i="8"/>
  <c r="H26" i="8" s="1"/>
  <c r="N26" i="8"/>
  <c r="D26" i="8"/>
  <c r="A26" i="8" s="1"/>
  <c r="I26" i="8"/>
  <c r="F27" i="8" a="1"/>
  <c r="F27" i="8" s="1"/>
  <c r="E27" i="8" s="1"/>
  <c r="A25" i="8"/>
  <c r="A383" i="18"/>
  <c r="B383" i="18"/>
  <c r="A379" i="18"/>
  <c r="L386" i="18"/>
  <c r="A386" i="18"/>
  <c r="K28" i="17"/>
  <c r="M28" i="17" s="1"/>
  <c r="D411" i="18" s="1"/>
  <c r="I28" i="17"/>
  <c r="A402" i="18" s="1"/>
  <c r="D28" i="17"/>
  <c r="D399" i="18" s="1"/>
  <c r="B28" i="17"/>
  <c r="J28" i="17"/>
  <c r="K402" i="18" s="1"/>
  <c r="I29" i="17"/>
  <c r="A418" i="18" s="1"/>
  <c r="C28" i="17"/>
  <c r="C399" i="18" s="1"/>
  <c r="D412" i="18"/>
  <c r="M27" i="17"/>
  <c r="D395" i="18" s="1"/>
  <c r="D396" i="18"/>
  <c r="F399" i="18"/>
  <c r="N27" i="8" l="1"/>
  <c r="I27" i="8"/>
  <c r="D27" i="8"/>
  <c r="X27" i="8"/>
  <c r="G27" i="8" s="1"/>
  <c r="L27" i="8"/>
  <c r="O27" i="8" s="1"/>
  <c r="M27" i="8"/>
  <c r="K27" i="8"/>
  <c r="J27" i="8"/>
  <c r="Y27" i="8"/>
  <c r="H27" i="8" s="1"/>
  <c r="F28" i="8" a="1"/>
  <c r="F28" i="8" s="1"/>
  <c r="E28" i="8" s="1"/>
  <c r="A399" i="18"/>
  <c r="B399" i="18"/>
  <c r="J402" i="18"/>
  <c r="A395" i="18"/>
  <c r="J29" i="17"/>
  <c r="K418" i="18" s="1"/>
  <c r="J418" i="18"/>
  <c r="K29" i="17"/>
  <c r="M29" i="17" s="1"/>
  <c r="D427" i="18" s="1"/>
  <c r="D29" i="17"/>
  <c r="D415" i="18" s="1"/>
  <c r="A411" i="18"/>
  <c r="B29" i="17"/>
  <c r="C29" i="17"/>
  <c r="C415" i="18" s="1"/>
  <c r="B30" i="17"/>
  <c r="I399" i="18"/>
  <c r="L29" i="17"/>
  <c r="D428" i="18" s="1"/>
  <c r="L402" i="18"/>
  <c r="F415" i="18"/>
  <c r="A27" i="8" l="1"/>
  <c r="N28" i="8"/>
  <c r="J28" i="8"/>
  <c r="K28" i="8"/>
  <c r="D28" i="8"/>
  <c r="L28" i="8"/>
  <c r="O28" i="8" s="1"/>
  <c r="Y28" i="8"/>
  <c r="H28" i="8" s="1"/>
  <c r="X28" i="8"/>
  <c r="G28" i="8" s="1"/>
  <c r="M28" i="8"/>
  <c r="I28" i="8"/>
  <c r="F29" i="8" a="1"/>
  <c r="F29" i="8" s="1"/>
  <c r="E29" i="8" s="1"/>
  <c r="A431" i="18"/>
  <c r="B431" i="18"/>
  <c r="A415" i="18"/>
  <c r="B415" i="18"/>
  <c r="D31" i="17"/>
  <c r="D447" i="18" s="1"/>
  <c r="L418" i="18"/>
  <c r="A428" i="18"/>
  <c r="F431" i="18"/>
  <c r="I30" i="17"/>
  <c r="A434" i="18" s="1"/>
  <c r="K30" i="17"/>
  <c r="I431" i="18" s="1"/>
  <c r="J30" i="17"/>
  <c r="K434" i="18" s="1"/>
  <c r="I415" i="18"/>
  <c r="D30" i="17"/>
  <c r="D431" i="18" s="1"/>
  <c r="A427" i="18"/>
  <c r="L30" i="17"/>
  <c r="D444" i="18" s="1"/>
  <c r="C30" i="17"/>
  <c r="C431" i="18" s="1"/>
  <c r="A28" i="8" l="1"/>
  <c r="N29" i="8"/>
  <c r="X29" i="8"/>
  <c r="G29" i="8" s="1"/>
  <c r="I29" i="8"/>
  <c r="D29" i="8"/>
  <c r="K29" i="8"/>
  <c r="J29" i="8"/>
  <c r="M29" i="8"/>
  <c r="Y29" i="8"/>
  <c r="H29" i="8" s="1"/>
  <c r="L29" i="8"/>
  <c r="O29" i="8" s="1"/>
  <c r="F30" i="8" a="1"/>
  <c r="F30" i="8" s="1"/>
  <c r="E30" i="8" s="1"/>
  <c r="A444" i="18"/>
  <c r="L31" i="17"/>
  <c r="A460" i="18" s="1"/>
  <c r="M30" i="17"/>
  <c r="D443" i="18" s="1"/>
  <c r="C32" i="17"/>
  <c r="C463" i="18" s="1"/>
  <c r="F447" i="18"/>
  <c r="J31" i="17"/>
  <c r="K450" i="18" s="1"/>
  <c r="B31" i="17"/>
  <c r="J434" i="18"/>
  <c r="C31" i="17"/>
  <c r="C447" i="18" s="1"/>
  <c r="I31" i="17"/>
  <c r="A450" i="18" s="1"/>
  <c r="K31" i="17"/>
  <c r="M31" i="17" s="1"/>
  <c r="A459" i="18" s="1"/>
  <c r="L434" i="18"/>
  <c r="A29" i="8" l="1"/>
  <c r="N30" i="8"/>
  <c r="L30" i="8"/>
  <c r="O30" i="8" s="1"/>
  <c r="Y30" i="8"/>
  <c r="H30" i="8" s="1"/>
  <c r="D30" i="8"/>
  <c r="I30" i="8"/>
  <c r="M30" i="8"/>
  <c r="X30" i="8"/>
  <c r="G30" i="8" s="1"/>
  <c r="J30" i="8"/>
  <c r="K30" i="8"/>
  <c r="F31" i="8" a="1"/>
  <c r="F31" i="8" s="1"/>
  <c r="A447" i="18"/>
  <c r="B447" i="18"/>
  <c r="A443" i="18"/>
  <c r="D32" i="17"/>
  <c r="D463" i="18" s="1"/>
  <c r="L450" i="18"/>
  <c r="K32" i="17"/>
  <c r="I463" i="18" s="1"/>
  <c r="I33" i="17"/>
  <c r="J482" i="18" s="1"/>
  <c r="D459" i="18"/>
  <c r="I32" i="17"/>
  <c r="J466" i="18" s="1"/>
  <c r="J450" i="18"/>
  <c r="J32" i="17"/>
  <c r="K466" i="18" s="1"/>
  <c r="B32" i="17"/>
  <c r="F463" i="18"/>
  <c r="D460" i="18"/>
  <c r="I447" i="18"/>
  <c r="L32" i="17"/>
  <c r="A476" i="18" s="1"/>
  <c r="F32" i="8" l="1" a="1"/>
  <c r="F32" i="8" s="1"/>
  <c r="E32" i="8" s="1"/>
  <c r="E31" i="8"/>
  <c r="A30" i="8"/>
  <c r="N31" i="8"/>
  <c r="M31" i="8"/>
  <c r="J31" i="8"/>
  <c r="K31" i="8"/>
  <c r="L31" i="8"/>
  <c r="O31" i="8" s="1"/>
  <c r="Y31" i="8"/>
  <c r="H31" i="8" s="1"/>
  <c r="D31" i="8"/>
  <c r="X31" i="8"/>
  <c r="G31" i="8" s="1"/>
  <c r="I31" i="8"/>
  <c r="A463" i="18"/>
  <c r="B463" i="18"/>
  <c r="J34" i="17"/>
  <c r="K498" i="18" s="1"/>
  <c r="A482" i="18"/>
  <c r="K33" i="17"/>
  <c r="M33" i="17" s="1"/>
  <c r="A491" i="18" s="1"/>
  <c r="D33" i="17"/>
  <c r="D479" i="18" s="1"/>
  <c r="A466" i="18"/>
  <c r="L466" i="18"/>
  <c r="J33" i="17"/>
  <c r="K482" i="18" s="1"/>
  <c r="M32" i="17"/>
  <c r="A475" i="18" s="1"/>
  <c r="L33" i="17"/>
  <c r="D492" i="18" s="1"/>
  <c r="C33" i="17"/>
  <c r="C479" i="18" s="1"/>
  <c r="F479" i="18"/>
  <c r="D476" i="18"/>
  <c r="B33" i="17"/>
  <c r="K32" i="8" l="1"/>
  <c r="L32" i="8"/>
  <c r="O32" i="8" s="1"/>
  <c r="N32" i="8"/>
  <c r="D32" i="8"/>
  <c r="J32" i="8"/>
  <c r="Y32" i="8"/>
  <c r="H32" i="8" s="1"/>
  <c r="X32" i="8"/>
  <c r="G32" i="8" s="1"/>
  <c r="F33" i="8" a="1"/>
  <c r="F33" i="8" s="1"/>
  <c r="I32" i="8"/>
  <c r="M32" i="8"/>
  <c r="A31" i="8"/>
  <c r="A479" i="18"/>
  <c r="B479" i="18"/>
  <c r="A492" i="18"/>
  <c r="I479" i="18"/>
  <c r="D491" i="18"/>
  <c r="L34" i="17"/>
  <c r="A508" i="18" s="1"/>
  <c r="D34" i="17"/>
  <c r="D495" i="18" s="1"/>
  <c r="D475" i="18"/>
  <c r="K34" i="17"/>
  <c r="M34" i="17" s="1"/>
  <c r="D507" i="18" s="1"/>
  <c r="F511" i="18"/>
  <c r="I34" i="17"/>
  <c r="J498" i="18" s="1"/>
  <c r="L482" i="18"/>
  <c r="F495" i="18"/>
  <c r="C34" i="17"/>
  <c r="C495" i="18" s="1"/>
  <c r="B34" i="17"/>
  <c r="L33" i="8" l="1"/>
  <c r="O33" i="8" s="1"/>
  <c r="E33" i="8"/>
  <c r="A32" i="8"/>
  <c r="F34" i="8" a="1"/>
  <c r="F34" i="8" s="1"/>
  <c r="E34" i="8" s="1"/>
  <c r="Y33" i="8"/>
  <c r="H33" i="8" s="1"/>
  <c r="M33" i="8"/>
  <c r="D33" i="8"/>
  <c r="N33" i="8"/>
  <c r="I33" i="8"/>
  <c r="J33" i="8"/>
  <c r="X33" i="8"/>
  <c r="G33" i="8" s="1"/>
  <c r="K33" i="8"/>
  <c r="A33" i="8"/>
  <c r="A495" i="18"/>
  <c r="B495" i="18"/>
  <c r="L498" i="18"/>
  <c r="I495" i="18"/>
  <c r="A507" i="18"/>
  <c r="I35" i="17"/>
  <c r="A514" i="18" s="1"/>
  <c r="D35" i="17"/>
  <c r="D511" i="18" s="1"/>
  <c r="F527" i="18"/>
  <c r="C35" i="17"/>
  <c r="C511" i="18" s="1"/>
  <c r="D508" i="18"/>
  <c r="B35" i="17"/>
  <c r="L35" i="17"/>
  <c r="A524" i="18" s="1"/>
  <c r="A498" i="18"/>
  <c r="K35" i="17"/>
  <c r="L514" i="18" s="1"/>
  <c r="J35" i="17"/>
  <c r="K514" i="18" s="1"/>
  <c r="F35" i="8" l="1" a="1"/>
  <c r="F35" i="8" s="1"/>
  <c r="Y34" i="8"/>
  <c r="H34" i="8" s="1"/>
  <c r="N34" i="8"/>
  <c r="L34" i="8"/>
  <c r="O34" i="8" s="1"/>
  <c r="J34" i="8"/>
  <c r="X34" i="8"/>
  <c r="G34" i="8" s="1"/>
  <c r="I34" i="8"/>
  <c r="D34" i="8"/>
  <c r="M34" i="8"/>
  <c r="K34" i="8"/>
  <c r="A511" i="18"/>
  <c r="B511" i="18"/>
  <c r="D36" i="17"/>
  <c r="D527" i="18" s="1"/>
  <c r="J514" i="18"/>
  <c r="I36" i="17"/>
  <c r="A530" i="18" s="1"/>
  <c r="D524" i="18"/>
  <c r="L36" i="17"/>
  <c r="A540" i="18" s="1"/>
  <c r="C36" i="17"/>
  <c r="C527" i="18" s="1"/>
  <c r="I511" i="18"/>
  <c r="J36" i="17"/>
  <c r="K530" i="18" s="1"/>
  <c r="M35" i="17"/>
  <c r="D523" i="18" s="1"/>
  <c r="B36" i="17"/>
  <c r="K36" i="17"/>
  <c r="M36" i="17" s="1"/>
  <c r="F543" i="18"/>
  <c r="A34" i="8" l="1"/>
  <c r="F36" i="8" a="1"/>
  <c r="F36" i="8" s="1"/>
  <c r="F37" i="8" s="1" a="1"/>
  <c r="F37" i="8" s="1"/>
  <c r="E35" i="8"/>
  <c r="K35" i="8"/>
  <c r="D35" i="8"/>
  <c r="M35" i="8"/>
  <c r="J35" i="8"/>
  <c r="Y35" i="8"/>
  <c r="H35" i="8" s="1"/>
  <c r="N35" i="8"/>
  <c r="I35" i="8"/>
  <c r="L35" i="8"/>
  <c r="O35" i="8" s="1"/>
  <c r="X35" i="8"/>
  <c r="G35" i="8" s="1"/>
  <c r="A527" i="18"/>
  <c r="B527" i="18"/>
  <c r="A523" i="18"/>
  <c r="J530" i="18"/>
  <c r="I37" i="17"/>
  <c r="A546" i="18" s="1"/>
  <c r="C37" i="17"/>
  <c r="C543" i="18" s="1"/>
  <c r="I38" i="17"/>
  <c r="A562" i="18" s="1"/>
  <c r="D540" i="18"/>
  <c r="L530" i="18"/>
  <c r="L37" i="17"/>
  <c r="D556" i="18" s="1"/>
  <c r="I527" i="18"/>
  <c r="K37" i="17"/>
  <c r="I543" i="18" s="1"/>
  <c r="J37" i="17"/>
  <c r="K546" i="18" s="1"/>
  <c r="D37" i="17"/>
  <c r="D543" i="18" s="1"/>
  <c r="B37" i="17"/>
  <c r="A539" i="18"/>
  <c r="D539" i="18"/>
  <c r="A35" i="8" l="1"/>
  <c r="E37" i="8"/>
  <c r="N37" i="8"/>
  <c r="X37" i="8"/>
  <c r="G37" i="8" s="1"/>
  <c r="I37" i="8"/>
  <c r="J37" i="8"/>
  <c r="Y37" i="8"/>
  <c r="H37" i="8" s="1"/>
  <c r="K37" i="8"/>
  <c r="M37" i="8"/>
  <c r="L37" i="8"/>
  <c r="O37" i="8" s="1"/>
  <c r="D37" i="8"/>
  <c r="F38" i="8" a="1"/>
  <c r="F38" i="8" s="1"/>
  <c r="E38" i="8" s="1"/>
  <c r="E36" i="8"/>
  <c r="D36" i="8"/>
  <c r="I36" i="8"/>
  <c r="N36" i="8"/>
  <c r="Y36" i="8"/>
  <c r="H36" i="8" s="1"/>
  <c r="M36" i="8"/>
  <c r="J36" i="8"/>
  <c r="X36" i="8"/>
  <c r="G36" i="8" s="1"/>
  <c r="L36" i="8"/>
  <c r="O36" i="8" s="1"/>
  <c r="K36" i="8"/>
  <c r="A37" i="8"/>
  <c r="A543" i="18"/>
  <c r="B543" i="18"/>
  <c r="J546" i="18"/>
  <c r="L39" i="17"/>
  <c r="A588" i="18" s="1"/>
  <c r="J38" i="17"/>
  <c r="K562" i="18" s="1"/>
  <c r="F559" i="18"/>
  <c r="A556" i="18"/>
  <c r="K38" i="17"/>
  <c r="I559" i="18" s="1"/>
  <c r="J562" i="18"/>
  <c r="M37" i="17"/>
  <c r="D555" i="18" s="1"/>
  <c r="L38" i="17"/>
  <c r="D572" i="18" s="1"/>
  <c r="L546" i="18"/>
  <c r="D38" i="17"/>
  <c r="D559" i="18" s="1"/>
  <c r="C38" i="17"/>
  <c r="C559" i="18" s="1"/>
  <c r="B38" i="17"/>
  <c r="A36" i="8" l="1"/>
  <c r="F39" i="8" a="1"/>
  <c r="F39" i="8" s="1"/>
  <c r="E39" i="8" s="1"/>
  <c r="L38" i="8"/>
  <c r="O38" i="8" s="1"/>
  <c r="X38" i="8"/>
  <c r="G38" i="8" s="1"/>
  <c r="D38" i="8"/>
  <c r="M38" i="8"/>
  <c r="K38" i="8"/>
  <c r="I38" i="8"/>
  <c r="N38" i="8"/>
  <c r="J38" i="8"/>
  <c r="Y38" i="8"/>
  <c r="H38" i="8" s="1"/>
  <c r="A559" i="18"/>
  <c r="B559" i="18"/>
  <c r="A555" i="18"/>
  <c r="C39" i="17"/>
  <c r="C575" i="18" s="1"/>
  <c r="L562" i="18"/>
  <c r="B39" i="17"/>
  <c r="B575" i="18" s="1"/>
  <c r="D588" i="18"/>
  <c r="F575" i="18"/>
  <c r="D39" i="17"/>
  <c r="D575" i="18" s="1"/>
  <c r="I40" i="17"/>
  <c r="A594" i="18" s="1"/>
  <c r="M38" i="17"/>
  <c r="D571" i="18" s="1"/>
  <c r="A572" i="18"/>
  <c r="I39" i="17"/>
  <c r="J578" i="18" s="1"/>
  <c r="J39" i="17"/>
  <c r="K578" i="18" s="1"/>
  <c r="K39" i="17"/>
  <c r="L578" i="18" s="1"/>
  <c r="A38" i="8" l="1"/>
  <c r="F40" i="8" a="1"/>
  <c r="F40" i="8" s="1"/>
  <c r="E40" i="8" s="1"/>
  <c r="J39" i="8"/>
  <c r="X39" i="8"/>
  <c r="G39" i="8" s="1"/>
  <c r="I39" i="8"/>
  <c r="Y39" i="8"/>
  <c r="H39" i="8" s="1"/>
  <c r="D39" i="8"/>
  <c r="A39" i="8" s="1"/>
  <c r="K39" i="8"/>
  <c r="N39" i="8"/>
  <c r="L39" i="8"/>
  <c r="O39" i="8" s="1"/>
  <c r="M39" i="8"/>
  <c r="A571" i="18"/>
  <c r="A578" i="18"/>
  <c r="A575" i="18"/>
  <c r="I575" i="18"/>
  <c r="M39" i="17"/>
  <c r="D587" i="18" s="1"/>
  <c r="F591" i="18"/>
  <c r="J594" i="18"/>
  <c r="L40" i="17"/>
  <c r="A604" i="18" s="1"/>
  <c r="K40" i="17"/>
  <c r="I591" i="18" s="1"/>
  <c r="I41" i="17"/>
  <c r="J610" i="18" s="1"/>
  <c r="B40" i="17"/>
  <c r="B591" i="18" s="1"/>
  <c r="D40" i="17"/>
  <c r="D591" i="18" s="1"/>
  <c r="C40" i="17"/>
  <c r="C591" i="18" s="1"/>
  <c r="J40" i="17"/>
  <c r="K594" i="18" s="1"/>
  <c r="L40" i="8" l="1"/>
  <c r="O40" i="8" s="1"/>
  <c r="J40" i="8"/>
  <c r="D40" i="8"/>
  <c r="K40" i="8"/>
  <c r="M40" i="8"/>
  <c r="X40" i="8"/>
  <c r="G40" i="8" s="1"/>
  <c r="Y40" i="8"/>
  <c r="H40" i="8" s="1"/>
  <c r="I40" i="8"/>
  <c r="N40" i="8"/>
  <c r="F41" i="8" a="1"/>
  <c r="F41" i="8" s="1"/>
  <c r="E41" i="8" s="1"/>
  <c r="A587" i="18"/>
  <c r="A591" i="18"/>
  <c r="I42" i="17"/>
  <c r="A626" i="18" s="1"/>
  <c r="K41" i="17"/>
  <c r="M41" i="17" s="1"/>
  <c r="A619" i="18" s="1"/>
  <c r="B41" i="17"/>
  <c r="B607" i="18" s="1"/>
  <c r="A610" i="18"/>
  <c r="C41" i="17"/>
  <c r="C607" i="18" s="1"/>
  <c r="L41" i="17"/>
  <c r="D620" i="18" s="1"/>
  <c r="M40" i="17"/>
  <c r="D603" i="18" s="1"/>
  <c r="L594" i="18"/>
  <c r="D604" i="18"/>
  <c r="D41" i="17"/>
  <c r="D607" i="18" s="1"/>
  <c r="J41" i="17"/>
  <c r="K610" i="18" s="1"/>
  <c r="F607" i="18"/>
  <c r="A40" i="8" l="1"/>
  <c r="F42" i="8" a="1"/>
  <c r="F42" i="8" s="1"/>
  <c r="E42" i="8" s="1"/>
  <c r="X41" i="8"/>
  <c r="G41" i="8" s="1"/>
  <c r="M41" i="8"/>
  <c r="D41" i="8"/>
  <c r="I41" i="8"/>
  <c r="N41" i="8"/>
  <c r="L41" i="8"/>
  <c r="O41" i="8" s="1"/>
  <c r="Y41" i="8"/>
  <c r="H41" i="8" s="1"/>
  <c r="J41" i="8"/>
  <c r="K41" i="8"/>
  <c r="A603" i="18"/>
  <c r="A607" i="18"/>
  <c r="L43" i="17"/>
  <c r="D652" i="18" s="1"/>
  <c r="J626" i="18"/>
  <c r="K42" i="17"/>
  <c r="I623" i="18" s="1"/>
  <c r="L610" i="18"/>
  <c r="A620" i="18"/>
  <c r="B42" i="17"/>
  <c r="I607" i="18"/>
  <c r="C42" i="17"/>
  <c r="C623" i="18" s="1"/>
  <c r="L42" i="17"/>
  <c r="A636" i="18" s="1"/>
  <c r="D619" i="18"/>
  <c r="J42" i="17"/>
  <c r="K626" i="18" s="1"/>
  <c r="D42" i="17"/>
  <c r="D623" i="18" s="1"/>
  <c r="F623" i="18"/>
  <c r="A41" i="8" l="1"/>
  <c r="D42" i="8"/>
  <c r="J42" i="8"/>
  <c r="K42" i="8"/>
  <c r="F43" i="8" a="1"/>
  <c r="F43" i="8" s="1"/>
  <c r="E43" i="8" s="1"/>
  <c r="N42" i="8"/>
  <c r="M42" i="8"/>
  <c r="I42" i="8"/>
  <c r="L42" i="8"/>
  <c r="O42" i="8" s="1"/>
  <c r="X42" i="8"/>
  <c r="G42" i="8" s="1"/>
  <c r="Y42" i="8"/>
  <c r="H42" i="8" s="1"/>
  <c r="A623" i="18"/>
  <c r="B623" i="18"/>
  <c r="M42" i="17"/>
  <c r="D635" i="18" s="1"/>
  <c r="C43" i="17"/>
  <c r="C639" i="18" s="1"/>
  <c r="D636" i="18"/>
  <c r="B43" i="17"/>
  <c r="L626" i="18"/>
  <c r="D43" i="17"/>
  <c r="D639" i="18" s="1"/>
  <c r="J43" i="17"/>
  <c r="K642" i="18" s="1"/>
  <c r="B44" i="17"/>
  <c r="F639" i="18"/>
  <c r="K43" i="17"/>
  <c r="L642" i="18" s="1"/>
  <c r="A652" i="18"/>
  <c r="I43" i="17"/>
  <c r="A642" i="18" s="1"/>
  <c r="M43" i="8" l="1"/>
  <c r="Y43" i="8"/>
  <c r="H43" i="8" s="1"/>
  <c r="D43" i="8"/>
  <c r="N43" i="8"/>
  <c r="X43" i="8"/>
  <c r="G43" i="8" s="1"/>
  <c r="I43" i="8"/>
  <c r="A42" i="8"/>
  <c r="L43" i="8"/>
  <c r="O43" i="8" s="1"/>
  <c r="J43" i="8"/>
  <c r="F44" i="8" a="1"/>
  <c r="F44" i="8" s="1"/>
  <c r="E44" i="8" s="1"/>
  <c r="K43" i="8"/>
  <c r="A655" i="18"/>
  <c r="B655" i="18"/>
  <c r="A639" i="18"/>
  <c r="B639" i="18"/>
  <c r="A635" i="18"/>
  <c r="J642" i="18"/>
  <c r="C44" i="17"/>
  <c r="C655" i="18" s="1"/>
  <c r="M43" i="17"/>
  <c r="A651" i="18" s="1"/>
  <c r="K45" i="17"/>
  <c r="L674" i="18" s="1"/>
  <c r="J44" i="17"/>
  <c r="K658" i="18" s="1"/>
  <c r="F655" i="18"/>
  <c r="K44" i="17"/>
  <c r="L658" i="18" s="1"/>
  <c r="I639" i="18"/>
  <c r="L44" i="17"/>
  <c r="D668" i="18" s="1"/>
  <c r="I44" i="17"/>
  <c r="J658" i="18" s="1"/>
  <c r="D44" i="17"/>
  <c r="D655" i="18" s="1"/>
  <c r="F45" i="8" l="1" a="1"/>
  <c r="F45" i="8" s="1"/>
  <c r="E45" i="8" s="1"/>
  <c r="X44" i="8"/>
  <c r="G44" i="8" s="1"/>
  <c r="M44" i="8"/>
  <c r="N44" i="8"/>
  <c r="D44" i="8"/>
  <c r="I44" i="8"/>
  <c r="A43" i="8"/>
  <c r="L44" i="8"/>
  <c r="O44" i="8" s="1"/>
  <c r="K44" i="8"/>
  <c r="Y44" i="8"/>
  <c r="H44" i="8" s="1"/>
  <c r="J44" i="8"/>
  <c r="D651" i="18"/>
  <c r="A658" i="18"/>
  <c r="M44" i="17"/>
  <c r="A667" i="18" s="1"/>
  <c r="I655" i="18"/>
  <c r="D45" i="17"/>
  <c r="D671" i="18" s="1"/>
  <c r="C45" i="17"/>
  <c r="C671" i="18" s="1"/>
  <c r="J45" i="17"/>
  <c r="K674" i="18" s="1"/>
  <c r="B45" i="17"/>
  <c r="I45" i="17"/>
  <c r="A674" i="18" s="1"/>
  <c r="F671" i="18"/>
  <c r="L45" i="17"/>
  <c r="A684" i="18" s="1"/>
  <c r="A668" i="18"/>
  <c r="M45" i="17"/>
  <c r="D683" i="18" s="1"/>
  <c r="I46" i="17"/>
  <c r="A690" i="18" s="1"/>
  <c r="I671" i="18"/>
  <c r="A44" i="8" l="1"/>
  <c r="X45" i="8"/>
  <c r="G45" i="8" s="1"/>
  <c r="M45" i="8"/>
  <c r="N45" i="8"/>
  <c r="K45" i="8"/>
  <c r="I45" i="8"/>
  <c r="L45" i="8"/>
  <c r="O45" i="8" s="1"/>
  <c r="Y45" i="8"/>
  <c r="H45" i="8" s="1"/>
  <c r="F46" i="8" a="1"/>
  <c r="F46" i="8" s="1"/>
  <c r="E46" i="8" s="1"/>
  <c r="D45" i="8"/>
  <c r="J45" i="8"/>
  <c r="A45" i="8"/>
  <c r="A671" i="18"/>
  <c r="B671" i="18"/>
  <c r="D667" i="18"/>
  <c r="D684" i="18"/>
  <c r="A683" i="18"/>
  <c r="K47" i="17"/>
  <c r="I703" i="18" s="1"/>
  <c r="J690" i="18"/>
  <c r="J674" i="18"/>
  <c r="C46" i="17"/>
  <c r="C687" i="18" s="1"/>
  <c r="D46" i="17"/>
  <c r="D687" i="18" s="1"/>
  <c r="K46" i="17"/>
  <c r="M46" i="17" s="1"/>
  <c r="D699" i="18" s="1"/>
  <c r="L46" i="17"/>
  <c r="D700" i="18" s="1"/>
  <c r="B46" i="17"/>
  <c r="J46" i="17"/>
  <c r="K690" i="18" s="1"/>
  <c r="F687" i="18"/>
  <c r="M46" i="8" l="1"/>
  <c r="X46" i="8"/>
  <c r="G46" i="8" s="1"/>
  <c r="J46" i="8"/>
  <c r="K46" i="8"/>
  <c r="N46" i="8"/>
  <c r="F47" i="8" a="1"/>
  <c r="F47" i="8" s="1"/>
  <c r="E47" i="8" s="1"/>
  <c r="I46" i="8"/>
  <c r="L46" i="8"/>
  <c r="O46" i="8" s="1"/>
  <c r="Y46" i="8"/>
  <c r="H46" i="8" s="1"/>
  <c r="D46" i="8"/>
  <c r="A46" i="8" s="1"/>
  <c r="A687" i="18"/>
  <c r="B687" i="18"/>
  <c r="I47" i="17"/>
  <c r="A706" i="18" s="1"/>
  <c r="L690" i="18"/>
  <c r="F703" i="18"/>
  <c r="D48" i="17"/>
  <c r="D719" i="18" s="1"/>
  <c r="B47" i="17"/>
  <c r="A699" i="18"/>
  <c r="M47" i="17"/>
  <c r="D715" i="18" s="1"/>
  <c r="J47" i="17"/>
  <c r="K706" i="18" s="1"/>
  <c r="A700" i="18"/>
  <c r="D47" i="17"/>
  <c r="D703" i="18" s="1"/>
  <c r="C47" i="17"/>
  <c r="C703" i="18" s="1"/>
  <c r="L47" i="17"/>
  <c r="D716" i="18" s="1"/>
  <c r="L706" i="18"/>
  <c r="I687" i="18"/>
  <c r="F48" i="8" l="1" a="1"/>
  <c r="F48" i="8" s="1"/>
  <c r="E48" i="8" s="1"/>
  <c r="J47" i="8"/>
  <c r="L47" i="8"/>
  <c r="O47" i="8" s="1"/>
  <c r="I47" i="8"/>
  <c r="X47" i="8"/>
  <c r="G47" i="8" s="1"/>
  <c r="N47" i="8"/>
  <c r="Y47" i="8"/>
  <c r="H47" i="8" s="1"/>
  <c r="K47" i="8"/>
  <c r="D47" i="8"/>
  <c r="M47" i="8"/>
  <c r="A703" i="18"/>
  <c r="B703" i="18"/>
  <c r="A715" i="18"/>
  <c r="A716" i="18"/>
  <c r="B49" i="17"/>
  <c r="J48" i="17"/>
  <c r="K722" i="18" s="1"/>
  <c r="I48" i="17"/>
  <c r="A722" i="18" s="1"/>
  <c r="K48" i="17"/>
  <c r="I719" i="18" s="1"/>
  <c r="L48" i="17"/>
  <c r="A732" i="18" s="1"/>
  <c r="B48" i="17"/>
  <c r="F719" i="18"/>
  <c r="C48" i="17"/>
  <c r="C719" i="18" s="1"/>
  <c r="J706" i="18"/>
  <c r="A47" i="8" l="1"/>
  <c r="J48" i="8"/>
  <c r="M48" i="8"/>
  <c r="N48" i="8"/>
  <c r="F49" i="8" a="1"/>
  <c r="F49" i="8" s="1"/>
  <c r="E49" i="8" s="1"/>
  <c r="Y48" i="8"/>
  <c r="H48" i="8" s="1"/>
  <c r="D48" i="8"/>
  <c r="K48" i="8"/>
  <c r="X48" i="8"/>
  <c r="G48" i="8" s="1"/>
  <c r="L48" i="8"/>
  <c r="O48" i="8" s="1"/>
  <c r="I48" i="8"/>
  <c r="A719" i="18"/>
  <c r="B719" i="18"/>
  <c r="A735" i="18"/>
  <c r="B735" i="18"/>
  <c r="M48" i="17"/>
  <c r="D731" i="18" s="1"/>
  <c r="D49" i="17"/>
  <c r="D735" i="18" s="1"/>
  <c r="J49" i="17"/>
  <c r="K738" i="18" s="1"/>
  <c r="L722" i="18"/>
  <c r="I50" i="17"/>
  <c r="A754" i="18" s="1"/>
  <c r="C49" i="17"/>
  <c r="C735" i="18" s="1"/>
  <c r="J722" i="18"/>
  <c r="D732" i="18"/>
  <c r="I49" i="17"/>
  <c r="A738" i="18" s="1"/>
  <c r="F735" i="18"/>
  <c r="L49" i="17"/>
  <c r="A748" i="18" s="1"/>
  <c r="K49" i="17"/>
  <c r="M49" i="17" s="1"/>
  <c r="A747" i="18" s="1"/>
  <c r="F50" i="8" l="1" a="1"/>
  <c r="F50" i="8" s="1"/>
  <c r="E50" i="8" s="1"/>
  <c r="K49" i="8"/>
  <c r="N49" i="8"/>
  <c r="X49" i="8"/>
  <c r="G49" i="8" s="1"/>
  <c r="J49" i="8"/>
  <c r="D49" i="8"/>
  <c r="A48" i="8"/>
  <c r="I49" i="8"/>
  <c r="L49" i="8"/>
  <c r="O49" i="8" s="1"/>
  <c r="M49" i="8"/>
  <c r="Y49" i="8"/>
  <c r="H49" i="8" s="1"/>
  <c r="A731" i="18"/>
  <c r="D748" i="18"/>
  <c r="B50" i="17"/>
  <c r="B751" i="18" s="1"/>
  <c r="D747" i="18"/>
  <c r="F751" i="18"/>
  <c r="J754" i="18"/>
  <c r="D50" i="17"/>
  <c r="D751" i="18" s="1"/>
  <c r="I735" i="18"/>
  <c r="J50" i="17"/>
  <c r="K754" i="18" s="1"/>
  <c r="L738" i="18"/>
  <c r="F767" i="18"/>
  <c r="J738" i="18"/>
  <c r="C50" i="17"/>
  <c r="C751" i="18" s="1"/>
  <c r="L50" i="17"/>
  <c r="D764" i="18" s="1"/>
  <c r="K50" i="17"/>
  <c r="L754" i="18" s="1"/>
  <c r="A49" i="8" l="1"/>
  <c r="F51" i="8" a="1"/>
  <c r="F51" i="8" s="1"/>
  <c r="E51" i="8" s="1"/>
  <c r="K50" i="8"/>
  <c r="Y50" i="8"/>
  <c r="H50" i="8" s="1"/>
  <c r="N50" i="8"/>
  <c r="L50" i="8"/>
  <c r="O50" i="8" s="1"/>
  <c r="D50" i="8"/>
  <c r="M50" i="8"/>
  <c r="X50" i="8"/>
  <c r="G50" i="8" s="1"/>
  <c r="I50" i="8"/>
  <c r="J50" i="8"/>
  <c r="A751" i="18"/>
  <c r="L51" i="17"/>
  <c r="A780" i="18" s="1"/>
  <c r="D52" i="17"/>
  <c r="D783" i="18" s="1"/>
  <c r="M50" i="17"/>
  <c r="D763" i="18" s="1"/>
  <c r="D51" i="17"/>
  <c r="D767" i="18" s="1"/>
  <c r="B51" i="17"/>
  <c r="A764" i="18"/>
  <c r="K51" i="17"/>
  <c r="M51" i="17" s="1"/>
  <c r="D779" i="18" s="1"/>
  <c r="I51" i="17"/>
  <c r="A770" i="18" s="1"/>
  <c r="I751" i="18"/>
  <c r="C51" i="17"/>
  <c r="C767" i="18" s="1"/>
  <c r="J51" i="17"/>
  <c r="K770" i="18" s="1"/>
  <c r="A50" i="8" l="1"/>
  <c r="J51" i="8"/>
  <c r="X51" i="8"/>
  <c r="G51" i="8" s="1"/>
  <c r="N51" i="8"/>
  <c r="L51" i="8"/>
  <c r="O51" i="8" s="1"/>
  <c r="M51" i="8"/>
  <c r="D51" i="8"/>
  <c r="A51" i="8" s="1"/>
  <c r="K51" i="8"/>
  <c r="Y51" i="8"/>
  <c r="H51" i="8" s="1"/>
  <c r="I51" i="8"/>
  <c r="F52" i="8" a="1"/>
  <c r="F52" i="8" s="1"/>
  <c r="E52" i="8" s="1"/>
  <c r="A767" i="18"/>
  <c r="B767" i="18"/>
  <c r="J770" i="18"/>
  <c r="A779" i="18"/>
  <c r="L770" i="18"/>
  <c r="A763" i="18"/>
  <c r="I767" i="18"/>
  <c r="J52" i="17"/>
  <c r="K786" i="18" s="1"/>
  <c r="B52" i="17"/>
  <c r="B783" i="18" s="1"/>
  <c r="L52" i="17"/>
  <c r="D796" i="18" s="1"/>
  <c r="C52" i="17"/>
  <c r="C783" i="18" s="1"/>
  <c r="F783" i="18"/>
  <c r="D780" i="18"/>
  <c r="I52" i="17"/>
  <c r="A786" i="18" s="1"/>
  <c r="L53" i="17"/>
  <c r="K52" i="17"/>
  <c r="L786" i="18" s="1"/>
  <c r="J52" i="8" l="1"/>
  <c r="M52" i="8"/>
  <c r="X52" i="8"/>
  <c r="G52" i="8" s="1"/>
  <c r="D52" i="8"/>
  <c r="K52" i="8"/>
  <c r="L52" i="8"/>
  <c r="O52" i="8" s="1"/>
  <c r="N52" i="8"/>
  <c r="F53" i="8" a="1"/>
  <c r="F53" i="8" s="1"/>
  <c r="E53" i="8" s="1"/>
  <c r="I52" i="8"/>
  <c r="Y52" i="8"/>
  <c r="H52" i="8" s="1"/>
  <c r="A52" i="8"/>
  <c r="L54" i="17"/>
  <c r="A11" i="18" s="1"/>
  <c r="J786" i="18"/>
  <c r="A796" i="18"/>
  <c r="A783" i="18"/>
  <c r="J53" i="17"/>
  <c r="J54" i="17" s="1"/>
  <c r="K8" i="18" s="1"/>
  <c r="D53" i="17"/>
  <c r="D799" i="18" s="1"/>
  <c r="I783" i="18"/>
  <c r="I53" i="17"/>
  <c r="A802" i="18" s="1"/>
  <c r="M52" i="17"/>
  <c r="D795" i="18" s="1"/>
  <c r="B53" i="17"/>
  <c r="B799" i="18" s="1"/>
  <c r="K53" i="17"/>
  <c r="L802" i="18" s="1"/>
  <c r="C53" i="17"/>
  <c r="C799" i="18" s="1"/>
  <c r="F799" i="18"/>
  <c r="A812" i="18"/>
  <c r="D812" i="18"/>
  <c r="I53" i="8" l="1"/>
  <c r="X53" i="8"/>
  <c r="G53" i="8" s="1"/>
  <c r="M53" i="8"/>
  <c r="Y53" i="8"/>
  <c r="H53" i="8" s="1"/>
  <c r="N53" i="8"/>
  <c r="D53" i="8"/>
  <c r="A53" i="8" s="1"/>
  <c r="L53" i="8"/>
  <c r="O53" i="8" s="1"/>
  <c r="K53" i="8"/>
  <c r="J53" i="8"/>
  <c r="F54" i="8" a="1"/>
  <c r="F54" i="8" s="1"/>
  <c r="E54" i="8" s="1"/>
  <c r="D11" i="18"/>
  <c r="A795" i="18"/>
  <c r="A799" i="18"/>
  <c r="I54" i="17"/>
  <c r="I8" i="18" s="1"/>
  <c r="I799" i="18"/>
  <c r="M53" i="17"/>
  <c r="D811" i="18" s="1"/>
  <c r="K802" i="18"/>
  <c r="K54" i="17"/>
  <c r="J8" i="18" s="1"/>
  <c r="J802" i="18"/>
  <c r="J54" i="8" l="1"/>
  <c r="X54" i="8"/>
  <c r="G54" i="8" s="1"/>
  <c r="L54" i="8"/>
  <c r="O54" i="8" s="1"/>
  <c r="K54" i="8"/>
  <c r="Y54" i="8"/>
  <c r="H54" i="8" s="1"/>
  <c r="I54" i="8"/>
  <c r="D54" i="8"/>
  <c r="A54" i="8" s="1"/>
  <c r="N54" i="8"/>
  <c r="M54" i="8"/>
  <c r="F55" i="8" a="1"/>
  <c r="F55" i="8" s="1"/>
  <c r="E55" i="8" s="1"/>
  <c r="A811" i="18"/>
  <c r="B814" i="18"/>
  <c r="A8" i="18"/>
  <c r="F56" i="8" l="1" a="1"/>
  <c r="F56" i="8" s="1"/>
  <c r="E56" i="8" s="1"/>
  <c r="L55" i="8"/>
  <c r="O55" i="8" s="1"/>
  <c r="Y55" i="8"/>
  <c r="H55" i="8" s="1"/>
  <c r="X55" i="8"/>
  <c r="G55" i="8" s="1"/>
  <c r="I55" i="8"/>
  <c r="J55" i="8"/>
  <c r="D55" i="8"/>
  <c r="K55" i="8"/>
  <c r="N55" i="8"/>
  <c r="M55" i="8"/>
  <c r="F57" i="8" l="1" a="1"/>
  <c r="F57" i="8" s="1"/>
  <c r="E57" i="8" s="1"/>
  <c r="N56" i="8"/>
  <c r="L56" i="8"/>
  <c r="O56" i="8" s="1"/>
  <c r="X56" i="8"/>
  <c r="G56" i="8" s="1"/>
  <c r="Y56" i="8"/>
  <c r="H56" i="8" s="1"/>
  <c r="I56" i="8"/>
  <c r="J56" i="8"/>
  <c r="D56" i="8"/>
  <c r="K56" i="8"/>
  <c r="M56" i="8"/>
  <c r="A55" i="8"/>
  <c r="A56" i="8"/>
  <c r="F58" i="8" l="1" a="1"/>
  <c r="F58" i="8" s="1"/>
  <c r="E58" i="8" s="1"/>
  <c r="I57" i="8"/>
  <c r="X57" i="8"/>
  <c r="G57" i="8" s="1"/>
  <c r="K57" i="8"/>
  <c r="D57" i="8"/>
  <c r="A57" i="8" s="1"/>
  <c r="M57" i="8"/>
  <c r="N57" i="8"/>
  <c r="L57" i="8"/>
  <c r="O57" i="8" s="1"/>
  <c r="Y57" i="8"/>
  <c r="H57" i="8" s="1"/>
  <c r="J57" i="8"/>
  <c r="F59" i="8" l="1" a="1"/>
  <c r="F59" i="8" s="1"/>
  <c r="E59" i="8" s="1"/>
  <c r="M58" i="8"/>
  <c r="Y58" i="8"/>
  <c r="H58" i="8" s="1"/>
  <c r="J58" i="8"/>
  <c r="I58" i="8"/>
  <c r="D58" i="8"/>
  <c r="X58" i="8"/>
  <c r="G58" i="8" s="1"/>
  <c r="L58" i="8"/>
  <c r="O58" i="8" s="1"/>
  <c r="K58" i="8"/>
  <c r="N58" i="8"/>
  <c r="F60" i="8" l="1" a="1"/>
  <c r="F60" i="8" s="1"/>
  <c r="E60" i="8" s="1"/>
  <c r="K59" i="8"/>
  <c r="Y59" i="8"/>
  <c r="H59" i="8" s="1"/>
  <c r="J59" i="8"/>
  <c r="X59" i="8"/>
  <c r="G59" i="8" s="1"/>
  <c r="I59" i="8"/>
  <c r="N59" i="8"/>
  <c r="M59" i="8"/>
  <c r="D59" i="8"/>
  <c r="A59" i="8" s="1"/>
  <c r="A58" i="8"/>
  <c r="L59" i="8"/>
  <c r="O59" i="8" s="1"/>
  <c r="F61" i="8" l="1" a="1"/>
  <c r="F61" i="8" s="1"/>
  <c r="E61" i="8" s="1"/>
  <c r="L60" i="8"/>
  <c r="O60" i="8" s="1"/>
  <c r="N60" i="8"/>
  <c r="J60" i="8"/>
  <c r="X60" i="8"/>
  <c r="G60" i="8" s="1"/>
  <c r="M60" i="8"/>
  <c r="K60" i="8"/>
  <c r="D60" i="8"/>
  <c r="I60" i="8"/>
  <c r="Y60" i="8"/>
  <c r="H60" i="8" s="1"/>
  <c r="X61" i="8" l="1"/>
  <c r="G61" i="8" s="1"/>
  <c r="K61" i="8"/>
  <c r="M61" i="8"/>
  <c r="Y61" i="8"/>
  <c r="H61" i="8" s="1"/>
  <c r="I61" i="8"/>
  <c r="A60" i="8"/>
  <c r="D61" i="8"/>
  <c r="A61" i="8" s="1"/>
  <c r="L61" i="8"/>
  <c r="O61" i="8" s="1"/>
  <c r="N61" i="8"/>
  <c r="F62" i="8" a="1"/>
  <c r="F62" i="8" s="1"/>
  <c r="E62" i="8" s="1"/>
  <c r="J61" i="8"/>
  <c r="F63" i="8" l="1" a="1"/>
  <c r="F63" i="8" s="1"/>
  <c r="E63" i="8" s="1"/>
  <c r="I62" i="8"/>
  <c r="K62" i="8"/>
  <c r="N62" i="8"/>
  <c r="M62" i="8"/>
  <c r="X62" i="8"/>
  <c r="G62" i="8" s="1"/>
  <c r="J62" i="8"/>
  <c r="D62" i="8"/>
  <c r="L62" i="8"/>
  <c r="O62" i="8" s="1"/>
  <c r="Y62" i="8"/>
  <c r="H62" i="8" s="1"/>
  <c r="A62" i="8" l="1"/>
  <c r="F64" i="8" a="1"/>
  <c r="F64" i="8" s="1"/>
  <c r="E64" i="8" s="1"/>
  <c r="M63" i="8"/>
  <c r="D63" i="8"/>
  <c r="L63" i="8"/>
  <c r="O63" i="8" s="1"/>
  <c r="X63" i="8"/>
  <c r="G63" i="8" s="1"/>
  <c r="Y63" i="8"/>
  <c r="H63" i="8" s="1"/>
  <c r="K63" i="8"/>
  <c r="N63" i="8"/>
  <c r="J63" i="8"/>
  <c r="I63" i="8"/>
  <c r="A63" i="8" l="1"/>
  <c r="F65" i="8" a="1"/>
  <c r="F65" i="8" s="1"/>
  <c r="E65" i="8" s="1"/>
  <c r="J64" i="8"/>
  <c r="K64" i="8"/>
  <c r="Y64" i="8"/>
  <c r="H64" i="8" s="1"/>
  <c r="L64" i="8"/>
  <c r="O64" i="8" s="1"/>
  <c r="I64" i="8"/>
  <c r="D64" i="8"/>
  <c r="M64" i="8"/>
  <c r="X64" i="8"/>
  <c r="G64" i="8" s="1"/>
  <c r="N64" i="8"/>
  <c r="A64" i="8" l="1"/>
  <c r="D65" i="8"/>
  <c r="A65" i="8" s="1"/>
  <c r="I65" i="8"/>
  <c r="F66" i="8" a="1"/>
  <c r="F66" i="8" s="1"/>
  <c r="E66" i="8" s="1"/>
  <c r="L65" i="8"/>
  <c r="O65" i="8" s="1"/>
  <c r="M65" i="8"/>
  <c r="Y65" i="8"/>
  <c r="H65" i="8" s="1"/>
  <c r="N65" i="8"/>
  <c r="J65" i="8"/>
  <c r="X65" i="8"/>
  <c r="G65" i="8" s="1"/>
  <c r="K65" i="8"/>
  <c r="F67" i="8" l="1" a="1"/>
  <c r="F67" i="8" s="1"/>
  <c r="E67" i="8" s="1"/>
  <c r="Y66" i="8"/>
  <c r="H66" i="8" s="1"/>
  <c r="D66" i="8"/>
  <c r="K66" i="8"/>
  <c r="N66" i="8"/>
  <c r="J66" i="8"/>
  <c r="X66" i="8"/>
  <c r="G66" i="8" s="1"/>
  <c r="M66" i="8"/>
  <c r="I66" i="8"/>
  <c r="L66" i="8"/>
  <c r="O66" i="8" s="1"/>
  <c r="A66" i="8"/>
  <c r="M67" i="8" l="1"/>
  <c r="L67" i="8"/>
  <c r="O67" i="8" s="1"/>
  <c r="D67" i="8"/>
  <c r="I67" i="8"/>
  <c r="X67" i="8"/>
  <c r="G67" i="8" s="1"/>
  <c r="N67" i="8"/>
  <c r="F68" i="8" a="1"/>
  <c r="F68" i="8" s="1"/>
  <c r="E68" i="8" s="1"/>
  <c r="K67" i="8"/>
  <c r="J67" i="8"/>
  <c r="Y67" i="8"/>
  <c r="H67" i="8" s="1"/>
  <c r="A67" i="8"/>
  <c r="Y68" i="8" l="1"/>
  <c r="H68" i="8" s="1"/>
  <c r="J68" i="8"/>
  <c r="M68" i="8"/>
  <c r="D68" i="8"/>
  <c r="L68" i="8"/>
  <c r="O68" i="8" s="1"/>
  <c r="I68" i="8"/>
  <c r="X68" i="8"/>
  <c r="G68" i="8" s="1"/>
  <c r="N68" i="8"/>
  <c r="F69" i="8" a="1"/>
  <c r="F69" i="8" s="1"/>
  <c r="E69" i="8" s="1"/>
  <c r="K68" i="8"/>
  <c r="D69" i="8" l="1"/>
  <c r="M69" i="8"/>
  <c r="A68" i="8"/>
  <c r="F70" i="8" a="1"/>
  <c r="F70" i="8" s="1"/>
  <c r="E70" i="8" s="1"/>
  <c r="X69" i="8"/>
  <c r="G69" i="8" s="1"/>
  <c r="N69" i="8"/>
  <c r="L69" i="8"/>
  <c r="O69" i="8" s="1"/>
  <c r="J69" i="8"/>
  <c r="K69" i="8"/>
  <c r="Y69" i="8"/>
  <c r="H69" i="8" s="1"/>
  <c r="I69" i="8"/>
  <c r="A69" i="8" l="1"/>
  <c r="Y70" i="8"/>
  <c r="H70" i="8" s="1"/>
  <c r="M70" i="8"/>
  <c r="F71" i="8" a="1"/>
  <c r="F71" i="8" s="1"/>
  <c r="E71" i="8" s="1"/>
  <c r="I70" i="8"/>
  <c r="X70" i="8"/>
  <c r="G70" i="8" s="1"/>
  <c r="K70" i="8"/>
  <c r="L70" i="8"/>
  <c r="O70" i="8" s="1"/>
  <c r="D70" i="8"/>
  <c r="J70" i="8"/>
  <c r="N70" i="8"/>
  <c r="F72" i="8" l="1" a="1"/>
  <c r="F72" i="8" s="1"/>
  <c r="E72" i="8" s="1"/>
  <c r="D71" i="8"/>
  <c r="M71" i="8"/>
  <c r="A70" i="8"/>
  <c r="J71" i="8"/>
  <c r="I71" i="8"/>
  <c r="Y71" i="8"/>
  <c r="H71" i="8" s="1"/>
  <c r="L71" i="8"/>
  <c r="O71" i="8" s="1"/>
  <c r="N71" i="8"/>
  <c r="X71" i="8"/>
  <c r="G71" i="8" s="1"/>
  <c r="K71" i="8"/>
  <c r="A71" i="8" l="1"/>
  <c r="J72" i="8"/>
  <c r="D72" i="8"/>
  <c r="N72" i="8"/>
  <c r="F73" i="8" a="1"/>
  <c r="F73" i="8" s="1"/>
  <c r="E73" i="8" s="1"/>
  <c r="K72" i="8"/>
  <c r="I72" i="8"/>
  <c r="M72" i="8"/>
  <c r="L72" i="8"/>
  <c r="O72" i="8" s="1"/>
  <c r="X72" i="8"/>
  <c r="G72" i="8" s="1"/>
  <c r="Y72" i="8"/>
  <c r="H72" i="8" s="1"/>
  <c r="A72" i="8" l="1"/>
  <c r="F74" i="8" a="1"/>
  <c r="F74" i="8" s="1"/>
  <c r="E74" i="8" s="1"/>
  <c r="L73" i="8"/>
  <c r="O73" i="8" s="1"/>
  <c r="J73" i="8"/>
  <c r="Y73" i="8"/>
  <c r="H73" i="8" s="1"/>
  <c r="D73" i="8"/>
  <c r="A73" i="8" s="1"/>
  <c r="I73" i="8"/>
  <c r="N73" i="8"/>
  <c r="X73" i="8"/>
  <c r="G73" i="8" s="1"/>
  <c r="M73" i="8"/>
  <c r="K73" i="8"/>
  <c r="D74" i="8" l="1"/>
  <c r="X74" i="8"/>
  <c r="G74" i="8" s="1"/>
  <c r="N74" i="8"/>
  <c r="L74" i="8"/>
  <c r="O74" i="8" s="1"/>
  <c r="K74" i="8"/>
  <c r="M74" i="8"/>
  <c r="J74" i="8"/>
  <c r="I74" i="8"/>
  <c r="Y74" i="8"/>
  <c r="H74" i="8" s="1"/>
  <c r="F75" i="8" a="1"/>
  <c r="F75" i="8" s="1"/>
  <c r="E75" i="8" s="1"/>
  <c r="A74" i="8" l="1"/>
  <c r="F76" i="8" a="1"/>
  <c r="F76" i="8" s="1"/>
  <c r="E76" i="8" s="1"/>
  <c r="L75" i="8"/>
  <c r="O75" i="8" s="1"/>
  <c r="K75" i="8"/>
  <c r="Y75" i="8"/>
  <c r="H75" i="8" s="1"/>
  <c r="M75" i="8"/>
  <c r="N75" i="8"/>
  <c r="D75" i="8"/>
  <c r="I75" i="8"/>
  <c r="X75" i="8"/>
  <c r="G75" i="8" s="1"/>
  <c r="J75" i="8"/>
  <c r="K76" i="8" l="1"/>
  <c r="J76" i="8"/>
  <c r="N76" i="8"/>
  <c r="M76" i="8"/>
  <c r="I76" i="8"/>
  <c r="A75" i="8"/>
  <c r="F77" i="8" a="1"/>
  <c r="F77" i="8" s="1"/>
  <c r="E77" i="8" s="1"/>
  <c r="D76" i="8"/>
  <c r="L76" i="8"/>
  <c r="O76" i="8" s="1"/>
  <c r="X76" i="8"/>
  <c r="G76" i="8" s="1"/>
  <c r="Y76" i="8"/>
  <c r="H76" i="8" s="1"/>
  <c r="F78" i="8" l="1" a="1"/>
  <c r="F78" i="8" s="1"/>
  <c r="E78" i="8" s="1"/>
  <c r="A76" i="8"/>
  <c r="J77" i="8"/>
  <c r="I77" i="8"/>
  <c r="N77" i="8"/>
  <c r="L77" i="8"/>
  <c r="O77" i="8" s="1"/>
  <c r="D77" i="8"/>
  <c r="Y77" i="8"/>
  <c r="H77" i="8" s="1"/>
  <c r="X77" i="8"/>
  <c r="G77" i="8" s="1"/>
  <c r="M77" i="8"/>
  <c r="K77" i="8"/>
  <c r="M78" i="8" l="1"/>
  <c r="A77" i="8"/>
  <c r="N78" i="8"/>
  <c r="F79" i="8" a="1"/>
  <c r="F79" i="8" s="1"/>
  <c r="E79" i="8" s="1"/>
  <c r="J78" i="8"/>
  <c r="L78" i="8"/>
  <c r="O78" i="8" s="1"/>
  <c r="X78" i="8"/>
  <c r="G78" i="8" s="1"/>
  <c r="I78" i="8"/>
  <c r="Y78" i="8"/>
  <c r="H78" i="8" s="1"/>
  <c r="D78" i="8"/>
  <c r="K78" i="8"/>
  <c r="A78" i="8" l="1"/>
  <c r="J79" i="8"/>
  <c r="M79" i="8"/>
  <c r="X79" i="8"/>
  <c r="G79" i="8" s="1"/>
  <c r="Y79" i="8"/>
  <c r="H79" i="8" s="1"/>
  <c r="D79" i="8"/>
  <c r="A79" i="8" s="1"/>
  <c r="N79" i="8"/>
  <c r="L79" i="8"/>
  <c r="O79" i="8" s="1"/>
  <c r="K79" i="8"/>
  <c r="F80" i="8" a="1"/>
  <c r="F80" i="8" s="1"/>
  <c r="E80" i="8" s="1"/>
  <c r="I79" i="8"/>
  <c r="F81" i="8" l="1" a="1"/>
  <c r="F81" i="8" s="1"/>
  <c r="E81" i="8" s="1"/>
  <c r="X80" i="8"/>
  <c r="G80" i="8" s="1"/>
  <c r="D80" i="8"/>
  <c r="K80" i="8"/>
  <c r="J80" i="8"/>
  <c r="M80" i="8"/>
  <c r="Y80" i="8"/>
  <c r="H80" i="8" s="1"/>
  <c r="L80" i="8"/>
  <c r="O80" i="8" s="1"/>
  <c r="I80" i="8"/>
  <c r="N80" i="8"/>
  <c r="A80" i="8" l="1"/>
  <c r="D81" i="8"/>
  <c r="N81" i="8"/>
  <c r="F82" i="8" a="1"/>
  <c r="F82" i="8" s="1"/>
  <c r="E82" i="8" s="1"/>
  <c r="I81" i="8"/>
  <c r="K81" i="8"/>
  <c r="L81" i="8"/>
  <c r="O81" i="8" s="1"/>
  <c r="M81" i="8"/>
  <c r="Y81" i="8"/>
  <c r="H81" i="8" s="1"/>
  <c r="J81" i="8"/>
  <c r="X81" i="8"/>
  <c r="G81" i="8" s="1"/>
  <c r="F83" i="8" l="1" a="1"/>
  <c r="F83" i="8" s="1"/>
  <c r="E83" i="8" s="1"/>
  <c r="D82" i="8"/>
  <c r="K82" i="8"/>
  <c r="N82" i="8"/>
  <c r="L82" i="8"/>
  <c r="O82" i="8" s="1"/>
  <c r="Y82" i="8"/>
  <c r="H82" i="8" s="1"/>
  <c r="M82" i="8"/>
  <c r="I82" i="8"/>
  <c r="J82" i="8"/>
  <c r="X82" i="8"/>
  <c r="G82" i="8" s="1"/>
  <c r="A81" i="8"/>
  <c r="A82" i="8" l="1"/>
  <c r="I83" i="8"/>
  <c r="X83" i="8"/>
  <c r="G83" i="8" s="1"/>
  <c r="N83" i="8"/>
  <c r="F84" i="8" a="1"/>
  <c r="F84" i="8" s="1"/>
  <c r="E84" i="8" s="1"/>
  <c r="K83" i="8"/>
  <c r="J83" i="8"/>
  <c r="Y83" i="8"/>
  <c r="H83" i="8" s="1"/>
  <c r="M83" i="8"/>
  <c r="L83" i="8"/>
  <c r="O83" i="8" s="1"/>
  <c r="D83" i="8"/>
  <c r="A83" i="8" s="1"/>
  <c r="F85" i="8" l="1" a="1"/>
  <c r="F85" i="8" s="1"/>
  <c r="E85" i="8" s="1"/>
  <c r="L84" i="8"/>
  <c r="O84" i="8" s="1"/>
  <c r="Y84" i="8"/>
  <c r="H84" i="8" s="1"/>
  <c r="J84" i="8"/>
  <c r="K84" i="8"/>
  <c r="X84" i="8"/>
  <c r="G84" i="8" s="1"/>
  <c r="N84" i="8"/>
  <c r="M84" i="8"/>
  <c r="D84" i="8"/>
  <c r="I84" i="8"/>
  <c r="A84" i="8" l="1"/>
  <c r="L85" i="8"/>
  <c r="O85" i="8" s="1"/>
  <c r="I85" i="8"/>
  <c r="D85" i="8"/>
  <c r="X85" i="8"/>
  <c r="G85" i="8" s="1"/>
  <c r="N85" i="8"/>
  <c r="F86" i="8" a="1"/>
  <c r="F86" i="8" s="1"/>
  <c r="E86" i="8" s="1"/>
  <c r="J85" i="8"/>
  <c r="K85" i="8"/>
  <c r="Y85" i="8"/>
  <c r="H85" i="8" s="1"/>
  <c r="M85" i="8"/>
  <c r="A85" i="8" l="1"/>
  <c r="F87" i="8" a="1"/>
  <c r="F87" i="8" s="1"/>
  <c r="E87" i="8" s="1"/>
  <c r="L86" i="8"/>
  <c r="O86" i="8" s="1"/>
  <c r="Y86" i="8"/>
  <c r="H86" i="8" s="1"/>
  <c r="I86" i="8"/>
  <c r="D86" i="8"/>
  <c r="X86" i="8"/>
  <c r="G86" i="8" s="1"/>
  <c r="J86" i="8"/>
  <c r="K86" i="8"/>
  <c r="N86" i="8"/>
  <c r="M86" i="8"/>
  <c r="A86" i="8" l="1"/>
  <c r="F88" i="8" a="1"/>
  <c r="F88" i="8" s="1"/>
  <c r="E88" i="8" s="1"/>
  <c r="D87" i="8"/>
  <c r="M87" i="8"/>
  <c r="Y87" i="8"/>
  <c r="H87" i="8" s="1"/>
  <c r="L87" i="8"/>
  <c r="O87" i="8" s="1"/>
  <c r="N87" i="8"/>
  <c r="I87" i="8"/>
  <c r="X87" i="8"/>
  <c r="G87" i="8" s="1"/>
  <c r="K87" i="8"/>
  <c r="J87" i="8"/>
  <c r="A87" i="8" l="1"/>
  <c r="F89" i="8" a="1"/>
  <c r="F89" i="8" s="1"/>
  <c r="E89" i="8" s="1"/>
  <c r="I88" i="8"/>
  <c r="J88" i="8"/>
  <c r="N88" i="8"/>
  <c r="M88" i="8"/>
  <c r="D88" i="8"/>
  <c r="L88" i="8"/>
  <c r="O88" i="8" s="1"/>
  <c r="X88" i="8"/>
  <c r="G88" i="8" s="1"/>
  <c r="K88" i="8"/>
  <c r="Y88" i="8"/>
  <c r="H88" i="8" s="1"/>
  <c r="A88" i="8" l="1"/>
  <c r="X89" i="8"/>
  <c r="G89" i="8" s="1"/>
  <c r="L89" i="8"/>
  <c r="O89" i="8" s="1"/>
  <c r="I89" i="8"/>
  <c r="D89" i="8"/>
  <c r="J89" i="8"/>
  <c r="Y89" i="8"/>
  <c r="H89" i="8" s="1"/>
  <c r="K89" i="8"/>
  <c r="F90" i="8" a="1"/>
  <c r="F90" i="8" s="1"/>
  <c r="E90" i="8" s="1"/>
  <c r="N89" i="8"/>
  <c r="M89" i="8"/>
  <c r="A89" i="8" l="1"/>
  <c r="L90" i="8"/>
  <c r="O90" i="8" s="1"/>
  <c r="N90" i="8"/>
  <c r="F91" i="8" a="1"/>
  <c r="F91" i="8" s="1"/>
  <c r="E91" i="8" s="1"/>
  <c r="J90" i="8"/>
  <c r="M90" i="8"/>
  <c r="Y90" i="8"/>
  <c r="H90" i="8" s="1"/>
  <c r="K90" i="8"/>
  <c r="I90" i="8"/>
  <c r="D90" i="8"/>
  <c r="X90" i="8"/>
  <c r="G90" i="8" s="1"/>
  <c r="A90" i="8" l="1"/>
  <c r="M91" i="8"/>
  <c r="I91" i="8"/>
  <c r="D91" i="8"/>
  <c r="Y91" i="8"/>
  <c r="H91" i="8" s="1"/>
  <c r="J91" i="8"/>
  <c r="K91" i="8"/>
  <c r="F92" i="8" a="1"/>
  <c r="F92" i="8" s="1"/>
  <c r="E92" i="8" s="1"/>
  <c r="L91" i="8"/>
  <c r="O91" i="8" s="1"/>
  <c r="X91" i="8"/>
  <c r="G91" i="8" s="1"/>
  <c r="N91" i="8"/>
  <c r="F93" i="8" l="1" a="1"/>
  <c r="F93" i="8" s="1"/>
  <c r="E93" i="8" s="1"/>
  <c r="D92" i="8"/>
  <c r="N92" i="8"/>
  <c r="M92" i="8"/>
  <c r="J92" i="8"/>
  <c r="Y92" i="8"/>
  <c r="H92" i="8" s="1"/>
  <c r="I92" i="8"/>
  <c r="K92" i="8"/>
  <c r="L92" i="8"/>
  <c r="O92" i="8" s="1"/>
  <c r="X92" i="8"/>
  <c r="G92" i="8" s="1"/>
  <c r="A91" i="8"/>
  <c r="A92" i="8" l="1"/>
  <c r="Y93" i="8"/>
  <c r="H93" i="8" s="1"/>
  <c r="X93" i="8"/>
  <c r="G93" i="8" s="1"/>
  <c r="D93" i="8"/>
  <c r="K93" i="8"/>
  <c r="M93" i="8"/>
  <c r="J93" i="8"/>
  <c r="N93" i="8"/>
  <c r="I93" i="8"/>
  <c r="L93" i="8"/>
  <c r="O93" i="8" s="1"/>
  <c r="F94" i="8" a="1"/>
  <c r="F94" i="8" s="1"/>
  <c r="E94" i="8" s="1"/>
  <c r="A93" i="8" l="1"/>
  <c r="J94" i="8"/>
  <c r="L94" i="8"/>
  <c r="O94" i="8" s="1"/>
  <c r="K94" i="8"/>
  <c r="M94" i="8"/>
  <c r="X94" i="8"/>
  <c r="G94" i="8" s="1"/>
  <c r="N94" i="8"/>
  <c r="F95" i="8" a="1"/>
  <c r="F95" i="8" s="1"/>
  <c r="E95" i="8" s="1"/>
  <c r="D94" i="8"/>
  <c r="A94" i="8" s="1"/>
  <c r="Y94" i="8"/>
  <c r="H94" i="8" s="1"/>
  <c r="I94" i="8"/>
  <c r="F96" i="8" l="1" a="1"/>
  <c r="F96" i="8" s="1"/>
  <c r="E96" i="8" s="1"/>
  <c r="J95" i="8"/>
  <c r="M95" i="8"/>
  <c r="X95" i="8"/>
  <c r="G95" i="8" s="1"/>
  <c r="N95" i="8"/>
  <c r="K95" i="8"/>
  <c r="D95" i="8"/>
  <c r="I95" i="8"/>
  <c r="Y95" i="8"/>
  <c r="H95" i="8" s="1"/>
  <c r="L95" i="8"/>
  <c r="O95" i="8" s="1"/>
  <c r="A95" i="8"/>
  <c r="F97" i="8" l="1" a="1"/>
  <c r="F97" i="8" s="1"/>
  <c r="E97" i="8" s="1"/>
  <c r="D96" i="8"/>
  <c r="I96" i="8"/>
  <c r="L96" i="8"/>
  <c r="O96" i="8" s="1"/>
  <c r="J96" i="8"/>
  <c r="M96" i="8"/>
  <c r="Y96" i="8"/>
  <c r="H96" i="8" s="1"/>
  <c r="X96" i="8"/>
  <c r="G96" i="8" s="1"/>
  <c r="K96" i="8"/>
  <c r="N96" i="8"/>
  <c r="A96" i="8" l="1"/>
  <c r="M97" i="8"/>
  <c r="D97" i="8"/>
  <c r="K97" i="8"/>
  <c r="J97" i="8"/>
  <c r="N97" i="8"/>
  <c r="Y97" i="8"/>
  <c r="H97" i="8" s="1"/>
  <c r="F98" i="8" a="1"/>
  <c r="F98" i="8" s="1"/>
  <c r="E98" i="8" s="1"/>
  <c r="I97" i="8"/>
  <c r="L97" i="8"/>
  <c r="O97" i="8" s="1"/>
  <c r="X97" i="8"/>
  <c r="G97" i="8" s="1"/>
  <c r="D98" i="8" l="1"/>
  <c r="J98" i="8"/>
  <c r="N98" i="8"/>
  <c r="M98" i="8"/>
  <c r="I98" i="8"/>
  <c r="Y98" i="8"/>
  <c r="H98" i="8" s="1"/>
  <c r="X98" i="8"/>
  <c r="G98" i="8" s="1"/>
  <c r="L98" i="8"/>
  <c r="O98" i="8" s="1"/>
  <c r="K98" i="8"/>
  <c r="F99" i="8" a="1"/>
  <c r="F99" i="8" s="1"/>
  <c r="E99" i="8" s="1"/>
  <c r="A97" i="8"/>
  <c r="A98" i="8" l="1"/>
  <c r="M99" i="8"/>
  <c r="J99" i="8"/>
  <c r="K99" i="8"/>
  <c r="N99" i="8"/>
  <c r="F100" i="8" a="1"/>
  <c r="F100" i="8" s="1"/>
  <c r="E100" i="8" s="1"/>
  <c r="L99" i="8"/>
  <c r="O99" i="8" s="1"/>
  <c r="Y99" i="8"/>
  <c r="H99" i="8" s="1"/>
  <c r="I99" i="8"/>
  <c r="X99" i="8"/>
  <c r="G99" i="8" s="1"/>
  <c r="D99" i="8"/>
  <c r="A99" i="8" l="1"/>
  <c r="F101" i="8" a="1"/>
  <c r="F101" i="8" s="1"/>
  <c r="E101" i="8" s="1"/>
  <c r="Y100" i="8"/>
  <c r="H100" i="8" s="1"/>
  <c r="M100" i="8"/>
  <c r="D100" i="8"/>
  <c r="I100" i="8"/>
  <c r="X100" i="8"/>
  <c r="G100" i="8" s="1"/>
  <c r="J100" i="8"/>
  <c r="N100" i="8"/>
  <c r="K100" i="8"/>
  <c r="L100" i="8"/>
  <c r="O100" i="8" s="1"/>
  <c r="A100" i="8" l="1"/>
  <c r="J101" i="8"/>
  <c r="K101" i="8"/>
  <c r="N101" i="8"/>
  <c r="L101" i="8"/>
  <c r="O101" i="8" s="1"/>
  <c r="D101" i="8"/>
  <c r="X101" i="8"/>
  <c r="G101" i="8" s="1"/>
  <c r="I101" i="8"/>
  <c r="F102" i="8" a="1"/>
  <c r="F102" i="8" s="1"/>
  <c r="E102" i="8" s="1"/>
  <c r="M101" i="8"/>
  <c r="Y101" i="8"/>
  <c r="H101" i="8" s="1"/>
  <c r="M102" i="8" l="1"/>
  <c r="Y102" i="8"/>
  <c r="H102" i="8" s="1"/>
  <c r="F103" i="8" a="1"/>
  <c r="F103" i="8" s="1"/>
  <c r="E103" i="8" s="1"/>
  <c r="D102" i="8"/>
  <c r="X102" i="8"/>
  <c r="G102" i="8" s="1"/>
  <c r="N102" i="8"/>
  <c r="K102" i="8"/>
  <c r="L102" i="8"/>
  <c r="O102" i="8" s="1"/>
  <c r="I102" i="8"/>
  <c r="J102" i="8"/>
  <c r="A101" i="8"/>
  <c r="F104" i="8" l="1" a="1"/>
  <c r="F104" i="8" s="1"/>
  <c r="E104" i="8" s="1"/>
  <c r="I103" i="8"/>
  <c r="Y103" i="8"/>
  <c r="H103" i="8" s="1"/>
  <c r="N103" i="8"/>
  <c r="A102" i="8"/>
  <c r="J103" i="8"/>
  <c r="K103" i="8"/>
  <c r="X103" i="8"/>
  <c r="G103" i="8" s="1"/>
  <c r="L103" i="8"/>
  <c r="O103" i="8" s="1"/>
  <c r="M103" i="8"/>
  <c r="D103" i="8"/>
  <c r="A103" i="8" s="1"/>
  <c r="F105" i="8" l="1" a="1"/>
  <c r="F105" i="8" s="1"/>
  <c r="E105" i="8" s="1"/>
  <c r="M104" i="8"/>
  <c r="J104" i="8"/>
  <c r="Y104" i="8"/>
  <c r="H104" i="8" s="1"/>
  <c r="K104" i="8"/>
  <c r="N104" i="8"/>
  <c r="D104" i="8"/>
  <c r="I104" i="8"/>
  <c r="L104" i="8"/>
  <c r="O104" i="8" s="1"/>
  <c r="X104" i="8"/>
  <c r="G104" i="8" s="1"/>
  <c r="L105" i="8" l="1"/>
  <c r="O105" i="8" s="1"/>
  <c r="J105" i="8"/>
  <c r="Y105" i="8"/>
  <c r="H105" i="8" s="1"/>
  <c r="X105" i="8"/>
  <c r="G105" i="8" s="1"/>
  <c r="M105" i="8"/>
  <c r="K105" i="8"/>
  <c r="D105" i="8"/>
  <c r="A105" i="8" s="1"/>
  <c r="I105" i="8"/>
  <c r="N105" i="8"/>
  <c r="A104" i="8"/>
  <c r="F106" i="8" a="1"/>
  <c r="F106" i="8" s="1"/>
  <c r="E106" i="8" s="1"/>
  <c r="F107" i="8" l="1" a="1"/>
  <c r="F107" i="8" s="1"/>
  <c r="E107" i="8" s="1"/>
  <c r="L106" i="8"/>
  <c r="O106" i="8" s="1"/>
  <c r="N106" i="8"/>
  <c r="J106" i="8"/>
  <c r="I106" i="8"/>
  <c r="D106" i="8"/>
  <c r="A106" i="8" s="1"/>
  <c r="Y106" i="8"/>
  <c r="H106" i="8" s="1"/>
  <c r="X106" i="8"/>
  <c r="G106" i="8" s="1"/>
  <c r="M106" i="8"/>
  <c r="K106" i="8"/>
  <c r="F108" i="8" l="1" a="1"/>
  <c r="F108" i="8" s="1"/>
  <c r="E108" i="8" s="1"/>
  <c r="Y107" i="8"/>
  <c r="H107" i="8" s="1"/>
  <c r="I107" i="8"/>
  <c r="L107" i="8"/>
  <c r="O107" i="8" s="1"/>
  <c r="N107" i="8"/>
  <c r="X107" i="8"/>
  <c r="G107" i="8" s="1"/>
  <c r="D107" i="8"/>
  <c r="J107" i="8"/>
  <c r="K107" i="8"/>
  <c r="M107" i="8"/>
  <c r="A107" i="8" l="1"/>
  <c r="F109" i="8" a="1"/>
  <c r="F109" i="8" s="1"/>
  <c r="E109" i="8" s="1"/>
  <c r="X108" i="8"/>
  <c r="G108" i="8" s="1"/>
  <c r="M108" i="8"/>
  <c r="D108" i="8"/>
  <c r="Y108" i="8"/>
  <c r="H108" i="8" s="1"/>
  <c r="L108" i="8"/>
  <c r="O108" i="8" s="1"/>
  <c r="N108" i="8"/>
  <c r="J108" i="8"/>
  <c r="K108" i="8"/>
  <c r="I108" i="8"/>
  <c r="A108" i="8" l="1"/>
  <c r="M109" i="8"/>
  <c r="I109" i="8"/>
  <c r="Y109" i="8"/>
  <c r="H109" i="8" s="1"/>
  <c r="K109" i="8"/>
  <c r="X109" i="8"/>
  <c r="G109" i="8" s="1"/>
  <c r="D109" i="8"/>
  <c r="L109" i="8"/>
  <c r="O109" i="8" s="1"/>
  <c r="N109" i="8"/>
  <c r="F110" i="8" a="1"/>
  <c r="F110" i="8" s="1"/>
  <c r="E110" i="8" s="1"/>
  <c r="J109" i="8"/>
  <c r="A109" i="8" l="1"/>
  <c r="L110" i="8"/>
  <c r="O110" i="8" s="1"/>
  <c r="I110" i="8"/>
  <c r="J110" i="8"/>
  <c r="Y110" i="8"/>
  <c r="H110" i="8" s="1"/>
  <c r="X110" i="8"/>
  <c r="G110" i="8" s="1"/>
  <c r="F111" i="8" a="1"/>
  <c r="F111" i="8" s="1"/>
  <c r="E111" i="8" s="1"/>
  <c r="K110" i="8"/>
  <c r="D110" i="8"/>
  <c r="N110" i="8"/>
  <c r="M110" i="8"/>
  <c r="A110" i="8" l="1"/>
  <c r="F112" i="8" a="1"/>
  <c r="F112" i="8" s="1"/>
  <c r="E112" i="8" s="1"/>
  <c r="I111" i="8"/>
  <c r="L111" i="8"/>
  <c r="O111" i="8" s="1"/>
  <c r="D111" i="8"/>
  <c r="X111" i="8"/>
  <c r="G111" i="8" s="1"/>
  <c r="K111" i="8"/>
  <c r="N111" i="8"/>
  <c r="Y111" i="8"/>
  <c r="H111" i="8" s="1"/>
  <c r="J111" i="8"/>
  <c r="M111" i="8"/>
  <c r="F113" i="8" l="1" a="1"/>
  <c r="F113" i="8" s="1"/>
  <c r="E113" i="8" s="1"/>
  <c r="A111" i="8"/>
  <c r="L112" i="8"/>
  <c r="O112" i="8" s="1"/>
  <c r="J112" i="8"/>
  <c r="Y112" i="8"/>
  <c r="H112" i="8" s="1"/>
  <c r="M112" i="8"/>
  <c r="D112" i="8"/>
  <c r="K112" i="8"/>
  <c r="N112" i="8"/>
  <c r="X112" i="8"/>
  <c r="G112" i="8" s="1"/>
  <c r="I112" i="8"/>
  <c r="A112" i="8" l="1"/>
  <c r="X113" i="8"/>
  <c r="G113" i="8" s="1"/>
  <c r="K113" i="8"/>
  <c r="N113" i="8"/>
  <c r="L113" i="8"/>
  <c r="O113" i="8" s="1"/>
  <c r="J113" i="8"/>
  <c r="D113" i="8"/>
  <c r="I113" i="8"/>
  <c r="F114" i="8" a="1"/>
  <c r="F114" i="8" s="1"/>
  <c r="E114" i="8" s="1"/>
  <c r="M113" i="8"/>
  <c r="Y113" i="8"/>
  <c r="H113" i="8" s="1"/>
  <c r="A113" i="8" l="1"/>
  <c r="I114" i="8"/>
  <c r="X114" i="8"/>
  <c r="G114" i="8" s="1"/>
  <c r="N114" i="8"/>
  <c r="L114" i="8"/>
  <c r="O114" i="8" s="1"/>
  <c r="K114" i="8"/>
  <c r="M114" i="8"/>
  <c r="D114" i="8"/>
  <c r="Y114" i="8"/>
  <c r="H114" i="8" s="1"/>
  <c r="F115" i="8" a="1"/>
  <c r="F115" i="8" s="1"/>
  <c r="E115" i="8" s="1"/>
  <c r="J114" i="8"/>
  <c r="A114" i="8" l="1"/>
  <c r="J115" i="8"/>
  <c r="L115" i="8"/>
  <c r="O115" i="8" s="1"/>
  <c r="Y115" i="8"/>
  <c r="H115" i="8" s="1"/>
  <c r="M115" i="8"/>
  <c r="X115" i="8"/>
  <c r="G115" i="8" s="1"/>
  <c r="D115" i="8"/>
  <c r="A115" i="8" s="1"/>
  <c r="I115" i="8"/>
  <c r="K115" i="8"/>
  <c r="N115" i="8"/>
  <c r="F116" i="8" a="1"/>
  <c r="F116" i="8" s="1"/>
  <c r="E116" i="8" s="1"/>
  <c r="L116" i="8" l="1"/>
  <c r="O116" i="8" s="1"/>
  <c r="Y116" i="8"/>
  <c r="H116" i="8" s="1"/>
  <c r="M116" i="8"/>
  <c r="D116" i="8"/>
  <c r="A116" i="8" s="1"/>
  <c r="J116" i="8"/>
  <c r="I116" i="8"/>
  <c r="K116" i="8"/>
  <c r="X116" i="8"/>
  <c r="G116" i="8" s="1"/>
  <c r="N116" i="8"/>
  <c r="F117" i="8" a="1"/>
  <c r="F117" i="8" s="1"/>
  <c r="E117" i="8" s="1"/>
  <c r="F118" i="8" l="1" a="1"/>
  <c r="F118" i="8" s="1"/>
  <c r="E118" i="8" s="1"/>
  <c r="I117" i="8"/>
  <c r="L117" i="8"/>
  <c r="O117" i="8" s="1"/>
  <c r="Y117" i="8"/>
  <c r="H117" i="8" s="1"/>
  <c r="D117" i="8"/>
  <c r="K117" i="8"/>
  <c r="N117" i="8"/>
  <c r="M117" i="8"/>
  <c r="X117" i="8"/>
  <c r="G117" i="8" s="1"/>
  <c r="J117" i="8"/>
  <c r="F119" i="8" l="1" a="1"/>
  <c r="F119" i="8" s="1"/>
  <c r="E119" i="8" s="1"/>
  <c r="I118" i="8"/>
  <c r="D118" i="8"/>
  <c r="A117" i="8"/>
  <c r="L118" i="8"/>
  <c r="O118" i="8" s="1"/>
  <c r="Y118" i="8"/>
  <c r="H118" i="8" s="1"/>
  <c r="J118" i="8"/>
  <c r="K118" i="8"/>
  <c r="N118" i="8"/>
  <c r="M118" i="8"/>
  <c r="X118" i="8"/>
  <c r="G118" i="8" s="1"/>
  <c r="A118" i="8" l="1"/>
  <c r="F120" i="8" a="1"/>
  <c r="F120" i="8" s="1"/>
  <c r="E120" i="8" s="1"/>
  <c r="D119" i="8"/>
  <c r="M119" i="8"/>
  <c r="Y119" i="8"/>
  <c r="H119" i="8" s="1"/>
  <c r="L119" i="8"/>
  <c r="O119" i="8" s="1"/>
  <c r="N119" i="8"/>
  <c r="J119" i="8"/>
  <c r="I119" i="8"/>
  <c r="X119" i="8"/>
  <c r="G119" i="8" s="1"/>
  <c r="K119" i="8"/>
  <c r="A119" i="8" l="1"/>
  <c r="K120" i="8"/>
  <c r="D120" i="8"/>
  <c r="L120" i="8"/>
  <c r="O120" i="8" s="1"/>
  <c r="X120" i="8"/>
  <c r="G120" i="8" s="1"/>
  <c r="M120" i="8"/>
  <c r="I120" i="8"/>
  <c r="J120" i="8"/>
  <c r="N120" i="8"/>
  <c r="F121" i="8" a="1"/>
  <c r="F121" i="8" s="1"/>
  <c r="E121" i="8" s="1"/>
  <c r="Y120" i="8"/>
  <c r="H120" i="8" s="1"/>
  <c r="A120" i="8" l="1"/>
  <c r="F122" i="8" a="1"/>
  <c r="F122" i="8" s="1"/>
  <c r="E122" i="8" s="1"/>
  <c r="K121" i="8"/>
  <c r="L121" i="8"/>
  <c r="O121" i="8" s="1"/>
  <c r="X121" i="8"/>
  <c r="G121" i="8" s="1"/>
  <c r="J121" i="8"/>
  <c r="N121" i="8"/>
  <c r="D121" i="8"/>
  <c r="M121" i="8"/>
  <c r="Y121" i="8"/>
  <c r="H121" i="8" s="1"/>
  <c r="I121" i="8"/>
  <c r="A121" i="8" l="1"/>
  <c r="L122" i="8"/>
  <c r="O122" i="8" s="1"/>
  <c r="J122" i="8"/>
  <c r="X122" i="8"/>
  <c r="G122" i="8" s="1"/>
  <c r="D122" i="8"/>
  <c r="I122" i="8"/>
  <c r="N122" i="8"/>
  <c r="F123" i="8" a="1"/>
  <c r="F123" i="8" s="1"/>
  <c r="E123" i="8" s="1"/>
  <c r="K122" i="8"/>
  <c r="M122" i="8"/>
  <c r="Y122" i="8"/>
  <c r="H122" i="8" s="1"/>
  <c r="A122" i="8" l="1"/>
  <c r="F124" i="8" a="1"/>
  <c r="F124" i="8" s="1"/>
  <c r="E124" i="8" s="1"/>
  <c r="L123" i="8"/>
  <c r="O123" i="8" s="1"/>
  <c r="X123" i="8"/>
  <c r="G123" i="8" s="1"/>
  <c r="N123" i="8"/>
  <c r="D123" i="8"/>
  <c r="A123" i="8" s="1"/>
  <c r="J123" i="8"/>
  <c r="K123" i="8"/>
  <c r="I123" i="8"/>
  <c r="M123" i="8"/>
  <c r="Y123" i="8"/>
  <c r="H123" i="8" s="1"/>
  <c r="J124" i="8" l="1"/>
  <c r="X124" i="8"/>
  <c r="G124" i="8" s="1"/>
  <c r="F125" i="8" a="1"/>
  <c r="F125" i="8" s="1"/>
  <c r="E125" i="8" s="1"/>
  <c r="I124" i="8"/>
  <c r="Y124" i="8"/>
  <c r="H124" i="8" s="1"/>
  <c r="N124" i="8"/>
  <c r="K124" i="8"/>
  <c r="L124" i="8"/>
  <c r="O124" i="8" s="1"/>
  <c r="D124" i="8"/>
  <c r="M124" i="8"/>
  <c r="A124" i="8"/>
  <c r="F126" i="8" l="1" a="1"/>
  <c r="F126" i="8" s="1"/>
  <c r="E126" i="8" s="1"/>
  <c r="J125" i="8"/>
  <c r="M125" i="8"/>
  <c r="L125" i="8"/>
  <c r="O125" i="8" s="1"/>
  <c r="D125" i="8"/>
  <c r="N125" i="8"/>
  <c r="Y125" i="8"/>
  <c r="H125" i="8" s="1"/>
  <c r="K125" i="8"/>
  <c r="X125" i="8"/>
  <c r="G125" i="8" s="1"/>
  <c r="I125" i="8"/>
  <c r="A125" i="8" l="1"/>
  <c r="F127" i="8" a="1"/>
  <c r="F127" i="8" s="1"/>
  <c r="E127" i="8" s="1"/>
  <c r="L126" i="8"/>
  <c r="O126" i="8" s="1"/>
  <c r="K126" i="8"/>
  <c r="Y126" i="8"/>
  <c r="H126" i="8" s="1"/>
  <c r="D126" i="8"/>
  <c r="X126" i="8"/>
  <c r="G126" i="8" s="1"/>
  <c r="M126" i="8"/>
  <c r="N126" i="8"/>
  <c r="J126" i="8"/>
  <c r="I126" i="8"/>
  <c r="A126" i="8" l="1"/>
  <c r="X127" i="8"/>
  <c r="G127" i="8" s="1"/>
  <c r="K127" i="8"/>
  <c r="J127" i="8"/>
  <c r="F128" i="8" a="1"/>
  <c r="F128" i="8" s="1"/>
  <c r="E128" i="8" s="1"/>
  <c r="M127" i="8"/>
  <c r="Y127" i="8"/>
  <c r="H127" i="8" s="1"/>
  <c r="D127" i="8"/>
  <c r="I127" i="8"/>
  <c r="N127" i="8"/>
  <c r="L127" i="8"/>
  <c r="O127" i="8" s="1"/>
  <c r="A127" i="8" l="1"/>
  <c r="F129" i="8" a="1"/>
  <c r="F129" i="8" s="1"/>
  <c r="E129" i="8" s="1"/>
  <c r="L128" i="8"/>
  <c r="O128" i="8" s="1"/>
  <c r="N128" i="8"/>
  <c r="I128" i="8"/>
  <c r="D128" i="8"/>
  <c r="J128" i="8"/>
  <c r="M128" i="8"/>
  <c r="K128" i="8"/>
  <c r="Y128" i="8"/>
  <c r="H128" i="8" s="1"/>
  <c r="X128" i="8"/>
  <c r="G128" i="8" s="1"/>
  <c r="A128" i="8" l="1"/>
  <c r="F130" i="8" a="1"/>
  <c r="F130" i="8" s="1"/>
  <c r="E130" i="8" s="1"/>
  <c r="D129" i="8"/>
  <c r="X129" i="8"/>
  <c r="G129" i="8" s="1"/>
  <c r="N129" i="8"/>
  <c r="K129" i="8"/>
  <c r="M129" i="8"/>
  <c r="L129" i="8"/>
  <c r="O129" i="8" s="1"/>
  <c r="Y129" i="8"/>
  <c r="H129" i="8" s="1"/>
  <c r="I129" i="8"/>
  <c r="J129" i="8"/>
  <c r="D130" i="8" l="1"/>
  <c r="X130" i="8"/>
  <c r="G130" i="8" s="1"/>
  <c r="Y130" i="8"/>
  <c r="H130" i="8" s="1"/>
  <c r="K130" i="8"/>
  <c r="F131" i="8" a="1"/>
  <c r="F131" i="8" s="1"/>
  <c r="E131" i="8" s="1"/>
  <c r="J130" i="8"/>
  <c r="M130" i="8"/>
  <c r="N130" i="8"/>
  <c r="L130" i="8"/>
  <c r="O130" i="8" s="1"/>
  <c r="I130" i="8"/>
  <c r="A129" i="8"/>
  <c r="A130" i="8" l="1"/>
  <c r="K131" i="8"/>
  <c r="L131" i="8"/>
  <c r="O131" i="8" s="1"/>
  <c r="N131" i="8"/>
  <c r="F132" i="8" a="1"/>
  <c r="F132" i="8" s="1"/>
  <c r="E132" i="8" s="1"/>
  <c r="X131" i="8"/>
  <c r="G131" i="8" s="1"/>
  <c r="J131" i="8"/>
  <c r="D131" i="8"/>
  <c r="M131" i="8"/>
  <c r="I131" i="8"/>
  <c r="Y131" i="8"/>
  <c r="H131" i="8" s="1"/>
  <c r="A131" i="8" l="1"/>
  <c r="D132" i="8"/>
  <c r="I132" i="8"/>
  <c r="Y132" i="8"/>
  <c r="H132" i="8" s="1"/>
  <c r="M132" i="8"/>
  <c r="N132" i="8"/>
  <c r="X132" i="8"/>
  <c r="G132" i="8" s="1"/>
  <c r="J132" i="8"/>
  <c r="F133" i="8" a="1"/>
  <c r="F133" i="8" s="1"/>
  <c r="E133" i="8" s="1"/>
  <c r="K132" i="8"/>
  <c r="L132" i="8"/>
  <c r="O132" i="8" s="1"/>
  <c r="A132" i="8" l="1"/>
  <c r="F134" i="8" a="1"/>
  <c r="F134" i="8" s="1"/>
  <c r="E134" i="8" s="1"/>
  <c r="N133" i="8"/>
  <c r="J133" i="8"/>
  <c r="I133" i="8"/>
  <c r="K133" i="8"/>
  <c r="D133" i="8"/>
  <c r="L133" i="8"/>
  <c r="O133" i="8" s="1"/>
  <c r="M133" i="8"/>
  <c r="Y133" i="8"/>
  <c r="H133" i="8" s="1"/>
  <c r="X133" i="8"/>
  <c r="G133" i="8" s="1"/>
  <c r="A133" i="8" l="1"/>
  <c r="F135" i="8" a="1"/>
  <c r="F135" i="8" s="1"/>
  <c r="E135" i="8" s="1"/>
  <c r="X134" i="8"/>
  <c r="G134" i="8" s="1"/>
  <c r="K134" i="8"/>
  <c r="J134" i="8"/>
  <c r="L134" i="8"/>
  <c r="O134" i="8" s="1"/>
  <c r="I134" i="8"/>
  <c r="Y134" i="8"/>
  <c r="H134" i="8" s="1"/>
  <c r="N134" i="8"/>
  <c r="M134" i="8"/>
  <c r="D134" i="8"/>
  <c r="A134" i="8" s="1"/>
  <c r="F136" i="8" l="1" a="1"/>
  <c r="F136" i="8" s="1"/>
  <c r="E136" i="8" s="1"/>
  <c r="I135" i="8"/>
  <c r="K135" i="8"/>
  <c r="X135" i="8"/>
  <c r="G135" i="8" s="1"/>
  <c r="L135" i="8"/>
  <c r="O135" i="8" s="1"/>
  <c r="D135" i="8"/>
  <c r="N135" i="8"/>
  <c r="Y135" i="8"/>
  <c r="H135" i="8" s="1"/>
  <c r="J135" i="8"/>
  <c r="M135" i="8"/>
  <c r="A135" i="8" l="1"/>
  <c r="M136" i="8"/>
  <c r="J136" i="8"/>
  <c r="D136" i="8"/>
  <c r="L136" i="8"/>
  <c r="O136" i="8" s="1"/>
  <c r="X136" i="8"/>
  <c r="G136" i="8" s="1"/>
  <c r="Y136" i="8"/>
  <c r="H136" i="8" s="1"/>
  <c r="K136" i="8"/>
  <c r="I136" i="8"/>
  <c r="N136" i="8"/>
  <c r="F137" i="8" a="1"/>
  <c r="F137" i="8" s="1"/>
  <c r="E137" i="8" s="1"/>
  <c r="A136" i="8" l="1"/>
  <c r="J137" i="8"/>
  <c r="K137" i="8"/>
  <c r="X137" i="8"/>
  <c r="G137" i="8" s="1"/>
  <c r="M137" i="8"/>
  <c r="F138" i="8" a="1"/>
  <c r="F138" i="8" s="1"/>
  <c r="E138" i="8" s="1"/>
  <c r="D137" i="8"/>
  <c r="A137" i="8" s="1"/>
  <c r="I137" i="8"/>
  <c r="N137" i="8"/>
  <c r="L137" i="8"/>
  <c r="O137" i="8" s="1"/>
  <c r="Y137" i="8"/>
  <c r="H137" i="8" s="1"/>
  <c r="X138" i="8" l="1"/>
  <c r="G138" i="8" s="1"/>
  <c r="K138" i="8"/>
  <c r="D138" i="8"/>
  <c r="Y138" i="8"/>
  <c r="H138" i="8" s="1"/>
  <c r="I138" i="8"/>
  <c r="N138" i="8"/>
  <c r="F139" i="8" a="1"/>
  <c r="F139" i="8" s="1"/>
  <c r="E139" i="8" s="1"/>
  <c r="J138" i="8"/>
  <c r="L138" i="8"/>
  <c r="O138" i="8" s="1"/>
  <c r="M138" i="8"/>
  <c r="A138" i="8"/>
  <c r="F140" i="8" l="1" a="1"/>
  <c r="F140" i="8" s="1"/>
  <c r="E140" i="8" s="1"/>
  <c r="K139" i="8"/>
  <c r="D139" i="8"/>
  <c r="M139" i="8"/>
  <c r="N139" i="8"/>
  <c r="X139" i="8"/>
  <c r="G139" i="8" s="1"/>
  <c r="I139" i="8"/>
  <c r="L139" i="8"/>
  <c r="O139" i="8" s="1"/>
  <c r="J139" i="8"/>
  <c r="Y139" i="8"/>
  <c r="H139" i="8" s="1"/>
  <c r="A139" i="8"/>
  <c r="F141" i="8" l="1" a="1"/>
  <c r="F141" i="8" s="1"/>
  <c r="E141" i="8" s="1"/>
  <c r="K140" i="8"/>
  <c r="I140" i="8"/>
  <c r="M140" i="8"/>
  <c r="D140" i="8"/>
  <c r="A140" i="8" s="1"/>
  <c r="L140" i="8"/>
  <c r="O140" i="8" s="1"/>
  <c r="N140" i="8"/>
  <c r="X140" i="8"/>
  <c r="G140" i="8" s="1"/>
  <c r="Y140" i="8"/>
  <c r="H140" i="8" s="1"/>
  <c r="J140" i="8"/>
  <c r="F142" i="8" l="1" a="1"/>
  <c r="F142" i="8" s="1"/>
  <c r="E142" i="8" s="1"/>
  <c r="J141" i="8"/>
  <c r="L141" i="8"/>
  <c r="O141" i="8" s="1"/>
  <c r="I141" i="8"/>
  <c r="K141" i="8"/>
  <c r="D141" i="8"/>
  <c r="X141" i="8"/>
  <c r="G141" i="8" s="1"/>
  <c r="N141" i="8"/>
  <c r="M141" i="8"/>
  <c r="Y141" i="8"/>
  <c r="H141" i="8" s="1"/>
  <c r="X142" i="8" l="1"/>
  <c r="G142" i="8" s="1"/>
  <c r="M142" i="8"/>
  <c r="Y142" i="8"/>
  <c r="H142" i="8" s="1"/>
  <c r="J142" i="8"/>
  <c r="I142" i="8"/>
  <c r="K142" i="8"/>
  <c r="L142" i="8"/>
  <c r="O142" i="8" s="1"/>
  <c r="N142" i="8"/>
  <c r="F143" i="8" a="1"/>
  <c r="F143" i="8" s="1"/>
  <c r="E143" i="8" s="1"/>
  <c r="D142" i="8"/>
  <c r="A142" i="8" s="1"/>
  <c r="A141" i="8"/>
  <c r="L143" i="8" l="1"/>
  <c r="O143" i="8" s="1"/>
  <c r="J143" i="8"/>
  <c r="N143" i="8"/>
  <c r="M143" i="8"/>
  <c r="D143" i="8"/>
  <c r="F144" i="8" a="1"/>
  <c r="F144" i="8" s="1"/>
  <c r="E144" i="8" s="1"/>
  <c r="K143" i="8"/>
  <c r="X143" i="8"/>
  <c r="G143" i="8" s="1"/>
  <c r="Y143" i="8"/>
  <c r="H143" i="8" s="1"/>
  <c r="I143" i="8"/>
  <c r="A143" i="8"/>
  <c r="F145" i="8" l="1" a="1"/>
  <c r="F145" i="8" s="1"/>
  <c r="E145" i="8" s="1"/>
  <c r="X144" i="8"/>
  <c r="G144" i="8" s="1"/>
  <c r="I144" i="8"/>
  <c r="Y144" i="8"/>
  <c r="H144" i="8" s="1"/>
  <c r="D144" i="8"/>
  <c r="N144" i="8"/>
  <c r="L144" i="8"/>
  <c r="O144" i="8" s="1"/>
  <c r="K144" i="8"/>
  <c r="J144" i="8"/>
  <c r="M144" i="8"/>
  <c r="A144" i="8" l="1"/>
  <c r="L145" i="8"/>
  <c r="O145" i="8" s="1"/>
  <c r="D145" i="8"/>
  <c r="J145" i="8"/>
  <c r="N145" i="8"/>
  <c r="M145" i="8"/>
  <c r="K145" i="8"/>
  <c r="F146" i="8" a="1"/>
  <c r="F146" i="8" s="1"/>
  <c r="E146" i="8" s="1"/>
  <c r="Y145" i="8"/>
  <c r="H145" i="8" s="1"/>
  <c r="X145" i="8"/>
  <c r="G145" i="8" s="1"/>
  <c r="I145" i="8"/>
  <c r="D146" i="8" l="1"/>
  <c r="X146" i="8"/>
  <c r="G146" i="8" s="1"/>
  <c r="N146" i="8"/>
  <c r="M146" i="8"/>
  <c r="Y146" i="8"/>
  <c r="H146" i="8" s="1"/>
  <c r="L146" i="8"/>
  <c r="O146" i="8" s="1"/>
  <c r="I146" i="8"/>
  <c r="J146" i="8"/>
  <c r="F147" i="8" a="1"/>
  <c r="F147" i="8" s="1"/>
  <c r="E147" i="8" s="1"/>
  <c r="K146" i="8"/>
  <c r="A145" i="8"/>
  <c r="A146" i="8" l="1"/>
  <c r="F148" i="8" a="1"/>
  <c r="F148" i="8" s="1"/>
  <c r="E148" i="8" s="1"/>
  <c r="X147" i="8"/>
  <c r="G147" i="8" s="1"/>
  <c r="I147" i="8"/>
  <c r="D147" i="8"/>
  <c r="K147" i="8"/>
  <c r="J147" i="8"/>
  <c r="N147" i="8"/>
  <c r="L147" i="8"/>
  <c r="O147" i="8" s="1"/>
  <c r="M147" i="8"/>
  <c r="Y147" i="8"/>
  <c r="H147" i="8" s="1"/>
  <c r="A147" i="8" l="1"/>
  <c r="F149" i="8" a="1"/>
  <c r="F149" i="8" s="1"/>
  <c r="E149" i="8" s="1"/>
  <c r="I148" i="8"/>
  <c r="X148" i="8"/>
  <c r="G148" i="8" s="1"/>
  <c r="K148" i="8"/>
  <c r="J148" i="8"/>
  <c r="L148" i="8"/>
  <c r="O148" i="8" s="1"/>
  <c r="Y148" i="8"/>
  <c r="H148" i="8" s="1"/>
  <c r="N148" i="8"/>
  <c r="M148" i="8"/>
  <c r="D148" i="8"/>
  <c r="A148" i="8" s="1"/>
  <c r="F150" i="8" l="1" a="1"/>
  <c r="F150" i="8" s="1"/>
  <c r="E150" i="8" s="1"/>
  <c r="X149" i="8"/>
  <c r="G149" i="8" s="1"/>
  <c r="Y149" i="8"/>
  <c r="H149" i="8" s="1"/>
  <c r="D149" i="8"/>
  <c r="J149" i="8"/>
  <c r="K149" i="8"/>
  <c r="M149" i="8"/>
  <c r="N149" i="8"/>
  <c r="I149" i="8"/>
  <c r="L149" i="8"/>
  <c r="O149" i="8" s="1"/>
  <c r="A149" i="8" l="1"/>
  <c r="M150" i="8"/>
  <c r="K150" i="8"/>
  <c r="X150" i="8"/>
  <c r="G150" i="8" s="1"/>
  <c r="L150" i="8"/>
  <c r="O150" i="8" s="1"/>
  <c r="I150" i="8"/>
  <c r="N150" i="8"/>
  <c r="F151" i="8" a="1"/>
  <c r="F151" i="8" s="1"/>
  <c r="E151" i="8" s="1"/>
  <c r="Y150" i="8"/>
  <c r="H150" i="8" s="1"/>
  <c r="J150" i="8"/>
  <c r="D150" i="8"/>
  <c r="A150" i="8"/>
  <c r="F152" i="8" l="1" a="1"/>
  <c r="F152" i="8" s="1"/>
  <c r="E152" i="8" s="1"/>
  <c r="X151" i="8"/>
  <c r="G151" i="8" s="1"/>
  <c r="I151" i="8"/>
  <c r="Y151" i="8"/>
  <c r="H151" i="8" s="1"/>
  <c r="D151" i="8"/>
  <c r="M151" i="8"/>
  <c r="J151" i="8"/>
  <c r="L151" i="8"/>
  <c r="O151" i="8" s="1"/>
  <c r="N151" i="8"/>
  <c r="K151" i="8"/>
  <c r="A151" i="8" l="1"/>
  <c r="J152" i="8"/>
  <c r="I152" i="8"/>
  <c r="F153" i="8" a="1"/>
  <c r="F153" i="8" s="1"/>
  <c r="E153" i="8" s="1"/>
  <c r="N152" i="8"/>
  <c r="K152" i="8"/>
  <c r="D152" i="8"/>
  <c r="M152" i="8"/>
  <c r="X152" i="8"/>
  <c r="G152" i="8" s="1"/>
  <c r="Y152" i="8"/>
  <c r="H152" i="8" s="1"/>
  <c r="L152" i="8"/>
  <c r="O152" i="8" s="1"/>
  <c r="A152" i="8" l="1"/>
  <c r="F154" i="8" a="1"/>
  <c r="F154" i="8" s="1"/>
  <c r="E154" i="8" s="1"/>
  <c r="D153" i="8"/>
  <c r="N153" i="8"/>
  <c r="K153" i="8"/>
  <c r="J153" i="8"/>
  <c r="Y153" i="8"/>
  <c r="H153" i="8" s="1"/>
  <c r="L153" i="8"/>
  <c r="O153" i="8" s="1"/>
  <c r="I153" i="8"/>
  <c r="X153" i="8"/>
  <c r="G153" i="8" s="1"/>
  <c r="M153" i="8"/>
  <c r="F155" i="8" l="1" a="1"/>
  <c r="F155" i="8" s="1"/>
  <c r="E155" i="8" s="1"/>
  <c r="X154" i="8"/>
  <c r="G154" i="8" s="1"/>
  <c r="I154" i="8"/>
  <c r="L154" i="8"/>
  <c r="O154" i="8" s="1"/>
  <c r="K154" i="8"/>
  <c r="A153" i="8"/>
  <c r="D154" i="8"/>
  <c r="J154" i="8"/>
  <c r="N154" i="8"/>
  <c r="M154" i="8"/>
  <c r="Y154" i="8"/>
  <c r="H154" i="8" s="1"/>
  <c r="A154" i="8" l="1"/>
  <c r="F156" i="8" a="1"/>
  <c r="F156" i="8" s="1"/>
  <c r="E156" i="8" s="1"/>
  <c r="J155" i="8"/>
  <c r="Y155" i="8"/>
  <c r="H155" i="8" s="1"/>
  <c r="K155" i="8"/>
  <c r="M155" i="8"/>
  <c r="L155" i="8"/>
  <c r="O155" i="8" s="1"/>
  <c r="N155" i="8"/>
  <c r="D155" i="8"/>
  <c r="X155" i="8"/>
  <c r="G155" i="8" s="1"/>
  <c r="I155" i="8"/>
  <c r="A155" i="8" l="1"/>
  <c r="K156" i="8"/>
  <c r="Y156" i="8"/>
  <c r="H156" i="8" s="1"/>
  <c r="M156" i="8"/>
  <c r="X156" i="8"/>
  <c r="G156" i="8" s="1"/>
  <c r="L156" i="8"/>
  <c r="O156" i="8" s="1"/>
  <c r="I156" i="8"/>
  <c r="D156" i="8"/>
  <c r="F157" i="8" a="1"/>
  <c r="F157" i="8" s="1"/>
  <c r="E157" i="8" s="1"/>
  <c r="N156" i="8"/>
  <c r="J156" i="8"/>
  <c r="A156" i="8" l="1"/>
  <c r="F158" i="8" a="1"/>
  <c r="F158" i="8" s="1"/>
  <c r="E158" i="8" s="1"/>
  <c r="K157" i="8"/>
  <c r="J157" i="8"/>
  <c r="M157" i="8"/>
  <c r="N157" i="8"/>
  <c r="L157" i="8"/>
  <c r="O157" i="8" s="1"/>
  <c r="I157" i="8"/>
  <c r="Y157" i="8"/>
  <c r="H157" i="8" s="1"/>
  <c r="D157" i="8"/>
  <c r="X157" i="8"/>
  <c r="G157" i="8" s="1"/>
  <c r="A157" i="8" l="1"/>
  <c r="M158" i="8"/>
  <c r="L158" i="8"/>
  <c r="O158" i="8" s="1"/>
  <c r="Y158" i="8"/>
  <c r="H158" i="8" s="1"/>
  <c r="J158" i="8"/>
  <c r="I158" i="8"/>
  <c r="X158" i="8"/>
  <c r="G158" i="8" s="1"/>
  <c r="D158" i="8"/>
  <c r="K158" i="8"/>
  <c r="N158" i="8"/>
  <c r="F159" i="8" a="1"/>
  <c r="F159" i="8" s="1"/>
  <c r="E159" i="8" s="1"/>
  <c r="F160" i="8" l="1" a="1"/>
  <c r="F160" i="8" s="1"/>
  <c r="E160" i="8" s="1"/>
  <c r="D159" i="8"/>
  <c r="I159" i="8"/>
  <c r="J159" i="8"/>
  <c r="M159" i="8"/>
  <c r="X159" i="8"/>
  <c r="G159" i="8" s="1"/>
  <c r="K159" i="8"/>
  <c r="Y159" i="8"/>
  <c r="H159" i="8" s="1"/>
  <c r="L159" i="8"/>
  <c r="O159" i="8" s="1"/>
  <c r="N159" i="8"/>
  <c r="A158" i="8"/>
  <c r="A159" i="8" l="1"/>
  <c r="K160" i="8"/>
  <c r="Y160" i="8"/>
  <c r="H160" i="8" s="1"/>
  <c r="F161" i="8" a="1"/>
  <c r="F161" i="8" s="1"/>
  <c r="E161" i="8" s="1"/>
  <c r="X160" i="8"/>
  <c r="G160" i="8" s="1"/>
  <c r="D160" i="8"/>
  <c r="A160" i="8" s="1"/>
  <c r="N160" i="8"/>
  <c r="J160" i="8"/>
  <c r="L160" i="8"/>
  <c r="O160" i="8" s="1"/>
  <c r="I160" i="8"/>
  <c r="M160" i="8"/>
  <c r="F162" i="8" l="1" a="1"/>
  <c r="F162" i="8" s="1"/>
  <c r="E162" i="8" s="1"/>
  <c r="D161" i="8"/>
  <c r="J161" i="8"/>
  <c r="N161" i="8"/>
  <c r="K161" i="8"/>
  <c r="L161" i="8"/>
  <c r="O161" i="8" s="1"/>
  <c r="I161" i="8"/>
  <c r="X161" i="8"/>
  <c r="G161" i="8" s="1"/>
  <c r="M161" i="8"/>
  <c r="Y161" i="8"/>
  <c r="H161" i="8" s="1"/>
  <c r="M162" i="8" l="1"/>
  <c r="Y162" i="8"/>
  <c r="H162" i="8" s="1"/>
  <c r="L162" i="8"/>
  <c r="O162" i="8" s="1"/>
  <c r="I162" i="8"/>
  <c r="K162" i="8"/>
  <c r="D162" i="8"/>
  <c r="X162" i="8"/>
  <c r="G162" i="8" s="1"/>
  <c r="N162" i="8"/>
  <c r="F163" i="8" a="1"/>
  <c r="F163" i="8" s="1"/>
  <c r="E163" i="8" s="1"/>
  <c r="J162" i="8"/>
  <c r="A161" i="8"/>
  <c r="K163" i="8" l="1"/>
  <c r="M163" i="8"/>
  <c r="Y163" i="8"/>
  <c r="H163" i="8" s="1"/>
  <c r="I163" i="8"/>
  <c r="D163" i="8"/>
  <c r="N163" i="8"/>
  <c r="J163" i="8"/>
  <c r="F164" i="8" a="1"/>
  <c r="F164" i="8" s="1"/>
  <c r="E164" i="8" s="1"/>
  <c r="L163" i="8"/>
  <c r="O163" i="8" s="1"/>
  <c r="X163" i="8"/>
  <c r="G163" i="8" s="1"/>
  <c r="A162" i="8"/>
  <c r="F165" i="8" l="1" a="1"/>
  <c r="F165" i="8" s="1"/>
  <c r="E165" i="8" s="1"/>
  <c r="L164" i="8"/>
  <c r="O164" i="8" s="1"/>
  <c r="D164" i="8"/>
  <c r="N164" i="8"/>
  <c r="M164" i="8"/>
  <c r="X164" i="8"/>
  <c r="G164" i="8" s="1"/>
  <c r="I164" i="8"/>
  <c r="K164" i="8"/>
  <c r="J164" i="8"/>
  <c r="Y164" i="8"/>
  <c r="H164" i="8" s="1"/>
  <c r="A163" i="8"/>
  <c r="A164" i="8" l="1"/>
  <c r="D165" i="8"/>
  <c r="K165" i="8"/>
  <c r="Y165" i="8"/>
  <c r="H165" i="8" s="1"/>
  <c r="I165" i="8"/>
  <c r="X165" i="8"/>
  <c r="G165" i="8" s="1"/>
  <c r="F166" i="8" a="1"/>
  <c r="F166" i="8" s="1"/>
  <c r="E166" i="8" s="1"/>
  <c r="N165" i="8"/>
  <c r="M165" i="8"/>
  <c r="J165" i="8"/>
  <c r="L165" i="8"/>
  <c r="O165" i="8" s="1"/>
  <c r="K166" i="8" l="1"/>
  <c r="I166" i="8"/>
  <c r="M166" i="8"/>
  <c r="F167" i="8" a="1"/>
  <c r="F167" i="8" s="1"/>
  <c r="E167" i="8" s="1"/>
  <c r="X166" i="8"/>
  <c r="G166" i="8" s="1"/>
  <c r="D166" i="8"/>
  <c r="Y166" i="8"/>
  <c r="H166" i="8" s="1"/>
  <c r="N166" i="8"/>
  <c r="J166" i="8"/>
  <c r="L166" i="8"/>
  <c r="O166" i="8" s="1"/>
  <c r="A165" i="8"/>
  <c r="A166" i="8" l="1"/>
  <c r="L167" i="8"/>
  <c r="O167" i="8" s="1"/>
  <c r="I167" i="8"/>
  <c r="Y167" i="8"/>
  <c r="H167" i="8" s="1"/>
  <c r="X167" i="8"/>
  <c r="G167" i="8" s="1"/>
  <c r="K167" i="8"/>
  <c r="J167" i="8"/>
  <c r="F168" i="8" a="1"/>
  <c r="F168" i="8" s="1"/>
  <c r="E168" i="8" s="1"/>
  <c r="D167" i="8"/>
  <c r="A167" i="8" s="1"/>
  <c r="M167" i="8"/>
  <c r="N167" i="8"/>
  <c r="X168" i="8" l="1"/>
  <c r="G168" i="8" s="1"/>
  <c r="Y168" i="8"/>
  <c r="H168" i="8" s="1"/>
  <c r="K168" i="8"/>
  <c r="J168" i="8"/>
  <c r="D168" i="8"/>
  <c r="I168" i="8"/>
  <c r="F169" i="8" a="1"/>
  <c r="F169" i="8" s="1"/>
  <c r="E169" i="8" s="1"/>
  <c r="L168" i="8"/>
  <c r="O168" i="8" s="1"/>
  <c r="N168" i="8"/>
  <c r="M168" i="8"/>
  <c r="A168" i="8"/>
  <c r="K169" i="8" l="1"/>
  <c r="N169" i="8"/>
  <c r="J169" i="8"/>
  <c r="F170" i="8" a="1"/>
  <c r="F170" i="8" s="1"/>
  <c r="E170" i="8" s="1"/>
  <c r="M169" i="8"/>
  <c r="X169" i="8"/>
  <c r="G169" i="8" s="1"/>
  <c r="L169" i="8"/>
  <c r="O169" i="8" s="1"/>
  <c r="Y169" i="8"/>
  <c r="H169" i="8" s="1"/>
  <c r="D169" i="8"/>
  <c r="I169" i="8"/>
  <c r="A169" i="8" l="1"/>
  <c r="F171" i="8" a="1"/>
  <c r="F171" i="8" s="1"/>
  <c r="E171" i="8" s="1"/>
  <c r="M170" i="8"/>
  <c r="J170" i="8"/>
  <c r="K170" i="8"/>
  <c r="N170" i="8"/>
  <c r="I170" i="8"/>
  <c r="X170" i="8"/>
  <c r="G170" i="8" s="1"/>
  <c r="L170" i="8"/>
  <c r="O170" i="8" s="1"/>
  <c r="Y170" i="8"/>
  <c r="H170" i="8" s="1"/>
  <c r="D170" i="8"/>
  <c r="A170" i="8" s="1"/>
  <c r="Y171" i="8" l="1"/>
  <c r="H171" i="8" s="1"/>
  <c r="L171" i="8"/>
  <c r="O171" i="8" s="1"/>
  <c r="K171" i="8"/>
  <c r="F172" i="8" a="1"/>
  <c r="F172" i="8" s="1"/>
  <c r="E172" i="8" s="1"/>
  <c r="I171" i="8"/>
  <c r="N171" i="8"/>
  <c r="D171" i="8"/>
  <c r="M171" i="8"/>
  <c r="X171" i="8"/>
  <c r="G171" i="8" s="1"/>
  <c r="J171" i="8"/>
  <c r="A171" i="8" l="1"/>
  <c r="F173" i="8" a="1"/>
  <c r="F173" i="8" s="1"/>
  <c r="E173" i="8" s="1"/>
  <c r="N172" i="8"/>
  <c r="K172" i="8"/>
  <c r="I172" i="8"/>
  <c r="X172" i="8"/>
  <c r="G172" i="8" s="1"/>
  <c r="Y172" i="8"/>
  <c r="H172" i="8" s="1"/>
  <c r="L172" i="8"/>
  <c r="O172" i="8" s="1"/>
  <c r="J172" i="8"/>
  <c r="M172" i="8"/>
  <c r="D172" i="8"/>
  <c r="A172" i="8" l="1"/>
  <c r="D173" i="8"/>
  <c r="L173" i="8"/>
  <c r="O173" i="8" s="1"/>
  <c r="X173" i="8"/>
  <c r="G173" i="8" s="1"/>
  <c r="F174" i="8" a="1"/>
  <c r="F174" i="8" s="1"/>
  <c r="E174" i="8" s="1"/>
  <c r="J173" i="8"/>
  <c r="M173" i="8"/>
  <c r="Y173" i="8"/>
  <c r="H173" i="8" s="1"/>
  <c r="N173" i="8"/>
  <c r="I173" i="8"/>
  <c r="K173" i="8"/>
  <c r="A173" i="8" l="1"/>
  <c r="F175" i="8" a="1"/>
  <c r="F175" i="8" s="1"/>
  <c r="E175" i="8" s="1"/>
  <c r="J174" i="8"/>
  <c r="I174" i="8"/>
  <c r="N174" i="8"/>
  <c r="L174" i="8"/>
  <c r="O174" i="8" s="1"/>
  <c r="D174" i="8"/>
  <c r="X174" i="8"/>
  <c r="G174" i="8" s="1"/>
  <c r="Y174" i="8"/>
  <c r="H174" i="8" s="1"/>
  <c r="M174" i="8"/>
  <c r="K174" i="8"/>
  <c r="J175" i="8" l="1"/>
  <c r="L175" i="8"/>
  <c r="O175" i="8" s="1"/>
  <c r="K175" i="8"/>
  <c r="D175" i="8"/>
  <c r="I175" i="8"/>
  <c r="Y175" i="8"/>
  <c r="H175" i="8" s="1"/>
  <c r="X175" i="8"/>
  <c r="G175" i="8" s="1"/>
  <c r="M175" i="8"/>
  <c r="N175" i="8"/>
  <c r="F176" i="8" a="1"/>
  <c r="F176" i="8" s="1"/>
  <c r="E176" i="8" s="1"/>
  <c r="A174" i="8"/>
  <c r="A175" i="8" l="1"/>
  <c r="L176" i="8"/>
  <c r="O176" i="8" s="1"/>
  <c r="J176" i="8"/>
  <c r="F177" i="8" a="1"/>
  <c r="F177" i="8" s="1"/>
  <c r="E177" i="8" s="1"/>
  <c r="N176" i="8"/>
  <c r="K176" i="8"/>
  <c r="Y176" i="8"/>
  <c r="H176" i="8" s="1"/>
  <c r="M176" i="8"/>
  <c r="I176" i="8"/>
  <c r="D176" i="8"/>
  <c r="X176" i="8"/>
  <c r="G176" i="8" s="1"/>
  <c r="A176" i="8" l="1"/>
  <c r="L177" i="8"/>
  <c r="O177" i="8" s="1"/>
  <c r="M177" i="8"/>
  <c r="Y177" i="8"/>
  <c r="H177" i="8" s="1"/>
  <c r="J177" i="8"/>
  <c r="D177" i="8"/>
  <c r="K177" i="8"/>
  <c r="N177" i="8"/>
  <c r="I177" i="8"/>
  <c r="X177" i="8"/>
  <c r="G177" i="8" s="1"/>
  <c r="F178" i="8" a="1"/>
  <c r="F178" i="8" s="1"/>
  <c r="E178" i="8" s="1"/>
  <c r="D178" i="8" l="1"/>
  <c r="L178" i="8"/>
  <c r="O178" i="8" s="1"/>
  <c r="K178" i="8"/>
  <c r="Y178" i="8"/>
  <c r="H178" i="8" s="1"/>
  <c r="J178" i="8"/>
  <c r="I178" i="8"/>
  <c r="N178" i="8"/>
  <c r="F179" i="8" a="1"/>
  <c r="F179" i="8" s="1"/>
  <c r="E179" i="8" s="1"/>
  <c r="M178" i="8"/>
  <c r="X178" i="8"/>
  <c r="G178" i="8" s="1"/>
  <c r="A177" i="8"/>
  <c r="L179" i="8" l="1"/>
  <c r="O179" i="8" s="1"/>
  <c r="X179" i="8"/>
  <c r="G179" i="8" s="1"/>
  <c r="N179" i="8"/>
  <c r="J179" i="8"/>
  <c r="K179" i="8"/>
  <c r="D179" i="8"/>
  <c r="A179" i="8" s="1"/>
  <c r="Y179" i="8"/>
  <c r="H179" i="8" s="1"/>
  <c r="M179" i="8"/>
  <c r="F180" i="8" a="1"/>
  <c r="F180" i="8" s="1"/>
  <c r="E180" i="8" s="1"/>
  <c r="I179" i="8"/>
  <c r="A178" i="8"/>
  <c r="J180" i="8" l="1"/>
  <c r="D180" i="8"/>
  <c r="M180" i="8"/>
  <c r="I180" i="8"/>
  <c r="N180" i="8"/>
  <c r="K180" i="8"/>
  <c r="Y180" i="8"/>
  <c r="H180" i="8" s="1"/>
  <c r="F181" i="8" a="1"/>
  <c r="F181" i="8" s="1"/>
  <c r="E181" i="8" s="1"/>
  <c r="X180" i="8"/>
  <c r="G180" i="8" s="1"/>
  <c r="L180" i="8"/>
  <c r="O180" i="8" s="1"/>
  <c r="F182" i="8" l="1" a="1"/>
  <c r="F182" i="8" s="1"/>
  <c r="E182" i="8" s="1"/>
  <c r="D181" i="8"/>
  <c r="X181" i="8"/>
  <c r="G181" i="8" s="1"/>
  <c r="Y181" i="8"/>
  <c r="H181" i="8" s="1"/>
  <c r="M181" i="8"/>
  <c r="J181" i="8"/>
  <c r="K181" i="8"/>
  <c r="N181" i="8"/>
  <c r="I181" i="8"/>
  <c r="L181" i="8"/>
  <c r="O181" i="8" s="1"/>
  <c r="A180" i="8"/>
  <c r="A181" i="8" l="1"/>
  <c r="I182" i="8"/>
  <c r="X182" i="8"/>
  <c r="G182" i="8" s="1"/>
  <c r="D182" i="8"/>
  <c r="N182" i="8"/>
  <c r="Y182" i="8"/>
  <c r="H182" i="8" s="1"/>
  <c r="L182" i="8"/>
  <c r="O182" i="8" s="1"/>
  <c r="F183" i="8" a="1"/>
  <c r="F183" i="8" s="1"/>
  <c r="E183" i="8" s="1"/>
  <c r="M182" i="8"/>
  <c r="K182" i="8"/>
  <c r="J182" i="8"/>
  <c r="A182" i="8"/>
  <c r="D183" i="8" l="1"/>
  <c r="M183" i="8"/>
  <c r="J183" i="8"/>
  <c r="I183" i="8"/>
  <c r="F184" i="8" a="1"/>
  <c r="F184" i="8" s="1"/>
  <c r="E184" i="8" s="1"/>
  <c r="N183" i="8"/>
  <c r="K183" i="8"/>
  <c r="Y183" i="8"/>
  <c r="H183" i="8" s="1"/>
  <c r="L183" i="8"/>
  <c r="O183" i="8" s="1"/>
  <c r="X183" i="8"/>
  <c r="G183" i="8" s="1"/>
  <c r="X184" i="8" l="1"/>
  <c r="G184" i="8" s="1"/>
  <c r="L184" i="8"/>
  <c r="O184" i="8" s="1"/>
  <c r="M184" i="8"/>
  <c r="F185" i="8" a="1"/>
  <c r="F185" i="8" s="1"/>
  <c r="E185" i="8" s="1"/>
  <c r="D184" i="8"/>
  <c r="A184" i="8" s="1"/>
  <c r="K184" i="8"/>
  <c r="J184" i="8"/>
  <c r="I184" i="8"/>
  <c r="N184" i="8"/>
  <c r="Y184" i="8"/>
  <c r="H184" i="8" s="1"/>
  <c r="A183" i="8"/>
  <c r="I185" i="8" l="1"/>
  <c r="X185" i="8"/>
  <c r="G185" i="8" s="1"/>
  <c r="N185" i="8"/>
  <c r="D185" i="8"/>
  <c r="F186" i="8" a="1"/>
  <c r="F186" i="8" s="1"/>
  <c r="E186" i="8" s="1"/>
  <c r="Y185" i="8"/>
  <c r="H185" i="8" s="1"/>
  <c r="M185" i="8"/>
  <c r="L185" i="8"/>
  <c r="O185" i="8" s="1"/>
  <c r="K185" i="8"/>
  <c r="J185" i="8"/>
  <c r="A185" i="8" l="1"/>
  <c r="J186" i="8"/>
  <c r="I186" i="8"/>
  <c r="L186" i="8"/>
  <c r="O186" i="8" s="1"/>
  <c r="M186" i="8"/>
  <c r="X186" i="8"/>
  <c r="G186" i="8" s="1"/>
  <c r="D186" i="8"/>
  <c r="K186" i="8"/>
  <c r="N186" i="8"/>
  <c r="F187" i="8" a="1"/>
  <c r="F187" i="8" s="1"/>
  <c r="E187" i="8" s="1"/>
  <c r="Y186" i="8"/>
  <c r="H186" i="8" s="1"/>
  <c r="A186" i="8" l="1"/>
  <c r="F188" i="8" a="1"/>
  <c r="F188" i="8" s="1"/>
  <c r="E188" i="8" s="1"/>
  <c r="K187" i="8"/>
  <c r="Y187" i="8"/>
  <c r="H187" i="8" s="1"/>
  <c r="J187" i="8"/>
  <c r="N187" i="8"/>
  <c r="X187" i="8"/>
  <c r="G187" i="8" s="1"/>
  <c r="I187" i="8"/>
  <c r="L187" i="8"/>
  <c r="O187" i="8" s="1"/>
  <c r="M187" i="8"/>
  <c r="D187" i="8"/>
  <c r="A187" i="8" s="1"/>
  <c r="M188" i="8" l="1"/>
  <c r="X188" i="8"/>
  <c r="G188" i="8" s="1"/>
  <c r="L188" i="8"/>
  <c r="O188" i="8" s="1"/>
  <c r="I188" i="8"/>
  <c r="D188" i="8"/>
  <c r="N188" i="8"/>
  <c r="K188" i="8"/>
  <c r="J188" i="8"/>
  <c r="F189" i="8" a="1"/>
  <c r="F189" i="8" s="1"/>
  <c r="E189" i="8" s="1"/>
  <c r="Y188" i="8"/>
  <c r="H188" i="8" s="1"/>
  <c r="A188" i="8" l="1"/>
  <c r="M189" i="8"/>
  <c r="D189" i="8"/>
  <c r="X189" i="8"/>
  <c r="G189" i="8" s="1"/>
  <c r="I189" i="8"/>
  <c r="F190" i="8" a="1"/>
  <c r="F190" i="8" s="1"/>
  <c r="E190" i="8" s="1"/>
  <c r="Y189" i="8"/>
  <c r="H189" i="8" s="1"/>
  <c r="J189" i="8"/>
  <c r="N189" i="8"/>
  <c r="K189" i="8"/>
  <c r="L189" i="8"/>
  <c r="O189" i="8" s="1"/>
  <c r="A189" i="8" l="1"/>
  <c r="K190" i="8"/>
  <c r="X190" i="8"/>
  <c r="G190" i="8" s="1"/>
  <c r="M190" i="8"/>
  <c r="I190" i="8"/>
  <c r="Y190" i="8"/>
  <c r="H190" i="8" s="1"/>
  <c r="D190" i="8"/>
  <c r="A190" i="8" s="1"/>
  <c r="L190" i="8"/>
  <c r="O190" i="8" s="1"/>
  <c r="N190" i="8"/>
  <c r="F191" i="8" a="1"/>
  <c r="F191" i="8" s="1"/>
  <c r="E191" i="8" s="1"/>
  <c r="J190" i="8"/>
  <c r="L191" i="8" l="1"/>
  <c r="O191" i="8" s="1"/>
  <c r="J191" i="8"/>
  <c r="M191" i="8"/>
  <c r="Y191" i="8"/>
  <c r="H191" i="8" s="1"/>
  <c r="F192" i="8" a="1"/>
  <c r="F192" i="8" s="1"/>
  <c r="E192" i="8" s="1"/>
  <c r="X191" i="8"/>
  <c r="G191" i="8" s="1"/>
  <c r="K191" i="8"/>
  <c r="N191" i="8"/>
  <c r="D191" i="8"/>
  <c r="I191" i="8"/>
  <c r="A191" i="8" l="1"/>
  <c r="F193" i="8" a="1"/>
  <c r="F193" i="8" s="1"/>
  <c r="E193" i="8" s="1"/>
  <c r="X192" i="8"/>
  <c r="G192" i="8" s="1"/>
  <c r="D192" i="8"/>
  <c r="K192" i="8"/>
  <c r="J192" i="8"/>
  <c r="L192" i="8"/>
  <c r="O192" i="8" s="1"/>
  <c r="I192" i="8"/>
  <c r="N192" i="8"/>
  <c r="M192" i="8"/>
  <c r="Y192" i="8"/>
  <c r="H192" i="8" s="1"/>
  <c r="A192" i="8" l="1"/>
  <c r="F194" i="8" a="1"/>
  <c r="F194" i="8" s="1"/>
  <c r="E194" i="8" s="1"/>
  <c r="L193" i="8"/>
  <c r="O193" i="8" s="1"/>
  <c r="K193" i="8"/>
  <c r="J193" i="8"/>
  <c r="M193" i="8"/>
  <c r="Y193" i="8"/>
  <c r="H193" i="8" s="1"/>
  <c r="D193" i="8"/>
  <c r="N193" i="8"/>
  <c r="I193" i="8"/>
  <c r="X193" i="8"/>
  <c r="G193" i="8" s="1"/>
  <c r="A193" i="8" l="1"/>
  <c r="J194" i="8"/>
  <c r="F195" i="8" a="1"/>
  <c r="F195" i="8" s="1"/>
  <c r="E195" i="8" s="1"/>
  <c r="L194" i="8"/>
  <c r="O194" i="8" s="1"/>
  <c r="N194" i="8"/>
  <c r="M194" i="8"/>
  <c r="K194" i="8"/>
  <c r="Y194" i="8"/>
  <c r="H194" i="8" s="1"/>
  <c r="I194" i="8"/>
  <c r="X194" i="8"/>
  <c r="G194" i="8" s="1"/>
  <c r="D194" i="8"/>
  <c r="A194" i="8" s="1"/>
  <c r="J195" i="8" l="1"/>
  <c r="D195" i="8"/>
  <c r="L195" i="8"/>
  <c r="O195" i="8" s="1"/>
  <c r="F196" i="8" a="1"/>
  <c r="F196" i="8" s="1"/>
  <c r="E196" i="8" s="1"/>
  <c r="Y195" i="8"/>
  <c r="H195" i="8" s="1"/>
  <c r="X195" i="8"/>
  <c r="G195" i="8" s="1"/>
  <c r="N195" i="8"/>
  <c r="K195" i="8"/>
  <c r="M195" i="8"/>
  <c r="I195" i="8"/>
  <c r="K196" i="8" l="1"/>
  <c r="L196" i="8"/>
  <c r="O196" i="8" s="1"/>
  <c r="N196" i="8"/>
  <c r="F197" i="8" a="1"/>
  <c r="F197" i="8" s="1"/>
  <c r="E197" i="8" s="1"/>
  <c r="A195" i="8"/>
  <c r="Y196" i="8"/>
  <c r="H196" i="8" s="1"/>
  <c r="J196" i="8"/>
  <c r="D196" i="8"/>
  <c r="M196" i="8"/>
  <c r="I196" i="8"/>
  <c r="X196" i="8"/>
  <c r="G196" i="8" s="1"/>
  <c r="A196" i="8" l="1"/>
  <c r="F198" i="8" a="1"/>
  <c r="F198" i="8" s="1"/>
  <c r="E198" i="8" s="1"/>
  <c r="K197" i="8"/>
  <c r="L197" i="8"/>
  <c r="O197" i="8" s="1"/>
  <c r="I197" i="8"/>
  <c r="X197" i="8"/>
  <c r="G197" i="8" s="1"/>
  <c r="M197" i="8"/>
  <c r="Y197" i="8"/>
  <c r="H197" i="8" s="1"/>
  <c r="D197" i="8"/>
  <c r="J197" i="8"/>
  <c r="N197" i="8"/>
  <c r="A197" i="8" l="1"/>
  <c r="Y198" i="8"/>
  <c r="H198" i="8" s="1"/>
  <c r="D198" i="8"/>
  <c r="J198" i="8"/>
  <c r="X198" i="8"/>
  <c r="G198" i="8" s="1"/>
  <c r="N198" i="8"/>
  <c r="F199" i="8" a="1"/>
  <c r="F199" i="8" s="1"/>
  <c r="E199" i="8" s="1"/>
  <c r="M198" i="8"/>
  <c r="K198" i="8"/>
  <c r="I198" i="8"/>
  <c r="L198" i="8"/>
  <c r="O198" i="8" s="1"/>
  <c r="A198" i="8" l="1"/>
  <c r="K199" i="8"/>
  <c r="D199" i="8"/>
  <c r="M199" i="8"/>
  <c r="Y199" i="8"/>
  <c r="H199" i="8" s="1"/>
  <c r="L199" i="8"/>
  <c r="O199" i="8" s="1"/>
  <c r="N199" i="8"/>
  <c r="F200" i="8" a="1"/>
  <c r="F200" i="8" s="1"/>
  <c r="E200" i="8" s="1"/>
  <c r="I199" i="8"/>
  <c r="X199" i="8"/>
  <c r="G199" i="8" s="1"/>
  <c r="J199" i="8"/>
  <c r="F201" i="8" l="1" a="1"/>
  <c r="F201" i="8" s="1"/>
  <c r="E201" i="8" s="1"/>
  <c r="I200" i="8"/>
  <c r="D200" i="8"/>
  <c r="L200" i="8"/>
  <c r="O200" i="8" s="1"/>
  <c r="N200" i="8"/>
  <c r="M200" i="8"/>
  <c r="Y200" i="8"/>
  <c r="H200" i="8" s="1"/>
  <c r="A199" i="8"/>
  <c r="J200" i="8"/>
  <c r="K200" i="8"/>
  <c r="X200" i="8"/>
  <c r="G200" i="8" s="1"/>
  <c r="A200" i="8" l="1"/>
  <c r="M201" i="8"/>
  <c r="X201" i="8"/>
  <c r="G201" i="8" s="1"/>
  <c r="I201" i="8"/>
  <c r="D201" i="8"/>
  <c r="J201" i="8"/>
  <c r="N201" i="8"/>
  <c r="F202" i="8" a="1"/>
  <c r="F202" i="8" s="1"/>
  <c r="E202" i="8" s="1"/>
  <c r="Y201" i="8"/>
  <c r="H201" i="8" s="1"/>
  <c r="K201" i="8"/>
  <c r="L201" i="8"/>
  <c r="O201" i="8" s="1"/>
  <c r="A201" i="8" l="1"/>
  <c r="F203" i="8" a="1"/>
  <c r="F203" i="8" s="1"/>
  <c r="E203" i="8" s="1"/>
  <c r="N202" i="8"/>
  <c r="M202" i="8"/>
  <c r="Y202" i="8"/>
  <c r="H202" i="8" s="1"/>
  <c r="X202" i="8"/>
  <c r="G202" i="8" s="1"/>
  <c r="J202" i="8"/>
  <c r="K202" i="8"/>
  <c r="D202" i="8"/>
  <c r="I202" i="8"/>
  <c r="L202" i="8"/>
  <c r="O202" i="8" s="1"/>
  <c r="A202" i="8" l="1"/>
  <c r="F204" i="8" a="1"/>
  <c r="F204" i="8" s="1"/>
  <c r="E204" i="8" s="1"/>
  <c r="D203" i="8"/>
  <c r="M203" i="8"/>
  <c r="K203" i="8"/>
  <c r="L203" i="8"/>
  <c r="O203" i="8" s="1"/>
  <c r="I203" i="8"/>
  <c r="Y203" i="8"/>
  <c r="H203" i="8" s="1"/>
  <c r="N203" i="8"/>
  <c r="J203" i="8"/>
  <c r="X203" i="8"/>
  <c r="G203" i="8" s="1"/>
  <c r="F205" i="8" l="1" a="1"/>
  <c r="F205" i="8" s="1"/>
  <c r="E205" i="8" s="1"/>
  <c r="J204" i="8"/>
  <c r="I204" i="8"/>
  <c r="X204" i="8"/>
  <c r="G204" i="8" s="1"/>
  <c r="N204" i="8"/>
  <c r="L204" i="8"/>
  <c r="O204" i="8" s="1"/>
  <c r="K204" i="8"/>
  <c r="Y204" i="8"/>
  <c r="H204" i="8" s="1"/>
  <c r="M204" i="8"/>
  <c r="D204" i="8"/>
  <c r="A203" i="8"/>
  <c r="A204" i="8" l="1"/>
  <c r="Y205" i="8"/>
  <c r="H205" i="8" s="1"/>
  <c r="K205" i="8"/>
  <c r="I205" i="8"/>
  <c r="N205" i="8"/>
  <c r="M205" i="8"/>
  <c r="L205" i="8"/>
  <c r="O205" i="8" s="1"/>
  <c r="X205" i="8"/>
  <c r="G205" i="8" s="1"/>
  <c r="F206" i="8" a="1"/>
  <c r="F206" i="8" s="1"/>
  <c r="E206" i="8" s="1"/>
  <c r="D205" i="8"/>
  <c r="J205" i="8"/>
  <c r="A205" i="8" l="1"/>
  <c r="F207" i="8" a="1"/>
  <c r="F207" i="8" s="1"/>
  <c r="E207" i="8" s="1"/>
  <c r="Y206" i="8"/>
  <c r="H206" i="8" s="1"/>
  <c r="M206" i="8"/>
  <c r="K206" i="8"/>
  <c r="J206" i="8"/>
  <c r="I206" i="8"/>
  <c r="N206" i="8"/>
  <c r="L206" i="8"/>
  <c r="O206" i="8" s="1"/>
  <c r="D206" i="8"/>
  <c r="X206" i="8"/>
  <c r="G206" i="8" s="1"/>
  <c r="A206" i="8" l="1"/>
  <c r="L207" i="8"/>
  <c r="O207" i="8" s="1"/>
  <c r="D207" i="8"/>
  <c r="A207" i="8" s="1"/>
  <c r="X207" i="8"/>
  <c r="G207" i="8" s="1"/>
  <c r="M207" i="8"/>
  <c r="F208" i="8" a="1"/>
  <c r="F208" i="8" s="1"/>
  <c r="E208" i="8" s="1"/>
  <c r="K207" i="8"/>
  <c r="Y207" i="8"/>
  <c r="H207" i="8" s="1"/>
  <c r="N207" i="8"/>
  <c r="I207" i="8"/>
  <c r="J207" i="8"/>
  <c r="K208" i="8" l="1"/>
  <c r="M208" i="8"/>
  <c r="N208" i="8"/>
  <c r="F209" i="8" a="1"/>
  <c r="F209" i="8" s="1"/>
  <c r="E209" i="8" s="1"/>
  <c r="I208" i="8"/>
  <c r="L208" i="8"/>
  <c r="O208" i="8" s="1"/>
  <c r="D208" i="8"/>
  <c r="X208" i="8"/>
  <c r="G208" i="8" s="1"/>
  <c r="J208" i="8"/>
  <c r="Y208" i="8"/>
  <c r="H208" i="8" s="1"/>
  <c r="A208" i="8" l="1"/>
  <c r="K209" i="8"/>
  <c r="L209" i="8"/>
  <c r="O209" i="8" s="1"/>
  <c r="N209" i="8"/>
  <c r="I209" i="8"/>
  <c r="J209" i="8"/>
  <c r="D209" i="8"/>
  <c r="F210" i="8" a="1"/>
  <c r="F210" i="8" s="1"/>
  <c r="E210" i="8" s="1"/>
  <c r="M209" i="8"/>
  <c r="X209" i="8"/>
  <c r="G209" i="8" s="1"/>
  <c r="Y209" i="8"/>
  <c r="H209" i="8" s="1"/>
  <c r="F211" i="8" l="1" a="1"/>
  <c r="F211" i="8" s="1"/>
  <c r="E211" i="8" s="1"/>
  <c r="J210" i="8"/>
  <c r="Y210" i="8"/>
  <c r="H210" i="8" s="1"/>
  <c r="N210" i="8"/>
  <c r="L210" i="8"/>
  <c r="O210" i="8" s="1"/>
  <c r="X210" i="8"/>
  <c r="G210" i="8" s="1"/>
  <c r="K210" i="8"/>
  <c r="M210" i="8"/>
  <c r="A209" i="8"/>
  <c r="I210" i="8"/>
  <c r="D210" i="8"/>
  <c r="A210" i="8" l="1"/>
  <c r="F212" i="8" a="1"/>
  <c r="F212" i="8" s="1"/>
  <c r="E212" i="8" s="1"/>
  <c r="I211" i="8"/>
  <c r="X211" i="8"/>
  <c r="G211" i="8" s="1"/>
  <c r="M211" i="8"/>
  <c r="L211" i="8"/>
  <c r="O211" i="8" s="1"/>
  <c r="J211" i="8"/>
  <c r="N211" i="8"/>
  <c r="D211" i="8"/>
  <c r="A211" i="8" s="1"/>
  <c r="Y211" i="8"/>
  <c r="H211" i="8" s="1"/>
  <c r="K211" i="8"/>
  <c r="J212" i="8" l="1"/>
  <c r="M212" i="8"/>
  <c r="Y212" i="8"/>
  <c r="H212" i="8" s="1"/>
  <c r="I212" i="8"/>
  <c r="F213" i="8" a="1"/>
  <c r="F213" i="8" s="1"/>
  <c r="E213" i="8" s="1"/>
  <c r="L212" i="8"/>
  <c r="O212" i="8" s="1"/>
  <c r="N212" i="8"/>
  <c r="D212" i="8"/>
  <c r="X212" i="8"/>
  <c r="G212" i="8" s="1"/>
  <c r="K212" i="8"/>
  <c r="F214" i="8" l="1" a="1"/>
  <c r="F214" i="8" s="1"/>
  <c r="E214" i="8" s="1"/>
  <c r="N213" i="8"/>
  <c r="L213" i="8"/>
  <c r="O213" i="8" s="1"/>
  <c r="I213" i="8"/>
  <c r="K213" i="8"/>
  <c r="D213" i="8"/>
  <c r="Y213" i="8"/>
  <c r="H213" i="8" s="1"/>
  <c r="X213" i="8"/>
  <c r="G213" i="8" s="1"/>
  <c r="J213" i="8"/>
  <c r="M213" i="8"/>
  <c r="A212" i="8"/>
  <c r="A213" i="8" l="1"/>
  <c r="Y214" i="8"/>
  <c r="H214" i="8" s="1"/>
  <c r="J214" i="8"/>
  <c r="K214" i="8"/>
  <c r="M214" i="8"/>
  <c r="F215" i="8" a="1"/>
  <c r="F215" i="8" s="1"/>
  <c r="E215" i="8" s="1"/>
  <c r="D214" i="8"/>
  <c r="N214" i="8"/>
  <c r="L214" i="8"/>
  <c r="O214" i="8" s="1"/>
  <c r="X214" i="8"/>
  <c r="G214" i="8" s="1"/>
  <c r="I214" i="8"/>
  <c r="X215" i="8" l="1"/>
  <c r="G215" i="8" s="1"/>
  <c r="F216" i="8" a="1"/>
  <c r="F216" i="8" s="1"/>
  <c r="E216" i="8" s="1"/>
  <c r="D215" i="8"/>
  <c r="M215" i="8"/>
  <c r="L215" i="8"/>
  <c r="O215" i="8" s="1"/>
  <c r="A214" i="8"/>
  <c r="J215" i="8"/>
  <c r="I215" i="8"/>
  <c r="N215" i="8"/>
  <c r="Y215" i="8"/>
  <c r="H215" i="8" s="1"/>
  <c r="K215" i="8"/>
  <c r="A215" i="8" l="1"/>
  <c r="X216" i="8"/>
  <c r="G216" i="8" s="1"/>
  <c r="L216" i="8"/>
  <c r="O216" i="8" s="1"/>
  <c r="Y216" i="8"/>
  <c r="H216" i="8" s="1"/>
  <c r="I216" i="8"/>
  <c r="D216" i="8"/>
  <c r="M216" i="8"/>
  <c r="F217" i="8" a="1"/>
  <c r="F217" i="8" s="1"/>
  <c r="E217" i="8" s="1"/>
  <c r="J216" i="8"/>
  <c r="K216" i="8"/>
  <c r="N216" i="8"/>
  <c r="A216" i="8"/>
  <c r="I217" i="8" l="1"/>
  <c r="X217" i="8"/>
  <c r="G217" i="8" s="1"/>
  <c r="N217" i="8"/>
  <c r="L217" i="8"/>
  <c r="O217" i="8" s="1"/>
  <c r="J217" i="8"/>
  <c r="K217" i="8"/>
  <c r="F218" i="8" a="1"/>
  <c r="F218" i="8" s="1"/>
  <c r="E218" i="8" s="1"/>
  <c r="D217" i="8"/>
  <c r="M217" i="8"/>
  <c r="Y217" i="8"/>
  <c r="H217" i="8" s="1"/>
  <c r="A217" i="8" l="1"/>
  <c r="M218" i="8"/>
  <c r="I218" i="8"/>
  <c r="N218" i="8"/>
  <c r="F219" i="8" a="1"/>
  <c r="F219" i="8" s="1"/>
  <c r="E219" i="8" s="1"/>
  <c r="X218" i="8"/>
  <c r="G218" i="8" s="1"/>
  <c r="J218" i="8"/>
  <c r="Y218" i="8"/>
  <c r="H218" i="8" s="1"/>
  <c r="L218" i="8"/>
  <c r="O218" i="8" s="1"/>
  <c r="K218" i="8"/>
  <c r="D218" i="8"/>
  <c r="A218" i="8" l="1"/>
  <c r="F220" i="8" a="1"/>
  <c r="F220" i="8" s="1"/>
  <c r="E220" i="8" s="1"/>
  <c r="D219" i="8"/>
  <c r="M219" i="8"/>
  <c r="N219" i="8"/>
  <c r="J219" i="8"/>
  <c r="L219" i="8"/>
  <c r="O219" i="8" s="1"/>
  <c r="K219" i="8"/>
  <c r="I219" i="8"/>
  <c r="Y219" i="8"/>
  <c r="H219" i="8" s="1"/>
  <c r="X219" i="8"/>
  <c r="G219" i="8" s="1"/>
  <c r="A219" i="8" l="1"/>
  <c r="F221" i="8" a="1"/>
  <c r="F221" i="8" s="1"/>
  <c r="E221" i="8" s="1"/>
  <c r="J220" i="8"/>
  <c r="Y220" i="8"/>
  <c r="H220" i="8" s="1"/>
  <c r="M220" i="8"/>
  <c r="L220" i="8"/>
  <c r="O220" i="8" s="1"/>
  <c r="K220" i="8"/>
  <c r="I220" i="8"/>
  <c r="N220" i="8"/>
  <c r="X220" i="8"/>
  <c r="G220" i="8" s="1"/>
  <c r="D220" i="8"/>
  <c r="A220" i="8" l="1"/>
  <c r="X221" i="8"/>
  <c r="G221" i="8" s="1"/>
  <c r="I221" i="8"/>
  <c r="L221" i="8"/>
  <c r="O221" i="8" s="1"/>
  <c r="Y221" i="8"/>
  <c r="H221" i="8" s="1"/>
  <c r="N221" i="8"/>
  <c r="D221" i="8"/>
  <c r="K221" i="8"/>
  <c r="F222" i="8" a="1"/>
  <c r="F222" i="8" s="1"/>
  <c r="E222" i="8" s="1"/>
  <c r="M221" i="8"/>
  <c r="J221" i="8"/>
  <c r="A221" i="8" l="1"/>
  <c r="Y222" i="8"/>
  <c r="H222" i="8" s="1"/>
  <c r="I222" i="8"/>
  <c r="J222" i="8"/>
  <c r="D222" i="8"/>
  <c r="F223" i="8" a="1"/>
  <c r="F223" i="8" s="1"/>
  <c r="E223" i="8" s="1"/>
  <c r="M222" i="8"/>
  <c r="N222" i="8"/>
  <c r="K222" i="8"/>
  <c r="X222" i="8"/>
  <c r="G222" i="8" s="1"/>
  <c r="L222" i="8"/>
  <c r="O222" i="8" s="1"/>
  <c r="F224" i="8" l="1" a="1"/>
  <c r="F224" i="8" s="1"/>
  <c r="E224" i="8" s="1"/>
  <c r="J223" i="8"/>
  <c r="K223" i="8"/>
  <c r="I223" i="8"/>
  <c r="A222" i="8"/>
  <c r="N223" i="8"/>
  <c r="Y223" i="8"/>
  <c r="H223" i="8" s="1"/>
  <c r="D223" i="8"/>
  <c r="M223" i="8"/>
  <c r="X223" i="8"/>
  <c r="G223" i="8" s="1"/>
  <c r="L223" i="8"/>
  <c r="O223" i="8" s="1"/>
  <c r="F225" i="8" l="1" a="1"/>
  <c r="F225" i="8" s="1"/>
  <c r="E225" i="8" s="1"/>
  <c r="A223" i="8"/>
  <c r="D224" i="8"/>
  <c r="I224" i="8"/>
  <c r="N224" i="8"/>
  <c r="L224" i="8"/>
  <c r="O224" i="8" s="1"/>
  <c r="M224" i="8"/>
  <c r="X224" i="8"/>
  <c r="G224" i="8" s="1"/>
  <c r="Y224" i="8"/>
  <c r="H224" i="8" s="1"/>
  <c r="K224" i="8"/>
  <c r="J224" i="8"/>
  <c r="K225" i="8" l="1"/>
  <c r="M225" i="8"/>
  <c r="N225" i="8"/>
  <c r="Y225" i="8"/>
  <c r="H225" i="8" s="1"/>
  <c r="D225" i="8"/>
  <c r="J225" i="8"/>
  <c r="A224" i="8"/>
  <c r="F226" i="8" a="1"/>
  <c r="F226" i="8" s="1"/>
  <c r="E226" i="8" s="1"/>
  <c r="I225" i="8"/>
  <c r="L225" i="8"/>
  <c r="O225" i="8" s="1"/>
  <c r="X225" i="8"/>
  <c r="G225" i="8" s="1"/>
  <c r="A225" i="8" l="1"/>
  <c r="L226" i="8"/>
  <c r="O226" i="8" s="1"/>
  <c r="X226" i="8"/>
  <c r="G226" i="8" s="1"/>
  <c r="M226" i="8"/>
  <c r="Y226" i="8"/>
  <c r="H226" i="8" s="1"/>
  <c r="I226" i="8"/>
  <c r="K226" i="8"/>
  <c r="F227" i="8" a="1"/>
  <c r="F227" i="8" s="1"/>
  <c r="E227" i="8" s="1"/>
  <c r="D226" i="8"/>
  <c r="A226" i="8" s="1"/>
  <c r="J226" i="8"/>
  <c r="N226" i="8"/>
  <c r="Y227" i="8" l="1"/>
  <c r="H227" i="8" s="1"/>
  <c r="N227" i="8"/>
  <c r="L227" i="8"/>
  <c r="O227" i="8" s="1"/>
  <c r="D227" i="8"/>
  <c r="M227" i="8"/>
  <c r="X227" i="8"/>
  <c r="G227" i="8" s="1"/>
  <c r="I227" i="8"/>
  <c r="J227" i="8"/>
  <c r="K227" i="8"/>
  <c r="F228" i="8" a="1"/>
  <c r="F228" i="8" s="1"/>
  <c r="E228" i="8" s="1"/>
  <c r="A227" i="8" l="1"/>
  <c r="F229" i="8" a="1"/>
  <c r="F229" i="8" s="1"/>
  <c r="E229" i="8" s="1"/>
  <c r="J228" i="8"/>
  <c r="K228" i="8"/>
  <c r="Y228" i="8"/>
  <c r="H228" i="8" s="1"/>
  <c r="M228" i="8"/>
  <c r="L228" i="8"/>
  <c r="O228" i="8" s="1"/>
  <c r="D228" i="8"/>
  <c r="I228" i="8"/>
  <c r="N228" i="8"/>
  <c r="X228" i="8"/>
  <c r="G228" i="8" s="1"/>
  <c r="X229" i="8" l="1"/>
  <c r="G229" i="8" s="1"/>
  <c r="A228" i="8"/>
  <c r="L229" i="8"/>
  <c r="O229" i="8" s="1"/>
  <c r="K229" i="8"/>
  <c r="I229" i="8"/>
  <c r="M229" i="8"/>
  <c r="Y229" i="8"/>
  <c r="H229" i="8" s="1"/>
  <c r="N229" i="8"/>
  <c r="F230" i="8" a="1"/>
  <c r="F230" i="8" s="1"/>
  <c r="E230" i="8" s="1"/>
  <c r="D229" i="8"/>
  <c r="J229" i="8"/>
  <c r="A229" i="8" l="1"/>
  <c r="M230" i="8"/>
  <c r="Y230" i="8"/>
  <c r="H230" i="8" s="1"/>
  <c r="F231" i="8" a="1"/>
  <c r="F231" i="8" s="1"/>
  <c r="E231" i="8" s="1"/>
  <c r="J230" i="8"/>
  <c r="K230" i="8"/>
  <c r="N230" i="8"/>
  <c r="X230" i="8"/>
  <c r="G230" i="8" s="1"/>
  <c r="L230" i="8"/>
  <c r="O230" i="8" s="1"/>
  <c r="I230" i="8"/>
  <c r="D230" i="8"/>
  <c r="A230" i="8"/>
  <c r="Y231" i="8" l="1"/>
  <c r="H231" i="8" s="1"/>
  <c r="F232" i="8" a="1"/>
  <c r="F232" i="8" s="1"/>
  <c r="E232" i="8" s="1"/>
  <c r="J231" i="8"/>
  <c r="D231" i="8"/>
  <c r="K231" i="8"/>
  <c r="L231" i="8"/>
  <c r="O231" i="8" s="1"/>
  <c r="M231" i="8"/>
  <c r="N231" i="8"/>
  <c r="I231" i="8"/>
  <c r="X231" i="8"/>
  <c r="G231" i="8" s="1"/>
  <c r="F233" i="8" l="1" a="1"/>
  <c r="F233" i="8" s="1"/>
  <c r="E233" i="8" s="1"/>
  <c r="A231" i="8"/>
  <c r="Y232" i="8"/>
  <c r="H232" i="8" s="1"/>
  <c r="K232" i="8"/>
  <c r="X232" i="8"/>
  <c r="G232" i="8" s="1"/>
  <c r="L232" i="8"/>
  <c r="O232" i="8" s="1"/>
  <c r="J232" i="8"/>
  <c r="M232" i="8"/>
  <c r="N232" i="8"/>
  <c r="D232" i="8"/>
  <c r="I232" i="8"/>
  <c r="L233" i="8" l="1"/>
  <c r="O233" i="8" s="1"/>
  <c r="I233" i="8"/>
  <c r="Y233" i="8"/>
  <c r="H233" i="8" s="1"/>
  <c r="N233" i="8"/>
  <c r="K233" i="8"/>
  <c r="A232" i="8"/>
  <c r="M233" i="8"/>
  <c r="J233" i="8"/>
  <c r="X233" i="8"/>
  <c r="G233" i="8" s="1"/>
  <c r="F234" i="8" a="1"/>
  <c r="F234" i="8" s="1"/>
  <c r="E234" i="8" s="1"/>
  <c r="D233" i="8"/>
  <c r="A233" i="8" l="1"/>
  <c r="F235" i="8" a="1"/>
  <c r="F235" i="8" s="1"/>
  <c r="E235" i="8" s="1"/>
  <c r="L234" i="8"/>
  <c r="O234" i="8" s="1"/>
  <c r="Y234" i="8"/>
  <c r="H234" i="8" s="1"/>
  <c r="I234" i="8"/>
  <c r="N234" i="8"/>
  <c r="K234" i="8"/>
  <c r="X234" i="8"/>
  <c r="G234" i="8" s="1"/>
  <c r="M234" i="8"/>
  <c r="D234" i="8"/>
  <c r="A234" i="8" s="1"/>
  <c r="J234" i="8"/>
  <c r="J235" i="8" l="1"/>
  <c r="K235" i="8"/>
  <c r="L235" i="8"/>
  <c r="O235" i="8" s="1"/>
  <c r="X235" i="8"/>
  <c r="G235" i="8" s="1"/>
  <c r="I235" i="8"/>
  <c r="F236" i="8" a="1"/>
  <c r="F236" i="8" s="1"/>
  <c r="E236" i="8" s="1"/>
  <c r="D235" i="8"/>
  <c r="A235" i="8" s="1"/>
  <c r="N235" i="8"/>
  <c r="Y235" i="8"/>
  <c r="H235" i="8" s="1"/>
  <c r="M235" i="8"/>
  <c r="D236" i="8" l="1"/>
  <c r="K236" i="8"/>
  <c r="F237" i="8" a="1"/>
  <c r="F237" i="8" s="1"/>
  <c r="E237" i="8" s="1"/>
  <c r="J236" i="8"/>
  <c r="M236" i="8"/>
  <c r="I236" i="8"/>
  <c r="N236" i="8"/>
  <c r="L236" i="8"/>
  <c r="O236" i="8" s="1"/>
  <c r="X236" i="8"/>
  <c r="G236" i="8" s="1"/>
  <c r="Y236" i="8"/>
  <c r="H236" i="8" s="1"/>
  <c r="A236" i="8"/>
  <c r="Y237" i="8" l="1"/>
  <c r="H237" i="8" s="1"/>
  <c r="X237" i="8"/>
  <c r="G237" i="8" s="1"/>
  <c r="K237" i="8"/>
  <c r="M237" i="8"/>
  <c r="L237" i="8"/>
  <c r="O237" i="8" s="1"/>
  <c r="I237" i="8"/>
  <c r="N237" i="8"/>
  <c r="D237" i="8"/>
  <c r="F238" i="8" a="1"/>
  <c r="F238" i="8" s="1"/>
  <c r="E238" i="8" s="1"/>
  <c r="J237" i="8"/>
  <c r="A237" i="8" l="1"/>
  <c r="F239" i="8" a="1"/>
  <c r="F239" i="8" s="1"/>
  <c r="E239" i="8" s="1"/>
  <c r="K238" i="8"/>
  <c r="D238" i="8"/>
  <c r="M238" i="8"/>
  <c r="X238" i="8"/>
  <c r="G238" i="8" s="1"/>
  <c r="N238" i="8"/>
  <c r="L238" i="8"/>
  <c r="O238" i="8" s="1"/>
  <c r="Y238" i="8"/>
  <c r="H238" i="8" s="1"/>
  <c r="I238" i="8"/>
  <c r="J238" i="8"/>
  <c r="L239" i="8" l="1"/>
  <c r="O239" i="8" s="1"/>
  <c r="X239" i="8"/>
  <c r="G239" i="8" s="1"/>
  <c r="F240" i="8" a="1"/>
  <c r="F240" i="8" s="1"/>
  <c r="E240" i="8" s="1"/>
  <c r="M239" i="8"/>
  <c r="I239" i="8"/>
  <c r="N239" i="8"/>
  <c r="A238" i="8"/>
  <c r="J239" i="8"/>
  <c r="D239" i="8"/>
  <c r="A239" i="8" s="1"/>
  <c r="K239" i="8"/>
  <c r="Y239" i="8"/>
  <c r="H239" i="8" s="1"/>
  <c r="J240" i="8" l="1"/>
  <c r="M240" i="8"/>
  <c r="X240" i="8"/>
  <c r="G240" i="8" s="1"/>
  <c r="L240" i="8"/>
  <c r="O240" i="8" s="1"/>
  <c r="F241" i="8" a="1"/>
  <c r="F241" i="8" s="1"/>
  <c r="E241" i="8" s="1"/>
  <c r="I240" i="8"/>
  <c r="Y240" i="8"/>
  <c r="H240" i="8" s="1"/>
  <c r="K240" i="8"/>
  <c r="D240" i="8"/>
  <c r="A240" i="8" s="1"/>
  <c r="N240" i="8"/>
  <c r="F242" i="8" l="1" a="1"/>
  <c r="F242" i="8" s="1"/>
  <c r="E242" i="8" s="1"/>
  <c r="D241" i="8"/>
  <c r="M241" i="8"/>
  <c r="X241" i="8"/>
  <c r="G241" i="8" s="1"/>
  <c r="L241" i="8"/>
  <c r="O241" i="8" s="1"/>
  <c r="J241" i="8"/>
  <c r="Y241" i="8"/>
  <c r="H241" i="8" s="1"/>
  <c r="I241" i="8"/>
  <c r="K241" i="8"/>
  <c r="N241" i="8"/>
  <c r="A241" i="8"/>
  <c r="L242" i="8" l="1"/>
  <c r="O242" i="8" s="1"/>
  <c r="J242" i="8"/>
  <c r="D242" i="8"/>
  <c r="I242" i="8"/>
  <c r="M242" i="8"/>
  <c r="X242" i="8"/>
  <c r="G242" i="8" s="1"/>
  <c r="N242" i="8"/>
  <c r="F243" i="8" a="1"/>
  <c r="F243" i="8" s="1"/>
  <c r="E243" i="8" s="1"/>
  <c r="Y242" i="8"/>
  <c r="H242" i="8" s="1"/>
  <c r="K242" i="8"/>
  <c r="A242" i="8" l="1"/>
  <c r="F244" i="8" a="1"/>
  <c r="F244" i="8" s="1"/>
  <c r="E244" i="8" s="1"/>
  <c r="D243" i="8"/>
  <c r="J243" i="8"/>
  <c r="N243" i="8"/>
  <c r="I243" i="8"/>
  <c r="K243" i="8"/>
  <c r="L243" i="8"/>
  <c r="O243" i="8" s="1"/>
  <c r="M243" i="8"/>
  <c r="Y243" i="8"/>
  <c r="H243" i="8" s="1"/>
  <c r="X243" i="8"/>
  <c r="G243" i="8" s="1"/>
  <c r="A243" i="8" l="1"/>
  <c r="N244" i="8"/>
  <c r="F245" i="8" a="1"/>
  <c r="F245" i="8" s="1"/>
  <c r="E245" i="8" s="1"/>
  <c r="J244" i="8"/>
  <c r="K244" i="8"/>
  <c r="X244" i="8"/>
  <c r="G244" i="8" s="1"/>
  <c r="M244" i="8"/>
  <c r="L244" i="8"/>
  <c r="O244" i="8" s="1"/>
  <c r="Y244" i="8"/>
  <c r="H244" i="8" s="1"/>
  <c r="D244" i="8"/>
  <c r="A244" i="8" s="1"/>
  <c r="I244" i="8"/>
  <c r="L245" i="8" l="1"/>
  <c r="O245" i="8" s="1"/>
  <c r="I245" i="8"/>
  <c r="K245" i="8"/>
  <c r="F246" i="8" a="1"/>
  <c r="F246" i="8" s="1"/>
  <c r="E246" i="8" s="1"/>
  <c r="J245" i="8"/>
  <c r="D245" i="8"/>
  <c r="Y245" i="8"/>
  <c r="H245" i="8" s="1"/>
  <c r="N245" i="8"/>
  <c r="M245" i="8"/>
  <c r="X245" i="8"/>
  <c r="G245" i="8" s="1"/>
  <c r="D246" i="8" l="1"/>
  <c r="Y246" i="8"/>
  <c r="H246" i="8" s="1"/>
  <c r="L246" i="8"/>
  <c r="O246" i="8" s="1"/>
  <c r="K246" i="8"/>
  <c r="J246" i="8"/>
  <c r="N246" i="8"/>
  <c r="F247" i="8" a="1"/>
  <c r="F247" i="8" s="1"/>
  <c r="E247" i="8" s="1"/>
  <c r="X246" i="8"/>
  <c r="G246" i="8" s="1"/>
  <c r="M246" i="8"/>
  <c r="A245" i="8"/>
  <c r="I246" i="8"/>
  <c r="A246" i="8" l="1"/>
  <c r="J247" i="8"/>
  <c r="I247" i="8"/>
  <c r="F248" i="8" a="1"/>
  <c r="F248" i="8" s="1"/>
  <c r="E248" i="8" s="1"/>
  <c r="D247" i="8"/>
  <c r="M247" i="8"/>
  <c r="Y247" i="8"/>
  <c r="H247" i="8" s="1"/>
  <c r="K247" i="8"/>
  <c r="X247" i="8"/>
  <c r="G247" i="8" s="1"/>
  <c r="L247" i="8"/>
  <c r="O247" i="8" s="1"/>
  <c r="N247" i="8"/>
  <c r="A247" i="8" l="1"/>
  <c r="F249" i="8" a="1"/>
  <c r="F249" i="8" s="1"/>
  <c r="E249" i="8" s="1"/>
  <c r="Y248" i="8"/>
  <c r="H248" i="8" s="1"/>
  <c r="K248" i="8"/>
  <c r="D248" i="8"/>
  <c r="L248" i="8"/>
  <c r="O248" i="8" s="1"/>
  <c r="X248" i="8"/>
  <c r="G248" i="8" s="1"/>
  <c r="M248" i="8"/>
  <c r="I248" i="8"/>
  <c r="J248" i="8"/>
  <c r="N248" i="8"/>
  <c r="A248" i="8" l="1"/>
  <c r="L249" i="8"/>
  <c r="O249" i="8" s="1"/>
  <c r="K249" i="8"/>
  <c r="J249" i="8"/>
  <c r="I249" i="8"/>
  <c r="X249" i="8"/>
  <c r="G249" i="8" s="1"/>
  <c r="N249" i="8"/>
  <c r="F250" i="8" a="1"/>
  <c r="F250" i="8" s="1"/>
  <c r="E250" i="8" s="1"/>
  <c r="D249" i="8"/>
  <c r="Y249" i="8"/>
  <c r="H249" i="8" s="1"/>
  <c r="M249" i="8"/>
  <c r="A249" i="8" l="1"/>
  <c r="K250" i="8"/>
  <c r="J250" i="8"/>
  <c r="N250" i="8"/>
  <c r="L250" i="8"/>
  <c r="O250" i="8" s="1"/>
  <c r="X250" i="8"/>
  <c r="G250" i="8" s="1"/>
  <c r="Y250" i="8"/>
  <c r="H250" i="8" s="1"/>
  <c r="M250" i="8"/>
  <c r="F251" i="8" a="1"/>
  <c r="F251" i="8" s="1"/>
  <c r="E251" i="8" s="1"/>
  <c r="D250" i="8"/>
  <c r="A250" i="8" s="1"/>
  <c r="I250" i="8"/>
  <c r="F252" i="8" l="1" a="1"/>
  <c r="F252" i="8" s="1"/>
  <c r="E252" i="8" s="1"/>
  <c r="I251" i="8"/>
  <c r="Y251" i="8"/>
  <c r="H251" i="8" s="1"/>
  <c r="K251" i="8"/>
  <c r="N251" i="8"/>
  <c r="X251" i="8"/>
  <c r="G251" i="8" s="1"/>
  <c r="D251" i="8"/>
  <c r="L251" i="8"/>
  <c r="O251" i="8" s="1"/>
  <c r="M251" i="8"/>
  <c r="J251" i="8"/>
  <c r="M252" i="8" l="1"/>
  <c r="L252" i="8"/>
  <c r="O252" i="8" s="1"/>
  <c r="X252" i="8"/>
  <c r="G252" i="8" s="1"/>
  <c r="Y252" i="8"/>
  <c r="H252" i="8" s="1"/>
  <c r="K252" i="8"/>
  <c r="J252" i="8"/>
  <c r="D252" i="8"/>
  <c r="A252" i="8" s="1"/>
  <c r="I252" i="8"/>
  <c r="N252" i="8"/>
  <c r="A251" i="8"/>
  <c r="F253" i="8" a="1"/>
  <c r="F253" i="8" s="1"/>
  <c r="E253" i="8" s="1"/>
  <c r="K253" i="8" l="1"/>
  <c r="M253" i="8"/>
  <c r="N253" i="8"/>
  <c r="F254" i="8" a="1"/>
  <c r="F254" i="8" s="1"/>
  <c r="E254" i="8" s="1"/>
  <c r="I253" i="8"/>
  <c r="L253" i="8"/>
  <c r="O253" i="8" s="1"/>
  <c r="Y253" i="8"/>
  <c r="H253" i="8" s="1"/>
  <c r="X253" i="8"/>
  <c r="G253" i="8" s="1"/>
  <c r="D253" i="8"/>
  <c r="J253" i="8"/>
  <c r="A253" i="8" l="1"/>
  <c r="F255" i="8" a="1"/>
  <c r="F255" i="8" s="1"/>
  <c r="E255" i="8" s="1"/>
  <c r="J254" i="8"/>
  <c r="D254" i="8"/>
  <c r="X254" i="8"/>
  <c r="G254" i="8" s="1"/>
  <c r="N254" i="8"/>
  <c r="Y254" i="8"/>
  <c r="H254" i="8" s="1"/>
  <c r="L254" i="8"/>
  <c r="O254" i="8" s="1"/>
  <c r="M254" i="8"/>
  <c r="I254" i="8"/>
  <c r="K254" i="8"/>
  <c r="A254" i="8" l="1"/>
  <c r="F256" i="8" a="1"/>
  <c r="F256" i="8" s="1"/>
  <c r="E256" i="8" s="1"/>
  <c r="M255" i="8"/>
  <c r="J255" i="8"/>
  <c r="L255" i="8"/>
  <c r="O255" i="8" s="1"/>
  <c r="Y255" i="8"/>
  <c r="H255" i="8" s="1"/>
  <c r="X255" i="8"/>
  <c r="G255" i="8" s="1"/>
  <c r="K255" i="8"/>
  <c r="N255" i="8"/>
  <c r="D255" i="8"/>
  <c r="I255" i="8"/>
  <c r="A255" i="8" l="1"/>
  <c r="F257" i="8" a="1"/>
  <c r="F257" i="8" s="1"/>
  <c r="E257" i="8" s="1"/>
  <c r="M256" i="8"/>
  <c r="N256" i="8"/>
  <c r="K256" i="8"/>
  <c r="X256" i="8"/>
  <c r="G256" i="8" s="1"/>
  <c r="I256" i="8"/>
  <c r="L256" i="8"/>
  <c r="O256" i="8" s="1"/>
  <c r="D256" i="8"/>
  <c r="J256" i="8"/>
  <c r="Y256" i="8"/>
  <c r="H256" i="8" s="1"/>
  <c r="F258" i="8" l="1" a="1"/>
  <c r="F258" i="8" s="1"/>
  <c r="E258" i="8" s="1"/>
  <c r="K257" i="8"/>
  <c r="D257" i="8"/>
  <c r="A256" i="8"/>
  <c r="X257" i="8"/>
  <c r="G257" i="8" s="1"/>
  <c r="N257" i="8"/>
  <c r="L257" i="8"/>
  <c r="O257" i="8" s="1"/>
  <c r="I257" i="8"/>
  <c r="Y257" i="8"/>
  <c r="H257" i="8" s="1"/>
  <c r="M257" i="8"/>
  <c r="J257" i="8"/>
  <c r="F259" i="8" l="1" a="1"/>
  <c r="F259" i="8" s="1"/>
  <c r="E259" i="8" s="1"/>
  <c r="J258" i="8"/>
  <c r="D258" i="8"/>
  <c r="N258" i="8"/>
  <c r="I258" i="8"/>
  <c r="X258" i="8"/>
  <c r="G258" i="8" s="1"/>
  <c r="L258" i="8"/>
  <c r="O258" i="8" s="1"/>
  <c r="Y258" i="8"/>
  <c r="H258" i="8" s="1"/>
  <c r="M258" i="8"/>
  <c r="A257" i="8"/>
  <c r="K258" i="8"/>
  <c r="A258" i="8" l="1"/>
  <c r="M259" i="8"/>
  <c r="L259" i="8"/>
  <c r="O259" i="8" s="1"/>
  <c r="J259" i="8"/>
  <c r="I259" i="8"/>
  <c r="Y259" i="8"/>
  <c r="H259" i="8" s="1"/>
  <c r="N259" i="8"/>
  <c r="F260" i="8" a="1"/>
  <c r="F260" i="8" s="1"/>
  <c r="E260" i="8" s="1"/>
  <c r="D259" i="8"/>
  <c r="K259" i="8"/>
  <c r="X259" i="8"/>
  <c r="G259" i="8" s="1"/>
  <c r="F261" i="8" l="1" a="1"/>
  <c r="F261" i="8" s="1"/>
  <c r="E261" i="8" s="1"/>
  <c r="A259" i="8"/>
  <c r="J260" i="8"/>
  <c r="X260" i="8"/>
  <c r="G260" i="8" s="1"/>
  <c r="M260" i="8"/>
  <c r="I260" i="8"/>
  <c r="N260" i="8"/>
  <c r="Y260" i="8"/>
  <c r="H260" i="8" s="1"/>
  <c r="K260" i="8"/>
  <c r="D260" i="8"/>
  <c r="A260" i="8" s="1"/>
  <c r="L260" i="8"/>
  <c r="O260" i="8" s="1"/>
  <c r="D261" i="8" l="1"/>
  <c r="J261" i="8"/>
  <c r="N261" i="8"/>
  <c r="F262" i="8" a="1"/>
  <c r="F262" i="8" s="1"/>
  <c r="E262" i="8" s="1"/>
  <c r="M261" i="8"/>
  <c r="Y261" i="8"/>
  <c r="H261" i="8" s="1"/>
  <c r="K261" i="8"/>
  <c r="X261" i="8"/>
  <c r="G261" i="8" s="1"/>
  <c r="I261" i="8"/>
  <c r="L261" i="8"/>
  <c r="O261" i="8" s="1"/>
  <c r="J262" i="8" l="1"/>
  <c r="L262" i="8"/>
  <c r="O262" i="8" s="1"/>
  <c r="K262" i="8"/>
  <c r="A261" i="8"/>
  <c r="Y262" i="8"/>
  <c r="H262" i="8" s="1"/>
  <c r="M262" i="8"/>
  <c r="D262" i="8"/>
  <c r="N262" i="8"/>
  <c r="X262" i="8"/>
  <c r="G262" i="8" s="1"/>
  <c r="I262" i="8"/>
  <c r="F263" i="8" a="1"/>
  <c r="F263" i="8" s="1"/>
  <c r="E263" i="8" s="1"/>
  <c r="A262" i="8" l="1"/>
  <c r="F264" i="8" a="1"/>
  <c r="F264" i="8" s="1"/>
  <c r="E264" i="8" s="1"/>
  <c r="J263" i="8"/>
  <c r="M263" i="8"/>
  <c r="L263" i="8"/>
  <c r="O263" i="8" s="1"/>
  <c r="K263" i="8"/>
  <c r="X263" i="8"/>
  <c r="G263" i="8" s="1"/>
  <c r="Y263" i="8"/>
  <c r="H263" i="8" s="1"/>
  <c r="I263" i="8"/>
  <c r="D263" i="8"/>
  <c r="N263" i="8"/>
  <c r="A263" i="8" l="1"/>
  <c r="D264" i="8"/>
  <c r="A264" i="8" s="1"/>
  <c r="M264" i="8"/>
  <c r="I264" i="8"/>
  <c r="F265" i="8" a="1"/>
  <c r="F265" i="8" s="1"/>
  <c r="E265" i="8" s="1"/>
  <c r="K264" i="8"/>
  <c r="N264" i="8"/>
  <c r="X264" i="8"/>
  <c r="G264" i="8" s="1"/>
  <c r="L264" i="8"/>
  <c r="O264" i="8" s="1"/>
  <c r="J264" i="8"/>
  <c r="Y264" i="8"/>
  <c r="H264" i="8" s="1"/>
  <c r="D265" i="8" l="1"/>
  <c r="J265" i="8"/>
  <c r="N265" i="8"/>
  <c r="X265" i="8"/>
  <c r="G265" i="8" s="1"/>
  <c r="M265" i="8"/>
  <c r="F266" i="8" a="1"/>
  <c r="F266" i="8" s="1"/>
  <c r="E266" i="8" s="1"/>
  <c r="L265" i="8"/>
  <c r="O265" i="8" s="1"/>
  <c r="Y265" i="8"/>
  <c r="H265" i="8" s="1"/>
  <c r="I265" i="8"/>
  <c r="K265" i="8"/>
  <c r="A265" i="8"/>
  <c r="F267" i="8" l="1" a="1"/>
  <c r="F267" i="8" s="1"/>
  <c r="E267" i="8" s="1"/>
  <c r="D266" i="8"/>
  <c r="M266" i="8"/>
  <c r="L266" i="8"/>
  <c r="O266" i="8" s="1"/>
  <c r="I266" i="8"/>
  <c r="Y266" i="8"/>
  <c r="H266" i="8" s="1"/>
  <c r="J266" i="8"/>
  <c r="X266" i="8"/>
  <c r="G266" i="8" s="1"/>
  <c r="K266" i="8"/>
  <c r="N266" i="8"/>
  <c r="A266" i="8" l="1"/>
  <c r="Y267" i="8"/>
  <c r="H267" i="8" s="1"/>
  <c r="L267" i="8"/>
  <c r="O267" i="8" s="1"/>
  <c r="J267" i="8"/>
  <c r="F268" i="8" a="1"/>
  <c r="F268" i="8" s="1"/>
  <c r="E268" i="8" s="1"/>
  <c r="M267" i="8"/>
  <c r="K267" i="8"/>
  <c r="X267" i="8"/>
  <c r="G267" i="8" s="1"/>
  <c r="N267" i="8"/>
  <c r="I267" i="8"/>
  <c r="D267" i="8"/>
  <c r="A267" i="8" s="1"/>
  <c r="K268" i="8" l="1"/>
  <c r="J268" i="8"/>
  <c r="N268" i="8"/>
  <c r="M268" i="8"/>
  <c r="L268" i="8"/>
  <c r="O268" i="8" s="1"/>
  <c r="X268" i="8"/>
  <c r="G268" i="8" s="1"/>
  <c r="I268" i="8"/>
  <c r="Y268" i="8"/>
  <c r="H268" i="8" s="1"/>
  <c r="F269" i="8" a="1"/>
  <c r="F269" i="8" s="1"/>
  <c r="E269" i="8" s="1"/>
  <c r="D268" i="8"/>
  <c r="A268" i="8" s="1"/>
  <c r="M269" i="8" l="1"/>
  <c r="L269" i="8"/>
  <c r="O269" i="8" s="1"/>
  <c r="Y269" i="8"/>
  <c r="H269" i="8" s="1"/>
  <c r="K269" i="8"/>
  <c r="D269" i="8"/>
  <c r="J269" i="8"/>
  <c r="N269" i="8"/>
  <c r="F270" i="8" a="1"/>
  <c r="F270" i="8" s="1"/>
  <c r="E270" i="8" s="1"/>
  <c r="I269" i="8"/>
  <c r="X269" i="8"/>
  <c r="G269" i="8" s="1"/>
  <c r="F271" i="8" l="1" a="1"/>
  <c r="F271" i="8" s="1"/>
  <c r="E271" i="8" s="1"/>
  <c r="D270" i="8"/>
  <c r="I270" i="8"/>
  <c r="Y270" i="8"/>
  <c r="H270" i="8" s="1"/>
  <c r="M270" i="8"/>
  <c r="X270" i="8"/>
  <c r="G270" i="8" s="1"/>
  <c r="K270" i="8"/>
  <c r="N270" i="8"/>
  <c r="J270" i="8"/>
  <c r="L270" i="8"/>
  <c r="O270" i="8" s="1"/>
  <c r="A269" i="8"/>
  <c r="X271" i="8" l="1"/>
  <c r="G271" i="8" s="1"/>
  <c r="I271" i="8"/>
  <c r="L271" i="8"/>
  <c r="O271" i="8" s="1"/>
  <c r="Y271" i="8"/>
  <c r="H271" i="8" s="1"/>
  <c r="N271" i="8"/>
  <c r="F272" i="8" a="1"/>
  <c r="F272" i="8" s="1"/>
  <c r="E272" i="8" s="1"/>
  <c r="M271" i="8"/>
  <c r="J271" i="8"/>
  <c r="K271" i="8"/>
  <c r="D271" i="8"/>
  <c r="A271" i="8" s="1"/>
  <c r="A270" i="8"/>
  <c r="F273" i="8" l="1" a="1"/>
  <c r="F273" i="8" s="1"/>
  <c r="E273" i="8" s="1"/>
  <c r="M272" i="8"/>
  <c r="X272" i="8"/>
  <c r="G272" i="8" s="1"/>
  <c r="Y272" i="8"/>
  <c r="H272" i="8" s="1"/>
  <c r="K272" i="8"/>
  <c r="J272" i="8"/>
  <c r="D272" i="8"/>
  <c r="I272" i="8"/>
  <c r="L272" i="8"/>
  <c r="O272" i="8" s="1"/>
  <c r="N272" i="8"/>
  <c r="A272" i="8"/>
  <c r="M273" i="8" l="1"/>
  <c r="K273" i="8"/>
  <c r="F274" i="8" a="1"/>
  <c r="F274" i="8" s="1"/>
  <c r="E274" i="8" s="1"/>
  <c r="X273" i="8"/>
  <c r="G273" i="8" s="1"/>
  <c r="L273" i="8"/>
  <c r="O273" i="8" s="1"/>
  <c r="N273" i="8"/>
  <c r="Y273" i="8"/>
  <c r="H273" i="8" s="1"/>
  <c r="I273" i="8"/>
  <c r="J273" i="8"/>
  <c r="D273" i="8"/>
  <c r="A273" i="8" s="1"/>
  <c r="K274" i="8" l="1"/>
  <c r="D274" i="8"/>
  <c r="N274" i="8"/>
  <c r="J274" i="8"/>
  <c r="M274" i="8"/>
  <c r="I274" i="8"/>
  <c r="L274" i="8"/>
  <c r="O274" i="8" s="1"/>
  <c r="F275" i="8" a="1"/>
  <c r="F275" i="8" s="1"/>
  <c r="E275" i="8" s="1"/>
  <c r="X274" i="8"/>
  <c r="G274" i="8" s="1"/>
  <c r="Y274" i="8"/>
  <c r="H274" i="8" s="1"/>
  <c r="Y275" i="8" l="1"/>
  <c r="H275" i="8" s="1"/>
  <c r="L275" i="8"/>
  <c r="O275" i="8" s="1"/>
  <c r="X275" i="8"/>
  <c r="G275" i="8" s="1"/>
  <c r="K275" i="8"/>
  <c r="D275" i="8"/>
  <c r="A275" i="8" s="1"/>
  <c r="F276" i="8" a="1"/>
  <c r="F276" i="8" s="1"/>
  <c r="E276" i="8" s="1"/>
  <c r="I275" i="8"/>
  <c r="N275" i="8"/>
  <c r="M275" i="8"/>
  <c r="J275" i="8"/>
  <c r="A274" i="8"/>
  <c r="F277" i="8" l="1" a="1"/>
  <c r="F277" i="8" s="1"/>
  <c r="E277" i="8" s="1"/>
  <c r="L276" i="8"/>
  <c r="O276" i="8" s="1"/>
  <c r="Y276" i="8"/>
  <c r="H276" i="8" s="1"/>
  <c r="J276" i="8"/>
  <c r="I276" i="8"/>
  <c r="N276" i="8"/>
  <c r="M276" i="8"/>
  <c r="X276" i="8"/>
  <c r="G276" i="8" s="1"/>
  <c r="K276" i="8"/>
  <c r="D276" i="8"/>
  <c r="A276" i="8" l="1"/>
  <c r="F278" i="8" a="1"/>
  <c r="F278" i="8" s="1"/>
  <c r="E278" i="8" s="1"/>
  <c r="X277" i="8"/>
  <c r="G277" i="8" s="1"/>
  <c r="J277" i="8"/>
  <c r="I277" i="8"/>
  <c r="M277" i="8"/>
  <c r="L277" i="8"/>
  <c r="O277" i="8" s="1"/>
  <c r="D277" i="8"/>
  <c r="N277" i="8"/>
  <c r="K277" i="8"/>
  <c r="Y277" i="8"/>
  <c r="H277" i="8" s="1"/>
  <c r="A277" i="8" l="1"/>
  <c r="F279" i="8" a="1"/>
  <c r="F279" i="8" s="1"/>
  <c r="E279" i="8" s="1"/>
  <c r="I278" i="8"/>
  <c r="K278" i="8"/>
  <c r="J278" i="8"/>
  <c r="M278" i="8"/>
  <c r="X278" i="8"/>
  <c r="G278" i="8" s="1"/>
  <c r="D278" i="8"/>
  <c r="N278" i="8"/>
  <c r="Y278" i="8"/>
  <c r="H278" i="8" s="1"/>
  <c r="L278" i="8"/>
  <c r="O278" i="8" s="1"/>
  <c r="A278" i="8" l="1"/>
  <c r="K279" i="8"/>
  <c r="X279" i="8"/>
  <c r="G279" i="8" s="1"/>
  <c r="D279" i="8"/>
  <c r="M279" i="8"/>
  <c r="J279" i="8"/>
  <c r="F280" i="8" a="1"/>
  <c r="F280" i="8" s="1"/>
  <c r="E280" i="8" s="1"/>
  <c r="N279" i="8"/>
  <c r="Y279" i="8"/>
  <c r="H279" i="8" s="1"/>
  <c r="L279" i="8"/>
  <c r="O279" i="8" s="1"/>
  <c r="I279" i="8"/>
  <c r="A279" i="8" l="1"/>
  <c r="Y280" i="8"/>
  <c r="H280" i="8" s="1"/>
  <c r="X280" i="8"/>
  <c r="G280" i="8" s="1"/>
  <c r="J280" i="8"/>
  <c r="F281" i="8" a="1"/>
  <c r="F281" i="8" s="1"/>
  <c r="E281" i="8" s="1"/>
  <c r="D280" i="8"/>
  <c r="N280" i="8"/>
  <c r="K280" i="8"/>
  <c r="L280" i="8"/>
  <c r="O280" i="8" s="1"/>
  <c r="M280" i="8"/>
  <c r="I280" i="8"/>
  <c r="A280" i="8" l="1"/>
  <c r="L281" i="8"/>
  <c r="O281" i="8" s="1"/>
  <c r="J281" i="8"/>
  <c r="Y281" i="8"/>
  <c r="H281" i="8" s="1"/>
  <c r="N281" i="8"/>
  <c r="M281" i="8"/>
  <c r="K281" i="8"/>
  <c r="I281" i="8"/>
  <c r="X281" i="8"/>
  <c r="G281" i="8" s="1"/>
  <c r="F282" i="8" a="1"/>
  <c r="F282" i="8" s="1"/>
  <c r="E282" i="8" s="1"/>
  <c r="D281" i="8"/>
  <c r="A281" i="8" l="1"/>
  <c r="K282" i="8"/>
  <c r="J282" i="8"/>
  <c r="F283" i="8" a="1"/>
  <c r="F283" i="8" s="1"/>
  <c r="E283" i="8" s="1"/>
  <c r="N282" i="8"/>
  <c r="Y282" i="8"/>
  <c r="H282" i="8" s="1"/>
  <c r="L282" i="8"/>
  <c r="O282" i="8" s="1"/>
  <c r="D282" i="8"/>
  <c r="A282" i="8" s="1"/>
  <c r="I282" i="8"/>
  <c r="M282" i="8"/>
  <c r="X282" i="8"/>
  <c r="G282" i="8" s="1"/>
  <c r="F284" i="8" l="1" a="1"/>
  <c r="F284" i="8" s="1"/>
  <c r="E284" i="8" s="1"/>
  <c r="D283" i="8"/>
  <c r="J283" i="8"/>
  <c r="X283" i="8"/>
  <c r="G283" i="8" s="1"/>
  <c r="M283" i="8"/>
  <c r="K283" i="8"/>
  <c r="N283" i="8"/>
  <c r="Y283" i="8"/>
  <c r="H283" i="8" s="1"/>
  <c r="L283" i="8"/>
  <c r="O283" i="8" s="1"/>
  <c r="I283" i="8"/>
  <c r="M284" i="8" l="1"/>
  <c r="Y284" i="8"/>
  <c r="H284" i="8" s="1"/>
  <c r="D284" i="8"/>
  <c r="F285" i="8" a="1"/>
  <c r="F285" i="8" s="1"/>
  <c r="E285" i="8" s="1"/>
  <c r="I284" i="8"/>
  <c r="X284" i="8"/>
  <c r="G284" i="8" s="1"/>
  <c r="L284" i="8"/>
  <c r="O284" i="8" s="1"/>
  <c r="J284" i="8"/>
  <c r="N284" i="8"/>
  <c r="K284" i="8"/>
  <c r="A283" i="8"/>
  <c r="A284" i="8" l="1"/>
  <c r="F286" i="8" a="1"/>
  <c r="F286" i="8" s="1"/>
  <c r="E286" i="8" s="1"/>
  <c r="L285" i="8"/>
  <c r="O285" i="8" s="1"/>
  <c r="J285" i="8"/>
  <c r="K285" i="8"/>
  <c r="X285" i="8"/>
  <c r="G285" i="8" s="1"/>
  <c r="N285" i="8"/>
  <c r="I285" i="8"/>
  <c r="M285" i="8"/>
  <c r="Y285" i="8"/>
  <c r="H285" i="8" s="1"/>
  <c r="D285" i="8"/>
  <c r="F287" i="8" l="1" a="1"/>
  <c r="F287" i="8" s="1"/>
  <c r="E287" i="8" s="1"/>
  <c r="A285" i="8"/>
  <c r="K286" i="8"/>
  <c r="M286" i="8"/>
  <c r="N286" i="8"/>
  <c r="L286" i="8"/>
  <c r="O286" i="8" s="1"/>
  <c r="J286" i="8"/>
  <c r="I286" i="8"/>
  <c r="X286" i="8"/>
  <c r="G286" i="8" s="1"/>
  <c r="D286" i="8"/>
  <c r="Y286" i="8"/>
  <c r="H286" i="8" s="1"/>
  <c r="F288" i="8" l="1" a="1"/>
  <c r="F288" i="8" s="1"/>
  <c r="E288" i="8" s="1"/>
  <c r="J287" i="8"/>
  <c r="D287" i="8"/>
  <c r="A286" i="8"/>
  <c r="K287" i="8"/>
  <c r="N287" i="8"/>
  <c r="L287" i="8"/>
  <c r="O287" i="8" s="1"/>
  <c r="I287" i="8"/>
  <c r="X287" i="8"/>
  <c r="G287" i="8" s="1"/>
  <c r="M287" i="8"/>
  <c r="Y287" i="8"/>
  <c r="H287" i="8" s="1"/>
  <c r="A287" i="8" l="1"/>
  <c r="L288" i="8"/>
  <c r="O288" i="8" s="1"/>
  <c r="Y288" i="8"/>
  <c r="H288" i="8" s="1"/>
  <c r="K288" i="8"/>
  <c r="J288" i="8"/>
  <c r="D288" i="8"/>
  <c r="I288" i="8"/>
  <c r="N288" i="8"/>
  <c r="F289" i="8" a="1"/>
  <c r="F289" i="8" s="1"/>
  <c r="E289" i="8" s="1"/>
  <c r="M288" i="8"/>
  <c r="X288" i="8"/>
  <c r="G288" i="8" s="1"/>
  <c r="Y289" i="8" l="1"/>
  <c r="H289" i="8" s="1"/>
  <c r="X289" i="8"/>
  <c r="G289" i="8" s="1"/>
  <c r="F290" i="8" a="1"/>
  <c r="F290" i="8" s="1"/>
  <c r="E290" i="8" s="1"/>
  <c r="K289" i="8"/>
  <c r="L289" i="8"/>
  <c r="O289" i="8" s="1"/>
  <c r="N289" i="8"/>
  <c r="M289" i="8"/>
  <c r="D289" i="8"/>
  <c r="J289" i="8"/>
  <c r="I289" i="8"/>
  <c r="A288" i="8"/>
  <c r="A289" i="8" l="1"/>
  <c r="F291" i="8" a="1"/>
  <c r="F291" i="8" s="1"/>
  <c r="E291" i="8" s="1"/>
  <c r="L290" i="8"/>
  <c r="O290" i="8" s="1"/>
  <c r="Y290" i="8"/>
  <c r="H290" i="8" s="1"/>
  <c r="X290" i="8"/>
  <c r="G290" i="8" s="1"/>
  <c r="D290" i="8"/>
  <c r="A290" i="8" s="1"/>
  <c r="K290" i="8"/>
  <c r="J290" i="8"/>
  <c r="M290" i="8"/>
  <c r="N290" i="8"/>
  <c r="I290" i="8"/>
  <c r="F292" i="8" l="1" a="1"/>
  <c r="F292" i="8" s="1"/>
  <c r="E292" i="8" s="1"/>
  <c r="I291" i="8"/>
  <c r="Y291" i="8"/>
  <c r="H291" i="8" s="1"/>
  <c r="K291" i="8"/>
  <c r="D291" i="8"/>
  <c r="A291" i="8" s="1"/>
  <c r="L291" i="8"/>
  <c r="O291" i="8" s="1"/>
  <c r="M291" i="8"/>
  <c r="X291" i="8"/>
  <c r="G291" i="8" s="1"/>
  <c r="N291" i="8"/>
  <c r="J291" i="8"/>
  <c r="I292" i="8" l="1"/>
  <c r="Y292" i="8"/>
  <c r="H292" i="8" s="1"/>
  <c r="L292" i="8"/>
  <c r="O292" i="8" s="1"/>
  <c r="J292" i="8"/>
  <c r="D292" i="8"/>
  <c r="K292" i="8"/>
  <c r="N292" i="8"/>
  <c r="F293" i="8" a="1"/>
  <c r="F293" i="8" s="1"/>
  <c r="E293" i="8" s="1"/>
  <c r="M292" i="8"/>
  <c r="X292" i="8"/>
  <c r="G292" i="8" s="1"/>
  <c r="A292" i="8" l="1"/>
  <c r="K293" i="8"/>
  <c r="X293" i="8"/>
  <c r="G293" i="8" s="1"/>
  <c r="L293" i="8"/>
  <c r="O293" i="8" s="1"/>
  <c r="Y293" i="8"/>
  <c r="H293" i="8" s="1"/>
  <c r="D293" i="8"/>
  <c r="F294" i="8" a="1"/>
  <c r="F294" i="8" s="1"/>
  <c r="E294" i="8" s="1"/>
  <c r="J293" i="8"/>
  <c r="N293" i="8"/>
  <c r="M293" i="8"/>
  <c r="I293" i="8"/>
  <c r="A293" i="8" l="1"/>
  <c r="K294" i="8"/>
  <c r="L294" i="8"/>
  <c r="O294" i="8" s="1"/>
  <c r="J294" i="8"/>
  <c r="Y294" i="8"/>
  <c r="H294" i="8" s="1"/>
  <c r="N294" i="8"/>
  <c r="F295" i="8" a="1"/>
  <c r="F295" i="8" s="1"/>
  <c r="E295" i="8" s="1"/>
  <c r="X294" i="8"/>
  <c r="G294" i="8" s="1"/>
  <c r="M294" i="8"/>
  <c r="I294" i="8"/>
  <c r="D294" i="8"/>
  <c r="A294" i="8" l="1"/>
  <c r="F296" i="8" a="1"/>
  <c r="F296" i="8" s="1"/>
  <c r="E296" i="8" s="1"/>
  <c r="I295" i="8"/>
  <c r="N295" i="8"/>
  <c r="Y295" i="8"/>
  <c r="H295" i="8" s="1"/>
  <c r="K295" i="8"/>
  <c r="D295" i="8"/>
  <c r="M295" i="8"/>
  <c r="X295" i="8"/>
  <c r="G295" i="8" s="1"/>
  <c r="L295" i="8"/>
  <c r="O295" i="8" s="1"/>
  <c r="J295" i="8"/>
  <c r="A295" i="8" l="1"/>
  <c r="F297" i="8" a="1"/>
  <c r="F297" i="8" s="1"/>
  <c r="E297" i="8" s="1"/>
  <c r="K296" i="8"/>
  <c r="X296" i="8"/>
  <c r="G296" i="8" s="1"/>
  <c r="D296" i="8"/>
  <c r="I296" i="8"/>
  <c r="M296" i="8"/>
  <c r="Y296" i="8"/>
  <c r="H296" i="8" s="1"/>
  <c r="J296" i="8"/>
  <c r="L296" i="8"/>
  <c r="O296" i="8" s="1"/>
  <c r="N296" i="8"/>
  <c r="A296" i="8" l="1"/>
  <c r="J297" i="8"/>
  <c r="Y297" i="8"/>
  <c r="H297" i="8" s="1"/>
  <c r="F298" i="8" a="1"/>
  <c r="F298" i="8" s="1"/>
  <c r="E298" i="8" s="1"/>
  <c r="K297" i="8"/>
  <c r="N297" i="8"/>
  <c r="L297" i="8"/>
  <c r="O297" i="8" s="1"/>
  <c r="I297" i="8"/>
  <c r="D297" i="8"/>
  <c r="M297" i="8"/>
  <c r="X297" i="8"/>
  <c r="G297" i="8" s="1"/>
  <c r="A297" i="8" l="1"/>
  <c r="Y298" i="8"/>
  <c r="H298" i="8" s="1"/>
  <c r="D298" i="8"/>
  <c r="N298" i="8"/>
  <c r="M298" i="8"/>
  <c r="I298" i="8"/>
  <c r="X298" i="8"/>
  <c r="G298" i="8" s="1"/>
  <c r="J298" i="8"/>
  <c r="K298" i="8"/>
  <c r="F299" i="8" a="1"/>
  <c r="F299" i="8" s="1"/>
  <c r="E299" i="8" s="1"/>
  <c r="L298" i="8"/>
  <c r="O298" i="8" s="1"/>
  <c r="A298" i="8" l="1"/>
  <c r="M299" i="8"/>
  <c r="D299" i="8"/>
  <c r="F300" i="8" a="1"/>
  <c r="F300" i="8" s="1"/>
  <c r="E300" i="8" s="1"/>
  <c r="Y299" i="8"/>
  <c r="H299" i="8" s="1"/>
  <c r="L299" i="8"/>
  <c r="O299" i="8" s="1"/>
  <c r="K299" i="8"/>
  <c r="J299" i="8"/>
  <c r="N299" i="8"/>
  <c r="I299" i="8"/>
  <c r="X299" i="8"/>
  <c r="G299" i="8" s="1"/>
  <c r="A299" i="8" l="1"/>
  <c r="F301" i="8" a="1"/>
  <c r="F301" i="8" s="1"/>
  <c r="E301" i="8" s="1"/>
  <c r="D300" i="8"/>
  <c r="I300" i="8"/>
  <c r="N300" i="8"/>
  <c r="L300" i="8"/>
  <c r="O300" i="8" s="1"/>
  <c r="X300" i="8"/>
  <c r="G300" i="8" s="1"/>
  <c r="M300" i="8"/>
  <c r="Y300" i="8"/>
  <c r="H300" i="8" s="1"/>
  <c r="K300" i="8"/>
  <c r="J300" i="8"/>
  <c r="F302" i="8" l="1" a="1"/>
  <c r="F302" i="8" s="1"/>
  <c r="E302" i="8" s="1"/>
  <c r="J301" i="8"/>
  <c r="D301" i="8"/>
  <c r="I301" i="8"/>
  <c r="Y301" i="8"/>
  <c r="H301" i="8" s="1"/>
  <c r="L301" i="8"/>
  <c r="O301" i="8" s="1"/>
  <c r="X301" i="8"/>
  <c r="G301" i="8" s="1"/>
  <c r="N301" i="8"/>
  <c r="M301" i="8"/>
  <c r="K301" i="8"/>
  <c r="A300" i="8"/>
  <c r="X302" i="8" l="1"/>
  <c r="G302" i="8" s="1"/>
  <c r="D302" i="8"/>
  <c r="N302" i="8"/>
  <c r="N1" i="8" s="1"/>
  <c r="Y302" i="8"/>
  <c r="H302" i="8" s="1"/>
  <c r="L302" i="8"/>
  <c r="O302" i="8" s="1"/>
  <c r="K302" i="8"/>
  <c r="K1" i="8" s="1"/>
  <c r="M302" i="8"/>
  <c r="M1" i="8" s="1"/>
  <c r="J302" i="8"/>
  <c r="J1" i="8" s="1"/>
  <c r="I302" i="8"/>
  <c r="I1" i="8" s="1"/>
  <c r="A301" i="8"/>
  <c r="L1" i="8"/>
  <c r="A302"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B21" authorId="0" shapeId="0" xr:uid="{00000000-0006-0000-0000-000001000000}">
      <text>
        <r>
          <rPr>
            <sz val="8"/>
            <color indexed="81"/>
            <rFont val="Tahoma"/>
            <family val="2"/>
          </rPr>
          <t xml:space="preserve"> Input the 'blended' rate of electricity for the given account number, i.e. the total electric utility costs for at least the previous 12 months divided by the total kWh consumption during the same time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Sheaffer, Andrew</author>
    <author>Pedro-Egbe, Mobuayo</author>
  </authors>
  <commentList>
    <comment ref="AC2" authorId="0" shapeId="0" xr:uid="{00000000-0006-0000-0200-000001000000}">
      <text>
        <r>
          <rPr>
            <sz val="8"/>
            <color indexed="81"/>
            <rFont val="Tahoma"/>
            <family val="2"/>
          </rPr>
          <t>Incentives are capped at $50,000 per customer</t>
        </r>
      </text>
    </comment>
    <comment ref="D3" authorId="1" shapeId="0" xr:uid="{00000000-0006-0000-0200-000002000000}">
      <text>
        <r>
          <rPr>
            <b/>
            <sz val="9"/>
            <color indexed="81"/>
            <rFont val="Tahoma"/>
            <family val="2"/>
          </rPr>
          <t>Pedro-Egbe, Mobuayo:</t>
        </r>
        <r>
          <rPr>
            <sz val="9"/>
            <color indexed="81"/>
            <rFont val="Tahoma"/>
            <family val="2"/>
          </rPr>
          <t xml:space="preserve">
This is based on proposed fixture wattage</t>
        </r>
      </text>
    </comment>
    <comment ref="E3" authorId="0" shapeId="0" xr:uid="{00000000-0006-0000-0200-000003000000}">
      <text>
        <r>
          <rPr>
            <sz val="8"/>
            <color indexed="81"/>
            <rFont val="Tahoma"/>
            <family val="2"/>
          </rPr>
          <t>Location - provide a name for the project location (building or space name)</t>
        </r>
      </text>
    </comment>
    <comment ref="G3" authorId="0" shapeId="0" xr:uid="{00000000-0006-0000-0200-00000400000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H3" authorId="0" shapeId="0" xr:uid="{00000000-0006-0000-0200-000005000000}">
      <text>
        <r>
          <rPr>
            <sz val="8"/>
            <color indexed="81"/>
            <rFont val="Tahoma"/>
            <family val="2"/>
          </rPr>
          <t xml:space="preserve"> Cooling Conditions:
- standard air conditioned spaces &gt; 41°F; 
- refrigerator/cooler 33 to 41°F;
- freezer -10 to 10°F; 
- N/A - not conditioned or not applicable.</t>
        </r>
      </text>
    </comment>
    <comment ref="I3" authorId="0" shapeId="0" xr:uid="{00000000-0006-0000-0200-00000600000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J3" authorId="0" shapeId="0" xr:uid="{00000000-0006-0000-0200-000007000000}">
      <text>
        <r>
          <rPr>
            <sz val="8"/>
            <color indexed="81"/>
            <rFont val="Tahoma"/>
            <family val="2"/>
          </rPr>
          <t xml:space="preserve">Annual Hours - annual operating hours are automatically determined based on space type. </t>
        </r>
      </text>
    </comment>
    <comment ref="L3" authorId="0" shapeId="0" xr:uid="{00000000-0006-0000-0200-000008000000}">
      <text>
        <r>
          <rPr>
            <sz val="8"/>
            <color indexed="81"/>
            <rFont val="Tahoma"/>
            <family val="2"/>
          </rPr>
          <t>Fixture Code - Select the most appropriate fixture code from the "Fixture Table" tab</t>
        </r>
      </text>
    </comment>
    <comment ref="M3" authorId="0" shapeId="0" xr:uid="{00000000-0006-0000-0200-000009000000}">
      <text>
        <r>
          <rPr>
            <sz val="8"/>
            <color indexed="81"/>
            <rFont val="Tahoma"/>
            <family val="2"/>
          </rPr>
          <t xml:space="preserve">Lamp/Fixture Make &amp; Model # -  make sure to input a model # for the proposed fixtures; 
</t>
        </r>
      </text>
    </comment>
    <comment ref="N3" authorId="0" shapeId="0" xr:uid="{00000000-0006-0000-0200-00000A000000}">
      <text>
        <r>
          <rPr>
            <sz val="8"/>
            <color indexed="81"/>
            <rFont val="Tahoma"/>
            <family val="2"/>
          </rPr>
          <t xml:space="preserve">Ballast Make &amp; Model # - make sure to input a model # for the proposed fixtures; 
</t>
        </r>
      </text>
    </comment>
    <comment ref="O3" authorId="0" shapeId="0" xr:uid="{00000000-0006-0000-0200-00000B000000}">
      <text>
        <r>
          <rPr>
            <sz val="8"/>
            <color indexed="81"/>
            <rFont val="Tahoma"/>
            <family val="2"/>
          </rPr>
          <t>Existing Controls - If there are existing lighting controls already in place, select the most appropriate type from the drop-down list. If there are no existing controls, simply select "Switch/No Controls"</t>
        </r>
      </text>
    </comment>
    <comment ref="R3" authorId="0" shapeId="0" xr:uid="{00000000-0006-0000-0200-00000C000000}">
      <text>
        <r>
          <rPr>
            <sz val="8"/>
            <color indexed="81"/>
            <rFont val="Tahoma"/>
            <family val="2"/>
          </rPr>
          <t>Fixture Code - Select the most appropriate fixture code from the "Fixture Table" tab</t>
        </r>
      </text>
    </comment>
    <comment ref="S3" authorId="0" shapeId="0" xr:uid="{00000000-0006-0000-0200-00000D000000}">
      <text>
        <r>
          <rPr>
            <sz val="8"/>
            <color indexed="81"/>
            <rFont val="Tahoma"/>
            <family val="2"/>
          </rPr>
          <t xml:space="preserve">Lamp/Fixture Make &amp; Model # - make sure to input a model # for the proposed fixtures; 
</t>
        </r>
      </text>
    </comment>
    <comment ref="T3" authorId="0" shapeId="0" xr:uid="{00000000-0006-0000-0200-00000E000000}">
      <text>
        <r>
          <rPr>
            <sz val="8"/>
            <color indexed="81"/>
            <rFont val="Tahoma"/>
            <family val="2"/>
          </rPr>
          <t>Qualification - indicate whether the lamp/fixture is qualified by:
-Energy Star (ES)
-Design Lights Consortium (DLC)</t>
        </r>
      </text>
    </comment>
    <comment ref="U3" authorId="0" shapeId="0" xr:uid="{00000000-0006-0000-0200-00000F000000}">
      <text>
        <r>
          <rPr>
            <sz val="8"/>
            <color indexed="81"/>
            <rFont val="Tahoma"/>
            <family val="2"/>
          </rPr>
          <t xml:space="preserve">Ballast Make &amp; Model # - for a fixture retrofit project, make sure to input a model # for the proposed fixtures; </t>
        </r>
      </text>
    </comment>
    <comment ref="V3" authorId="0" shapeId="0" xr:uid="{00000000-0006-0000-0200-00001000000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W3" authorId="0" shapeId="0" xr:uid="{00000000-0006-0000-0200-000011000000}">
      <text>
        <r>
          <rPr>
            <sz val="8"/>
            <color indexed="81"/>
            <rFont val="Tahoma"/>
            <family val="2"/>
          </rPr>
          <t xml:space="preserve">If you are installing controls in conjunction with a lighting fixture retrofit project, please choose the most appropriate controls type from the drop-down list. If there are already existing controls in place, the "Proposed Control(s)" type needs to reflect the selection made in the "Existing Control(s)" column to avoid a savings calculation error. If you are only doing a fixture retrofit project and not planning on installing controls, simply select 'Switch/No Controls' from the drop-down list, which should also be the selection in the "Existing Control(s)" column for this scenario. IF YOU ARE INSTALLING CONTROLS ON EXISTING FIXTURES, YOU MUST USE THE PRESCRIPTIVE CALCULATOR TOOL TO APPLY FOR THE INCENTIVE. </t>
        </r>
      </text>
    </comment>
    <comment ref="X3" authorId="0" shapeId="0" xr:uid="{00000000-0006-0000-0200-000012000000}">
      <text>
        <r>
          <rPr>
            <sz val="8"/>
            <color indexed="81"/>
            <rFont val="Tahoma"/>
            <family val="2"/>
          </rPr>
          <t xml:space="preserve">Retrofit costs  - enter total cost for each project.  </t>
        </r>
        <r>
          <rPr>
            <b/>
            <sz val="8"/>
            <color indexed="81"/>
            <rFont val="Tahoma"/>
            <family val="2"/>
          </rPr>
          <t xml:space="preserve">Costs should not include any labor completed by customer in-house staff.  Coust should not include lighting control purchase or installation costs. </t>
        </r>
        <r>
          <rPr>
            <sz val="8"/>
            <color indexed="81"/>
            <rFont val="Tahoma"/>
            <family val="2"/>
          </rPr>
          <t xml:space="preserve">  If costs are not available for each project, total project cost can be entered in the totals row.</t>
        </r>
      </text>
    </comment>
    <comment ref="AC3" authorId="0" shapeId="0" xr:uid="{00000000-0006-0000-0200-000013000000}">
      <text>
        <r>
          <rPr>
            <sz val="8"/>
            <color indexed="81"/>
            <rFont val="Tahoma"/>
            <family val="2"/>
          </rPr>
          <t>Individual project incentives do not reflect incentive caps, which are applied to the sum of all individual project incentives shown in the row above.</t>
        </r>
      </text>
    </comment>
    <comment ref="AE3" authorId="0" shapeId="0" xr:uid="{00000000-0006-0000-0200-000014000000}">
      <text>
        <r>
          <rPr>
            <sz val="8"/>
            <color indexed="81"/>
            <rFont val="Tahoma"/>
            <family val="2"/>
          </rPr>
          <t>Net Project Costs for each project line item do not reflect incentive caps.  The total net project cost in the row above does reflect incentive caps.</t>
        </r>
      </text>
    </comment>
    <comment ref="AF3" authorId="0" shapeId="0" xr:uid="{00000000-0006-0000-0200-000015000000}">
      <text>
        <r>
          <rPr>
            <sz val="8"/>
            <color indexed="81"/>
            <rFont val="Tahoma"/>
            <family val="2"/>
          </rPr>
          <t>Project Payback for each project line item do not reflect incentive caps.  The total project payback in the row above does reflect incentive caps.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D3" authorId="0" shapeId="0" xr:uid="{00000000-0006-0000-0300-000001000000}">
      <text>
        <r>
          <rPr>
            <sz val="8"/>
            <color indexed="81"/>
            <rFont val="Tahoma"/>
            <family val="2"/>
          </rPr>
          <t>This value refers to input from "Project Input" tab.</t>
        </r>
      </text>
    </comment>
    <comment ref="F3" authorId="0" shapeId="0" xr:uid="{00000000-0006-0000-0300-000002000000}">
      <text>
        <r>
          <rPr>
            <sz val="8"/>
            <color indexed="81"/>
            <rFont val="Tahoma"/>
            <family val="2"/>
          </rPr>
          <t>Operating Schedule - enter start and end time.  For example: "7 AM to 4:30 PM"  or " 9 AM to 1 AM"</t>
        </r>
      </text>
    </comment>
    <comment ref="G3" authorId="0" shapeId="0" xr:uid="{00000000-0006-0000-0300-000003000000}">
      <text>
        <r>
          <rPr>
            <sz val="8"/>
            <color indexed="81"/>
            <rFont val="Tahoma"/>
            <family val="2"/>
          </rPr>
          <t xml:space="preserve">Operating Hours - enter total daily operating hours for each weekday. </t>
        </r>
      </text>
    </comment>
    <comment ref="H3" authorId="0" shapeId="0" xr:uid="{00000000-0006-0000-0300-000004000000}">
      <text>
        <r>
          <rPr>
            <sz val="8"/>
            <color indexed="81"/>
            <rFont val="Tahoma"/>
            <family val="2"/>
          </rPr>
          <t>Weekdays Per Week - enter how many days per week the weekday schedule is used</t>
        </r>
      </text>
    </comment>
    <comment ref="I3" authorId="0" shapeId="0" xr:uid="{00000000-0006-0000-0300-000005000000}">
      <text>
        <r>
          <rPr>
            <sz val="8"/>
            <color indexed="81"/>
            <rFont val="Tahoma"/>
            <family val="2"/>
          </rPr>
          <t>Operating Schedule - enter start and end time.  For example: "7 AM to 4:30 PM"  or " 9 AM to 1 AM"</t>
        </r>
      </text>
    </comment>
    <comment ref="J3" authorId="0" shapeId="0" xr:uid="{00000000-0006-0000-0300-000006000000}">
      <text>
        <r>
          <rPr>
            <sz val="8"/>
            <color indexed="81"/>
            <rFont val="Tahoma"/>
            <family val="2"/>
          </rPr>
          <t>Operating Hours - enter total daily operating hours for Saturday.</t>
        </r>
      </text>
    </comment>
    <comment ref="K3" authorId="0" shapeId="0" xr:uid="{00000000-0006-0000-0300-000007000000}">
      <text>
        <r>
          <rPr>
            <sz val="8"/>
            <color indexed="81"/>
            <rFont val="Tahoma"/>
            <family val="2"/>
          </rPr>
          <t>Operating Schedule - enter start and end time.  For example: "7 AM to 4:30 PM"  or " 9 AM to 1 AM"</t>
        </r>
      </text>
    </comment>
    <comment ref="L3" authorId="0" shapeId="0" xr:uid="{00000000-0006-0000-0300-000008000000}">
      <text>
        <r>
          <rPr>
            <sz val="8"/>
            <color indexed="81"/>
            <rFont val="Tahoma"/>
            <family val="2"/>
          </rPr>
          <t>Operating Hours - enter total daily operating hours for Sunday.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Sheaffer, Andrew</author>
  </authors>
  <commentList>
    <comment ref="W2" authorId="0" shapeId="0" xr:uid="{00000000-0006-0000-0500-000001000000}">
      <text>
        <r>
          <rPr>
            <sz val="8"/>
            <color indexed="81"/>
            <rFont val="Tahoma"/>
            <family val="2"/>
          </rPr>
          <t>If any projects in this sheet fail the eligible proposed fixture test, this cell will return "FAIL"</t>
        </r>
      </text>
    </comment>
    <comment ref="X2" authorId="0" shapeId="0" xr:uid="{00000000-0006-0000-0500-000002000000}">
      <text>
        <r>
          <rPr>
            <sz val="8"/>
            <color indexed="81"/>
            <rFont val="Tahoma"/>
            <family val="2"/>
          </rPr>
          <t>If any projects in this sheet fail the eligible proposed fixture test, this cell will return "FAIL"</t>
        </r>
      </text>
    </comment>
    <comment ref="Z2" authorId="0" shapeId="0" xr:uid="{00000000-0006-0000-0500-000003000000}">
      <text>
        <r>
          <rPr>
            <sz val="8"/>
            <color indexed="81"/>
            <rFont val="Tahoma"/>
            <family val="2"/>
          </rPr>
          <t>If any projects in this sheet fail the wattage reduction test, this cell will return "FAIL"</t>
        </r>
      </text>
    </comment>
    <comment ref="B3" authorId="0" shapeId="0" xr:uid="{00000000-0006-0000-0500-000004000000}">
      <text>
        <r>
          <rPr>
            <sz val="8"/>
            <color indexed="81"/>
            <rFont val="Tahoma"/>
            <family val="2"/>
          </rPr>
          <t>Location - provide a name for the project location (building or space name)</t>
        </r>
      </text>
    </comment>
    <comment ref="D3" authorId="0" shapeId="0" xr:uid="{00000000-0006-0000-0500-000005000000}">
      <text>
        <r>
          <rPr>
            <sz val="8"/>
            <color indexed="81"/>
            <rFont val="Tahoma"/>
            <family val="2"/>
          </rPr>
          <t xml:space="preserve">Building/Space Type - Choose the most appropriate space type. If you don't see a space type that applies to your project location, please contact the program and we can assist you in choosing the best option. </t>
        </r>
      </text>
    </comment>
    <comment ref="E3" authorId="0" shapeId="0" xr:uid="{00000000-0006-0000-0500-000006000000}">
      <text>
        <r>
          <rPr>
            <sz val="8"/>
            <color indexed="81"/>
            <rFont val="Tahoma"/>
            <family val="2"/>
          </rPr>
          <t xml:space="preserve"> Cooling Conditions:
- standard air conditioned spaces &gt; 41°F; 
- refrigerator/cooler 33 to 41°F;
- freezer -10 to 10°F; 
- N/A - not conditioned or not applicable.</t>
        </r>
      </text>
    </comment>
    <comment ref="F3" authorId="0" shapeId="0" xr:uid="{00000000-0006-0000-0500-000007000000}">
      <text>
        <r>
          <rPr>
            <sz val="8"/>
            <color indexed="81"/>
            <rFont val="Tahoma"/>
            <family val="2"/>
          </rPr>
          <t>Over-Ride Annual Hours:  If actual annual operating hours differ significantly from the default operating hours, select "Over-ride" in this column and enter actual operating hours details on the "Custom Hours" tab.</t>
        </r>
      </text>
    </comment>
    <comment ref="G3" authorId="0" shapeId="0" xr:uid="{00000000-0006-0000-0500-000008000000}">
      <text>
        <r>
          <rPr>
            <sz val="8"/>
            <color indexed="81"/>
            <rFont val="Tahoma"/>
            <family val="2"/>
          </rPr>
          <t xml:space="preserve">Annual Hours - annual operating hours are automatically determined based on space type. </t>
        </r>
      </text>
    </comment>
    <comment ref="I3" authorId="0" shapeId="0" xr:uid="{00000000-0006-0000-0500-000009000000}">
      <text>
        <r>
          <rPr>
            <sz val="8"/>
            <color indexed="81"/>
            <rFont val="Tahoma"/>
            <family val="2"/>
          </rPr>
          <t>Fixture Code - Select the most appropriate fixture code from the "Fixture Table" tab</t>
        </r>
      </text>
    </comment>
    <comment ref="J3" authorId="0" shapeId="0" xr:uid="{00000000-0006-0000-0500-00000A00000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K3" authorId="0" shapeId="0" xr:uid="{00000000-0006-0000-0500-00000B00000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O3" authorId="0" shapeId="0" xr:uid="{00000000-0006-0000-0500-00000C000000}">
      <text>
        <r>
          <rPr>
            <sz val="8"/>
            <color indexed="81"/>
            <rFont val="Tahoma"/>
            <family val="2"/>
          </rPr>
          <t>Fixture Code - Select the most appropriate fixture code from the "Fixture Table" tab</t>
        </r>
      </text>
    </comment>
    <comment ref="P3" authorId="0" shapeId="0" xr:uid="{00000000-0006-0000-0500-00000D000000}">
      <text>
        <r>
          <rPr>
            <sz val="8"/>
            <color indexed="81"/>
            <rFont val="Tahoma"/>
            <family val="2"/>
          </rPr>
          <t>Lamp/Fixture Make &amp; Model # 
- for a fixture retrofit project, make sure to input a model # for the proposed fixtures; 
- for a controls-only project, proposed fixtures are assumed to be the same as existing fixtures</t>
        </r>
      </text>
    </comment>
    <comment ref="Q3" authorId="0" shapeId="0" xr:uid="{00000000-0006-0000-0500-00000E000000}">
      <text>
        <r>
          <rPr>
            <sz val="8"/>
            <color indexed="81"/>
            <rFont val="Tahoma"/>
            <family val="2"/>
          </rPr>
          <t>Qualification - indicate whether the lamp/fixture is qualified by:
-Energy Star (ES)
-Design Lights Consortium (DLC)</t>
        </r>
      </text>
    </comment>
    <comment ref="R3" authorId="0" shapeId="0" xr:uid="{00000000-0006-0000-0500-00000F000000}">
      <text>
        <r>
          <rPr>
            <sz val="8"/>
            <color indexed="81"/>
            <rFont val="Tahoma"/>
            <family val="2"/>
          </rPr>
          <t>Ballast Make &amp; Model #
- for a fixture retrofit project, make sure to input a model # for the proposed fixtures; 
- for a controls-only project, proposed ballasts are assumed to be the same as existing ballasts</t>
        </r>
      </text>
    </comment>
    <comment ref="S3" authorId="0" shapeId="0" xr:uid="{00000000-0006-0000-0500-000010000000}">
      <text>
        <r>
          <rPr>
            <sz val="8"/>
            <color indexed="81"/>
            <rFont val="Tahoma"/>
            <family val="2"/>
          </rPr>
          <t>Qualification - indicate whether the ballast is qualified by:
-Energy Star (ES)
-Design Lights Consortium (DLC)
-Consortium for Energy Efficiency (CEE)
-National Electric Manufacturers Association (NEMA)</t>
        </r>
      </text>
    </comment>
    <comment ref="U3" authorId="0" shapeId="0" xr:uid="{00000000-0006-0000-0500-000011000000}">
      <text>
        <r>
          <rPr>
            <sz val="8"/>
            <color indexed="81"/>
            <rFont val="Tahoma"/>
            <family val="2"/>
          </rPr>
          <t>Retrofit costs  - enter total cost for each project.  Costs should not include any labor completed by customer in-house staff.  If costs are not available for each project, total project cost can be entered in the totals row.</t>
        </r>
      </text>
    </comment>
    <comment ref="W3" authorId="0" shapeId="0" xr:uid="{00000000-0006-0000-0500-000012000000}">
      <text>
        <r>
          <rPr>
            <sz val="8"/>
            <color indexed="81"/>
            <rFont val="Tahoma"/>
            <family val="2"/>
          </rPr>
          <t xml:space="preserve">Operating Hours Test - "FAIL" indicates that:
-custon operating hours over-ride is selected in "Over-Ride Annual Hours" column, but custom hours have not been entered on "Custom Hours" tab.
</t>
        </r>
        <r>
          <rPr>
            <b/>
            <i/>
            <sz val="8"/>
            <color indexed="81"/>
            <rFont val="Tahoma"/>
            <family val="2"/>
          </rPr>
          <t xml:space="preserve">OR
</t>
        </r>
        <r>
          <rPr>
            <sz val="8"/>
            <color indexed="81"/>
            <rFont val="Tahoma"/>
            <family val="2"/>
          </rPr>
          <t xml:space="preserve">-default hours is selected in "Over-Ride Annual Hours" column, but custom hours have been entered on "Custom Hours" tab.
</t>
        </r>
      </text>
    </comment>
    <comment ref="X3" authorId="0" shapeId="0" xr:uid="{00000000-0006-0000-0500-000013000000}">
      <text>
        <r>
          <rPr>
            <sz val="8"/>
            <color indexed="81"/>
            <rFont val="Tahoma"/>
            <family val="2"/>
          </rPr>
          <t xml:space="preserve">Eligible Proposed Fixture Test - "FAIL" indicates that the proposed lighting fixtures are not eligible for incentives
</t>
        </r>
      </text>
    </comment>
    <comment ref="Y3" authorId="0" shapeId="0" xr:uid="{00000000-0006-0000-0500-000014000000}">
      <text>
        <r>
          <rPr>
            <sz val="8"/>
            <color indexed="81"/>
            <rFont val="Tahoma"/>
            <family val="2"/>
          </rPr>
          <t xml:space="preserve">Project Type Matches Controls Selections Test - "FAIL" indicates that the project "Measure Type" does not match the controls selected in the "Existing Controls" column or "Proposed Controls" column </t>
        </r>
      </text>
    </comment>
    <comment ref="Z3" authorId="0" shapeId="0" xr:uid="{00000000-0006-0000-0500-000015000000}">
      <text>
        <r>
          <rPr>
            <sz val="8"/>
            <color indexed="81"/>
            <rFont val="Tahoma"/>
            <family val="2"/>
          </rPr>
          <t xml:space="preserve">
Wattage Reduction - "FAIL" indicates that the proposed fixtures do</t>
        </r>
      </text>
    </comment>
  </commentList>
</comments>
</file>

<file path=xl/sharedStrings.xml><?xml version="1.0" encoding="utf-8"?>
<sst xmlns="http://schemas.openxmlformats.org/spreadsheetml/2006/main" count="14386" uniqueCount="4063">
  <si>
    <t>Building Type</t>
  </si>
  <si>
    <t>AOH</t>
  </si>
  <si>
    <t>Food Service: Fast Food</t>
  </si>
  <si>
    <t>Lodging (Hotel/Motel/Dorm): Common Areas</t>
  </si>
  <si>
    <t>Multi-family Housing: Common Areas</t>
  </si>
  <si>
    <t>Public Assembly</t>
  </si>
  <si>
    <t>Public Order and Safety</t>
  </si>
  <si>
    <t>Retail: Enclosed Mall</t>
  </si>
  <si>
    <t>Warehouse: Refrigerated</t>
  </si>
  <si>
    <t>Site Address</t>
  </si>
  <si>
    <t>Quantity</t>
  </si>
  <si>
    <t>Proposed Fixture(s)</t>
  </si>
  <si>
    <t>Average Electric Rate ($/kWh)</t>
  </si>
  <si>
    <t>Name</t>
  </si>
  <si>
    <t>Company</t>
  </si>
  <si>
    <t>Entergy New Orleans Customer Contact Info</t>
  </si>
  <si>
    <t>Equipment Vendor/Project Engineer Contact Info</t>
  </si>
  <si>
    <t>Office</t>
  </si>
  <si>
    <t>Table 356: Lighting Controls – Energy Saving Estimates for Occupancy Sensors</t>
  </si>
  <si>
    <t>Location</t>
  </si>
  <si>
    <t>Break Room</t>
  </si>
  <si>
    <t>22%</t>
  </si>
  <si>
    <t>-</t>
  </si>
  <si>
    <t>Classroom</t>
  </si>
  <si>
    <t>45%</t>
  </si>
  <si>
    <t>63%</t>
  </si>
  <si>
    <t>25%</t>
  </si>
  <si>
    <t>Conference Room</t>
  </si>
  <si>
    <t>43%</t>
  </si>
  <si>
    <t>Corridor</t>
  </si>
  <si>
    <t>24%</t>
  </si>
  <si>
    <t>32%</t>
  </si>
  <si>
    <t>44%</t>
  </si>
  <si>
    <t>35-45%</t>
  </si>
  <si>
    <t>Restroom</t>
  </si>
  <si>
    <t>41%</t>
  </si>
  <si>
    <t>Table 357: Lighting Controls – Energy Saving Estimates for Daylighting Sensors</t>
  </si>
  <si>
    <t>CNRC</t>
  </si>
  <si>
    <t>NBI</t>
  </si>
  <si>
    <t>LRC</t>
  </si>
  <si>
    <t>16%</t>
  </si>
  <si>
    <t>40%</t>
  </si>
  <si>
    <t>35-40%</t>
  </si>
  <si>
    <t>74%</t>
  </si>
  <si>
    <t>24-59%</t>
  </si>
  <si>
    <t>Grocery Stores</t>
  </si>
  <si>
    <t>Big Box Retail</t>
  </si>
  <si>
    <t>60%</t>
  </si>
  <si>
    <t>Where:</t>
  </si>
  <si>
    <t>𝑁𝑓𝑖𝑥𝑡 = Number of fixtures</t>
  </si>
  <si>
    <t>𝑊𝑓𝑖𝑥𝑡 = Rated wattage of post-retrofit fixtures (Appendix E)</t>
  </si>
  <si>
    <t>Note: If the fixture was retrofitted, use the installed fixture wattage; if fixture was not retrofitted, use the existing fixture wattage</t>
  </si>
  <si>
    <t>𝑃𝐴𝐹 = Stipulated power adjustment factor based on control type (Table 358)</t>
  </si>
  <si>
    <t>𝐴𝑂𝐻 = Annual operating hours for specified building type (Table 364)</t>
  </si>
  <si>
    <t>𝐼𝐸𝐹𝐷 = Interactive effects factor for demand savings (Table 365)</t>
  </si>
  <si>
    <t>𝐼𝐸𝐹𝐸 = Interactive effects factor for energy savings (Table 365)</t>
  </si>
  <si>
    <t>Control Type</t>
  </si>
  <si>
    <t>Daylighting Control – Continuous Dimming</t>
  </si>
  <si>
    <t>Daylighting Control – Multiple Step Dimming</t>
  </si>
  <si>
    <t>Daylighting Control – ON/OFF (Indoor)</t>
  </si>
  <si>
    <t>Occupancy Sensor</t>
  </si>
  <si>
    <t>Occupancy Sensor w/ Daylighting Control – Continuous Dimming</t>
  </si>
  <si>
    <t>Occupancy Sensor w/ Daylighting Control – Multiple Step Dimming</t>
  </si>
  <si>
    <t>Occupancy Sensor w/ Daylighting Control – ON/OFF</t>
  </si>
  <si>
    <t>Power Adjustment Factor (PAF)</t>
  </si>
  <si>
    <t>CF</t>
  </si>
  <si>
    <t>Table 364: Annual Operating Hours (AOH) and Coincidence Factors (CF)</t>
  </si>
  <si>
    <t>Table 365: Commercial Conditioned and Refrigerated Space Interactive Effects Factors</t>
  </si>
  <si>
    <t>Temperature Description</t>
  </si>
  <si>
    <t>Heating Type</t>
  </si>
  <si>
    <t>Gas</t>
  </si>
  <si>
    <t>Electric Resistance</t>
  </si>
  <si>
    <t>Heat Pump</t>
  </si>
  <si>
    <t>Heating Unknown</t>
  </si>
  <si>
    <t>All</t>
  </si>
  <si>
    <t>IES</t>
  </si>
  <si>
    <t>So Cal Edison</t>
  </si>
  <si>
    <t>𝑘𝑊𝑠𝑎𝑣𝑖𝑛𝑔𝑠 = 𝑁𝑓𝑖𝑥𝑡 × 𝑊𝑓𝑖𝑥𝑡/1000 × 𝐶𝐹 × 𝐼𝐸𝐹𝐷</t>
  </si>
  <si>
    <t>𝑘𝑊ℎ𝑠𝑎𝑣𝑖𝑛𝑔𝑠 = 𝑁𝑓𝑖𝑥𝑡 × 𝑊𝑓𝑖𝑥𝑡/1000 × (1−𝑃𝐴𝐹) × 𝐴𝑂𝐻 × 𝐼𝐸𝐹𝐸</t>
  </si>
  <si>
    <t>Table 358: Lighting Controls – Power Adjustment Factors</t>
  </si>
  <si>
    <t>Daylighting Control – ON/OFF (Outdoor)</t>
  </si>
  <si>
    <t>New Construction:</t>
  </si>
  <si>
    <t>Retrofit with no existing controls:</t>
  </si>
  <si>
    <t>𝑡ℎ𝑒𝑟𝑚𝑠 𝑝𝑒𝑛𝑎𝑙𝑡𝑦 = 𝑘𝑊ℎ𝑠𝑎𝑣𝑖𝑛𝑔𝑠 × 𝐼𝐸𝐹𝐺</t>
  </si>
  <si>
    <t>𝑘𝑊𝑠𝑎𝑣𝑖𝑛𝑔𝑠 = ((𝑆𝐹 × 𝐿𝑃𝐷/1000)− Σ([𝑁𝑓𝑖𝑥𝑡(𝑖) × 𝑊𝑓𝑖𝑥𝑡(𝑖)/1000]𝑝𝑜𝑠𝑡)) × 𝐶𝐹 × 𝐼𝐸𝐹𝐷</t>
  </si>
  <si>
    <t>𝑘𝑊ℎ𝑠𝑎𝑣𝑖𝑛𝑔𝑠 = ((𝑆𝐹 × 𝐿𝑃𝐷/1000)−Σ([𝑁𝑓𝑖𝑥𝑡(𝑖) × 𝑊𝑓𝑖𝑥𝑡(𝑖)/1000]𝑝𝑜𝑠𝑡)) × 𝐴𝑂𝐻 × 𝐼𝐸𝐹𝐸</t>
  </si>
  <si>
    <t>IEFE = Interactive effects factor for energy savings (Table 365)</t>
  </si>
  <si>
    <t>IEFG = Interactive effects factor for gas heating savings (Table 366)</t>
  </si>
  <si>
    <t>IEFD = Interactive effects factor for demand savings (Table 365)</t>
  </si>
  <si>
    <t>Note:  For  lighting systems  with  existing controls,  no  additional  control  savings  should  be claimed with the savings specified by the equations below.</t>
  </si>
  <si>
    <t>𝑘𝑊ℎ𝑠𝑎𝑣𝑖𝑛𝑔𝑠 = Σ([𝑁𝑓𝑖𝑥𝑡(𝑖) × 𝑊𝑓𝑖𝑥𝑡(𝑖)/1000]𝑝𝑟𝑒 − [𝑁𝑓𝑖𝑥𝑡(𝑖) × 𝑊𝑓𝑖𝑥𝑡(𝑖)/1000]𝑝𝑜𝑠𝑡) × 𝐴𝑂𝐻 × 𝐼𝐸𝐹</t>
  </si>
  <si>
    <t>𝑘𝑊𝑠𝑎𝑣𝑖𝑛𝑔𝑠 = Σ([𝑁𝑓𝑖𝑥𝑡(𝑖) × 𝑊𝑓𝑖𝑥𝑡(𝑖)/1000]𝑝𝑟𝑒 − [𝑁𝑓𝑖𝑥𝑡(𝑖) × 𝑊𝑓𝑖𝑥𝑡(𝑖)/1000]𝑝𝑜𝑠𝑡) × 𝐶𝐹 × 𝐼𝐸𝐹𝐷</t>
  </si>
  <si>
    <t>𝑘𝑊ℎ𝑠𝑎𝑣𝑖𝑛𝑔𝑠 = Σ([𝑁𝑓𝑖𝑥𝑡(𝑖) × 𝑊𝑓𝑖𝑥𝑡(𝑖)/1000]𝑝𝑟𝑒 − [𝑁𝑓𝑖𝑥𝑡(𝑖) × 𝑊𝑓𝑖𝑥𝑡(𝑖)/1000]𝑝𝑜𝑠𝑡) × 𝐼𝐸𝐹𝐸 × 𝐴𝑂𝐻 × 𝑃𝐴𝐹</t>
  </si>
  <si>
    <t>Wfixt(i),post = Rated wattage of post-retrofit fixtures of type i (Appendix E)</t>
  </si>
  <si>
    <t>CF = Peak demand coincidence factor (Table 364)</t>
  </si>
  <si>
    <t>𝐶𝐹𝑐𝑜𝑛𝑡𝑟𝑜𝑙𝑠 = Controls peak demand coincidence factor = 0.26</t>
  </si>
  <si>
    <t>Table 366: Commercial Conditioned Space Gas Heating Penalty</t>
  </si>
  <si>
    <t>All building types (Except Outdoor &amp; Parking Structure)</t>
  </si>
  <si>
    <t xml:space="preserve">IEFG (Therms/kWh)
</t>
  </si>
  <si>
    <t>Title</t>
  </si>
  <si>
    <t>Phone Number</t>
  </si>
  <si>
    <t>Email Address</t>
  </si>
  <si>
    <t>𝐶𝐹 = Peak demand coincidence factor = 0.26</t>
  </si>
  <si>
    <t>24x7? (Y/N)</t>
  </si>
  <si>
    <t>Lighting Efficiency Deemed Energy  Savings</t>
  </si>
  <si>
    <t>Lighting Controls Deemed Energy Savings</t>
  </si>
  <si>
    <t>N/A</t>
  </si>
  <si>
    <t>Halogen</t>
  </si>
  <si>
    <t>Incandescent</t>
  </si>
  <si>
    <t>Existing Fixture(s)</t>
  </si>
  <si>
    <t>Switch/No Controls</t>
  </si>
  <si>
    <t xml:space="preserve">Electricity Annual Savings </t>
  </si>
  <si>
    <t>Number</t>
  </si>
  <si>
    <t>Measure Type</t>
  </si>
  <si>
    <t>Measure Cost</t>
  </si>
  <si>
    <t>Usage (kWh/Yr)</t>
  </si>
  <si>
    <t>Demand (kW/Yr)</t>
  </si>
  <si>
    <t>Cost 
($/Yr)</t>
  </si>
  <si>
    <t>Description (to display in Assessment Report)</t>
  </si>
  <si>
    <t>Internal Comments (for Program Implementer only)</t>
  </si>
  <si>
    <t>Rate of Return</t>
  </si>
  <si>
    <t>Equipment Details</t>
  </si>
  <si>
    <t>Amount</t>
  </si>
  <si>
    <t>Simple Payback</t>
  </si>
  <si>
    <t>Size</t>
  </si>
  <si>
    <t>Efficiency Level</t>
  </si>
  <si>
    <t>Useful Life</t>
  </si>
  <si>
    <t>Serial Number</t>
  </si>
  <si>
    <t>Age</t>
  </si>
  <si>
    <t>Equipment Replaced</t>
  </si>
  <si>
    <t xml:space="preserve">Incentive  </t>
  </si>
  <si>
    <t>N</t>
  </si>
  <si>
    <t>Existing Control(s)</t>
  </si>
  <si>
    <t>Lighting Fixture Retrofit Only</t>
  </si>
  <si>
    <t>Index</t>
  </si>
  <si>
    <t>FIXTURE CODE</t>
  </si>
  <si>
    <t>LAMP TYPE</t>
  </si>
  <si>
    <t>DESCRIPTION</t>
  </si>
  <si>
    <t>LAMP/ FIXT</t>
  </si>
  <si>
    <t>WATT/ LAMP</t>
  </si>
  <si>
    <t>WATT/ FIXT</t>
  </si>
  <si>
    <t>BALLAST</t>
  </si>
  <si>
    <t>Eligible for Rebate?</t>
  </si>
  <si>
    <t>LED001-SCRW</t>
  </si>
  <si>
    <t>Integrated-ballast LED Lamps</t>
  </si>
  <si>
    <t>(1) 1W screw-in lamp/base, any bulb shape</t>
  </si>
  <si>
    <t>NA</t>
  </si>
  <si>
    <t>Electronic</t>
  </si>
  <si>
    <t>LED002-SCRW</t>
  </si>
  <si>
    <t>(1) 2W screw-in lamp/base, any bulb shape</t>
  </si>
  <si>
    <t>LED003-SCRW</t>
  </si>
  <si>
    <t>(1) 3W screw-in lamp/base, any bulb shape</t>
  </si>
  <si>
    <t>LED004-SCRW</t>
  </si>
  <si>
    <t>(1) 4W screw-in lamp/base, any bulb shape</t>
  </si>
  <si>
    <t>LED005-SCRW</t>
  </si>
  <si>
    <t>(1) 5W screw-in lamp/base, any bulb shape</t>
  </si>
  <si>
    <t>LED006-SCRW</t>
  </si>
  <si>
    <t>(1) 6W screw-in lamp/base, any bulb shape</t>
  </si>
  <si>
    <t>LED007-SCRW</t>
  </si>
  <si>
    <t>(1) 7W screw-in lamp/base, any bulb shape</t>
  </si>
  <si>
    <t>LED008-SCRW</t>
  </si>
  <si>
    <t>(1) 8W screw-in lamp/base, any bulb shape</t>
  </si>
  <si>
    <t>LED009-SCRW</t>
  </si>
  <si>
    <t>(1) 9W screw-in lamp/base, any bulb shape</t>
  </si>
  <si>
    <t>LED010-SCRW</t>
  </si>
  <si>
    <t>(1) 10W screw-in lamp/base, any bulb shape</t>
  </si>
  <si>
    <t>LED011-SCRW</t>
  </si>
  <si>
    <t>(1) 11W screw-in lamp/base, any bulb shape</t>
  </si>
  <si>
    <t>LED012-SCRW</t>
  </si>
  <si>
    <t>(1) 12W screw-in lamp/base, any bulb shape</t>
  </si>
  <si>
    <t>LED013-SCRW</t>
  </si>
  <si>
    <t>(1) 13W screw-in lamp/base, any bulb shape</t>
  </si>
  <si>
    <t>LED014-SCRW</t>
  </si>
  <si>
    <t>(1) 14W screw-in lamp/base, any bulb shape</t>
  </si>
  <si>
    <t>LED015-SCRW</t>
  </si>
  <si>
    <t>(1) 15W screw-in lamp/base, any bulb shape</t>
  </si>
  <si>
    <t>LED016-SCRW</t>
  </si>
  <si>
    <t>(1) 16W screw-in lamp/base, any bulb shape</t>
  </si>
  <si>
    <t>LED017-SCRW</t>
  </si>
  <si>
    <t>(1) 17W screw-in lamp/base, any bulb shape</t>
  </si>
  <si>
    <t>LED018-SCRW</t>
  </si>
  <si>
    <t>(1) 18W screw-in lamp/base, any bulb shape</t>
  </si>
  <si>
    <t>LED019-SCRW</t>
  </si>
  <si>
    <t>(1) 19W screw-in lamp/base, any bulb shape</t>
  </si>
  <si>
    <t>LED020-SCRW</t>
  </si>
  <si>
    <t>(1) 20W screw-in lamp/base, any bulb shape</t>
  </si>
  <si>
    <t>LED021-SCRW</t>
  </si>
  <si>
    <t>(1) 21W screw-in lamp/base, any bulb shape</t>
  </si>
  <si>
    <t>LED022-SCRW</t>
  </si>
  <si>
    <t>(1) 22W screw-in lamp/base, any bulb shape</t>
  </si>
  <si>
    <t>LED023-SCRW</t>
  </si>
  <si>
    <t>(1) 23W screw-in lamp/base, any bulb shape</t>
  </si>
  <si>
    <t>LED024-SCRW</t>
  </si>
  <si>
    <t>(1) 24W screw-in lamp/base, any bulb shape</t>
  </si>
  <si>
    <t>LED025-SCRW</t>
  </si>
  <si>
    <t>(1) 25W screw-in lamp/base, any bulb shape</t>
  </si>
  <si>
    <t>LED026-SCRW</t>
  </si>
  <si>
    <t>(1) 26W screw-in lamp/base, any bulb shape</t>
  </si>
  <si>
    <t>LED027-SCRW</t>
  </si>
  <si>
    <t>(1) 27W screw-in lamp/base, any bulb shape</t>
  </si>
  <si>
    <t>LED028-SCRW</t>
  </si>
  <si>
    <t>(1) 28W screw-in lamp/base, any bulb shape</t>
  </si>
  <si>
    <t>LED029-SCRW</t>
  </si>
  <si>
    <t>(1) 29W screw-in lamp/base, any bulb shape</t>
  </si>
  <si>
    <t>LED030-SCRW</t>
  </si>
  <si>
    <t>(1) 30W screw-in lamp/base, any bulb shape</t>
  </si>
  <si>
    <t>LED031-SCRW</t>
  </si>
  <si>
    <t>(1) 31W screw-in lamp/base, any bulb shape</t>
  </si>
  <si>
    <t>LED032-SCRW</t>
  </si>
  <si>
    <t>(1) 32W screw-in lamp/base, any bulb shape</t>
  </si>
  <si>
    <t>LED033-SCRW</t>
  </si>
  <si>
    <t>(1) 33W screw-in lamp/base, any bulb shape</t>
  </si>
  <si>
    <t>LED034-SCRW</t>
  </si>
  <si>
    <t>(1) 34W screw-in lamp/base, any bulb shape</t>
  </si>
  <si>
    <t>LED035-SCRW</t>
  </si>
  <si>
    <t>(1) 35W screw-in lamp/base, any bulb shape</t>
  </si>
  <si>
    <t>LED036-SCRW</t>
  </si>
  <si>
    <t>(1) 36W screw-in lamp/base, any bulb shape</t>
  </si>
  <si>
    <t>LED037-SCRW</t>
  </si>
  <si>
    <t>(1) 37W screw-in lamp/base, any bulb shape</t>
  </si>
  <si>
    <t>LED038-SCRW</t>
  </si>
  <si>
    <t>(1) 38W screw-in lamp/base, any bulb shape</t>
  </si>
  <si>
    <t>LED039-SCRW</t>
  </si>
  <si>
    <t>(1) 39W screw-in lamp/base, any bulb shape</t>
  </si>
  <si>
    <t>LED040-SCRW</t>
  </si>
  <si>
    <t>(1) 40W screw-in lamp/base, any bulb shape</t>
  </si>
  <si>
    <t>LED041-SCRW</t>
  </si>
  <si>
    <t>(1) 41W screw-in lamp/base, any bulb shape</t>
  </si>
  <si>
    <t>LED042-SCRW</t>
  </si>
  <si>
    <t>(1) 42W screw-in lamp/base, any bulb shape</t>
  </si>
  <si>
    <t>LED043-SCRW</t>
  </si>
  <si>
    <t>(1) 43W screw-in lamp/base, any bulb shape</t>
  </si>
  <si>
    <t>LED044-SCRW</t>
  </si>
  <si>
    <t>(1) 44W screw-in lamp/base, any bulb shape</t>
  </si>
  <si>
    <t>LED045-SCRW</t>
  </si>
  <si>
    <t>(1) 45W screw-in lamp/base, any bulb shape</t>
  </si>
  <si>
    <t>LED046-SCRW</t>
  </si>
  <si>
    <t>(1) 46W screw-in lamp/base, any bulb shape</t>
  </si>
  <si>
    <t>LED047-SCRW</t>
  </si>
  <si>
    <t>(1) 47W screw-in lamp/base, any bulb shape</t>
  </si>
  <si>
    <t>LED048-SCRW</t>
  </si>
  <si>
    <t>(1) 48W screw-in lamp/base, any bulb shape</t>
  </si>
  <si>
    <t>LED049-SCRW</t>
  </si>
  <si>
    <t>(1) 49W screw-in lamp/base, any bulb shape</t>
  </si>
  <si>
    <t>LED050-SCRW</t>
  </si>
  <si>
    <t>(1) 50W screw-in lamp/base, any bulb shape</t>
  </si>
  <si>
    <t>LED001-FIXT</t>
  </si>
  <si>
    <t>Light Emitting Diode (LED)</t>
  </si>
  <si>
    <t>(1) 1W fixture, any bulb shape, any application</t>
  </si>
  <si>
    <t>LED002-FIXT</t>
  </si>
  <si>
    <t>(1) 2W fixture, any bulb shape, any application</t>
  </si>
  <si>
    <t>LED003-FIXT</t>
  </si>
  <si>
    <t>(1) 3W fixture, any bulb shape, any application</t>
  </si>
  <si>
    <t>LED004-FIXT</t>
  </si>
  <si>
    <t>(1) 4W fixture, any bulb shape, any application</t>
  </si>
  <si>
    <t>LED005-FIXT</t>
  </si>
  <si>
    <t>(1) 5W fixture, any bulb shape, any application</t>
  </si>
  <si>
    <t>LED006-FIXT</t>
  </si>
  <si>
    <t>(1) 6W fixture, any bulb shape, any application</t>
  </si>
  <si>
    <t>LED007-FIXT</t>
  </si>
  <si>
    <t>(1) 7W fixture, any bulb shape, any application</t>
  </si>
  <si>
    <t>LED008-FIXT</t>
  </si>
  <si>
    <t>(1) 8W fixture, any bulb shape, any application</t>
  </si>
  <si>
    <t>LED009-FIXT</t>
  </si>
  <si>
    <t>(1) 9W fixture, any bulb shape, any application</t>
  </si>
  <si>
    <t>LED010-FIXT</t>
  </si>
  <si>
    <t>(1) 10W fixture, any bulb shape, any application</t>
  </si>
  <si>
    <t>LED011-FIXT</t>
  </si>
  <si>
    <t>(1) 11W fixture, any bulb shape, any application</t>
  </si>
  <si>
    <t>LED012-FIXT</t>
  </si>
  <si>
    <t>(1) 12W fixture, any bulb shape, any application</t>
  </si>
  <si>
    <t>LED013-FIXT</t>
  </si>
  <si>
    <t>(1) 13W fixture, any bulb shape, any application</t>
  </si>
  <si>
    <t>LED014-FIXT</t>
  </si>
  <si>
    <t>(1) 14W fixture, any bulb shape, any application</t>
  </si>
  <si>
    <t>LED015-FIXT</t>
  </si>
  <si>
    <t>(1) 15W fixture, any bulb shape, any application</t>
  </si>
  <si>
    <t>LED016-FIXT</t>
  </si>
  <si>
    <t>(1) 16W fixture, any bulb shape, any application</t>
  </si>
  <si>
    <t>LED017-FIXT</t>
  </si>
  <si>
    <t>(1) 17W fixture, any bulb shape, any application</t>
  </si>
  <si>
    <t>LED018-FIXT</t>
  </si>
  <si>
    <t>(1) 18W fixture, any bulb shape, any application</t>
  </si>
  <si>
    <t>LED019-FIXT</t>
  </si>
  <si>
    <t>(1) 19W fixture, any bulb shape, any application</t>
  </si>
  <si>
    <t>LED020-FIXT</t>
  </si>
  <si>
    <t>(1) 20W fixture, any bulb shape, any application</t>
  </si>
  <si>
    <t>LED021-FIXT</t>
  </si>
  <si>
    <t>(1) 21W fixture, any bulb shape, any application</t>
  </si>
  <si>
    <t>LED022-FIXT</t>
  </si>
  <si>
    <t>(1) 22W fixture, any bulb shape, any application</t>
  </si>
  <si>
    <t>LED023-FIXT</t>
  </si>
  <si>
    <t>(1) 23W fixture, any bulb shape, any application</t>
  </si>
  <si>
    <t>LED024-FIXT</t>
  </si>
  <si>
    <t>(1) 24W fixture, any bulb shape, any application</t>
  </si>
  <si>
    <t>LED025-FIXT</t>
  </si>
  <si>
    <t>(1) 25W fixture, any bulb shape, any application</t>
  </si>
  <si>
    <t>LED026-FIXT</t>
  </si>
  <si>
    <t>(1) 26W fixture, any bulb shape, any application</t>
  </si>
  <si>
    <t>LED027-FIXT</t>
  </si>
  <si>
    <t>(1) 27W fixture, any bulb shape, any application</t>
  </si>
  <si>
    <t>LED028-FIXT</t>
  </si>
  <si>
    <t>(1) 28W fixture, any bulb shape, any application</t>
  </si>
  <si>
    <t>LED029-FIXT</t>
  </si>
  <si>
    <t>(1) 29W fixture, any bulb shape, any application</t>
  </si>
  <si>
    <t>LED030-FIXT</t>
  </si>
  <si>
    <t>(1) 30W fixture, any bulb shape, any application</t>
  </si>
  <si>
    <t>LED031-FIXT</t>
  </si>
  <si>
    <t>(1) 31W fixture, any bulb shape, any application</t>
  </si>
  <si>
    <t>LED032-FIXT</t>
  </si>
  <si>
    <t>(1) 32W fixture, any bulb shape, any application</t>
  </si>
  <si>
    <t>LED033-FIXT</t>
  </si>
  <si>
    <t>(1) 33W fixture, any bulb shape, any application</t>
  </si>
  <si>
    <t>LED034-FIXT</t>
  </si>
  <si>
    <t>(1) 34W fixture, any bulb shape, any application</t>
  </si>
  <si>
    <t>LED035-FIXT</t>
  </si>
  <si>
    <t>(1) 35W fixture, any bulb shape, any application</t>
  </si>
  <si>
    <t>LED036-FIXT</t>
  </si>
  <si>
    <t>(1) 36W fixture, any bulb shape, any application</t>
  </si>
  <si>
    <t>LED037-FIXT</t>
  </si>
  <si>
    <t>(1) 37W fixture, any bulb shape, any application</t>
  </si>
  <si>
    <t>LED038-FIXT</t>
  </si>
  <si>
    <t>(1) 38W fixture, any bulb shape, any application</t>
  </si>
  <si>
    <t>LED039-FIXT</t>
  </si>
  <si>
    <t>(1) 39W fixture, any bulb shape, any application</t>
  </si>
  <si>
    <t>LED040-FIXT</t>
  </si>
  <si>
    <t>(1) 40W fixture, any bulb shape, any application</t>
  </si>
  <si>
    <t>LED041-FIXT</t>
  </si>
  <si>
    <t>(1) 41W fixture, any bulb shape, any application</t>
  </si>
  <si>
    <t>LED042-FIXT</t>
  </si>
  <si>
    <t>(1) 42W fixture, any bulb shape, any application</t>
  </si>
  <si>
    <t>LED043-FIXT</t>
  </si>
  <si>
    <t>(1) 43W fixture, any bulb shape, any application</t>
  </si>
  <si>
    <t>LED044-FIXT</t>
  </si>
  <si>
    <t>(1) 44W fixture, any bulb shape, any application</t>
  </si>
  <si>
    <t>LED045-FIXT</t>
  </si>
  <si>
    <t>(1) 45W fixture, any bulb shape, any application</t>
  </si>
  <si>
    <t>LED046-FIXT</t>
  </si>
  <si>
    <t>(1) 46W fixture, any bulb shape, any application</t>
  </si>
  <si>
    <t>LED047-FIXT</t>
  </si>
  <si>
    <t>(1) 47W fixture, any bulb shape, any application</t>
  </si>
  <si>
    <t>LED048-FIXT</t>
  </si>
  <si>
    <t>(1) 48W fixture, any bulb shape, any application</t>
  </si>
  <si>
    <t>LED049-FIXT</t>
  </si>
  <si>
    <t>(1) 49W fixture, any bulb shape, any application</t>
  </si>
  <si>
    <t>LED050-FIXT</t>
  </si>
  <si>
    <t>(1) 50W fixture, any bulb shape, any application</t>
  </si>
  <si>
    <t>LED051-FIXT</t>
  </si>
  <si>
    <t>(1) 51W fixture, any bulb shape, any application</t>
  </si>
  <si>
    <t>LED052-FIXT</t>
  </si>
  <si>
    <t>(1) 52W fixture, any bulb shape, any application</t>
  </si>
  <si>
    <t>LED053-FIXT</t>
  </si>
  <si>
    <t>(1) 53W fixture, any bulb shape, any application</t>
  </si>
  <si>
    <t>LED054-FIXT</t>
  </si>
  <si>
    <t>(1) 54W fixture, any bulb shape, any application</t>
  </si>
  <si>
    <t>LED055-FIXT</t>
  </si>
  <si>
    <t>(1) 55W fixture, any bulb shape, any application</t>
  </si>
  <si>
    <t>LED056-FIXT</t>
  </si>
  <si>
    <t>(1) 56W fixture, any bulb shape, any application</t>
  </si>
  <si>
    <t>LED057-FIXT</t>
  </si>
  <si>
    <t>(1) 57W fixture, any bulb shape, any application</t>
  </si>
  <si>
    <t>LED058-FIXT</t>
  </si>
  <si>
    <t>(1) 58W fixture, any bulb shape, any application</t>
  </si>
  <si>
    <t>LED059-FIXT</t>
  </si>
  <si>
    <t>(1) 59W fixture, any bulb shape, any application</t>
  </si>
  <si>
    <t>LED060-FIXT</t>
  </si>
  <si>
    <t>(1) 60W fixture, any bulb shape, any application</t>
  </si>
  <si>
    <t>LED061-FIXT</t>
  </si>
  <si>
    <t>(1) 61W fixture, any bulb shape, any application</t>
  </si>
  <si>
    <t>LED062-FIXT</t>
  </si>
  <si>
    <t>(1) 62W fixture, any bulb shape, any application</t>
  </si>
  <si>
    <t>LED063-FIXT</t>
  </si>
  <si>
    <t>(1) 63W fixture, any bulb shape, any application</t>
  </si>
  <si>
    <t>LED064-FIXT</t>
  </si>
  <si>
    <t>(1) 64W fixture, any bulb shape, any application</t>
  </si>
  <si>
    <t>LED065-FIXT</t>
  </si>
  <si>
    <t>(1) 65W fixture, any bulb shape, any application</t>
  </si>
  <si>
    <t>LED066-FIXT</t>
  </si>
  <si>
    <t>(1) 66W fixture, any bulb shape, any application</t>
  </si>
  <si>
    <t>LED067-FIXT</t>
  </si>
  <si>
    <t>(1) 67W fixture, any bulb shape, any application</t>
  </si>
  <si>
    <t>LED068-FIXT</t>
  </si>
  <si>
    <t>(1) 68W fixture, any bulb shape, any application</t>
  </si>
  <si>
    <t>LED069-FIXT</t>
  </si>
  <si>
    <t>(1) 69W fixture, any bulb shape, any application</t>
  </si>
  <si>
    <t>LED070-FIXT</t>
  </si>
  <si>
    <t>(1) 70W fixture, any bulb shape, any application</t>
  </si>
  <si>
    <t>LED071-FIXT</t>
  </si>
  <si>
    <t>(1) 71W fixture, any bulb shape, any application</t>
  </si>
  <si>
    <t>LED072-FIXT</t>
  </si>
  <si>
    <t>(1) 72W fixture, any bulb shape, any application</t>
  </si>
  <si>
    <t>LED073-FIXT</t>
  </si>
  <si>
    <t>(1) 73W fixture, any bulb shape, any application</t>
  </si>
  <si>
    <t>LED074-FIXT</t>
  </si>
  <si>
    <t>(1) 74W fixture, any bulb shape, any application</t>
  </si>
  <si>
    <t>LED075-FIXT</t>
  </si>
  <si>
    <t>(1) 75W fixture, any bulb shape, any application</t>
  </si>
  <si>
    <t>LED076-FIXT</t>
  </si>
  <si>
    <t>(1) 76W fixture, any bulb shape, any application</t>
  </si>
  <si>
    <t>LED077-FIXT</t>
  </si>
  <si>
    <t>(1) 77W fixture, any bulb shape, any application</t>
  </si>
  <si>
    <t>LED078-FIXT</t>
  </si>
  <si>
    <t>(1) 78W fixture, any bulb shape, any application</t>
  </si>
  <si>
    <t>LED079-FIXT</t>
  </si>
  <si>
    <t>(1) 79W fixture, any bulb shape, any application</t>
  </si>
  <si>
    <t>LED080-FIXT</t>
  </si>
  <si>
    <t>(1) 80W fixture, any bulb shape, any application</t>
  </si>
  <si>
    <t>LED081-FIXT</t>
  </si>
  <si>
    <t>(1) 81W fixture, any bulb shape, any application</t>
  </si>
  <si>
    <t>LED082-FIXT</t>
  </si>
  <si>
    <t>(1) 82W fixture, any bulb shape, any application</t>
  </si>
  <si>
    <t>LED083-FIXT</t>
  </si>
  <si>
    <t>(1) 83W fixture, any bulb shape, any application</t>
  </si>
  <si>
    <t>LED084-FIXT</t>
  </si>
  <si>
    <t>(1) 84W fixture, any bulb shape, any application</t>
  </si>
  <si>
    <t>LED085-FIXT</t>
  </si>
  <si>
    <t>(1) 85W fixture, any bulb shape, any application</t>
  </si>
  <si>
    <t>LED086-FIXT</t>
  </si>
  <si>
    <t>(1) 86W fixture, any bulb shape, any application</t>
  </si>
  <si>
    <t>LED087-FIXT</t>
  </si>
  <si>
    <t>(1) 87W fixture, any bulb shape, any application</t>
  </si>
  <si>
    <t>LED088-FIXT</t>
  </si>
  <si>
    <t>(1) 88W fixture, any bulb shape, any application</t>
  </si>
  <si>
    <t>LED089-FIXT</t>
  </si>
  <si>
    <t>(1) 89W fixture, any bulb shape, any application</t>
  </si>
  <si>
    <t>LED090-FIXT</t>
  </si>
  <si>
    <t>(1) 90W fixture, any bulb shape, any application</t>
  </si>
  <si>
    <t>LED091-FIXT</t>
  </si>
  <si>
    <t>(1) 91W fixture, any bulb shape, any application</t>
  </si>
  <si>
    <t>LED092-FIXT</t>
  </si>
  <si>
    <t>(1) 92W fixture, any bulb shape, any application</t>
  </si>
  <si>
    <t>LED093-FIXT</t>
  </si>
  <si>
    <t>(1) 93W fixture, any bulb shape, any application</t>
  </si>
  <si>
    <t>LED094-FIXT</t>
  </si>
  <si>
    <t>(1) 94W fixture, any bulb shape, any application</t>
  </si>
  <si>
    <t>LED095-FIXT</t>
  </si>
  <si>
    <t>(1) 95W fixture, any bulb shape, any application</t>
  </si>
  <si>
    <t>LED096-FIXT</t>
  </si>
  <si>
    <t>(1) 96W fixture, any bulb shape, any application</t>
  </si>
  <si>
    <t>LED097-FIXT</t>
  </si>
  <si>
    <t>(1) 97W fixture, any bulb shape, any application</t>
  </si>
  <si>
    <t>LED098-FIXT</t>
  </si>
  <si>
    <t>(1) 98W fixture, any bulb shape, any application</t>
  </si>
  <si>
    <t>LED099-FIXT</t>
  </si>
  <si>
    <t>(1) 99W fixture, any bulb shape, any application</t>
  </si>
  <si>
    <t>LED100-FIXT</t>
  </si>
  <si>
    <t>(1) 100W fixture, any bulb shape, any application</t>
  </si>
  <si>
    <t>LED101-FIXT</t>
  </si>
  <si>
    <t>(1) 101W fixture, any bulb shape, any application</t>
  </si>
  <si>
    <t>LED102-FIXT</t>
  </si>
  <si>
    <t>(1) 102W fixture, any bulb shape, any application</t>
  </si>
  <si>
    <t>LED103-FIXT</t>
  </si>
  <si>
    <t>(1) 103W fixture, any bulb shape, any application</t>
  </si>
  <si>
    <t>LED104-FIXT</t>
  </si>
  <si>
    <t>(1) 104W fixture, any bulb shape, any application</t>
  </si>
  <si>
    <t>LED105-FIXT</t>
  </si>
  <si>
    <t>(1) 105W fixture, any bulb shape, any application</t>
  </si>
  <si>
    <t>LED106-FIXT</t>
  </si>
  <si>
    <t>(1) 106W fixture, any bulb shape, any application</t>
  </si>
  <si>
    <t>LED107-FIXT</t>
  </si>
  <si>
    <t>(1) 107W fixture, any bulb shape, any application</t>
  </si>
  <si>
    <t>LED108-FIXT</t>
  </si>
  <si>
    <t>(1) 108W fixture, any bulb shape, any application</t>
  </si>
  <si>
    <t>LED109-FIXT</t>
  </si>
  <si>
    <t>(1) 109W fixture, any bulb shape, any application</t>
  </si>
  <si>
    <t>LED110-FIXT</t>
  </si>
  <si>
    <t>(1) 110W fixture, any bulb shape, any application</t>
  </si>
  <si>
    <t>LED111-FIXT</t>
  </si>
  <si>
    <t>(1) 111W fixture, any bulb shape, any application</t>
  </si>
  <si>
    <t>LED112-FIXT</t>
  </si>
  <si>
    <t>(1) 112W fixture, any bulb shape, any application</t>
  </si>
  <si>
    <t>LED113-FIXT</t>
  </si>
  <si>
    <t>(1) 113W fixture, any bulb shape, any application</t>
  </si>
  <si>
    <t>LED114-FIXT</t>
  </si>
  <si>
    <t>(1) 114W fixture, any bulb shape, any application</t>
  </si>
  <si>
    <t>LED115-FIXT</t>
  </si>
  <si>
    <t>(1) 115W fixture, any bulb shape, any application</t>
  </si>
  <si>
    <t>LED116-FIXT</t>
  </si>
  <si>
    <t>(1) 116W fixture, any bulb shape, any application</t>
  </si>
  <si>
    <t>LED117-FIXT</t>
  </si>
  <si>
    <t>(1) 117W fixture, any bulb shape, any application</t>
  </si>
  <si>
    <t>LED118-FIXT</t>
  </si>
  <si>
    <t>(1) 118W fixture, any bulb shape, any application</t>
  </si>
  <si>
    <t>LED119-FIXT</t>
  </si>
  <si>
    <t>(1) 119W fixture, any bulb shape, any application</t>
  </si>
  <si>
    <t>LED120-FIXT</t>
  </si>
  <si>
    <t>(1) 120W fixture, any bulb shape, any application</t>
  </si>
  <si>
    <t>LED121-FIXT</t>
  </si>
  <si>
    <t>(1) 121W fixture, any bulb shape, any application</t>
  </si>
  <si>
    <t>LED122-FIXT</t>
  </si>
  <si>
    <t>(1) 122W fixture, any bulb shape, any application</t>
  </si>
  <si>
    <t>LED123-FIXT</t>
  </si>
  <si>
    <t>(1) 123W fixture, any bulb shape, any application</t>
  </si>
  <si>
    <t>LED124-FIXT</t>
  </si>
  <si>
    <t>(1) 124W fixture, any bulb shape, any application</t>
  </si>
  <si>
    <t>LED125-FIXT</t>
  </si>
  <si>
    <t>(1) 125W fixture, any bulb shape, any application</t>
  </si>
  <si>
    <t>LED126-FIXT</t>
  </si>
  <si>
    <t>(1) 126W fixture, any bulb shape, any application</t>
  </si>
  <si>
    <t>LED127-FIXT</t>
  </si>
  <si>
    <t>(1) 127W fixture, any bulb shape, any application</t>
  </si>
  <si>
    <t>LED128-FIXT</t>
  </si>
  <si>
    <t>(1) 128W fixture, any bulb shape, any application</t>
  </si>
  <si>
    <t>LED129-FIXT</t>
  </si>
  <si>
    <t>(1) 129W fixture, any bulb shape, any application</t>
  </si>
  <si>
    <t>LED130-FIXT</t>
  </si>
  <si>
    <t>(1) 130W fixture, any bulb shape, any application</t>
  </si>
  <si>
    <t>LED131-FIXT</t>
  </si>
  <si>
    <t>(1) 131W fixture, any bulb shape, any application</t>
  </si>
  <si>
    <t>LED132-FIXT</t>
  </si>
  <si>
    <t>(1) 132W fixture, any bulb shape, any application</t>
  </si>
  <si>
    <t>LED133-FIXT</t>
  </si>
  <si>
    <t>(1) 133W fixture, any bulb shape, any application</t>
  </si>
  <si>
    <t>LED134-FIXT</t>
  </si>
  <si>
    <t>(1) 134W fixture, any bulb shape, any application</t>
  </si>
  <si>
    <t>LED135-FIXT</t>
  </si>
  <si>
    <t>(1) 135W fixture, any bulb shape, any application</t>
  </si>
  <si>
    <t>LED136-FIXT</t>
  </si>
  <si>
    <t>(1) 136W fixture, any bulb shape, any application</t>
  </si>
  <si>
    <t>LED137-FIXT</t>
  </si>
  <si>
    <t>(1) 137W fixture, any bulb shape, any application</t>
  </si>
  <si>
    <t>LED138-FIXT</t>
  </si>
  <si>
    <t>(1) 138W fixture, any bulb shape, any application</t>
  </si>
  <si>
    <t>LED139-FIXT</t>
  </si>
  <si>
    <t>(1) 139W fixture, any bulb shape, any application</t>
  </si>
  <si>
    <t>LED140-FIXT</t>
  </si>
  <si>
    <t>(1) 140W fixture, any bulb shape, any application</t>
  </si>
  <si>
    <t>LED141-FIXT</t>
  </si>
  <si>
    <t>(1) 141W fixture, any bulb shape, any application</t>
  </si>
  <si>
    <t>LED142-FIXT</t>
  </si>
  <si>
    <t>(1) 142W fixture, any bulb shape, any application</t>
  </si>
  <si>
    <t>LED143-FIXT</t>
  </si>
  <si>
    <t>(1) 143W fixture, any bulb shape, any application</t>
  </si>
  <si>
    <t>LED144-FIXT</t>
  </si>
  <si>
    <t>(1) 144W fixture, any bulb shape, any application</t>
  </si>
  <si>
    <t>LED145-FIXT</t>
  </si>
  <si>
    <t>(1) 145W fixture, any bulb shape, any application</t>
  </si>
  <si>
    <t>LED146-FIXT</t>
  </si>
  <si>
    <t>(1) 146W fixture, any bulb shape, any application</t>
  </si>
  <si>
    <t>LED147-FIXT</t>
  </si>
  <si>
    <t>(1) 147W fixture, any bulb shape, any application</t>
  </si>
  <si>
    <t>LED148-FIXT</t>
  </si>
  <si>
    <t>(1) 148W fixture, any bulb shape, any application</t>
  </si>
  <si>
    <t>LED149-FIXT</t>
  </si>
  <si>
    <t>(1) 149W fixture, any bulb shape, any application</t>
  </si>
  <si>
    <t>LED150-FIXT</t>
  </si>
  <si>
    <t>(1) 150W fixture, any bulb shape, any application</t>
  </si>
  <si>
    <t>LED151-FIXT</t>
  </si>
  <si>
    <t>(1) 151W fixture, any bulb shape, any application</t>
  </si>
  <si>
    <t>LED152-FIXT</t>
  </si>
  <si>
    <t>(1) 152W fixture, any bulb shape, any application</t>
  </si>
  <si>
    <t>LED153-FIXT</t>
  </si>
  <si>
    <t>(1) 153W fixture, any bulb shape, any application</t>
  </si>
  <si>
    <t>LED154-FIXT</t>
  </si>
  <si>
    <t>(1) 154W fixture, any bulb shape, any application</t>
  </si>
  <si>
    <t>LED155-FIXT</t>
  </si>
  <si>
    <t>(1) 155W fixture, any bulb shape, any application</t>
  </si>
  <si>
    <t>LED156-FIXT</t>
  </si>
  <si>
    <t>(1) 156W fixture, any bulb shape, any application</t>
  </si>
  <si>
    <t>LED157-FIXT</t>
  </si>
  <si>
    <t>(1) 157W fixture, any bulb shape, any application</t>
  </si>
  <si>
    <t>LED158-FIXT</t>
  </si>
  <si>
    <t>(1) 158W fixture, any bulb shape, any application</t>
  </si>
  <si>
    <t>LED159-FIXT</t>
  </si>
  <si>
    <t>(1) 159W fixture, any bulb shape, any application</t>
  </si>
  <si>
    <t>LED160-FIXT</t>
  </si>
  <si>
    <t>(1) 160W fixture, any bulb shape, any application</t>
  </si>
  <si>
    <t>LED161-FIXT</t>
  </si>
  <si>
    <t>(1) 161W fixture, any bulb shape, any application</t>
  </si>
  <si>
    <t>LED162-FIXT</t>
  </si>
  <si>
    <t>(1) 162W fixture, any bulb shape, any application</t>
  </si>
  <si>
    <t>LED163-FIXT</t>
  </si>
  <si>
    <t>(1) 163W fixture, any bulb shape, any application</t>
  </si>
  <si>
    <t>LED164-FIXT</t>
  </si>
  <si>
    <t>(1) 164W fixture, any bulb shape, any application</t>
  </si>
  <si>
    <t>LED165-FIXT</t>
  </si>
  <si>
    <t>(1) 165W fixture, any bulb shape, any application</t>
  </si>
  <si>
    <t>LED166-FIXT</t>
  </si>
  <si>
    <t>(1) 166W fixture, any bulb shape, any application</t>
  </si>
  <si>
    <t>LED167-FIXT</t>
  </si>
  <si>
    <t>(1) 167W fixture, any bulb shape, any application</t>
  </si>
  <si>
    <t>LED168-FIXT</t>
  </si>
  <si>
    <t>(1) 168W fixture, any bulb shape, any application</t>
  </si>
  <si>
    <t>LED169-FIXT</t>
  </si>
  <si>
    <t>(1) 169W fixture, any bulb shape, any application</t>
  </si>
  <si>
    <t>LED170-FIXT</t>
  </si>
  <si>
    <t>(1) 170W fixture, any bulb shape, any application</t>
  </si>
  <si>
    <t>LED171-FIXT</t>
  </si>
  <si>
    <t>(1) 171W fixture, any bulb shape, any application</t>
  </si>
  <si>
    <t>LED172-FIXT</t>
  </si>
  <si>
    <t>(1) 172W fixture, any bulb shape, any application</t>
  </si>
  <si>
    <t>LED173-FIXT</t>
  </si>
  <si>
    <t>(1) 173W fixture, any bulb shape, any application</t>
  </si>
  <si>
    <t>LED174-FIXT</t>
  </si>
  <si>
    <t>(1) 174W fixture, any bulb shape, any application</t>
  </si>
  <si>
    <t>LED175-FIXT</t>
  </si>
  <si>
    <t>(1) 175W fixture, any bulb shape, any application</t>
  </si>
  <si>
    <t>LED176-FIXT</t>
  </si>
  <si>
    <t>(1) 176W fixture, any bulb shape, any application</t>
  </si>
  <si>
    <t>LED177-FIXT</t>
  </si>
  <si>
    <t>(1) 177W fixture, any bulb shape, any application</t>
  </si>
  <si>
    <t>LED178-FIXT</t>
  </si>
  <si>
    <t>(1) 178W fixture, any bulb shape, any application</t>
  </si>
  <si>
    <t>LED179-FIXT</t>
  </si>
  <si>
    <t>(1) 179W fixture, any bulb shape, any application</t>
  </si>
  <si>
    <t>LED180-FIXT</t>
  </si>
  <si>
    <t>(1) 180W fixture, any bulb shape, any application</t>
  </si>
  <si>
    <t>LED181-FIXT</t>
  </si>
  <si>
    <t>(1) 181W fixture, any bulb shape, any application</t>
  </si>
  <si>
    <t>LED182-FIXT</t>
  </si>
  <si>
    <t>(1) 182W fixture, any bulb shape, any application</t>
  </si>
  <si>
    <t>LED183-FIXT</t>
  </si>
  <si>
    <t>(1) 183W fixture, any bulb shape, any application</t>
  </si>
  <si>
    <t>LED184-FIXT</t>
  </si>
  <si>
    <t>(1) 184W fixture, any bulb shape, any application</t>
  </si>
  <si>
    <t>LED185-FIXT</t>
  </si>
  <si>
    <t>(1) 185W fixture, any bulb shape, any application</t>
  </si>
  <si>
    <t>LED186-FIXT</t>
  </si>
  <si>
    <t>(1) 186W fixture, any bulb shape, any application</t>
  </si>
  <si>
    <t>LED187-FIXT</t>
  </si>
  <si>
    <t>(1) 187W fixture, any bulb shape, any application</t>
  </si>
  <si>
    <t>LED188-FIXT</t>
  </si>
  <si>
    <t>(1) 188W fixture, any bulb shape, any application</t>
  </si>
  <si>
    <t>LED189-FIXT</t>
  </si>
  <si>
    <t>(1) 189W fixture, any bulb shape, any application</t>
  </si>
  <si>
    <t>LED190-FIXT</t>
  </si>
  <si>
    <t>(1) 190W fixture, any bulb shape, any application</t>
  </si>
  <si>
    <t>LED191-FIXT</t>
  </si>
  <si>
    <t>(1) 191W fixture, any bulb shape, any application</t>
  </si>
  <si>
    <t>LED192-FIXT</t>
  </si>
  <si>
    <t>(1) 192W fixture, any bulb shape, any application</t>
  </si>
  <si>
    <t>LED193-FIXT</t>
  </si>
  <si>
    <t>(1) 193W fixture, any bulb shape, any application</t>
  </si>
  <si>
    <t>LED194-FIXT</t>
  </si>
  <si>
    <t>(1) 194W fixture, any bulb shape, any application</t>
  </si>
  <si>
    <t>LED195-FIXT</t>
  </si>
  <si>
    <t>(1) 195W fixture, any bulb shape, any application</t>
  </si>
  <si>
    <t>LED196-FIXT</t>
  </si>
  <si>
    <t>(1) 196W fixture, any bulb shape, any application</t>
  </si>
  <si>
    <t>LED197-FIXT</t>
  </si>
  <si>
    <t>(1) 197W fixture, any bulb shape, any application</t>
  </si>
  <si>
    <t>LED198-FIXT</t>
  </si>
  <si>
    <t>(1) 198W fixture, any bulb shape, any application</t>
  </si>
  <si>
    <t>LED199-FIXT</t>
  </si>
  <si>
    <t>(1) 199W fixture, any bulb shape, any application</t>
  </si>
  <si>
    <t>LED200-FIXT</t>
  </si>
  <si>
    <t>(1) 200W fixture, any bulb shape, any application</t>
  </si>
  <si>
    <t>LED201-FIXT</t>
  </si>
  <si>
    <t>(1) 201W fixture, any bulb shape, any application</t>
  </si>
  <si>
    <t>LED202-FIXT</t>
  </si>
  <si>
    <t>(1) 202W fixture, any bulb shape, any application</t>
  </si>
  <si>
    <t>LED203-FIXT</t>
  </si>
  <si>
    <t>(1) 203W fixture, any bulb shape, any application</t>
  </si>
  <si>
    <t>LED204-FIXT</t>
  </si>
  <si>
    <t>(1) 204W fixture, any bulb shape, any application</t>
  </si>
  <si>
    <t>LED205-FIXT</t>
  </si>
  <si>
    <t>(1) 205W fixture, any bulb shape, any application</t>
  </si>
  <si>
    <t>LED206-FIXT</t>
  </si>
  <si>
    <t>(1) 206W fixture, any bulb shape, any application</t>
  </si>
  <si>
    <t>LED207-FIXT</t>
  </si>
  <si>
    <t>(1) 207W fixture, any bulb shape, any application</t>
  </si>
  <si>
    <t>LED208-FIXT</t>
  </si>
  <si>
    <t>(1) 208W fixture, any bulb shape, any application</t>
  </si>
  <si>
    <t>LED209-FIXT</t>
  </si>
  <si>
    <t>(1) 209W fixture, any bulb shape, any application</t>
  </si>
  <si>
    <t>LED210-FIXT</t>
  </si>
  <si>
    <t>(1) 210W fixture, any bulb shape, any application</t>
  </si>
  <si>
    <t>LED211-FIXT</t>
  </si>
  <si>
    <t>(1) 211W fixture, any bulb shape, any application</t>
  </si>
  <si>
    <t>LED212-FIXT</t>
  </si>
  <si>
    <t>(1) 212W fixture, any bulb shape, any application</t>
  </si>
  <si>
    <t>LED213-FIXT</t>
  </si>
  <si>
    <t>(1) 213W fixture, any bulb shape, any application</t>
  </si>
  <si>
    <t>LED214-FIXT</t>
  </si>
  <si>
    <t>(1) 214W fixture, any bulb shape, any application</t>
  </si>
  <si>
    <t>LED215-FIXT</t>
  </si>
  <si>
    <t>(1) 215W fixture, any bulb shape, any application</t>
  </si>
  <si>
    <t>LED216-FIXT</t>
  </si>
  <si>
    <t>(1) 216W fixture, any bulb shape, any application</t>
  </si>
  <si>
    <t>LED217-FIXT</t>
  </si>
  <si>
    <t>(1) 217W fixture, any bulb shape, any application</t>
  </si>
  <si>
    <t>LED218-FIXT</t>
  </si>
  <si>
    <t>(1) 218W fixture, any bulb shape, any application</t>
  </si>
  <si>
    <t>LED219-FIXT</t>
  </si>
  <si>
    <t>(1) 219W fixture, any bulb shape, any application</t>
  </si>
  <si>
    <t>LED220-FIXT</t>
  </si>
  <si>
    <t>(1) 220W fixture, any bulb shape, any application</t>
  </si>
  <si>
    <t>LED221-FIXT</t>
  </si>
  <si>
    <t>(1) 221W fixture, any bulb shape, any application</t>
  </si>
  <si>
    <t>LED222-FIXT</t>
  </si>
  <si>
    <t>(1) 222W fixture, any bulb shape, any application</t>
  </si>
  <si>
    <t>LED223-FIXT</t>
  </si>
  <si>
    <t>(1) 223W fixture, any bulb shape, any application</t>
  </si>
  <si>
    <t>LED224-FIXT</t>
  </si>
  <si>
    <t>(1) 224W fixture, any bulb shape, any application</t>
  </si>
  <si>
    <t>LED225-FIXT</t>
  </si>
  <si>
    <t>(1) 225W fixture, any bulb shape, any application</t>
  </si>
  <si>
    <t>LED226-FIXT</t>
  </si>
  <si>
    <t>(1) 226W fixture, any bulb shape, any application</t>
  </si>
  <si>
    <t>LED227-FIXT</t>
  </si>
  <si>
    <t>(1) 227W fixture, any bulb shape, any application</t>
  </si>
  <si>
    <t>LED228-FIXT</t>
  </si>
  <si>
    <t>(1) 228W fixture, any bulb shape, any application</t>
  </si>
  <si>
    <t>LED229-FIXT</t>
  </si>
  <si>
    <t>(1) 229W fixture, any bulb shape, any application</t>
  </si>
  <si>
    <t>LED230-FIXT</t>
  </si>
  <si>
    <t>(1) 230W fixture, any bulb shape, any application</t>
  </si>
  <si>
    <t>LED231-FIXT</t>
  </si>
  <si>
    <t>(1) 231W fixture, any bulb shape, any application</t>
  </si>
  <si>
    <t>LED232-FIXT</t>
  </si>
  <si>
    <t>(1) 232W fixture, any bulb shape, any application</t>
  </si>
  <si>
    <t>LED233-FIXT</t>
  </si>
  <si>
    <t>(1) 233W fixture, any bulb shape, any application</t>
  </si>
  <si>
    <t>LED234-FIXT</t>
  </si>
  <si>
    <t>(1) 234W fixture, any bulb shape, any application</t>
  </si>
  <si>
    <t>LED235-FIXT</t>
  </si>
  <si>
    <t>(1) 235W fixture, any bulb shape, any application</t>
  </si>
  <si>
    <t>LED236-FIXT</t>
  </si>
  <si>
    <t>(1) 236W fixture, any bulb shape, any application</t>
  </si>
  <si>
    <t>LED237-FIXT</t>
  </si>
  <si>
    <t>(1) 237W fixture, any bulb shape, any application</t>
  </si>
  <si>
    <t>LED238-FIXT</t>
  </si>
  <si>
    <t>(1) 238W fixture, any bulb shape, any application</t>
  </si>
  <si>
    <t>LED239-FIXT</t>
  </si>
  <si>
    <t>(1) 239W fixture, any bulb shape, any application</t>
  </si>
  <si>
    <t>LED240-FIXT</t>
  </si>
  <si>
    <t>(1) 240W fixture, any bulb shape, any application</t>
  </si>
  <si>
    <t>LED241-FIXT</t>
  </si>
  <si>
    <t>(1) 241W fixture, any bulb shape, any application</t>
  </si>
  <si>
    <t>LED242-FIXT</t>
  </si>
  <si>
    <t>(1) 242W fixture, any bulb shape, any application</t>
  </si>
  <si>
    <t>LED243-FIXT</t>
  </si>
  <si>
    <t>(1) 243W fixture, any bulb shape, any application</t>
  </si>
  <si>
    <t>LED244-FIXT</t>
  </si>
  <si>
    <t>(1) 244W fixture, any bulb shape, any application</t>
  </si>
  <si>
    <t>LED245-FIXT</t>
  </si>
  <si>
    <t>(1) 245W fixture, any bulb shape, any application</t>
  </si>
  <si>
    <t>LED246-FIXT</t>
  </si>
  <si>
    <t>(1) 246W fixture, any bulb shape, any application</t>
  </si>
  <si>
    <t>LED247-FIXT</t>
  </si>
  <si>
    <t>(1) 247W fixture, any bulb shape, any application</t>
  </si>
  <si>
    <t>LED248-FIXT</t>
  </si>
  <si>
    <t>(1) 248W fixture, any bulb shape, any application</t>
  </si>
  <si>
    <t>LED249-FIXT</t>
  </si>
  <si>
    <t>(1) 249W fixture, any bulb shape, any application</t>
  </si>
  <si>
    <t>LED250-FIXT</t>
  </si>
  <si>
    <t>(1) 250W fixture, any bulb shape, any application</t>
  </si>
  <si>
    <t>LED251-FIXT</t>
  </si>
  <si>
    <t>(1) 251W fixture, any bulb shape, any application</t>
  </si>
  <si>
    <t>LED252-FIXT</t>
  </si>
  <si>
    <t>(1) 252W fixture, any bulb shape, any application</t>
  </si>
  <si>
    <t>LED253-FIXT</t>
  </si>
  <si>
    <t>(1) 253W fixture, any bulb shape, any application</t>
  </si>
  <si>
    <t>LED254-FIXT</t>
  </si>
  <si>
    <t>(1) 254W fixture, any bulb shape, any application</t>
  </si>
  <si>
    <t>LED255-FIXT</t>
  </si>
  <si>
    <t>(1) 255W fixture, any bulb shape, any application</t>
  </si>
  <si>
    <t>LED256-FIXT</t>
  </si>
  <si>
    <t>(1) 256W fixture, any bulb shape, any application</t>
  </si>
  <si>
    <t>LED257-FIXT</t>
  </si>
  <si>
    <t>(1) 257W fixture, any bulb shape, any application</t>
  </si>
  <si>
    <t>LED258-FIXT</t>
  </si>
  <si>
    <t>(1) 258W fixture, any bulb shape, any application</t>
  </si>
  <si>
    <t>LED259-FIXT</t>
  </si>
  <si>
    <t>(1) 259W fixture, any bulb shape, any application</t>
  </si>
  <si>
    <t>LED260-FIXT</t>
  </si>
  <si>
    <t>(1) 260W fixture, any bulb shape, any application</t>
  </si>
  <si>
    <t>LED261-FIXT</t>
  </si>
  <si>
    <t>(1) 261W fixture, any bulb shape, any application</t>
  </si>
  <si>
    <t>LED262-FIXT</t>
  </si>
  <si>
    <t>(1) 262W fixture, any bulb shape, any application</t>
  </si>
  <si>
    <t>LED263-FIXT</t>
  </si>
  <si>
    <t>(1) 263W fixture, any bulb shape, any application</t>
  </si>
  <si>
    <t>LED264-FIXT</t>
  </si>
  <si>
    <t>(1) 264W fixture, any bulb shape, any application</t>
  </si>
  <si>
    <t>LED265-FIXT</t>
  </si>
  <si>
    <t>(1) 265W fixture, any bulb shape, any application</t>
  </si>
  <si>
    <t>LED266-FIXT</t>
  </si>
  <si>
    <t>(1) 266W fixture, any bulb shape, any application</t>
  </si>
  <si>
    <t>LED267-FIXT</t>
  </si>
  <si>
    <t>(1) 267W fixture, any bulb shape, any application</t>
  </si>
  <si>
    <t>LED268-FIXT</t>
  </si>
  <si>
    <t>(1) 268W fixture, any bulb shape, any application</t>
  </si>
  <si>
    <t>LED269-FIXT</t>
  </si>
  <si>
    <t>(1) 269W fixture, any bulb shape, any application</t>
  </si>
  <si>
    <t>LED270-FIXT</t>
  </si>
  <si>
    <t>(1) 270W fixture, any bulb shape, any application</t>
  </si>
  <si>
    <t>LED271-FIXT</t>
  </si>
  <si>
    <t>(1) 271W fixture, any bulb shape, any application</t>
  </si>
  <si>
    <t>LED272-FIXT</t>
  </si>
  <si>
    <t>(1) 272W fixture, any bulb shape, any application</t>
  </si>
  <si>
    <t>LED273-FIXT</t>
  </si>
  <si>
    <t>(1) 273W fixture, any bulb shape, any application</t>
  </si>
  <si>
    <t>LED274-FIXT</t>
  </si>
  <si>
    <t>(1) 274W fixture, any bulb shape, any application</t>
  </si>
  <si>
    <t>LED275-FIXT</t>
  </si>
  <si>
    <t>(1) 275W fixture, any bulb shape, any application</t>
  </si>
  <si>
    <t>LED276-FIXT</t>
  </si>
  <si>
    <t>(1) 276W fixture, any bulb shape, any application</t>
  </si>
  <si>
    <t>LED277-FIXT</t>
  </si>
  <si>
    <t>(1) 277W fixture, any bulb shape, any application</t>
  </si>
  <si>
    <t>LED278-FIXT</t>
  </si>
  <si>
    <t>(1) 278W fixture, any bulb shape, any application</t>
  </si>
  <si>
    <t>LED279-FIXT</t>
  </si>
  <si>
    <t>(1) 279W fixture, any bulb shape, any application</t>
  </si>
  <si>
    <t>LED280-FIXT</t>
  </si>
  <si>
    <t>(1) 280W fixture, any bulb shape, any application</t>
  </si>
  <si>
    <t>LED281-FIXT</t>
  </si>
  <si>
    <t>(1) 281W fixture, any bulb shape, any application</t>
  </si>
  <si>
    <t>LED282-FIXT</t>
  </si>
  <si>
    <t>(1) 282W fixture, any bulb shape, any application</t>
  </si>
  <si>
    <t>LED283-FIXT</t>
  </si>
  <si>
    <t>(1) 283W fixture, any bulb shape, any application</t>
  </si>
  <si>
    <t>LED284-FIXT</t>
  </si>
  <si>
    <t>(1) 284W fixture, any bulb shape, any application</t>
  </si>
  <si>
    <t>LED285-FIXT</t>
  </si>
  <si>
    <t>(1) 285W fixture, any bulb shape, any application</t>
  </si>
  <si>
    <t>LED286-FIXT</t>
  </si>
  <si>
    <t>(1) 286W fixture, any bulb shape, any application</t>
  </si>
  <si>
    <t>LED287-FIXT</t>
  </si>
  <si>
    <t>(1) 287W fixture, any bulb shape, any application</t>
  </si>
  <si>
    <t>LED288-FIXT</t>
  </si>
  <si>
    <t>(1) 288W fixture, any bulb shape, any application</t>
  </si>
  <si>
    <t>LED289-FIXT</t>
  </si>
  <si>
    <t>(1) 289W fixture, any bulb shape, any application</t>
  </si>
  <si>
    <t>LED290-FIXT</t>
  </si>
  <si>
    <t>(1) 290W fixture, any bulb shape, any application</t>
  </si>
  <si>
    <t>LED291-FIXT</t>
  </si>
  <si>
    <t>(1) 291W fixture, any bulb shape, any application</t>
  </si>
  <si>
    <t>LED292-FIXT</t>
  </si>
  <si>
    <t>(1) 292W fixture, any bulb shape, any application</t>
  </si>
  <si>
    <t>LED293-FIXT</t>
  </si>
  <si>
    <t>(1) 293W fixture, any bulb shape, any application</t>
  </si>
  <si>
    <t>LED294-FIXT</t>
  </si>
  <si>
    <t>(1) 294W fixture, any bulb shape, any application</t>
  </si>
  <si>
    <t>LED295-FIXT</t>
  </si>
  <si>
    <t>(1) 295W fixture, any bulb shape, any application</t>
  </si>
  <si>
    <t>LED296-FIXT</t>
  </si>
  <si>
    <t>(1) 296W fixture, any bulb shape, any application</t>
  </si>
  <si>
    <t>LED297-FIXT</t>
  </si>
  <si>
    <t>(1) 297W fixture, any bulb shape, any application</t>
  </si>
  <si>
    <t>LED298-FIXT</t>
  </si>
  <si>
    <t>(1) 298W fixture, any bulb shape, any application</t>
  </si>
  <si>
    <t>LED299-FIXT</t>
  </si>
  <si>
    <t>(1) 299W fixture, any bulb shape, any application</t>
  </si>
  <si>
    <t>LED300-FIXT</t>
  </si>
  <si>
    <t>(1) 300W fixture, any bulb shape, any application</t>
  </si>
  <si>
    <t>LED301-FIXT</t>
  </si>
  <si>
    <t>(1) 301W fixture, any bulb shape, any application</t>
  </si>
  <si>
    <t>LED302-FIXT</t>
  </si>
  <si>
    <t>(1) 302W fixture, any bulb shape, any application</t>
  </si>
  <si>
    <t>LED303-FIXT</t>
  </si>
  <si>
    <t>(1) 303W fixture, any bulb shape, any application</t>
  </si>
  <si>
    <t>LED304-FIXT</t>
  </si>
  <si>
    <t>(1) 304W fixture, any bulb shape, any application</t>
  </si>
  <si>
    <t>LED305-FIXT</t>
  </si>
  <si>
    <t>(1) 305W fixture, any bulb shape, any application</t>
  </si>
  <si>
    <t>LED306-FIXT</t>
  </si>
  <si>
    <t>(1) 306W fixture, any bulb shape, any application</t>
  </si>
  <si>
    <t>LED307-FIXT</t>
  </si>
  <si>
    <t>(1) 307W fixture, any bulb shape, any application</t>
  </si>
  <si>
    <t>LED308-FIXT</t>
  </si>
  <si>
    <t>(1) 308W fixture, any bulb shape, any application</t>
  </si>
  <si>
    <t>LED309-FIXT</t>
  </si>
  <si>
    <t>(1) 309W fixture, any bulb shape, any application</t>
  </si>
  <si>
    <t>LED310-FIXT</t>
  </si>
  <si>
    <t>(1) 310W fixture, any bulb shape, any application</t>
  </si>
  <si>
    <t>LED311-FIXT</t>
  </si>
  <si>
    <t>(1) 311W fixture, any bulb shape, any application</t>
  </si>
  <si>
    <t>LED312-FIXT</t>
  </si>
  <si>
    <t>(1) 312W fixture, any bulb shape, any application</t>
  </si>
  <si>
    <t>LED313-FIXT</t>
  </si>
  <si>
    <t>(1) 313W fixture, any bulb shape, any application</t>
  </si>
  <si>
    <t>LED314-FIXT</t>
  </si>
  <si>
    <t>(1) 314W fixture, any bulb shape, any application</t>
  </si>
  <si>
    <t>LED315-FIXT</t>
  </si>
  <si>
    <t>(1) 315W fixture, any bulb shape, any application</t>
  </si>
  <si>
    <t>LED316-FIXT</t>
  </si>
  <si>
    <t>(1) 316W fixture, any bulb shape, any application</t>
  </si>
  <si>
    <t>LED317-FIXT</t>
  </si>
  <si>
    <t>(1) 317W fixture, any bulb shape, any application</t>
  </si>
  <si>
    <t>LED318-FIXT</t>
  </si>
  <si>
    <t>(1) 318W fixture, any bulb shape, any application</t>
  </si>
  <si>
    <t>LED319-FIXT</t>
  </si>
  <si>
    <t>(1) 319W fixture, any bulb shape, any application</t>
  </si>
  <si>
    <t>LED320-FIXT</t>
  </si>
  <si>
    <t>(1) 320W fixture, any bulb shape, any application</t>
  </si>
  <si>
    <t>LED321-FIXT</t>
  </si>
  <si>
    <t>(1) 321W fixture, any bulb shape, any application</t>
  </si>
  <si>
    <t>LED322-FIXT</t>
  </si>
  <si>
    <t>(1) 322W fixture, any bulb shape, any application</t>
  </si>
  <si>
    <t>LED323-FIXT</t>
  </si>
  <si>
    <t>(1) 323W fixture, any bulb shape, any application</t>
  </si>
  <si>
    <t>LED324-FIXT</t>
  </si>
  <si>
    <t>(1) 324W fixture, any bulb shape, any application</t>
  </si>
  <si>
    <t>LED325-FIXT</t>
  </si>
  <si>
    <t>(1) 325W fixture, any bulb shape, any application</t>
  </si>
  <si>
    <t>LED326-FIXT</t>
  </si>
  <si>
    <t>(1) 326W fixture, any bulb shape, any application</t>
  </si>
  <si>
    <t>LED327-FIXT</t>
  </si>
  <si>
    <t>(1) 327W fixture, any bulb shape, any application</t>
  </si>
  <si>
    <t>LED328-FIXT</t>
  </si>
  <si>
    <t>(1) 328W fixture, any bulb shape, any application</t>
  </si>
  <si>
    <t>LED329-FIXT</t>
  </si>
  <si>
    <t>(1) 329W fixture, any bulb shape, any application</t>
  </si>
  <si>
    <t>LED330-FIXT</t>
  </si>
  <si>
    <t>(1) 330W fixture, any bulb shape, any application</t>
  </si>
  <si>
    <t>LED331-FIXT</t>
  </si>
  <si>
    <t>(1) 331W fixture, any bulb shape, any application</t>
  </si>
  <si>
    <t>LED332-FIXT</t>
  </si>
  <si>
    <t>(1) 332W fixture, any bulb shape, any application</t>
  </si>
  <si>
    <t>LED333-FIXT</t>
  </si>
  <si>
    <t>(1) 333W fixture, any bulb shape, any application</t>
  </si>
  <si>
    <t>LED334-FIXT</t>
  </si>
  <si>
    <t>(1) 334W fixture, any bulb shape, any application</t>
  </si>
  <si>
    <t>LED335-FIXT</t>
  </si>
  <si>
    <t>(1) 335W fixture, any bulb shape, any application</t>
  </si>
  <si>
    <t>LED336-FIXT</t>
  </si>
  <si>
    <t>(1) 336W fixture, any bulb shape, any application</t>
  </si>
  <si>
    <t>LED337-FIXT</t>
  </si>
  <si>
    <t>(1) 337W fixture, any bulb shape, any application</t>
  </si>
  <si>
    <t>LED338-FIXT</t>
  </si>
  <si>
    <t>(1) 338W fixture, any bulb shape, any application</t>
  </si>
  <si>
    <t>LED339-FIXT</t>
  </si>
  <si>
    <t>(1) 339W fixture, any bulb shape, any application</t>
  </si>
  <si>
    <t>LED340-FIXT</t>
  </si>
  <si>
    <t>(1) 340W fixture, any bulb shape, any application</t>
  </si>
  <si>
    <t>LED341-FIXT</t>
  </si>
  <si>
    <t>(1) 341W fixture, any bulb shape, any application</t>
  </si>
  <si>
    <t>LED342-FIXT</t>
  </si>
  <si>
    <t>(1) 342W fixture, any bulb shape, any application</t>
  </si>
  <si>
    <t>LED343-FIXT</t>
  </si>
  <si>
    <t>(1) 343W fixture, any bulb shape, any application</t>
  </si>
  <si>
    <t>LED344-FIXT</t>
  </si>
  <si>
    <t>(1) 344W fixture, any bulb shape, any application</t>
  </si>
  <si>
    <t>LED345-FIXT</t>
  </si>
  <si>
    <t>(1) 345W fixture, any bulb shape, any application</t>
  </si>
  <si>
    <t>LED346-FIXT</t>
  </si>
  <si>
    <t>(1) 346W fixture, any bulb shape, any application</t>
  </si>
  <si>
    <t>LED347-FIXT</t>
  </si>
  <si>
    <t>(1) 347W fixture, any bulb shape, any application</t>
  </si>
  <si>
    <t>LED348-FIXT</t>
  </si>
  <si>
    <t>(1) 348W fixture, any bulb shape, any application</t>
  </si>
  <si>
    <t>LED349-FIXT</t>
  </si>
  <si>
    <t>(1) 349W fixture, any bulb shape, any application</t>
  </si>
  <si>
    <t>LED350-FIXT</t>
  </si>
  <si>
    <t>(1) 350W fixture, any bulb shape, any application</t>
  </si>
  <si>
    <t>LED351-FIXT</t>
  </si>
  <si>
    <t>(1) 351W fixture, any bulb shape, any application</t>
  </si>
  <si>
    <t>LED352-FIXT</t>
  </si>
  <si>
    <t>(1) 352W fixture, any bulb shape, any application</t>
  </si>
  <si>
    <t>LED353-FIXT</t>
  </si>
  <si>
    <t>(1) 353W fixture, any bulb shape, any application</t>
  </si>
  <si>
    <t>LED354-FIXT</t>
  </si>
  <si>
    <t>(1) 354W fixture, any bulb shape, any application</t>
  </si>
  <si>
    <t>LED355-FIXT</t>
  </si>
  <si>
    <t>(1) 355W fixture, any bulb shape, any application</t>
  </si>
  <si>
    <t>LED356-FIXT</t>
  </si>
  <si>
    <t>(1) 356W fixture, any bulb shape, any application</t>
  </si>
  <si>
    <t>LED357-FIXT</t>
  </si>
  <si>
    <t>(1) 357W fixture, any bulb shape, any application</t>
  </si>
  <si>
    <t>LED358-FIXT</t>
  </si>
  <si>
    <t>(1) 358W fixture, any bulb shape, any application</t>
  </si>
  <si>
    <t>LED359-FIXT</t>
  </si>
  <si>
    <t>(1) 359W fixture, any bulb shape, any application</t>
  </si>
  <si>
    <t>LED360-FIXT</t>
  </si>
  <si>
    <t>(1) 360W fixture, any bulb shape, any application</t>
  </si>
  <si>
    <t>LED361-FIXT</t>
  </si>
  <si>
    <t>(1) 361W fixture, any bulb shape, any application</t>
  </si>
  <si>
    <t>LED362-FIXT</t>
  </si>
  <si>
    <t>(1) 362W fixture, any bulb shape, any application</t>
  </si>
  <si>
    <t>LED363-FIXT</t>
  </si>
  <si>
    <t>(1) 363W fixture, any bulb shape, any application</t>
  </si>
  <si>
    <t>LED364-FIXT</t>
  </si>
  <si>
    <t>(1) 364W fixture, any bulb shape, any application</t>
  </si>
  <si>
    <t>LED365-FIXT</t>
  </si>
  <si>
    <t>(1) 365W fixture, any bulb shape, any application</t>
  </si>
  <si>
    <t>LED366-FIXT</t>
  </si>
  <si>
    <t>(1) 366W fixture, any bulb shape, any application</t>
  </si>
  <si>
    <t>LED367-FIXT</t>
  </si>
  <si>
    <t>(1) 367W fixture, any bulb shape, any application</t>
  </si>
  <si>
    <t>LED368-FIXT</t>
  </si>
  <si>
    <t>(1) 368W fixture, any bulb shape, any application</t>
  </si>
  <si>
    <t>LED369-FIXT</t>
  </si>
  <si>
    <t>(1) 369W fixture, any bulb shape, any application</t>
  </si>
  <si>
    <t>LED370-FIXT</t>
  </si>
  <si>
    <t>(1) 370W fixture, any bulb shape, any application</t>
  </si>
  <si>
    <t>LED371-FIXT</t>
  </si>
  <si>
    <t>(1) 371W fixture, any bulb shape, any application</t>
  </si>
  <si>
    <t>LED372-FIXT</t>
  </si>
  <si>
    <t>(1) 372W fixture, any bulb shape, any application</t>
  </si>
  <si>
    <t>LED373-FIXT</t>
  </si>
  <si>
    <t>(1) 373W fixture, any bulb shape, any application</t>
  </si>
  <si>
    <t>LED374-FIXT</t>
  </si>
  <si>
    <t>(1) 374W fixture, any bulb shape, any application</t>
  </si>
  <si>
    <t>LED375-FIXT</t>
  </si>
  <si>
    <t>(1) 375W fixture, any bulb shape, any application</t>
  </si>
  <si>
    <t>LED376-FIXT</t>
  </si>
  <si>
    <t>(1) 376W fixture, any bulb shape, any application</t>
  </si>
  <si>
    <t>LED377-FIXT</t>
  </si>
  <si>
    <t>(1) 377W fixture, any bulb shape, any application</t>
  </si>
  <si>
    <t>LED378-FIXT</t>
  </si>
  <si>
    <t>(1) 378W fixture, any bulb shape, any application</t>
  </si>
  <si>
    <t>LED379-FIXT</t>
  </si>
  <si>
    <t>(1) 379W fixture, any bulb shape, any application</t>
  </si>
  <si>
    <t>LED380-FIXT</t>
  </si>
  <si>
    <t>(1) 380W fixture, any bulb shape, any application</t>
  </si>
  <si>
    <t>LED381-FIXT</t>
  </si>
  <si>
    <t>(1) 381W fixture, any bulb shape, any application</t>
  </si>
  <si>
    <t>LED382-FIXT</t>
  </si>
  <si>
    <t>(1) 382W fixture, any bulb shape, any application</t>
  </si>
  <si>
    <t>LED383-FIXT</t>
  </si>
  <si>
    <t>(1) 383W fixture, any bulb shape, any application</t>
  </si>
  <si>
    <t>LED384-FIXT</t>
  </si>
  <si>
    <t>(1) 384W fixture, any bulb shape, any application</t>
  </si>
  <si>
    <t>LED385-FIXT</t>
  </si>
  <si>
    <t>(1) 385W fixture, any bulb shape, any application</t>
  </si>
  <si>
    <t>LED386-FIXT</t>
  </si>
  <si>
    <t>(1) 386W fixture, any bulb shape, any application</t>
  </si>
  <si>
    <t>LED387-FIXT</t>
  </si>
  <si>
    <t>(1) 387W fixture, any bulb shape, any application</t>
  </si>
  <si>
    <t>LED388-FIXT</t>
  </si>
  <si>
    <t>(1) 388W fixture, any bulb shape, any application</t>
  </si>
  <si>
    <t>LED389-FIXT</t>
  </si>
  <si>
    <t>(1) 389W fixture, any bulb shape, any application</t>
  </si>
  <si>
    <t>LED390-FIXT</t>
  </si>
  <si>
    <t>(1) 390W fixture, any bulb shape, any application</t>
  </si>
  <si>
    <t>LED391-FIXT</t>
  </si>
  <si>
    <t>(1) 391W fixture, any bulb shape, any application</t>
  </si>
  <si>
    <t>LED392-FIXT</t>
  </si>
  <si>
    <t>(1) 392W fixture, any bulb shape, any application</t>
  </si>
  <si>
    <t>LED393-FIXT</t>
  </si>
  <si>
    <t>(1) 393W fixture, any bulb shape, any application</t>
  </si>
  <si>
    <t>LED394-FIXT</t>
  </si>
  <si>
    <t>(1) 394W fixture, any bulb shape, any application</t>
  </si>
  <si>
    <t>LED395-FIXT</t>
  </si>
  <si>
    <t>(1) 395W fixture, any bulb shape, any application</t>
  </si>
  <si>
    <t>LED396-FIXT</t>
  </si>
  <si>
    <t>(1) 396W fixture, any bulb shape, any application</t>
  </si>
  <si>
    <t>LED397-FIXT</t>
  </si>
  <si>
    <t>(1) 397W fixture, any bulb shape, any application</t>
  </si>
  <si>
    <t>LED398-FIXT</t>
  </si>
  <si>
    <t>(1) 398W fixture, any bulb shape, any application</t>
  </si>
  <si>
    <t>LED399-FIXT</t>
  </si>
  <si>
    <t>(1) 399W fixture, any bulb shape, any application</t>
  </si>
  <si>
    <t>LED400-FIXT</t>
  </si>
  <si>
    <t>(1) 400W fixture, any bulb shape, any application</t>
  </si>
  <si>
    <t>LED401-FIXT</t>
  </si>
  <si>
    <t>(1) 401W fixture, any bulb shape, any application</t>
  </si>
  <si>
    <t>LED402-FIXT</t>
  </si>
  <si>
    <t>(1) 402W fixture, any bulb shape, any application</t>
  </si>
  <si>
    <t>LED403-FIXT</t>
  </si>
  <si>
    <t>(1) 403W fixture, any bulb shape, any application</t>
  </si>
  <si>
    <t>LED404-FIXT</t>
  </si>
  <si>
    <t>(1) 404W fixture, any bulb shape, any application</t>
  </si>
  <si>
    <t>LED405-FIXT</t>
  </si>
  <si>
    <t>(1) 405W fixture, any bulb shape, any application</t>
  </si>
  <si>
    <t>LED406-FIXT</t>
  </si>
  <si>
    <t>(1) 406W fixture, any bulb shape, any application</t>
  </si>
  <si>
    <t>LED407-FIXT</t>
  </si>
  <si>
    <t>(1) 407W fixture, any bulb shape, any application</t>
  </si>
  <si>
    <t>LED408-FIXT</t>
  </si>
  <si>
    <t>(1) 408W fixture, any bulb shape, any application</t>
  </si>
  <si>
    <t>LED409-FIXT</t>
  </si>
  <si>
    <t>(1) 409W fixture, any bulb shape, any application</t>
  </si>
  <si>
    <t>LED410-FIXT</t>
  </si>
  <si>
    <t>(1) 410W fixture, any bulb shape, any application</t>
  </si>
  <si>
    <t>LED411-FIXT</t>
  </si>
  <si>
    <t>(1) 411W fixture, any bulb shape, any application</t>
  </si>
  <si>
    <t>LED412-FIXT</t>
  </si>
  <si>
    <t>(1) 412W fixture, any bulb shape, any application</t>
  </si>
  <si>
    <t>LED413-FIXT</t>
  </si>
  <si>
    <t>(1) 413W fixture, any bulb shape, any application</t>
  </si>
  <si>
    <t>LED414-FIXT</t>
  </si>
  <si>
    <t>(1) 414W fixture, any bulb shape, any application</t>
  </si>
  <si>
    <t>LED415-FIXT</t>
  </si>
  <si>
    <t>(1) 415W fixture, any bulb shape, any application</t>
  </si>
  <si>
    <t>LED416-FIXT</t>
  </si>
  <si>
    <t>(1) 416W fixture, any bulb shape, any application</t>
  </si>
  <si>
    <t>LED417-FIXT</t>
  </si>
  <si>
    <t>(1) 417W fixture, any bulb shape, any application</t>
  </si>
  <si>
    <t>LED418-FIXT</t>
  </si>
  <si>
    <t>(1) 418W fixture, any bulb shape, any application</t>
  </si>
  <si>
    <t>LED419-FIXT</t>
  </si>
  <si>
    <t>(1) 419W fixture, any bulb shape, any application</t>
  </si>
  <si>
    <t>LED420-FIXT</t>
  </si>
  <si>
    <t>(1) 420W fixture, any bulb shape, any application</t>
  </si>
  <si>
    <t>LED421-FIXT</t>
  </si>
  <si>
    <t>(1) 421W fixture, any bulb shape, any application</t>
  </si>
  <si>
    <t>LED422-FIXT</t>
  </si>
  <si>
    <t>(1) 422W fixture, any bulb shape, any application</t>
  </si>
  <si>
    <t>LED423-FIXT</t>
  </si>
  <si>
    <t>(1) 423W fixture, any bulb shape, any application</t>
  </si>
  <si>
    <t>LED424-FIXT</t>
  </si>
  <si>
    <t>(1) 424W fixture, any bulb shape, any application</t>
  </si>
  <si>
    <t>LED425-FIXT</t>
  </si>
  <si>
    <t>(1) 425W fixture, any bulb shape, any application</t>
  </si>
  <si>
    <t>LED426-FIXT</t>
  </si>
  <si>
    <t>(1) 426W fixture, any bulb shape, any application</t>
  </si>
  <si>
    <t>LED427-FIXT</t>
  </si>
  <si>
    <t>(1) 427W fixture, any bulb shape, any application</t>
  </si>
  <si>
    <t>LED428-FIXT</t>
  </si>
  <si>
    <t>(1) 428W fixture, any bulb shape, any application</t>
  </si>
  <si>
    <t>LED429-FIXT</t>
  </si>
  <si>
    <t>(1) 429W fixture, any bulb shape, any application</t>
  </si>
  <si>
    <t>LED430-FIXT</t>
  </si>
  <si>
    <t>(1) 430W fixture, any bulb shape, any application</t>
  </si>
  <si>
    <t>LED431-FIXT</t>
  </si>
  <si>
    <t>(1) 431W fixture, any bulb shape, any application</t>
  </si>
  <si>
    <t>LED432-FIXT</t>
  </si>
  <si>
    <t>(1) 432W fixture, any bulb shape, any application</t>
  </si>
  <si>
    <t>LED433-FIXT</t>
  </si>
  <si>
    <t>(1) 433W fixture, any bulb shape, any application</t>
  </si>
  <si>
    <t>LED434-FIXT</t>
  </si>
  <si>
    <t>(1) 434W fixture, any bulb shape, any application</t>
  </si>
  <si>
    <t>LED435-FIXT</t>
  </si>
  <si>
    <t>(1) 435W fixture, any bulb shape, any application</t>
  </si>
  <si>
    <t>LED436-FIXT</t>
  </si>
  <si>
    <t>(1) 436W fixture, any bulb shape, any application</t>
  </si>
  <si>
    <t>LED437-FIXT</t>
  </si>
  <si>
    <t>(1) 437W fixture, any bulb shape, any application</t>
  </si>
  <si>
    <t>LED438-FIXT</t>
  </si>
  <si>
    <t>(1) 438W fixture, any bulb shape, any application</t>
  </si>
  <si>
    <t>LED439-FIXT</t>
  </si>
  <si>
    <t>(1) 439W fixture, any bulb shape, any application</t>
  </si>
  <si>
    <t>LED440-FIXT</t>
  </si>
  <si>
    <t>(1) 440W fixture, any bulb shape, any application</t>
  </si>
  <si>
    <t>LED441-FIXT</t>
  </si>
  <si>
    <t>(1) 441W fixture, any bulb shape, any application</t>
  </si>
  <si>
    <t>LED442-FIXT</t>
  </si>
  <si>
    <t>(1) 442W fixture, any bulb shape, any application</t>
  </si>
  <si>
    <t>LED443-FIXT</t>
  </si>
  <si>
    <t>(1) 443W fixture, any bulb shape, any application</t>
  </si>
  <si>
    <t>LED444-FIXT</t>
  </si>
  <si>
    <t>(1) 444W fixture, any bulb shape, any application</t>
  </si>
  <si>
    <t>LED445-FIXT</t>
  </si>
  <si>
    <t>(1) 445W fixture, any bulb shape, any application</t>
  </si>
  <si>
    <t>LED446-FIXT</t>
  </si>
  <si>
    <t>(1) 446W fixture, any bulb shape, any application</t>
  </si>
  <si>
    <t>LED447-FIXT</t>
  </si>
  <si>
    <t>(1) 447W fixture, any bulb shape, any application</t>
  </si>
  <si>
    <t>LED448-FIXT</t>
  </si>
  <si>
    <t>(1) 448W fixture, any bulb shape, any application</t>
  </si>
  <si>
    <t>LED449-FIXT</t>
  </si>
  <si>
    <t>(1) 449W fixture, any bulb shape, any application</t>
  </si>
  <si>
    <t>LED450-FIXT</t>
  </si>
  <si>
    <t>(1) 450W fixture, any bulb shape, any application</t>
  </si>
  <si>
    <t>LED451-FIXT</t>
  </si>
  <si>
    <t>(1) 451W fixture, any bulb shape, any application</t>
  </si>
  <si>
    <t>LED452-FIXT</t>
  </si>
  <si>
    <t>(1) 452W fixture, any bulb shape, any application</t>
  </si>
  <si>
    <t>LED453-FIXT</t>
  </si>
  <si>
    <t>(1) 453W fixture, any bulb shape, any application</t>
  </si>
  <si>
    <t>LED454-FIXT</t>
  </si>
  <si>
    <t>(1) 454W fixture, any bulb shape, any application</t>
  </si>
  <si>
    <t>LED455-FIXT</t>
  </si>
  <si>
    <t>(1) 455W fixture, any bulb shape, any application</t>
  </si>
  <si>
    <t>LED456-FIXT</t>
  </si>
  <si>
    <t>(1) 456W fixture, any bulb shape, any application</t>
  </si>
  <si>
    <t>LED457-FIXT</t>
  </si>
  <si>
    <t>(1) 457W fixture, any bulb shape, any application</t>
  </si>
  <si>
    <t>LED458-FIXT</t>
  </si>
  <si>
    <t>(1) 458W fixture, any bulb shape, any application</t>
  </si>
  <si>
    <t>LED459-FIXT</t>
  </si>
  <si>
    <t>(1) 459W fixture, any bulb shape, any application</t>
  </si>
  <si>
    <t>LED460-FIXT</t>
  </si>
  <si>
    <t>(1) 460W fixture, any bulb shape, any application</t>
  </si>
  <si>
    <t>LED461-FIXT</t>
  </si>
  <si>
    <t>(1) 461W fixture, any bulb shape, any application</t>
  </si>
  <si>
    <t>LED462-FIXT</t>
  </si>
  <si>
    <t>(1) 462W fixture, any bulb shape, any application</t>
  </si>
  <si>
    <t>LED463-FIXT</t>
  </si>
  <si>
    <t>(1) 463W fixture, any bulb shape, any application</t>
  </si>
  <si>
    <t>LED464-FIXT</t>
  </si>
  <si>
    <t>(1) 464W fixture, any bulb shape, any application</t>
  </si>
  <si>
    <t>LED465-FIXT</t>
  </si>
  <si>
    <t>(1) 465W fixture, any bulb shape, any application</t>
  </si>
  <si>
    <t>LED466-FIXT</t>
  </si>
  <si>
    <t>(1) 466W fixture, any bulb shape, any application</t>
  </si>
  <si>
    <t>LED467-FIXT</t>
  </si>
  <si>
    <t>(1) 467W fixture, any bulb shape, any application</t>
  </si>
  <si>
    <t>LED468-FIXT</t>
  </si>
  <si>
    <t>(1) 468W fixture, any bulb shape, any application</t>
  </si>
  <si>
    <t>LED469-FIXT</t>
  </si>
  <si>
    <t>(1) 469W fixture, any bulb shape, any application</t>
  </si>
  <si>
    <t>LED470-FIXT</t>
  </si>
  <si>
    <t>(1) 470W fixture, any bulb shape, any application</t>
  </si>
  <si>
    <t>LED471-FIXT</t>
  </si>
  <si>
    <t>(1) 471W fixture, any bulb shape, any application</t>
  </si>
  <si>
    <t>LED472-FIXT</t>
  </si>
  <si>
    <t>(1) 472W fixture, any bulb shape, any application</t>
  </si>
  <si>
    <t>LED473-FIXT</t>
  </si>
  <si>
    <t>(1) 473W fixture, any bulb shape, any application</t>
  </si>
  <si>
    <t>LED474-FIXT</t>
  </si>
  <si>
    <t>(1) 474W fixture, any bulb shape, any application</t>
  </si>
  <si>
    <t>LED475-FIXT</t>
  </si>
  <si>
    <t>(1) 475W fixture, any bulb shape, any application</t>
  </si>
  <si>
    <t>LED476-FIXT</t>
  </si>
  <si>
    <t>(1) 476W fixture, any bulb shape, any application</t>
  </si>
  <si>
    <t>LED477-FIXT</t>
  </si>
  <si>
    <t>(1) 477W fixture, any bulb shape, any application</t>
  </si>
  <si>
    <t>LED478-FIXT</t>
  </si>
  <si>
    <t>(1) 478W fixture, any bulb shape, any application</t>
  </si>
  <si>
    <t>LED479-FIXT</t>
  </si>
  <si>
    <t>(1) 479W fixture, any bulb shape, any application</t>
  </si>
  <si>
    <t>LED480-FIXT</t>
  </si>
  <si>
    <t>(1) 480W fixture, any bulb shape, any application</t>
  </si>
  <si>
    <t>LED481-FIXT</t>
  </si>
  <si>
    <t>(1) 481W fixture, any bulb shape, any application</t>
  </si>
  <si>
    <t>LED482-FIXT</t>
  </si>
  <si>
    <t>(1) 482W fixture, any bulb shape, any application</t>
  </si>
  <si>
    <t>LED483-FIXT</t>
  </si>
  <si>
    <t>(1) 483W fixture, any bulb shape, any application</t>
  </si>
  <si>
    <t>LED484-FIXT</t>
  </si>
  <si>
    <t>(1) 484W fixture, any bulb shape, any application</t>
  </si>
  <si>
    <t>LED485-FIXT</t>
  </si>
  <si>
    <t>(1) 485W fixture, any bulb shape, any application</t>
  </si>
  <si>
    <t>LED486-FIXT</t>
  </si>
  <si>
    <t>(1) 486W fixture, any bulb shape, any application</t>
  </si>
  <si>
    <t>LED487-FIXT</t>
  </si>
  <si>
    <t>(1) 487W fixture, any bulb shape, any application</t>
  </si>
  <si>
    <t>LED488-FIXT</t>
  </si>
  <si>
    <t>(1) 488W fixture, any bulb shape, any application</t>
  </si>
  <si>
    <t>LED489-FIXT</t>
  </si>
  <si>
    <t>(1) 489W fixture, any bulb shape, any application</t>
  </si>
  <si>
    <t>LED490-FIXT</t>
  </si>
  <si>
    <t>(1) 490W fixture, any bulb shape, any application</t>
  </si>
  <si>
    <t>LED491-FIXT</t>
  </si>
  <si>
    <t>(1) 491W fixture, any bulb shape, any application</t>
  </si>
  <si>
    <t>LED492-FIXT</t>
  </si>
  <si>
    <t>(1) 492W fixture, any bulb shape, any application</t>
  </si>
  <si>
    <t>LED493-FIXT</t>
  </si>
  <si>
    <t>(1) 493W fixture, any bulb shape, any application</t>
  </si>
  <si>
    <t>LED494-FIXT</t>
  </si>
  <si>
    <t>(1) 494W fixture, any bulb shape, any application</t>
  </si>
  <si>
    <t>LED495-FIXT</t>
  </si>
  <si>
    <t>(1) 495W fixture, any bulb shape, any application</t>
  </si>
  <si>
    <t>LED496-FIXT</t>
  </si>
  <si>
    <t>(1) 496W fixture, any bulb shape, any application</t>
  </si>
  <si>
    <t>LED497-FIXT</t>
  </si>
  <si>
    <t>(1) 497W fixture, any bulb shape, any application</t>
  </si>
  <si>
    <t>LED498-FIXT</t>
  </si>
  <si>
    <t>(1) 498W fixture, any bulb shape, any application</t>
  </si>
  <si>
    <t>LED499-FIXT</t>
  </si>
  <si>
    <t>(1) 499W fixture, any bulb shape, any application</t>
  </si>
  <si>
    <t>LED500-FIXT</t>
  </si>
  <si>
    <t>(1) 500W fixture, any bulb shape, any application</t>
  </si>
  <si>
    <t>LED505-FIXT</t>
  </si>
  <si>
    <t>(1) 505W fixture, any bulb shape, any application</t>
  </si>
  <si>
    <t>LED510-FIXT</t>
  </si>
  <si>
    <t>(1) 510W fixture, any bulb shape, any application</t>
  </si>
  <si>
    <t>LED515-FIXT</t>
  </si>
  <si>
    <t>(1) 515W fixture, any bulb shape, any application</t>
  </si>
  <si>
    <t>LED520-FIXT</t>
  </si>
  <si>
    <t>(1) 520W fixture, any bulb shape, any application</t>
  </si>
  <si>
    <t>LED525-FIXT</t>
  </si>
  <si>
    <t>(1) 525W fixture, any bulb shape, any application</t>
  </si>
  <si>
    <t>LED530-FIXT</t>
  </si>
  <si>
    <t>(1) 530W fixture, any bulb shape, any application</t>
  </si>
  <si>
    <t>LED535-FIXT</t>
  </si>
  <si>
    <t>(1) 535W fixture, any bulb shape, any application</t>
  </si>
  <si>
    <t>LED540-FIXT</t>
  </si>
  <si>
    <t>(1) 540W fixture, any bulb shape, any application</t>
  </si>
  <si>
    <t>LED545-FIXT</t>
  </si>
  <si>
    <t>(1) 545W fixture, any bulb shape, any application</t>
  </si>
  <si>
    <t>LED550-FIXT</t>
  </si>
  <si>
    <t>(1) 550W fixture, any bulb shape, any application</t>
  </si>
  <si>
    <t>CF2/1-SCRW</t>
  </si>
  <si>
    <t>Integrated-ballast CFL Lamps</t>
  </si>
  <si>
    <t>(1) 2W screw-in lamp/base w/ permanent disk installed, any bulb shape</t>
  </si>
  <si>
    <t>Mag. or Elec.</t>
  </si>
  <si>
    <t>CF3/1-SCRW</t>
  </si>
  <si>
    <t>(1) 3W screw-in lamp/base w/ permanent disk installed, any bulb shape</t>
  </si>
  <si>
    <t>CF4/1-SCRW</t>
  </si>
  <si>
    <t>(1) 4W screw-in lamp/base w/ permanent disk installed, any bulb shape</t>
  </si>
  <si>
    <t>CF5/1-SCRW</t>
  </si>
  <si>
    <t>(1) 5W screw-in lamp/base w/ permanent disk installed, any bulb shape</t>
  </si>
  <si>
    <t>CF6/1-SCRW</t>
  </si>
  <si>
    <t>(1) 6W screw-in lamp/base w/ permanent disk installed, any bulb shape</t>
  </si>
  <si>
    <t>CF7/1-SCRW</t>
  </si>
  <si>
    <t>(1) 7W screw-in lamp/base w/ permanent disk installed, any bulb shape</t>
  </si>
  <si>
    <t>CF8/1-SCRW</t>
  </si>
  <si>
    <t>(1) 8W screw-in lamp/base w/ permanent disk installed, any bulb shape</t>
  </si>
  <si>
    <t>CF9/1-SCRW</t>
  </si>
  <si>
    <t>(1) 9W screw-in lamp/base w/ permanent disk installed, any bulb shape</t>
  </si>
  <si>
    <t>CF10/1-SCRW</t>
  </si>
  <si>
    <t>(1) 10W screw-in lamp/base w/ permanent disk installed, any bulb shape</t>
  </si>
  <si>
    <t>CF11/1-SCRW</t>
  </si>
  <si>
    <t>(1) 11W screw-in lamp/base w/ permanent disk installed, any bulb shape</t>
  </si>
  <si>
    <t>CF12/1-SCRW</t>
  </si>
  <si>
    <t>(1) 12W screw-in lamp/base w/ permanent disk installed, any bulb shape</t>
  </si>
  <si>
    <t>CF13/1-SCRW</t>
  </si>
  <si>
    <t>(1) 13W screw-in lamp/base w/ permanent disk installed, any bulb shape</t>
  </si>
  <si>
    <t>CF14/1-SCRW</t>
  </si>
  <si>
    <t>(1) 14W screw-in lamp/base w/ permanent disk installed, any bulb shape</t>
  </si>
  <si>
    <t>CF15/1-SCRW</t>
  </si>
  <si>
    <t>(1) 15W screw-in lamp/base w/ permanent disk installed, any bulb shape</t>
  </si>
  <si>
    <t>CF16/1-SCRW</t>
  </si>
  <si>
    <t>(1) 16W screw-in lamp/base w/ permanent disk installed, any bulb shape</t>
  </si>
  <si>
    <t>CF17/1-SCRW</t>
  </si>
  <si>
    <t>(1) 17W screw-in lamp/base w/ permanent disk installed, any bulb shape</t>
  </si>
  <si>
    <t>CF18/1-SCRW</t>
  </si>
  <si>
    <t>(1) 18W screw-in lamp/base w/ permanent disk installed, any bulb shape</t>
  </si>
  <si>
    <t>CF19/1-SCRW</t>
  </si>
  <si>
    <t>(1) 19W screw-in lamp/base w/ permanent disk installed, any bulb shape</t>
  </si>
  <si>
    <t>CF20/1-SCRW</t>
  </si>
  <si>
    <t>(1) 20W screw-in lamp/base w/ permanent disk installed, any bulb shape</t>
  </si>
  <si>
    <t>CF21/1-SCRW</t>
  </si>
  <si>
    <t>(1) 21W screw-in lamp/base w/ permanent disk installed, any bulb shape</t>
  </si>
  <si>
    <t>CF22/1-SCRW</t>
  </si>
  <si>
    <t>(1) 22W screw-in lamp/base w/ permanent disk installed, any bulb shape</t>
  </si>
  <si>
    <t>CF23/1-SCRW</t>
  </si>
  <si>
    <t>(1) 23W screw-in lamp/base w/ permanent disk installed, any bulb shape</t>
  </si>
  <si>
    <t>CF24/1-SCRW</t>
  </si>
  <si>
    <t>(1) 24W screw-in lamp/base w/ permanent disk installed, any bulb shape</t>
  </si>
  <si>
    <t>CF25/1-SCRW</t>
  </si>
  <si>
    <t>(1) 25W screw-in lamp/base w/ permanent disk installed, any bulb shape</t>
  </si>
  <si>
    <t>CF26/1-SCRW</t>
  </si>
  <si>
    <t>(1) 26W screw-in lamp/base w/ permanent disk installed, any bulb shape</t>
  </si>
  <si>
    <t>CF27/1-SCRW</t>
  </si>
  <si>
    <t>(1) 27W screw-in lamp/base w/ permanent disk installed, any bulb shape</t>
  </si>
  <si>
    <t>CF28/1-SCRW</t>
  </si>
  <si>
    <t>(1) 28W screw-in lamp/base w/ permanent disk installed, any bulb shape</t>
  </si>
  <si>
    <t>CF29/1-SCRW</t>
  </si>
  <si>
    <t>(1) 29W screw-in lamp/base w/ permanent disk installed, any bulb shape</t>
  </si>
  <si>
    <t>CF30/1-SCRW</t>
  </si>
  <si>
    <t>(1) 30W screw-in lamp/base w/ permanent disk installed, any bulb shape</t>
  </si>
  <si>
    <t>CF31/1-SCRW</t>
  </si>
  <si>
    <t>(1) 31W screw-in lamp/base w/ permanent disk installed, any bulb shape</t>
  </si>
  <si>
    <t>CF32/1-SCRW</t>
  </si>
  <si>
    <t>(1) 32W screw-in lamp/base w/ permanent disk installed, any bulb shape</t>
  </si>
  <si>
    <t>CF33/1-SCRW</t>
  </si>
  <si>
    <t>(1) 33W screw-in lamp/base w/ permanent disk installed, any bulb shape</t>
  </si>
  <si>
    <t>CF34/1-SCRW</t>
  </si>
  <si>
    <t>(1) 34W screw-in lamp/base w/ permanent disk installed, any bulb shape</t>
  </si>
  <si>
    <t>CF35/1-SCRW</t>
  </si>
  <si>
    <t>(1) 35W screw-in lamp/base w/ permanent disk installed, any bulb shape</t>
  </si>
  <si>
    <t>CF36/1-SCRW</t>
  </si>
  <si>
    <t>(1) 36W screw-in lamp/base w/ permanent disk installed, any bulb shape</t>
  </si>
  <si>
    <t>CF37/1-SCRW</t>
  </si>
  <si>
    <t>(1) 37W screw-in lamp/base w/ permanent disk installed, any bulb shape</t>
  </si>
  <si>
    <t>CF38/1-SCRW</t>
  </si>
  <si>
    <t>(1) 38W screw-in lamp/base w/ permanent disk installed, any bulb shape</t>
  </si>
  <si>
    <t>CF39/1-SCRW</t>
  </si>
  <si>
    <t>(1) 39W screw-in lamp/base w/ permanent disk installed, any bulb shape</t>
  </si>
  <si>
    <t>CF40/1-SCRW</t>
  </si>
  <si>
    <t>(1) 40W screw-in lamp/base w/ permanent disk installed, any bulb shape</t>
  </si>
  <si>
    <t>CF41/1-SCRW</t>
  </si>
  <si>
    <t>(1) 41W screw-in lamp/base w/ permanent disk installed, any bulb shape</t>
  </si>
  <si>
    <t>CF42/1-SCRW</t>
  </si>
  <si>
    <t>(1) 42W screw-in lamp/base w/ permanent disk installed, any bulb shape</t>
  </si>
  <si>
    <t>CF43/1-SCRW</t>
  </si>
  <si>
    <t>(1) 43W screw-in lamp/base w/ permanent disk installed, any bulb shape</t>
  </si>
  <si>
    <t>CF44/1-SCRW</t>
  </si>
  <si>
    <t>(1) 44W screw-in lamp/base w/permanent disk installed, any bulb shape</t>
  </si>
  <si>
    <t>CF45/1-SCRW</t>
  </si>
  <si>
    <t>(1) 45W screw-in lamp/base w/permanent disk installed, any bulb shape</t>
  </si>
  <si>
    <t>CF46/1-SCRW</t>
  </si>
  <si>
    <t>(1) 46W screw-in lamp/base w/permanent disk installed, any bulb shape</t>
  </si>
  <si>
    <t>CF47/1-SCRW</t>
  </si>
  <si>
    <t>(1) 47W screw-in lamp/base w/permanent disk installed, any bulb shape</t>
  </si>
  <si>
    <t>CF48/1-SCRW</t>
  </si>
  <si>
    <t>(1) 48W screw-in lamp/base w/permanent disk installed, any bulb shape</t>
  </si>
  <si>
    <t>CF49/1-SCRW</t>
  </si>
  <si>
    <t>(1) 49W screw-in lamp/base w/permanent disk installed, any bulb shape</t>
  </si>
  <si>
    <t>CF50/1-SCRW</t>
  </si>
  <si>
    <t>(1) 50W screw-in lamp/base w/permanent disk installed, any bulb shape</t>
  </si>
  <si>
    <t>CF51/1-SCRW</t>
  </si>
  <si>
    <t>(1) 51W screw-in lamp/base w/permanent disk installed, any bulb shape</t>
  </si>
  <si>
    <t>CF52/1-SCRW</t>
  </si>
  <si>
    <t>(1) 52W screw-in lamp/base w/permanent disk installed, any bulb shape</t>
  </si>
  <si>
    <t>CF53/1-SCRW</t>
  </si>
  <si>
    <t>(1) 53W screw-in lamp/base w/permanent disk installed, any bulb shape</t>
  </si>
  <si>
    <t>CF54/1-SCRW</t>
  </si>
  <si>
    <t>(1) 54W screw-in lamp/base w/permanent disk installed, any bulb shape</t>
  </si>
  <si>
    <t>CF55/1-SCRW</t>
  </si>
  <si>
    <t>(1) 55W screw-in lamp/base w/permanent disk installed, any bulb shape</t>
  </si>
  <si>
    <t>CF56/1-SCRW</t>
  </si>
  <si>
    <t>(1) 56W screw-in lamp/base w/permanent disk installed, any bulb shape</t>
  </si>
  <si>
    <t>CF57/1-SCRW</t>
  </si>
  <si>
    <t>(1) 57W screw-in lamp/base w/permanent disk installed, any bulb shape</t>
  </si>
  <si>
    <t>CF58/1-SCRW</t>
  </si>
  <si>
    <t>(1) 58W screw-in lamp/base w/permanent disk installed, any bulb shape</t>
  </si>
  <si>
    <t>CF59/1-SCRW</t>
  </si>
  <si>
    <t>(1) 59W screw-in lamp/base w/permanent disk installed, any bulb shape</t>
  </si>
  <si>
    <t>CF60/1-SCRW</t>
  </si>
  <si>
    <t>(1) 60W screw-in lamp/base w/permanent disk installed, any bulb shape</t>
  </si>
  <si>
    <t>CF61/1-SCRW</t>
  </si>
  <si>
    <t>(1) 61W screw-in lamp/base w/permanent disk installed, any bulb shape</t>
  </si>
  <si>
    <t>CF62/1-SCRW</t>
  </si>
  <si>
    <t>(1) 62W screw-in lamp/base w/permanent disk installed, any bulb shape</t>
  </si>
  <si>
    <t>CF63/1-SCRW</t>
  </si>
  <si>
    <t>(1) 63W screw-in lamp/base w/permanent disk installed, any bulb shape</t>
  </si>
  <si>
    <t>CF64/1-SCRW</t>
  </si>
  <si>
    <t>(1) 64W screw-in lamp/base w/permanent disk installed, any bulb shape</t>
  </si>
  <si>
    <t>CF65/1-SCRW</t>
  </si>
  <si>
    <t>(1) 65W screw-in lamp/base w/permanent disk installed, any bulb shape</t>
  </si>
  <si>
    <t>CF66/1-SCRW</t>
  </si>
  <si>
    <t>(1) 66W screw-in lamp/base w/permanent disk installed, any bulb shape</t>
  </si>
  <si>
    <t>CF67/1-SCRW</t>
  </si>
  <si>
    <t>(1) 67W screw-in lamp/base w/permanent disk installed, any bulb shape</t>
  </si>
  <si>
    <t>CF68/1-SCRW</t>
  </si>
  <si>
    <t>(1) 68W screw-in lamp/base w/permanent disk installed, any bulb shape</t>
  </si>
  <si>
    <t>CF69/1-SCRW</t>
  </si>
  <si>
    <t>(1) 69W screw-in lamp/base w/permanent disk installed, any bulb shape</t>
  </si>
  <si>
    <t>CF70/1-SCRW</t>
  </si>
  <si>
    <t>(1) 70W screw-in lamp/base w/permanent disk installed, any bulb shape</t>
  </si>
  <si>
    <t>CF71/1-SCRW</t>
  </si>
  <si>
    <t>(1) 71W screw-in lamp/base w/permanent disk installed, any bulb shape</t>
  </si>
  <si>
    <t>CF72/1-SCRW</t>
  </si>
  <si>
    <t>(1) 72W screw-in lamp/base w/permanent disk installed, any bulb shape</t>
  </si>
  <si>
    <t>CF73/1-SCRW</t>
  </si>
  <si>
    <t>(1) 73W screw-in lamp/base w/permanent disk installed, any bulb shape</t>
  </si>
  <si>
    <t>CF74/1-SCRW</t>
  </si>
  <si>
    <t>(1) 74W screw-in lamp/base w/permanent disk installed, any bulb shape</t>
  </si>
  <si>
    <t>CF75/1-SCRW</t>
  </si>
  <si>
    <t>(1) 75W screw-in lamp/base w/permanent disk installed, any bulb shape</t>
  </si>
  <si>
    <t>CF80/1-SCRW</t>
  </si>
  <si>
    <t>(1) 80W screw-in lamp/base w/permanent disk installed, any bulb shape</t>
  </si>
  <si>
    <t>CF85/1-SCRW</t>
  </si>
  <si>
    <t>(1) 85W screw-in lamp/base w/permanent disk installed, any bulb shape</t>
  </si>
  <si>
    <t>CF100/1-SCRW</t>
  </si>
  <si>
    <t>(1) 100W screw-in lamp/base w/ permanent disk installed, any bulb shape</t>
  </si>
  <si>
    <t>CF125/1-SCRW</t>
  </si>
  <si>
    <t>(1) 125W screw-in lamp/base w/ permanent disk installed, any bulb shape</t>
  </si>
  <si>
    <t>CF150/1-SCRW</t>
  </si>
  <si>
    <t>(1) 150W screw-in lamp/base w/ permanent disk installed, any bulb shape</t>
  </si>
  <si>
    <t>CF200/1-SCRW</t>
  </si>
  <si>
    <t>(1) 200W screw-in lamp/base w/ permanent disk installed, any bulb shape</t>
  </si>
  <si>
    <t>CFC2/1-SCRW</t>
  </si>
  <si>
    <t>Integrated-ballast CCFL Lamps</t>
  </si>
  <si>
    <t>Compact Fluorescent, Cold Cathode, (1) 2W screw-in lamp/base w/ permanent locking device, any bulb shape</t>
  </si>
  <si>
    <t>CFC2/2-SCRW</t>
  </si>
  <si>
    <t>Compact Fluorescent, Cold Cathode, (2) 2W screw-in lamp/base w/ permanent locking device, any bulb shape</t>
  </si>
  <si>
    <t>CFC3/1-SCRW</t>
  </si>
  <si>
    <t>Compact Fluorescent, Cold Cathode, (1) 3W screw-in lamp/base w/ permanent locking device, any bulb shape</t>
  </si>
  <si>
    <t>CFC3/2-SCRW</t>
  </si>
  <si>
    <t>Compact Fluorescent, Cold Cathode, (2) 3W screw-in lamp/base w/ permanent locking device, any bulb shape</t>
  </si>
  <si>
    <t>CFC4/1-SCRW</t>
  </si>
  <si>
    <t>Compact Fluorescent, Cold Cathode, (1) 4W screw-in lamp/base w/ permanent locking device, any bulb shape</t>
  </si>
  <si>
    <t>CFC4/2-SCRW</t>
  </si>
  <si>
    <t>Compact Fluorescent, Cold Cathode, (2) 4W screw-in lamp/base w/ permanent locking device, any bulb shape</t>
  </si>
  <si>
    <t>CFC5/1-SCRW</t>
  </si>
  <si>
    <t>Compact Fluorescent, Cold Cathode, (1) 5W screw-in lamp/base w/ permanent locking device, any bulb shape</t>
  </si>
  <si>
    <t>CFC5/2-SCRW</t>
  </si>
  <si>
    <t>Compact Fluorescent, Cold Cathode, (2) 5W screw-in lamp/base w/ permanent locking device, any bulb shape</t>
  </si>
  <si>
    <t>CFC8/1-SCRW</t>
  </si>
  <si>
    <t>Compact Fluorescent, Cold Cathode, (1) 8W screw-in lamp/base w/ permanent locking device, any bulb shape</t>
  </si>
  <si>
    <t>CFC8/2-SCRW</t>
  </si>
  <si>
    <t>Compact Fluorescent, Cold Cathode, (2) 8W screw-in lamp/base w/ permanent locking device, any bulb shape</t>
  </si>
  <si>
    <t>CFC13/1-SCRW</t>
  </si>
  <si>
    <t>Compact Fluorescent, Cold Cathode, (1) 13W screw-in lamp/base w/ permanent locking device,</t>
  </si>
  <si>
    <t>CFC18/1-SCRW</t>
  </si>
  <si>
    <t>Compact Fluorescent, Cold Cathode, (1) 18W screw-in lamp/base w/ permanent locking device, any bulb shape</t>
  </si>
  <si>
    <t>CFD10/1</t>
  </si>
  <si>
    <t>Modular CFL and CCFL Fixtures</t>
  </si>
  <si>
    <t>Compact Fluorescent, 2D, (1) 10W lamp</t>
  </si>
  <si>
    <t>Mag-STD</t>
  </si>
  <si>
    <t>CFD10/1-L</t>
  </si>
  <si>
    <t>CFD16/1</t>
  </si>
  <si>
    <t>Compact Fluorescent, 2D, (1) 16W lamp</t>
  </si>
  <si>
    <t>CFD16/1-L</t>
  </si>
  <si>
    <t>CFD21/1</t>
  </si>
  <si>
    <t>Compact Fluorescent, 2D, (1) 21W lamp</t>
  </si>
  <si>
    <t>CFD21/1-L</t>
  </si>
  <si>
    <t>CFD28/1</t>
  </si>
  <si>
    <t>Compact Fluorescent, 2D, (1) 28W lamp</t>
  </si>
  <si>
    <t>CFD28/1-L</t>
  </si>
  <si>
    <t>CFD38/1</t>
  </si>
  <si>
    <t>Compact Fluorescent, 2D, (1) 38W lamp</t>
  </si>
  <si>
    <t>CFD38/1-L</t>
  </si>
  <si>
    <t>CFG13/1-L</t>
  </si>
  <si>
    <t>Compact Fluorescent, Multi, GU24 with Integrated Ballast, (1) 13W lamp</t>
  </si>
  <si>
    <t>CFG18/1-L</t>
  </si>
  <si>
    <t>Compact Fluorescent, Multi, GU24 with Integrated Ballast, (1) 18W lamp</t>
  </si>
  <si>
    <t>CFG23/1-L</t>
  </si>
  <si>
    <t>Compact Fluorescent, Multi, GU24 with Integrated Ballast, (1) 23W lamp</t>
  </si>
  <si>
    <t>CFG26/1-L</t>
  </si>
  <si>
    <t>Compact Fluorescent, Multi, GU24 with Integrated Ballast, (1) 26W lamp</t>
  </si>
  <si>
    <t>CFG32/1-L</t>
  </si>
  <si>
    <t>Compact Fluorescent, Multi, GU24 with Integrated Ballast, (1) 32W lamp</t>
  </si>
  <si>
    <t>CFG42/1-L</t>
  </si>
  <si>
    <t>Compact Fluorescent, Multi, GU24 with Integrated Ballast, (1) 42W lamp</t>
  </si>
  <si>
    <t>CFM13/1-L</t>
  </si>
  <si>
    <t>Compact Fluorescent, Multi, 4-pin, (1) 13W lamp</t>
  </si>
  <si>
    <t>CFM13/2-L</t>
  </si>
  <si>
    <t>Compact Fluorescent, Multi, 4-pin, (2) 13W lamps</t>
  </si>
  <si>
    <t>CFM15/1-L</t>
  </si>
  <si>
    <t>Compact Fluorescent, Multi, 4-pin, (1) 15W lamp</t>
  </si>
  <si>
    <t>CFM18/1-L</t>
  </si>
  <si>
    <t>Compact Fluorescent, Multi, 4-pin, (1) 18W lamp</t>
  </si>
  <si>
    <t>CFM18/2-L</t>
  </si>
  <si>
    <t>Compact Fluorescent, Multi, 4-pin, (2) 18W lamps</t>
  </si>
  <si>
    <t>CFM21/1-L</t>
  </si>
  <si>
    <t>Compact Fluorescent, Multi, 4-pin, (1) 21W lamp</t>
  </si>
  <si>
    <t>CFM26/1-L</t>
  </si>
  <si>
    <t>Compact Fluorescent, Multi, 4-pin, (1) 26W lamp</t>
  </si>
  <si>
    <t>CFM26/2-L</t>
  </si>
  <si>
    <t>Compact Fluorescent, Multi, 4-pin, (2) 26W lamps</t>
  </si>
  <si>
    <t>CFM28/1-L</t>
  </si>
  <si>
    <t>Compact Fluorescent, Multi, 4-pin, (1) 28W lamp</t>
  </si>
  <si>
    <t>CFM32/1-L</t>
  </si>
  <si>
    <t>Compact Fluorescent, Multi, 4-pin, (1) 32W lamp</t>
  </si>
  <si>
    <t>CFM42/1-L</t>
  </si>
  <si>
    <t>Compact Fluorescent, Multi, 4-pin, (1) 42W lamp</t>
  </si>
  <si>
    <t>CFM42/2-L</t>
  </si>
  <si>
    <t>Compact Fluorescent, Multi, 4-pin, (2) 42W lamps</t>
  </si>
  <si>
    <t>CFM42/8-L</t>
  </si>
  <si>
    <t>Compact Fluorescent, Multi, 4-pin, (8) 42W lamps, (4) 2-lamp ballasts</t>
  </si>
  <si>
    <t>CFM57/1-L</t>
  </si>
  <si>
    <t>Compact Fluorescent, Multi, 4-pin, (1) 57W lamp</t>
  </si>
  <si>
    <t>CFM60/1-L</t>
  </si>
  <si>
    <t>Compact Fluorescent, Multi, 4-pin, (1) 60W lamp</t>
  </si>
  <si>
    <t>CFM70/1-L</t>
  </si>
  <si>
    <t>Compact Fluorescent, Multi, 4-pin, (1) 70W lamp</t>
  </si>
  <si>
    <t>CFM85/1-L</t>
  </si>
  <si>
    <t>Compact Fluorescent, Multi, 4-pin, (1) 85W lamp</t>
  </si>
  <si>
    <t>CFM120/1-L</t>
  </si>
  <si>
    <t>Compact Fluorescent, Multi, 4-pin, (1) 120W lamp</t>
  </si>
  <si>
    <t>CFQ9/1</t>
  </si>
  <si>
    <t>Compact Fluorescent, Quad, (1) 9W lamp</t>
  </si>
  <si>
    <t>CFQ9/2</t>
  </si>
  <si>
    <t>Compact Fluorescent, Quad, (2) 9W lamps</t>
  </si>
  <si>
    <t>CFQ10/1</t>
  </si>
  <si>
    <t>Compact Fluorescent, quad, (1) 10W lamp</t>
  </si>
  <si>
    <t>CFQ13/1</t>
  </si>
  <si>
    <t>Compact Fluorescent, quad, (1) 13W lamp</t>
  </si>
  <si>
    <t>CFQ13/1-L</t>
  </si>
  <si>
    <t>Compact Fluorescent, quad, (1) 13W lamp, BF=1.05</t>
  </si>
  <si>
    <t>CFQ13/2</t>
  </si>
  <si>
    <t>Compact Fluorescent, quad, (2) 13W lamps</t>
  </si>
  <si>
    <t>CFQ13/2-L</t>
  </si>
  <si>
    <t>Compact Fluorescent, quad, (2) 13W lamps, BF=1.0</t>
  </si>
  <si>
    <t>CFQ13/3</t>
  </si>
  <si>
    <t>Compact Fluorescent, quad, (3) 13W lamps</t>
  </si>
  <si>
    <t>CFQ15/1</t>
  </si>
  <si>
    <t>Compact Fluorescent, quad, (1) 15W lamp</t>
  </si>
  <si>
    <t>CFQ17/1</t>
  </si>
  <si>
    <t>Compact Fluorescent, quad, (1) 17W lamp</t>
  </si>
  <si>
    <t>CFQ17/2</t>
  </si>
  <si>
    <t>Compact Fluorescent, quad, (2) 17W lamps</t>
  </si>
  <si>
    <t>CFQ18/1</t>
  </si>
  <si>
    <t>Compact Fluorescent, quad, (1) 18W lamp</t>
  </si>
  <si>
    <t>CFQ18/1-L</t>
  </si>
  <si>
    <t>Compact Fluorescent, quad, (1) 18W lamp, BF=1.0</t>
  </si>
  <si>
    <t>CFQ18/2</t>
  </si>
  <si>
    <t>Compact Fluorescent, quad, (2) 18W lamps</t>
  </si>
  <si>
    <t>CFQ18/2-L</t>
  </si>
  <si>
    <t>Compact Fluorescent, quad, (2) 18W lamp, BF=1.0</t>
  </si>
  <si>
    <t>CFQ18/4</t>
  </si>
  <si>
    <t>Compact Fluorescent, quad, (4) 18W lamps</t>
  </si>
  <si>
    <t>CFQ20/1</t>
  </si>
  <si>
    <t>Compact Fluorescent, quad, (1) 20W lamp</t>
  </si>
  <si>
    <t>CFQ20/2</t>
  </si>
  <si>
    <t>Compact Fluorescent, quad, (2) 20W lamps</t>
  </si>
  <si>
    <t>CFQ22/1</t>
  </si>
  <si>
    <t>Compact Fluorescent, Quad, (1) 22W lamp</t>
  </si>
  <si>
    <t>CFQ22/2</t>
  </si>
  <si>
    <t>Compact Fluorescent, Quad, (2) 22W lamps</t>
  </si>
  <si>
    <t>CFQ22/3</t>
  </si>
  <si>
    <t>Compact Fluorescent, Quad, (3) 22W lamps</t>
  </si>
  <si>
    <t>CFQ23/1</t>
  </si>
  <si>
    <t>Compact Fluorescent, Quad, (1) 23W lamp</t>
  </si>
  <si>
    <t>CFQ25/1</t>
  </si>
  <si>
    <t>Compact Fluorescent, Quad, (1) 25W lamp</t>
  </si>
  <si>
    <t>CFQ25/2</t>
  </si>
  <si>
    <t>Compact Fluorescent, Quad, (2) 25W lamps</t>
  </si>
  <si>
    <t>CFQ26/1</t>
  </si>
  <si>
    <t>Compact Fluorescent, quad, (1) 26W lamp</t>
  </si>
  <si>
    <t>CFQ26/1-L</t>
  </si>
  <si>
    <t>Compact Fluorescent, quad, (1) 26W lamp, BF=0.95</t>
  </si>
  <si>
    <t>CFQ26/2</t>
  </si>
  <si>
    <t>Compact Fluorescent, quad, (2) 26W lamps</t>
  </si>
  <si>
    <t>CFQ26/2-L</t>
  </si>
  <si>
    <t>Compact Fluorescent, quad, (2) 26W lamps, BF=0.95</t>
  </si>
  <si>
    <t>CFQ26/3</t>
  </si>
  <si>
    <t>Compact Fluorescent, quad, (3) 26W lamps</t>
  </si>
  <si>
    <t>CFQ26/6-L</t>
  </si>
  <si>
    <t>Compact Fluorescent, quad, (6) 26W lamps, BF=0.95</t>
  </si>
  <si>
    <t>CFQ28/1</t>
  </si>
  <si>
    <t>Compact Fluorescent, quad, (1) 28W lamp</t>
  </si>
  <si>
    <t>CFQ28/1-L</t>
  </si>
  <si>
    <t>CFQ28/2-L</t>
  </si>
  <si>
    <t>Compact Fluorescent, quad, (2) 28W lamps</t>
  </si>
  <si>
    <t>CFT5/1</t>
  </si>
  <si>
    <t>Compact Fluorescent, twin, (1) 5W lamp</t>
  </si>
  <si>
    <t>CFT5/2</t>
  </si>
  <si>
    <t>Compact Fluorescent, long twin, (2) 5W lamps</t>
  </si>
  <si>
    <t>CFT7/1</t>
  </si>
  <si>
    <t>Compact Fluorescent, twin, (1) 7W lamp</t>
  </si>
  <si>
    <t>CFT7/2</t>
  </si>
  <si>
    <t>Compact Fluorescent, twin, (2) 7W lamps</t>
  </si>
  <si>
    <t>CFT9/1</t>
  </si>
  <si>
    <t>Compact Fluorescent, twin, (1) 9W lamp</t>
  </si>
  <si>
    <t>CFT9/2</t>
  </si>
  <si>
    <t>Compact Fluorescent, twin, (2) 9W lamps</t>
  </si>
  <si>
    <t>CFT9/3</t>
  </si>
  <si>
    <t>Compact Fluorescent, twin, (3) 9 W lamps</t>
  </si>
  <si>
    <t>CFT13/1</t>
  </si>
  <si>
    <t>Compact Fluorescent, twin, (1) 13W lamp</t>
  </si>
  <si>
    <t>CFT13/1-L</t>
  </si>
  <si>
    <t>CFT13/2</t>
  </si>
  <si>
    <t>Compact Fluorescent, twin, (2) 13W lamps</t>
  </si>
  <si>
    <t>CFT13/2-L</t>
  </si>
  <si>
    <t>CFT13/3</t>
  </si>
  <si>
    <t>Compact Fluorescent, twin, (3) 13 W lamps</t>
  </si>
  <si>
    <t>CFT18/1</t>
  </si>
  <si>
    <t>Compact Fluorescent, Long twin., (1) 18W lamp</t>
  </si>
  <si>
    <t>CFT18/1-L</t>
  </si>
  <si>
    <t>Compact Fluorescent, twin, (1) 18W lamp</t>
  </si>
  <si>
    <t>CFT18/2</t>
  </si>
  <si>
    <t>Compact Fluorescent, twin, (2) 18 W lamps</t>
  </si>
  <si>
    <t>CFT22/1</t>
  </si>
  <si>
    <t>Compact Fluorescent, twin, (1) 22W lamp</t>
  </si>
  <si>
    <t>CFT22/2</t>
  </si>
  <si>
    <t>Compact Fluorescent, twin, (2) 22W lamps</t>
  </si>
  <si>
    <t>CFT22/4</t>
  </si>
  <si>
    <t>Compact Fluorescent, twin, (4) 22W lamps</t>
  </si>
  <si>
    <t>CFT24/1</t>
  </si>
  <si>
    <t>Compact Fluorescent, long twin, (1) 24W lamp</t>
  </si>
  <si>
    <t>CFT26/1</t>
  </si>
  <si>
    <t>Compact Fluorescent, twin, (1) 26W lamp</t>
  </si>
  <si>
    <t>CFT26/1-L</t>
  </si>
  <si>
    <t>CFT26/2-L</t>
  </si>
  <si>
    <t>Compact Fluorescent, twin, (2) 26W lamps</t>
  </si>
  <si>
    <t>CFT28/1</t>
  </si>
  <si>
    <t>Compact Fluorescent, twin, (1) 28W lamp</t>
  </si>
  <si>
    <t>CFT28/2</t>
  </si>
  <si>
    <t>Compact Fluorescent, twin, (2) 28W lamps</t>
  </si>
  <si>
    <t>CFT32/1-L</t>
  </si>
  <si>
    <t>Compact Fluorescent, twin, (1) 32W lamp</t>
  </si>
  <si>
    <t>CFT32/2-L</t>
  </si>
  <si>
    <t>Compact Fluorescent, twin, (2) 32W lamps</t>
  </si>
  <si>
    <t>CFT32/6-L</t>
  </si>
  <si>
    <t>Compact Fluorescent, twin, (6) 32W lamps</t>
  </si>
  <si>
    <t>CFT36/1</t>
  </si>
  <si>
    <t>Compact Fluorescent, long twin, (1) 36W lamp</t>
  </si>
  <si>
    <t>CFT40/1</t>
  </si>
  <si>
    <t>Compact Fluorescent, long twin, (1) 40W lamp</t>
  </si>
  <si>
    <t>CFT40/1-L</t>
  </si>
  <si>
    <t>CFT40/2</t>
  </si>
  <si>
    <t>Compact Fluorescent, long twin, (2) 40W lamps</t>
  </si>
  <si>
    <t>CFT40/2-L</t>
  </si>
  <si>
    <t>CFT40/3</t>
  </si>
  <si>
    <t>Compact Fluorescent, long twin, (3) 40 W lamps</t>
  </si>
  <si>
    <t>CFT40/3-L</t>
  </si>
  <si>
    <t>Compact Fluorescent, long twin, (3) 40W lamps</t>
  </si>
  <si>
    <t>CFT40/5-L</t>
  </si>
  <si>
    <t>Compact Fluorescent, long twin, (5) 40W lamps</t>
  </si>
  <si>
    <t>CFT50/1-L</t>
  </si>
  <si>
    <t>Compact Fluorescent, long twin, (1) 50W lamp</t>
  </si>
  <si>
    <t>CFT50/2-L</t>
  </si>
  <si>
    <t>Compact Fluorescent, long twin, (2) 50W lamps</t>
  </si>
  <si>
    <t>CFT55/1-L</t>
  </si>
  <si>
    <t>Compact Fluorescent, long twin, (1) 55W lamp</t>
  </si>
  <si>
    <t>CFT55/2-L</t>
  </si>
  <si>
    <t>Compact Fluorescent, long twin, (2) 55W lamps</t>
  </si>
  <si>
    <t>CFT55/3-L</t>
  </si>
  <si>
    <t>Compact Fluorescent, long twin, (3) 55W lamps</t>
  </si>
  <si>
    <t>CFT55/4-L</t>
  </si>
  <si>
    <t>Compact Fluorescent, long twin, (4) 55W lamps</t>
  </si>
  <si>
    <t>CFT80/1-L</t>
  </si>
  <si>
    <t>Compact Fluorescent, long twin, (1) 80W lamp</t>
  </si>
  <si>
    <t>ECF5/1</t>
  </si>
  <si>
    <t>Exit Sign (Modular CFL/CCFL)</t>
  </si>
  <si>
    <t>EXIT Compact Fluorescent, (1) 5W lamp</t>
  </si>
  <si>
    <t>ECF5/2</t>
  </si>
  <si>
    <t>EXIT Compact Fluorescent, (2) 5W lamps</t>
  </si>
  <si>
    <t>ECF6/1</t>
  </si>
  <si>
    <t>EXIT Compact Fluorescent, (1) 6W lamp</t>
  </si>
  <si>
    <t>ECF6/2</t>
  </si>
  <si>
    <t>EXIT Compact Fluorescent, (2) 6W lamps, (2) ballasts</t>
  </si>
  <si>
    <t>ECF7/1</t>
  </si>
  <si>
    <t>EXIT Compact Fluorescent, (1) 7W lamp</t>
  </si>
  <si>
    <t>ECF7/2</t>
  </si>
  <si>
    <t>EXIT Compact Fluorescent, (2) 7W lamps</t>
  </si>
  <si>
    <t>ECF9/1</t>
  </si>
  <si>
    <t>EXIT Compact Fluorescent, (1) 9W lamp</t>
  </si>
  <si>
    <t>ECF9/2</t>
  </si>
  <si>
    <t>EXIT Compact Fluorescent, (2) 9W lamps</t>
  </si>
  <si>
    <t>EF2/2</t>
  </si>
  <si>
    <t>EXIT Sub-miniature T-1 Fluorescent, (2) lamps</t>
  </si>
  <si>
    <t>EF6/1</t>
  </si>
  <si>
    <t>EXIT Miniature Bi-pin Fluorescent, (1) 6W lamp, (1) ballast</t>
  </si>
  <si>
    <t>EF6/2</t>
  </si>
  <si>
    <t>EXIT Miniature Bi-pin Fluorescent, (2) 6W lamps, (2) ballasts</t>
  </si>
  <si>
    <t>EF8/1</t>
  </si>
  <si>
    <t>EXIT T5 Fluorescent, (1) 8W lamp</t>
  </si>
  <si>
    <t>EF8/2</t>
  </si>
  <si>
    <t>EXIT T5 Fluorescent, (2) 8W lamps</t>
  </si>
  <si>
    <t>EI5/1</t>
  </si>
  <si>
    <t>Exit Sign (Halogen)</t>
  </si>
  <si>
    <t>EXIT Incandescent, (1) 5W lamp</t>
  </si>
  <si>
    <t>EI5/2</t>
  </si>
  <si>
    <t>EXIT Incandescent, (2) 5W lamps</t>
  </si>
  <si>
    <t>EI7.5/1</t>
  </si>
  <si>
    <t>EXIT Tungsten, (1) 7.5 W lamp</t>
  </si>
  <si>
    <t>EI7.5/2</t>
  </si>
  <si>
    <t>EXIT Tungsten, (2) 7.5 W lamps</t>
  </si>
  <si>
    <t>EI10/2</t>
  </si>
  <si>
    <t>EXIT Incandescent, (2) 10W lamps</t>
  </si>
  <si>
    <t>EI15/1</t>
  </si>
  <si>
    <t>EXIT Incandescent, (1) 15W lamp</t>
  </si>
  <si>
    <t>EI15/2</t>
  </si>
  <si>
    <t>EXIT Incandescent, (2) 15W lamps</t>
  </si>
  <si>
    <t>EI20/1</t>
  </si>
  <si>
    <t>EXIT Incandescent, (1) 20W lamp</t>
  </si>
  <si>
    <t>EI20/2</t>
  </si>
  <si>
    <t>EXIT Incandescent, (2) 20W lamps</t>
  </si>
  <si>
    <t>EI25/1</t>
  </si>
  <si>
    <t>EXIT Incandescent, (1) 25W lamp</t>
  </si>
  <si>
    <t>EI25/2</t>
  </si>
  <si>
    <t>EXIT Incandescent, (2) 25W lamps</t>
  </si>
  <si>
    <t>EI34/1</t>
  </si>
  <si>
    <t>EXIT Incandescent, (1) 34W lamp</t>
  </si>
  <si>
    <t>EI34/2</t>
  </si>
  <si>
    <t>EXIT Incandescent, (2) 34W lamps</t>
  </si>
  <si>
    <t>EI40/1</t>
  </si>
  <si>
    <t>EXIT Incandescent, (1) 40W lamp</t>
  </si>
  <si>
    <t>EI40/2</t>
  </si>
  <si>
    <t>EXIT Incandescent, (2) 40W lamps</t>
  </si>
  <si>
    <t>EI50/2</t>
  </si>
  <si>
    <t>EXIT Incandescent, (2) 50W lamps</t>
  </si>
  <si>
    <t>EI6/1</t>
  </si>
  <si>
    <t>EXIT Incandescent, (1) 6 W lamp</t>
  </si>
  <si>
    <t>EI6/2</t>
  </si>
  <si>
    <t>EXIT Incandescent, (2) 6 W lamps</t>
  </si>
  <si>
    <t>ELED2/1</t>
  </si>
  <si>
    <t>Exit Sign (LED)</t>
  </si>
  <si>
    <t>EXIT Light Emitting Diode, (1) 2W lamp, Single Sided</t>
  </si>
  <si>
    <t>ELED2/2</t>
  </si>
  <si>
    <t>EXIT Light Emitting Diode, (2) 2W lamps, Dual Sided</t>
  </si>
  <si>
    <t>ELED3</t>
  </si>
  <si>
    <t>EXIT Light Emitting Diode, (1) 3W lamp, Single Sided</t>
  </si>
  <si>
    <t>EP</t>
  </si>
  <si>
    <t>EXIT Photoluminescent, 0W</t>
  </si>
  <si>
    <t>F22PS</t>
  </si>
  <si>
    <t>T5 Linear Fluorescent</t>
  </si>
  <si>
    <t>Fluorescent, (2) 21", Preheat T5 lamps, (1) Magnetic ballasts with integral starter, (BF=0.80)</t>
  </si>
  <si>
    <t>F24PS</t>
  </si>
  <si>
    <t>Fluorescent, (4) 21", Preheat T5 lamps, (2) Magnetic ballasts with integral starter (BF=0.80)</t>
  </si>
  <si>
    <t>F21GPL-H</t>
  </si>
  <si>
    <t>Fluorescent (1) 22" (563mm) T-5 lamp; (1) Prog.Start or PRS Ballast, HLO (.95 &lt; BF &lt; 1.1)</t>
  </si>
  <si>
    <t>PRS Elec.</t>
  </si>
  <si>
    <t>F22GPL-H</t>
  </si>
  <si>
    <t>Fluorescent (2) 22" (563mm) T-5 lamps; (1) Prog.Start or PRS Ballast, HLO (.95 &lt; BF &lt; 1.1)</t>
  </si>
  <si>
    <t>F23GPL-H</t>
  </si>
  <si>
    <t>Fluorescent (3) 22" (563mm) T-5 lamps; (1) Prog.Start or PRS Ballast, HLO (.95 &lt; BF &lt; 1.1)</t>
  </si>
  <si>
    <t>F23GPL/2-H</t>
  </si>
  <si>
    <t>Fluorescent (3) 22" (563mm) T-5 lamps; (2) Prog.Start or PRS Ballasts, HLO (.95 &lt; BF &lt; 1.1)</t>
  </si>
  <si>
    <t>F24GPL/2-H</t>
  </si>
  <si>
    <t>Fluorescent (4) 22" (563mm) T-5 lamps; (2) Prog.Start or PRS Ballasts, HLO (.95 &lt; BF &lt; 1.1)</t>
  </si>
  <si>
    <t>F31GPL-H</t>
  </si>
  <si>
    <t>Fluorescent (1) 34" (863mm) T-5 lamp; (1) Prog.Start or PRS Ballast, HLO (.95 &lt; BF &lt; 1.1)</t>
  </si>
  <si>
    <t>F32GPL-H</t>
  </si>
  <si>
    <t>Fluorescent (2) 34" (863mm) T-5 lamps; (1) Prog.Start or PRS Ballast, HLO (.95 &lt; BF &lt; 1.1)</t>
  </si>
  <si>
    <t>F33GPL/2-H</t>
  </si>
  <si>
    <t>Fluorescent (3) 34" (863mm) T-5 lamps; (2) Prog.Start or PRS Ballasts, HLO (.95 &lt; BF &lt; 1.1)</t>
  </si>
  <si>
    <t>F34GPL/2-H</t>
  </si>
  <si>
    <t>Fluorescent (4) 34" (863mm) T-5 lamps; (2) Prog.Start or PRS Ballasts, HLO (.95 &lt; BF &lt; 1.1)</t>
  </si>
  <si>
    <t>F21GPHL-H</t>
  </si>
  <si>
    <t>Fluorescent (1) 22" (563mm) T-5 HO lamp; (1) Prog.Start or PRS Ballast, HLO (.95 &lt; BF &lt; 1.1)</t>
  </si>
  <si>
    <t>F22GPHL-H</t>
  </si>
  <si>
    <t>Fluorescent (2) 22" (563mm) T-5 HO lamps; (1) Prog.Start or PRS Ballast, HLO (.95 &lt; BF &lt; 1.1)</t>
  </si>
  <si>
    <t>F23GPHL/2-H</t>
  </si>
  <si>
    <t>Fluorescent (3) 22" (563mm) T-5 HO lamps; (2) Prog.Start or PRS Ballasts, HLO (.95 &lt; BF &lt; 1.1)</t>
  </si>
  <si>
    <t>F24GPHL/2-H</t>
  </si>
  <si>
    <t>Fluorescent (4) 22" (563mm) T-5 HO lamps; (2) Prog.Start or PRS Ballasts, HLO (.95 &lt; BF &lt; 1.1)</t>
  </si>
  <si>
    <t>F41GPL-H</t>
  </si>
  <si>
    <t>Fluorescent (1) 45.8" (1163mm) T-5 lamp; (1) PRS Electronic Ballast, HLO (.95 &lt; BF &lt; 1.1)</t>
  </si>
  <si>
    <t>F41GPL/T2-H</t>
  </si>
  <si>
    <t>Fluorescent (1) 45.8" (1163mm) T-5 lamp; Tandem 2-lamp PRS Ballast, HLO (.95 &lt; BF &lt; 1.1)</t>
  </si>
  <si>
    <t>F42GPL-H</t>
  </si>
  <si>
    <t>Fluorescent (2) 45.8" (1163mm) T-5 lamps; (1) PRS Electronic Ballast, HLO (.95 &lt; BF &lt; 1.1)</t>
  </si>
  <si>
    <t>F43GPL/2-H</t>
  </si>
  <si>
    <t>Fluorescent (3) 45.8" (1163mm) T-5 lamps; (2) PRS Electronic Ballasts, HLO (.95 &lt; BF &lt; 1.1)</t>
  </si>
  <si>
    <t>F44GPL/2-H</t>
  </si>
  <si>
    <t>Fluorescent (4) 45.8" (1163mm) T-5 lamps; (2) PRS Electronic Ballasts, HLO (.95 &lt; BF &lt; 1.1)</t>
  </si>
  <si>
    <t>F51GPL-H</t>
  </si>
  <si>
    <t>Fluorescent (1) 57.6" (1463mm) T-5 lamp; (1) Prog.Start or PRS Ballast, HLO (.95 &lt; BF &lt; 1.1)</t>
  </si>
  <si>
    <t>F52GPL-H</t>
  </si>
  <si>
    <t>Fluorescent (2) 57.6" (1463mm) T-5 lamps; (1) Prog.Start or PRS Ballast, HLO (.95 &lt; BF &lt; 1.1)</t>
  </si>
  <si>
    <t>F53GPL/2-H</t>
  </si>
  <si>
    <t>Fluorescent (3) 57.6" (1463mm) T-5 lamps; (2) Prog.Start or PRS Ballasts, HLO (.95 &lt; BF &lt; 1.1)</t>
  </si>
  <si>
    <t>F54GPL/2-H</t>
  </si>
  <si>
    <t>Fluorescent (4) 57.6" (1463mm) T-5 lamps; (2) Prog.Start or PRS Ballasts, HLO (.95 &lt; BF &lt; 1.1)</t>
  </si>
  <si>
    <t>F31GPHL-H</t>
  </si>
  <si>
    <t>Fluorescent (1) 34" (863mm) T-5 HO lamp; (1) Prog.Start or PRS Ballast, HLO (.95 &lt; BF &lt; 1.1)</t>
  </si>
  <si>
    <t>F32GPHL-H</t>
  </si>
  <si>
    <t>Fluorescent (2) 34" (863mm) T-5 HO lamps; (1) Prog.Start or PRS Ballast, HLO (.95 &lt; BF &lt; 1.1)</t>
  </si>
  <si>
    <t>F33GPHL/2-H</t>
  </si>
  <si>
    <t>Fluorescent (3) 34" (863mm) T-5 HO lamps; (2) Prog.Start or PRS Ballasts, HLO (.95 &lt; BF &lt; 1.1)</t>
  </si>
  <si>
    <t>F34GPHL/2-H</t>
  </si>
  <si>
    <t>Fluorescent (4) 34" (863mm) T-5 HO lamps; (2) Prog.Start or PRS Ballasts, HLO (.95 &lt; BF &lt; 1.1)</t>
  </si>
  <si>
    <t>F46GPRL/2-H</t>
  </si>
  <si>
    <t>Fluorescent, (6) 45.8" T-5 HO reduced-wattage lamps, (2) PRS Electronic Ballasts, HLO (.95 &lt; BF &lt; 1.1)</t>
  </si>
  <si>
    <t>F46GPRL/3-H</t>
  </si>
  <si>
    <t>Fluorescent, (6) 45.8" T-5 HO reduced-wattage lamps, (3) PRS Electronic Ballasts, HLO (.95 &lt; BF &lt; 1.1)</t>
  </si>
  <si>
    <t>F41GPHL-H</t>
  </si>
  <si>
    <t>Fluorescent (1) 45.8" T-5 HO lamp, (1) PRS Electronic Ballast, HLO (.95 &lt; BF &lt; 1.1)</t>
  </si>
  <si>
    <t>F41GPHL/T2-H</t>
  </si>
  <si>
    <t>Fluorescent (1) 45.8" T-5 HO lamp, Tandem 2-lamp PRS Ballast, HLO (.95 &lt; BF &lt; 1.1)</t>
  </si>
  <si>
    <t>F42GPHL-H</t>
  </si>
  <si>
    <t>Fluorescent (2) 45.8" T-5 HO lamps, (1) PRS Electronic Ballast, HLO (.95 &lt; BF &lt; 1.1)</t>
  </si>
  <si>
    <t>F43GPHL-H</t>
  </si>
  <si>
    <t>Fluorescent, (3) 45.8" T-5 HO lamps, (1) PRS Electronic Ballast, HLO (.95 &lt; BF &lt; 1.1)</t>
  </si>
  <si>
    <t>F43GPHL/2-H</t>
  </si>
  <si>
    <t>Fluorescent (3) 45.8" T-5 HO lamps, (2) PRS Electronic Ballasts, HLO (.95 &lt; BF &lt; 1.1)</t>
  </si>
  <si>
    <t>F44GPHL-H</t>
  </si>
  <si>
    <t>Fluorescent, (4) 45.8" T-5 HO lamps, (1) PRS Electronic Ballast, HLO (.95 &lt; BF &lt; 1.1)</t>
  </si>
  <si>
    <t>F44GPHL/2-H</t>
  </si>
  <si>
    <t>Fluorescent (4) 45.8" T-5 HO lamps, (2) PRS Electronic Ballasts, HLO (.95 &lt; BF &lt; 1.1)</t>
  </si>
  <si>
    <t>F45GPHL/2-H</t>
  </si>
  <si>
    <t>Fluorescent (5) 45.8" T-5 HO lamps, (2) PRS Electronic Ballast, HLO (.95 &lt; BF &lt; 1.1)</t>
  </si>
  <si>
    <t>F45GPRL/2-H</t>
  </si>
  <si>
    <t>Fluorescent (5) 45.2" T-5 HO reduced-wattage lamp, (2) PRS Electronic Ballast, HLO (.95 &lt; BF &lt; 1.1)</t>
  </si>
  <si>
    <t>47-51</t>
  </si>
  <si>
    <t>F46GPHL/2-H</t>
  </si>
  <si>
    <t>Fluorescent, (6) 45.8" T-5 HO lamps, (2) PRS Electronic Ballasts, HLO (.95 &lt; BF &lt; 1.1)</t>
  </si>
  <si>
    <t>F46GPHL/3-H</t>
  </si>
  <si>
    <t>Fluorescent, (6) 45.8" T-5 HO lamps, (3) PRS Electronic Ballasts, HLO (.95 &lt; BF &lt; 1.1)</t>
  </si>
  <si>
    <t>F48GPHL/2-H</t>
  </si>
  <si>
    <t>Fluorescent, (8) 45.8" T-5 HO lamps, (2) PRS Electronic Ballasts, HLO (.95 &lt; BF &lt; 1.1)</t>
  </si>
  <si>
    <t>F48GPHL/4-H</t>
  </si>
  <si>
    <t>Fluorescent, (8) 45.8" T-5 HO lamps, (4) PRS Electronic Ballasts, HLO (.95 &lt; BF &lt; 1.1)</t>
  </si>
  <si>
    <t>F410GPHL/3-H</t>
  </si>
  <si>
    <t>Fluorescent, (10) 45.8" T-5 HO lamps, (3) PRS Electronic Ballasts, HLO (.95 &lt; BF &lt; 1.1)</t>
  </si>
  <si>
    <t>F410GPHL/5-H</t>
  </si>
  <si>
    <t>Fluorescent, (10) 45.8" T-5 HO lamps, (5) PRS Electronic Ballasts, HLO (.95 &lt; BF &lt; 1.1)</t>
  </si>
  <si>
    <t>F412GPHL/3-H</t>
  </si>
  <si>
    <t>Fluorescent, (12) 45.8" T-5 HO lamps, (3) PRS Electronic Ballasts, HLO (.95 &lt; BF &lt; 1.1)</t>
  </si>
  <si>
    <t>F412GPHL/6-H</t>
  </si>
  <si>
    <t>Fluorescent, (12) 45.8" T-5 HO lamps, (6) PRS Electronic Ballasts, HLO (.95 &lt; BF &lt; 1.1)</t>
  </si>
  <si>
    <t>F41GPRL-H</t>
  </si>
  <si>
    <t>Fluorescent (1) 45.2" T-5 HO reduced-wattage lamp, (1) PRS Electronic Ballast, HLO (.95 &lt; BF &lt; 1.1)</t>
  </si>
  <si>
    <t>F42GPRL-H</t>
  </si>
  <si>
    <t>Fluorescent (2) 45.2" T-5 HO reduced-wattage lamp, (1) PRS Electronic Ballast, HLO (.95 &lt; BF &lt; 1.1)</t>
  </si>
  <si>
    <t>F43GPRL-H</t>
  </si>
  <si>
    <t>Fluorescent (3) 45.2" T-5 HO reduced-wattage lamp, (1) PRS Electronic Ballast, HLO (.95 &lt; BF &lt; 1.1)</t>
  </si>
  <si>
    <t>F44GPRL-H</t>
  </si>
  <si>
    <t>Fluorescent (4) 45.2" T-5 HO reduced-wattage lamp, (1) PRS Electronic Ballast, HLO (.95 &lt; BF &lt; 1.1)</t>
  </si>
  <si>
    <t>F48GPRL/2-H</t>
  </si>
  <si>
    <t>Fluorescent, (8) 45.8" T-5 HO reduced-wattage lamps, (2) PRS Electronic Ballasts, HLO (.95 &lt; BF &lt; 1.1)</t>
  </si>
  <si>
    <t>F48GPRL/4-H</t>
  </si>
  <si>
    <t>Fluorescent, (8) 45.8" T-5 HO reduced-wattage lamps, (4) PRS Electronic Ballasts, HLO (.95 &lt; BF &lt; 1.1)</t>
  </si>
  <si>
    <t>F410GPRL/3-H</t>
  </si>
  <si>
    <t>Fluorescent, (10) 45.8" T-5 HO reduced-wattage lamps, (3) PRS Electronic Ballast, HLO (.95 &lt; BF &lt; 1.1)</t>
  </si>
  <si>
    <t>F410GPRL/5-H</t>
  </si>
  <si>
    <t>Fluorescent, (10) 45.8" T-5 HO reduced-wattage lamps, (5) PRS Electronic Ballast, HLO (.95 &lt; BF &lt; 1.1)</t>
  </si>
  <si>
    <t>F412GPRL/3-H</t>
  </si>
  <si>
    <t>Fluorescent, (12) 45.8" T-5 HO reduced-wattage lamps, (3) PRS Electronic Ballasts, HLO (.95 &lt; BF &lt; 1.1)</t>
  </si>
  <si>
    <t>F412GPRL/6-H</t>
  </si>
  <si>
    <t>Fluorescent, (12) 45.8" T-5 HO reduced-wattage lamps, (6) PRS Electronic Ballasts, HLO (.95 &lt; BF &lt; 1.1)</t>
  </si>
  <si>
    <t>F51GPHL-H</t>
  </si>
  <si>
    <t>Fluorescent (1) 57.6" (1463mm) T-5 HO lamp; (1) Prog.Start or PRS Ballast, HLO (.95 &lt; BF &lt; 1.1)</t>
  </si>
  <si>
    <t>F52GPHL/2-H</t>
  </si>
  <si>
    <t>Fluorescent (2) 57.6" (1463mm) T-5 HO lamps; (1) Prog.Start or PRS Ballast, HLO (.95 &lt; BF &lt; 1.1)</t>
  </si>
  <si>
    <t>F1.51LS</t>
  </si>
  <si>
    <t>T8 Linear Fluorescent</t>
  </si>
  <si>
    <t>Fluorescent, (1) 18" T-8 lamp</t>
  </si>
  <si>
    <t>F1.52LS</t>
  </si>
  <si>
    <t>Fluorescent, (2) 18" T-8 lamps</t>
  </si>
  <si>
    <t>F21GLL</t>
  </si>
  <si>
    <t>Fluorescent (1) 24" T-8 lamp, Prog. Start or PRS Ballast, NLO (0.85 &lt; BF &lt; 0.95)</t>
  </si>
  <si>
    <t>F21ILL</t>
  </si>
  <si>
    <t>Fluorescent, (1) 24", T-8 lamp, Instant Start Ballast, NLO (0.85 &lt; BF &lt; 0.95)</t>
  </si>
  <si>
    <t>F21ILL-R</t>
  </si>
  <si>
    <t>Fluorescent, (1) 24", T-8 lamp, Instant Start Ballast, RLO (BF&lt; 0.85)</t>
  </si>
  <si>
    <t>F21ILL/T2</t>
  </si>
  <si>
    <t>Fluorescent, (1) 24", T-8 lamp, Tandem 2-lamp IS Ballast, NLO (0.85 &lt; BF &lt; 0.95)</t>
  </si>
  <si>
    <t>F21ILL/T2-R</t>
  </si>
  <si>
    <t>Fluorescent, (1) 24", T-8 lamp, Tandem 2-lamp IS Ballast, RLO (BF&lt; 0.85)</t>
  </si>
  <si>
    <t>F21ILL/T3</t>
  </si>
  <si>
    <t>Fluorescent, (1) 24", T-8 lamp, Tandem 3-lamp IS Ballast, NLO (0.85 &lt; BF &lt; 0.95)</t>
  </si>
  <si>
    <t>F21ILL/T3-R</t>
  </si>
  <si>
    <t>Fluorescent, (1) 24", T-8 lamp, Tandem 3-lamp IS Ballast, RLO (BF&lt; 0.85)</t>
  </si>
  <si>
    <t>F21ILL/T4</t>
  </si>
  <si>
    <t>Fluorescent, (1) 24", T-8 lamp, Tandem 4-lamp IS Ballast, NLO (0.85 &lt; BF &lt; 0.95)</t>
  </si>
  <si>
    <t>F21ILL/T4-R</t>
  </si>
  <si>
    <t>Fluorescent, (1) 24", T-8 lamp, Tandem 4-lamp IS Ballast, RLO (BF&lt; 0.85)</t>
  </si>
  <si>
    <t>F21ILU</t>
  </si>
  <si>
    <t>Prem. Elec.</t>
  </si>
  <si>
    <t>F21ILU-R</t>
  </si>
  <si>
    <t>F21ILU-V</t>
  </si>
  <si>
    <t>Fluorescent, (1) 24", T-8 lamps, Instant Start Ballast, VHLO (BF &gt; 1.1)</t>
  </si>
  <si>
    <t>F21LL</t>
  </si>
  <si>
    <t>Fluorescent, (1) 24", T-8 lamp, Rapid Start Ballast, NLO (0.85 &lt; BF &lt; 0.95)</t>
  </si>
  <si>
    <t>F21LL-R</t>
  </si>
  <si>
    <t>Fluorescent, (1) 24", T-8 lamp, Rapid Start Ballast, RLO (BF&lt; 0.85)</t>
  </si>
  <si>
    <t>F21LL/T2</t>
  </si>
  <si>
    <t>Fluorescent, (1) 24", T-8 lamp, Tandem 2-Lamp RS Ballast, NLO (0.85 &lt; BF &lt; 0.95)</t>
  </si>
  <si>
    <t>F21LL/T3</t>
  </si>
  <si>
    <t>Fluorescent, (1) 24", T-8 lamp, Tandem 3-Lamp RS Ballast, NLO (0.85 &lt; BF &lt; 0.95)</t>
  </si>
  <si>
    <t>F21LL/T4</t>
  </si>
  <si>
    <t>Fluorescent, (1) 24", T-8 lamp, Tandem 4-Lamp RS Ballast, NLO (0.85 &lt; BF &lt; 0.95)</t>
  </si>
  <si>
    <t>F21SL</t>
  </si>
  <si>
    <t>Fluorescent, (1) 24", T-8 lamp, Standard Ballast</t>
  </si>
  <si>
    <t>F22GLL</t>
  </si>
  <si>
    <t>Fluorescent (2) 24" T-8 lamp, Prog. Start or PRS Ballast, NLO (0.85 &lt; BF &lt; 0.95)</t>
  </si>
  <si>
    <t>F22ILL</t>
  </si>
  <si>
    <t>Fluorescent, (2) 24", T-8 lamps, Instant Start Ballast, NLO (0.85 &lt; BF &lt; 0.95)</t>
  </si>
  <si>
    <t>F22ILL-R</t>
  </si>
  <si>
    <t>Fluorescent, (2) 24", T-8 lamps, Instant Start Ballast, RLO (BF&lt; 0.85)</t>
  </si>
  <si>
    <t>F22ILL/T4</t>
  </si>
  <si>
    <t>Fluorescent, (2) 24", T-8 lamps, Tandem 4-lamp IS Ballast, NLO (0.85 &lt; BF &lt; 0.95)</t>
  </si>
  <si>
    <t>F22ILL/T4-R</t>
  </si>
  <si>
    <t>Fluorescent, (2) 24", T-8 lamps, Tandem 4-lamp IS Ballast, RLO (BF&lt;.85)</t>
  </si>
  <si>
    <t>F22ILU</t>
  </si>
  <si>
    <t>F22ILU-R</t>
  </si>
  <si>
    <t>F22ILU-V</t>
  </si>
  <si>
    <t>Fluorescent, (2) 24", T-8 lamps, Instant Start Ballast, VHLO (BF &gt; 1.1)</t>
  </si>
  <si>
    <t>F22ILU/T4-R</t>
  </si>
  <si>
    <t>Fluorescent, (2) 24", T-8 lamps, Tandem 4-lamp IS Ballast, RLO (BF&lt; 0.85)</t>
  </si>
  <si>
    <t>F22LL</t>
  </si>
  <si>
    <t>Fluorescent, (2) 24", T-8 lamps, Rapid Start Ballast, NLO (0.85 &lt; BF &lt; 0.95)</t>
  </si>
  <si>
    <t>F22LL-R</t>
  </si>
  <si>
    <t>Fluorescent, (2) 24", T-8 lamps, Rapid Start Ballast, RLO (BF&lt; 0.85)</t>
  </si>
  <si>
    <t>F22LL/T4</t>
  </si>
  <si>
    <t>Fluorescent, (2) 24", T-8 lamps, Tandem 4-lamp RS Ballast, NLO (0.85 &lt; BF &lt; 0.95)</t>
  </si>
  <si>
    <t>F23GLL</t>
  </si>
  <si>
    <t>Fluorescent (3) 24" T-8 lamp, Prog. Start or PRS Ballast, NLO (0.85 &lt; BF &lt; 0.95)</t>
  </si>
  <si>
    <t>F23ILL</t>
  </si>
  <si>
    <t>Fluorescent, (3) 24", T-8 lamps, Instant Start Ballast, NLO (0.85 &lt; BF &lt; 0.95)</t>
  </si>
  <si>
    <t>F23ILL-H</t>
  </si>
  <si>
    <t>Fluorescent, (3) 24", T-8 lamps, Instant Start Ballast, HLO (0.95 &lt; BF &lt; 1.1)</t>
  </si>
  <si>
    <t>F23ILL-R</t>
  </si>
  <si>
    <t>Fluorescent, (3) 24", T-8 lamps, Instant Start Ballast, RLO (BF&lt; 0.85)</t>
  </si>
  <si>
    <t>F23ILU</t>
  </si>
  <si>
    <t>F23ILU-R</t>
  </si>
  <si>
    <t>F23ILU-V</t>
  </si>
  <si>
    <t>Fluorescent, (3) 24", T-8 lamps, Instant Start Ballast, VHLO (BF &gt; 1.1)</t>
  </si>
  <si>
    <t>F23LL</t>
  </si>
  <si>
    <t>Fluorescent, (3) 24", T-8 lamps, Rapid Start Ballast, NLO (0.85 &lt; BF &lt; 0.95)</t>
  </si>
  <si>
    <t>F23LL-R</t>
  </si>
  <si>
    <t>Fluorescent, (3) 24", T-8 lamps, Rapid Start Ballast, RLO (BF&lt; 0.85)</t>
  </si>
  <si>
    <t>F24GLL</t>
  </si>
  <si>
    <t>Fluorescent (4) 24" T-8 lamp, Prog. Start or PRS Ballast, NLO (0.85 &lt; BF &lt; 0.95)</t>
  </si>
  <si>
    <t>F24ILL</t>
  </si>
  <si>
    <t>Fluorescent, (4) 24", T-8 lamps, Instant Start Ballast, NLO (0.85 &lt; BF &lt; 0.95)</t>
  </si>
  <si>
    <t>F24ILL-R</t>
  </si>
  <si>
    <t>Fluorescent, (4) 24", T-8 lamps, Instant Start Ballast, RLO (BF&lt; 0.85)</t>
  </si>
  <si>
    <t>F24ILU</t>
  </si>
  <si>
    <t>F24ILU-R</t>
  </si>
  <si>
    <t>F24LL</t>
  </si>
  <si>
    <t>Fluorescent, (4) 24", T-8 lamps, Rapid Start Ballast, NLO (0.85 &lt; BF &lt; 0.95)</t>
  </si>
  <si>
    <t>F24LL-R</t>
  </si>
  <si>
    <t>Fluorescent, (4) 24", T-8 lamps, Rapid Start Ballast, RLO (BF&lt; 0.85)</t>
  </si>
  <si>
    <t>F31ILL</t>
  </si>
  <si>
    <t>Fluorescent, (1) 36", T-8 lamp, Instant Start Ballast, NLO (0.85 &lt; BF &lt; 0.95)</t>
  </si>
  <si>
    <t>F31ILL-H</t>
  </si>
  <si>
    <t>Fluorescent, (1) 36", T-8 lamp, Instant Start Ballast, HLO (0.95 &lt; BF &lt; 1.1)</t>
  </si>
  <si>
    <t>F31ILL-R</t>
  </si>
  <si>
    <t>Fluorescent, (1) 36", T-8 lamp, Instant Start Ballast, RLO (BF&lt; 0.85)</t>
  </si>
  <si>
    <t>F31ILL/T2</t>
  </si>
  <si>
    <t>Fluorescent, (1) 36", T-8 lamp, Tandem 2-lamp IS Ballast, NLO (0.85 &lt; BF &lt; 0.95)</t>
  </si>
  <si>
    <t>F31ILL/T2-H</t>
  </si>
  <si>
    <t>Fluorescent, (1) 36", T-8 lamp, Tandem 3-lamp IS Ballast, 1 lead capped, HLO (0.95 &lt; BF &lt; 1.1)</t>
  </si>
  <si>
    <t>F31ILL/T2-R</t>
  </si>
  <si>
    <t>Fluorescent, (1) 36", T-8 lamp, Tandem 2-lamp IS Ballast, RLO (BF&lt; 0.85)</t>
  </si>
  <si>
    <t>F31ILL/T3</t>
  </si>
  <si>
    <t>Fluorescent, (1) 36", T-8 lamp, Tandem 3-lamp IS Ballast, NLO (0.85 &lt; BF &lt; 0.95)</t>
  </si>
  <si>
    <t>F31ILL/T3-R</t>
  </si>
  <si>
    <t>Fluorescent, (1) 36", T-8 lamp, Tandem 3-lamp IS Ballast, RLO (BF&lt; 0.85)</t>
  </si>
  <si>
    <t>F31ILL/T4</t>
  </si>
  <si>
    <t>Fluorescent, (1) 36", T-8 lamp, Tandem 4-lamp IS Ballast, NLO (0.85 &lt; BF &lt; 0.95)</t>
  </si>
  <si>
    <t>F31ILL/T4-R</t>
  </si>
  <si>
    <t>Fluorescent, (1) 36", T-8 lamp, Tandem 4-lamp IS Ballast, RLO (BF&lt; 0.85)</t>
  </si>
  <si>
    <t>F31ILU</t>
  </si>
  <si>
    <t>F31ILU-R</t>
  </si>
  <si>
    <t>F31ILU/T2</t>
  </si>
  <si>
    <t>F31ILU/T2-R</t>
  </si>
  <si>
    <t>F31ILU/T3-R</t>
  </si>
  <si>
    <t>F31ILU/T4-R</t>
  </si>
  <si>
    <t>F31LL</t>
  </si>
  <si>
    <t>Fluorescent, (1) 36", T-8 lamp, Rapid Start Ballast, NLO (0.85 &lt; BF &lt; 0.95)</t>
  </si>
  <si>
    <t>F31LL-H</t>
  </si>
  <si>
    <t>Fluorescent, (1) 36", T-8 lamp, Rapid Start Ballast, HLO (0.95 &lt; BF &lt; 1.1)</t>
  </si>
  <si>
    <t>F31LL-R</t>
  </si>
  <si>
    <t>Fluorescent, (1) 36", T-8 lamp, Rapid Start Ballast, RLO (BF&lt; 0.85)</t>
  </si>
  <si>
    <t>F31LL/T2</t>
  </si>
  <si>
    <t>Fluorescent, (1) 36", T-8 lamp, Tandem 2-lamp RS Ballast, NLO (0.85 &lt; BF &lt; 0.95)</t>
  </si>
  <si>
    <t>F31LL/T3</t>
  </si>
  <si>
    <t>Fluorescent, (1) 36", T-8 lamp, Tandem 3-lamp RS Ballast, NLO (0.85 &lt; BF &lt; 0.95)</t>
  </si>
  <si>
    <t>F31LL/T4</t>
  </si>
  <si>
    <t>Fluorescent, (1) 36", T-8 lamp, Tandem 4-lamp RS Ballast, NLO (0.85 &lt; BF &lt; 0.95)</t>
  </si>
  <si>
    <t>F32ILL</t>
  </si>
  <si>
    <t>Fluorescent, (2) 36", T-8 lamps, Instant Start Ballast, NLO (0.85 &lt; BF &lt; 0.95)</t>
  </si>
  <si>
    <t>F32ILL-H</t>
  </si>
  <si>
    <t>Fluorescent, (2) 36", T-8 lamps, Instant Start Ballast, HLO (0.95 &lt; BF &lt; 1.1)</t>
  </si>
  <si>
    <t>F32ILL-R</t>
  </si>
  <si>
    <t>Fluorescent, (2) 36", T-8 lamps, Instant Start Ballast, RLO (BF&lt; 0.85)</t>
  </si>
  <si>
    <t>F32ILL/2-R</t>
  </si>
  <si>
    <t>Fluorescent, (2) 36", T-8 lamps, (2) Instant Start Ballasts, RLO (BF&lt; 0.85)</t>
  </si>
  <si>
    <t>F32ILL/T4</t>
  </si>
  <si>
    <t>Fluorescent, (2) 36", T-8 lamps, Tandem 4-lamp IS Ballast, NLO (0.85 &lt; BF &lt; 0.95)</t>
  </si>
  <si>
    <t>F32ILL/T4-R</t>
  </si>
  <si>
    <t>Fluorescent, (2) 36", T-8 lamps, Tandem 4-lamp IS Ballast, RLO (BF&lt; 0.85)</t>
  </si>
  <si>
    <t>F32ILU</t>
  </si>
  <si>
    <t>F32ILU-R</t>
  </si>
  <si>
    <t>F32ILU/T4-R</t>
  </si>
  <si>
    <t>F32LL</t>
  </si>
  <si>
    <t>Fluorescent, (2) 36", T-8 lamps, Rapid Start Ballast, NLO (0.85 &lt; BF &lt; 0.95)</t>
  </si>
  <si>
    <t>F32LL-H</t>
  </si>
  <si>
    <t>Fluorescent, (2) 36", T-8 lamps, Rapid Start Ballast, HLO (0.95 &lt; BF &lt; 1.1)</t>
  </si>
  <si>
    <t>F32LL-R</t>
  </si>
  <si>
    <t>Fluorescent, (2) 36", T-8 lamps, Rapid Start Ballast, RLO (BF&lt; 0.85)</t>
  </si>
  <si>
    <t>F32LL-V</t>
  </si>
  <si>
    <t>Fluorescent, (2) 36", T-8 lamps, Rapid Start Ballast, VHLO (BF &gt; 1.1)</t>
  </si>
  <si>
    <t>F32LL/T4</t>
  </si>
  <si>
    <t>Fluorescent, (2) 36", T-8 lamps, Tandem 4-lamp RS Ballast, NLO (0.85 &lt; BF &lt; 0.95)</t>
  </si>
  <si>
    <t>F33ILL</t>
  </si>
  <si>
    <t>Fluorescent, (3) 36", T-8 lamps, Instant Start Ballast, NLO (0.85 &lt; BF &lt; 0.95)</t>
  </si>
  <si>
    <t>F33ILL-R</t>
  </si>
  <si>
    <t>Fluorescent, (3) 36", T-8 lamps, Instant Start Ballast, RLO (BF&lt; 0.85)</t>
  </si>
  <si>
    <t>F33ILU</t>
  </si>
  <si>
    <t>F33ILU-R</t>
  </si>
  <si>
    <t>F33LL</t>
  </si>
  <si>
    <t>Fluorescent, (3) 36", T-8 lamps, Rapid Start Ballast, NLO (0.85 &lt; BF &lt; 0.95)</t>
  </si>
  <si>
    <t>F33LL-R</t>
  </si>
  <si>
    <t>Fluorescent, (3) 36", T-8 lamps, Rapid Start Ballast, RLO (BF&lt; 0.85)</t>
  </si>
  <si>
    <t>F34ILL</t>
  </si>
  <si>
    <t>Fluorescent, (4) 36", T-8 lamps, Instant Start Ballast, NLO (0.85 &lt; BF &lt; 0.95)</t>
  </si>
  <si>
    <t>F34ILL-R</t>
  </si>
  <si>
    <t>Fluorescent, (4) 36", T-8 lamps, Instant Start Ballast, RLO (BF&lt; 0.85)</t>
  </si>
  <si>
    <t>F34ILL/2-R</t>
  </si>
  <si>
    <t>Fluorescent, (4) 36", T-8 lamps, (2) Instant Start Ballasts, RLO (BF&lt; 0.85)</t>
  </si>
  <si>
    <t>F34ILU</t>
  </si>
  <si>
    <t>F34ILU-R</t>
  </si>
  <si>
    <t>F34LL</t>
  </si>
  <si>
    <t>Fluorescent, (4) 36", T-8 lamps, Rapid Start Ballast, NLO (0.85 &lt; BF &lt; 0.95)</t>
  </si>
  <si>
    <t>F34LL-R</t>
  </si>
  <si>
    <t>Fluorescent, (4) 36", T-8 lamps, Rapid Start Ballast, RLO (BF&lt; 0.85)</t>
  </si>
  <si>
    <t>F36ILL/2</t>
  </si>
  <si>
    <t>Fluorescent, (6) 36", T-8 lamps, (2) Instant Start Ballasts, NLO (0.85 &lt; BF &lt; 0.95)</t>
  </si>
  <si>
    <t>F36ILL/2-R</t>
  </si>
  <si>
    <t>Fluorescent, (6) 36", T-8 lamps, (2) Instant Start Ballasts, RLO (BF&lt; 0.85)</t>
  </si>
  <si>
    <t>F42GRLL-V</t>
  </si>
  <si>
    <t>Fluorescent, (2) 48", T-8 lamps, Prog. Start or PRS Ballast, VHLO (BF &gt; 1.1)</t>
  </si>
  <si>
    <t>F43GRLL-V</t>
  </si>
  <si>
    <t>Fluorescent, (3) 48", T-8 lamps, Prog. Start or PRS Ballast, VHLO (BF &gt; 1.1)</t>
  </si>
  <si>
    <t>F41GLL</t>
  </si>
  <si>
    <t>Fluorescent (1) 48" T-8 lamp, Prog. Start or PRS Ballast, NLO (0.85 &lt; BF &lt; 0.95)</t>
  </si>
  <si>
    <t>F41GLL-R</t>
  </si>
  <si>
    <t>Fluorescent (1) 48" T-8 lamp, Prog. Start or PRS Ballast, RLO (BF&lt; 0.85)</t>
  </si>
  <si>
    <t>F41ILL</t>
  </si>
  <si>
    <t>Fluorescent, (1) 48", T-8 lamp, Instant Start Ballast, NLO (0.85 &lt; BF &lt; 0.95)</t>
  </si>
  <si>
    <t>F41ILL-H</t>
  </si>
  <si>
    <t>Fluorescent, (1) 48", T-8 lamp, Instant Start Ballast, HLO (0.95 &lt; BF &lt; 1.1)</t>
  </si>
  <si>
    <t>F41ILL-R</t>
  </si>
  <si>
    <t>Fluorescent, (1) 48", T-8 lamp, Instant Start Ballast, RLO (BF&lt; 0.85)</t>
  </si>
  <si>
    <t>F41ILL/T2</t>
  </si>
  <si>
    <t>Fluorescent, (1) 48", T-8 lamp, Tandem 2-lamp IS Ballast, NLO (0.85 &lt; BF &lt; 0.95)</t>
  </si>
  <si>
    <t>F41ILL/T2-H</t>
  </si>
  <si>
    <t>Fluorescent, (1) 48", T-8 lamp, Tandem 3-lamp IS Ballast, 1 lead capped, HLO (0.95 &lt; BF &lt; 1.1)</t>
  </si>
  <si>
    <t>F41ILL/T2-R</t>
  </si>
  <si>
    <t>Fluorescent, (1) 48", T-8 lamp, Tandem 2-lamp IS Ballast, RLO (BF&lt; 0.85)</t>
  </si>
  <si>
    <t>F41ILL/T3</t>
  </si>
  <si>
    <t>Fluorescent, (1) 48", T-8 lamp, Tandem 3-lamp IS Ballast, NLO (0.85 &lt; BF &lt; 0.95)</t>
  </si>
  <si>
    <t>F41ILL/T3-H</t>
  </si>
  <si>
    <t>Fluorescent, (1) 48", T-8 lamp, Tandem 4-lamp IS Ballast, 1 lead capped, HLO (0.95 &lt; BF &lt; 1.1)</t>
  </si>
  <si>
    <t>F41ILL/T3-R</t>
  </si>
  <si>
    <t>Fluorescent, (1) 48", T-8 lamp, Tandem 3-lamp IS Ballast, RLO (BF&lt; 0.85)</t>
  </si>
  <si>
    <t>F41ILL/T4</t>
  </si>
  <si>
    <t>Fluorescent, (1) 48", T-8 lamp, Tandem 4-lamp IS Ballast, NLO (0.85 &lt; BF &lt; 0.95)</t>
  </si>
  <si>
    <t>F41ILL/T4-R</t>
  </si>
  <si>
    <t>Fluorescent, (1) 48", T-8 lamp, Tandem 4-lamp IS Ballast, RLO (BF&lt; 0.85)</t>
  </si>
  <si>
    <t>F41ILU</t>
  </si>
  <si>
    <t>F41ILU-H</t>
  </si>
  <si>
    <t>F41ILU-R</t>
  </si>
  <si>
    <t>F41ILU/T2</t>
  </si>
  <si>
    <t>F41ILU/T2-R</t>
  </si>
  <si>
    <t>F41ILU/T3</t>
  </si>
  <si>
    <t>F41ILU/T3-R</t>
  </si>
  <si>
    <t>F41ILU/T4</t>
  </si>
  <si>
    <t>F41ILU/T4-R</t>
  </si>
  <si>
    <t>F41LE</t>
  </si>
  <si>
    <t>Fluorescent, (1) 48", T-8 lamp</t>
  </si>
  <si>
    <t>Mag-ES</t>
  </si>
  <si>
    <t>F41LL</t>
  </si>
  <si>
    <t>Fluorescent, (1) 48", T-8 lamp, Rapid Start Ballast, NLO (0.85 &lt; BF &lt; 0.95)</t>
  </si>
  <si>
    <t>F41LL-H</t>
  </si>
  <si>
    <t>Fluorescent, (1) 48", T-8 lamp, Rapid Start Ballast, HLO (0.95 &lt; BF &lt; 1.1)</t>
  </si>
  <si>
    <t>F41LL-R</t>
  </si>
  <si>
    <t>Fluorescent, (1) 48", T-8 lamp, Rapid Start Ballast, RLO (BF&lt; 0.85)</t>
  </si>
  <si>
    <t>F41LL/T2</t>
  </si>
  <si>
    <t>Fluorescent, (1) 48", T-8 lamp, Tandem 2-lamp RS Ballast, NLO (0.85 &lt; BF &lt; 0.95)</t>
  </si>
  <si>
    <t>F41LL/T2-H</t>
  </si>
  <si>
    <t>Fluorescent, (1) 48", T-8 lamp, Tandem 3-lamp RS Ballast, 1 lead capped, HLO (0.95 &lt; BF &lt; 1.1)</t>
  </si>
  <si>
    <t>F41LL/T2-R</t>
  </si>
  <si>
    <t>Fluorescent, (1) 48", T-8 lamp, Tandem 2-lamp RS Ballast, RLO (BF&lt; 0.85)</t>
  </si>
  <si>
    <t>F41LL/T3</t>
  </si>
  <si>
    <t>Fluorescent, (1) 48", T-8 lamp, Tandem 3-lamp RS Ballast, NLO (0.85 &lt; BF &lt; 0.95)</t>
  </si>
  <si>
    <t>F41LL/T3-H</t>
  </si>
  <si>
    <t>Fluorescent, (1) 48", T-8 lamp, Tandem 4-lamp RS Ballast, 1 lead capped, HLO (0.95 &lt; BF &lt; 1.1)</t>
  </si>
  <si>
    <t>F41LL/T3-R</t>
  </si>
  <si>
    <t>Fluorescent, (1) 48", T-8 lamp, Tandem 3-lamp RS Ballast, RLO (BF&lt; 0.85)</t>
  </si>
  <si>
    <t>F41LL/T4</t>
  </si>
  <si>
    <t>Fluorescent, (1) 48", T-8 lamp, Tandem 4-lamp RS Ballast, NLO (0.85 &lt; BF &lt; 0.95)</t>
  </si>
  <si>
    <t>F41LL/T4-R</t>
  </si>
  <si>
    <t>Fluorescent, (1) 48", T-8 lamp, Tandem 4-lamp RS Ballast, RLO (BF&lt; 0.85)</t>
  </si>
  <si>
    <t>F42GLL</t>
  </si>
  <si>
    <t>Fluorescent (2) 48" T-8 lamps, Prog. Start or PRS Ballast, NLO (0.85 &lt; BF &lt; 0.95)</t>
  </si>
  <si>
    <t>F42GLL-R</t>
  </si>
  <si>
    <t>Fluorescent (2) 48" T-8 lamps, Prog. Start or PRS Ballast, RLO (BF &lt; 0.85)</t>
  </si>
  <si>
    <t>F42GLL-V</t>
  </si>
  <si>
    <t>Fluorescent, (2) 48" T-8 lamps, Prog. Start or PRS Ballast, VHLO (BF &gt; 1.1)</t>
  </si>
  <si>
    <t>F42ILL</t>
  </si>
  <si>
    <t>Fluorescent, (2) 48", T-8 lamps, Instant Start Ballast, NLO (0.85 &lt; BF &lt; 0.95)</t>
  </si>
  <si>
    <t>F42ILL-H</t>
  </si>
  <si>
    <t>Fluorescent, (2) 48", T-8 lamp, Instant Start Ballast, HLO (0.95 &lt; BF &lt; 1.1)</t>
  </si>
  <si>
    <t>F42ILL-R</t>
  </si>
  <si>
    <t>Fluorescent, (2) 48", T-8 lamps, Instant Start Ballast, RLO (BF&lt; 0.85)</t>
  </si>
  <si>
    <t>F42ILL-V</t>
  </si>
  <si>
    <t>Fluorescent, (2) 48", T-8 lamps, Instant Start Ballast, VHLO (BF &gt; 1.1)</t>
  </si>
  <si>
    <t>F42ILL/2</t>
  </si>
  <si>
    <t>Fluorescent, (2) 48", T-8 lamps, (2) 1-lamp Instant Start Ballast, NLO (0.85 &lt; BF &lt; 0.95)</t>
  </si>
  <si>
    <t>F42ILL/2-R</t>
  </si>
  <si>
    <t>Fluorescent, (2) 48" T-8 lamps, (2) 1-lamp Instant Start Ballasts, RLO (BF&lt; 0.85)</t>
  </si>
  <si>
    <t>F42ILL/T4</t>
  </si>
  <si>
    <t>Fluorescent, (2) 48", T-8 lamps, Tandem 4-lamp IS Ballast, NLO (0.85 &lt; BF &lt; 0.95)</t>
  </si>
  <si>
    <t>F42ILL/T4-R</t>
  </si>
  <si>
    <t>Fluorescent, (2) 48", T-8 lamps, Tandem 4-lamp IS Ballast, RLO (BF&lt; 0.85)</t>
  </si>
  <si>
    <t>F42ILU</t>
  </si>
  <si>
    <t>F42ILU-H</t>
  </si>
  <si>
    <t>F42ILU-R</t>
  </si>
  <si>
    <t>Fluorescent, (2) 48", T-8 lamps, Instant Start, RLO (BF&lt; 0.85)</t>
  </si>
  <si>
    <t>F42ILU-V</t>
  </si>
  <si>
    <t>Fluorescent, (2) 48", T-8 lamps, Instant Start, VHLO (BF&gt; 1.1)</t>
  </si>
  <si>
    <t>F42ILU/T4</t>
  </si>
  <si>
    <t>F42ILU/T4-R</t>
  </si>
  <si>
    <t>F42LE</t>
  </si>
  <si>
    <t>Fluorescent, (2) 48", T-8 lamp</t>
  </si>
  <si>
    <t>F42LL</t>
  </si>
  <si>
    <t>Fluorescent, (2) 48", T-8 lamps, Rapid Start Ballast, NLO (0.85 &lt; BF &lt; 0.95)</t>
  </si>
  <si>
    <t>F42LL-H</t>
  </si>
  <si>
    <t>Fluorescent, (2) 48", T-8 lamp, Rapid Start Ballast, HLO (0.95 &lt; BF &lt; 1.1)</t>
  </si>
  <si>
    <t>F42LL-R</t>
  </si>
  <si>
    <t>Fluorescent, (2) 48", T-8 lamp, Rapid Start Ballast, RLO (BF&lt; 0.85)</t>
  </si>
  <si>
    <t>F42LL-V</t>
  </si>
  <si>
    <t>Fluorescent, (2) 48", T-8 lamp, Rapid Start Ballast, VHLO (BF &gt; 1.1)</t>
  </si>
  <si>
    <t>F42LL/2</t>
  </si>
  <si>
    <t>Fluorescent, (2) 48", T-8 lamps, (2) 1-lamp Rapid Start Ballasts, NLO (0.85 &lt; BF &lt; 0.95)</t>
  </si>
  <si>
    <t>F42LL/T4</t>
  </si>
  <si>
    <t>Fluorescent, (2) 48", T-8 lamps, Tandem 4-lamp RS Ballast, NLO (0.85 &lt; BF &lt; 0.95)</t>
  </si>
  <si>
    <t>F42LL/T4-R</t>
  </si>
  <si>
    <t>Fluorescent, (2) 48", T-8 lamp, Tandem 4-lamp RS Ballast, RLO (BF&lt; 0.85)</t>
  </si>
  <si>
    <t>F43GLL</t>
  </si>
  <si>
    <t>Fluorescent (3) 48" T-8 lamps, Prog. Start or PRS Ballast, NLO (0.85 &lt; BF &lt; 0.95)</t>
  </si>
  <si>
    <t>F43GLL-R</t>
  </si>
  <si>
    <t>Fluorescent (3) 48" T-8 lamps, Prog. Start or PRS Ballast, RLO (BF &lt; 0.85)</t>
  </si>
  <si>
    <t>F43GLL-V</t>
  </si>
  <si>
    <t>Fluorescent, (3) 48" T-8 lamps, Prog. Start or PRS Ballast, VHLO (BF &gt; 1.1)</t>
  </si>
  <si>
    <t>F43ILL</t>
  </si>
  <si>
    <t>Fluorescent, (3) 48" T-8 lamps, Instant Start Ballast, NLO (0.85 &lt; BF &lt; 0.95)</t>
  </si>
  <si>
    <t>F43ILL-H</t>
  </si>
  <si>
    <t>Fluorescent, (3) 48" T-8 lamps, Instant Start Ballast, HLO (0.95 &lt; BF &lt; 1.1)</t>
  </si>
  <si>
    <t>F43ILL-R</t>
  </si>
  <si>
    <t>Fluorescent, (3) 48" T-8 lamps, Instant Start Ballast, RLO (BF &lt; 0.85)</t>
  </si>
  <si>
    <t>F43ILL-V</t>
  </si>
  <si>
    <t>Fluorescent, (3) 48" T-8 lamps, Instant Start Ballast, VHLO (BF &gt; 1.1)</t>
  </si>
  <si>
    <t>F43ILL/2</t>
  </si>
  <si>
    <t>Fluorescent, (3) 48" T-8 lamps, (2) Instant Start Ballasts, NLO (0.85 &lt; BF &lt; 0.95)</t>
  </si>
  <si>
    <t>F43ILL/2-H</t>
  </si>
  <si>
    <t>Fluorescent (3) 48" T-8 lamps, (1) 2-lamp and (1) 3-lamp IS Ballast,1 lead capped, HLO (0.95 &lt; BF &lt; 1.1)</t>
  </si>
  <si>
    <t>F43ILL/2-R</t>
  </si>
  <si>
    <t>Fluorescent, (3) 48" T-8 lamps, (1) 1-lamp and (1) 2-lamp IS Ballast, RLO (BF &lt; 0.85)</t>
  </si>
  <si>
    <t>F43ILU</t>
  </si>
  <si>
    <t>F43ILU-H</t>
  </si>
  <si>
    <t>Fluorescent, (3) 48", T-8 lamp, Instant Start Ballast, HLO (0.95 &lt; BF &lt; 1.1)</t>
  </si>
  <si>
    <t>F43ILU-R</t>
  </si>
  <si>
    <t>F43ILU-V</t>
  </si>
  <si>
    <t>F43LE</t>
  </si>
  <si>
    <t>Fluorescent, (3) 48", T-8 lamp</t>
  </si>
  <si>
    <t>F43LL</t>
  </si>
  <si>
    <t>Fluorescent, (3) 48", T-8 lamps, Rapid Start Ballast, NLO (0.85 &lt; BF &lt; 0.95)</t>
  </si>
  <si>
    <t>F43LL-H</t>
  </si>
  <si>
    <t>Fluorescent, (3) 48", T-8 lamp, Rapid Start Ballast, HLO (.95 &lt; BF &lt; 1.1)</t>
  </si>
  <si>
    <t>F43LL-R</t>
  </si>
  <si>
    <t>Fluorescent, (3) 48", T-8 lamp, Rapid Start Ballast, RLO (BF &lt; 0.85)</t>
  </si>
  <si>
    <t>F43LL/2</t>
  </si>
  <si>
    <t>Fluorescent, (3) 48", T-8 lamps, (1) 1-lamp and (1) 2-lamp RS Ballast, NLO (0.85 &lt; BF &lt; 0.95)</t>
  </si>
  <si>
    <t>F44GLL</t>
  </si>
  <si>
    <t>Fluorescent (4) 48" T-8 lamps, Prog. Start or PRS Ballast, NLO (0.85 &lt; BF &lt; 0.95)</t>
  </si>
  <si>
    <t>F44GLL-R</t>
  </si>
  <si>
    <t>Fluorescent (4) 48" T-8 lamps, Prog. Start or PRS Ballast, RLO (BF &lt; 0.85)</t>
  </si>
  <si>
    <t>F44GLL-V</t>
  </si>
  <si>
    <t>Fluorescent, (4) 48" T-8 lamps, Prog. Start or PRS Ballast, VHLO (BF &gt; 1.1)</t>
  </si>
  <si>
    <t>F44ILL</t>
  </si>
  <si>
    <t>Fluorescent, (4) 48", T-8 lamps, Instant Start Ballast, NLO (0.85 &lt; BF &lt; 0.95)</t>
  </si>
  <si>
    <t>F44ILL-R</t>
  </si>
  <si>
    <t>Fluorescent, (4) 48", T-8 lamps, Instant Start Ballast, RLO (BF &lt; 0.85)</t>
  </si>
  <si>
    <t>F44ILL-V</t>
  </si>
  <si>
    <t>Fluorescent, (4) 48", T-8 lamps, Instant Start Ballast, VHLO (BF &gt; 1.1)</t>
  </si>
  <si>
    <t>F44ILL/2</t>
  </si>
  <si>
    <t>Fluorescent, (4) 48", T-8 lamps, (2) 2-lamp IS Ballasts, NLO (0.85 &lt; BF &lt; 0.95)</t>
  </si>
  <si>
    <t>F44ILL/2-H</t>
  </si>
  <si>
    <t>Fluorescent, (4) 48", T-8 lamps, (2) 3-lamp IS Ballasts, 1 lead capped, HLO (.95 &lt; BF &lt; 1.1)</t>
  </si>
  <si>
    <t>F44ILL/2-R</t>
  </si>
  <si>
    <t>Fluorescent, (4) 48", T-8 lamps, (2) 2-lamp IS Ballasts, RLO (BF &lt; 0.85)</t>
  </si>
  <si>
    <t>F44ILL/2-V</t>
  </si>
  <si>
    <t>Fluorescent, (4) 48", T-8 lamps, (2) 2-lamp IS Ballasts, VHLO (BF &gt; 1.1)</t>
  </si>
  <si>
    <t>F44ILU</t>
  </si>
  <si>
    <t>F44ILU-H</t>
  </si>
  <si>
    <t>Fluorescent, (4) 48", T-8 lamp, Instant Start Ballast, HLO (0.95 &lt; BF &lt; 1.1)</t>
  </si>
  <si>
    <t>F44ILU-R</t>
  </si>
  <si>
    <t>F44ILU-V</t>
  </si>
  <si>
    <t>F44LE</t>
  </si>
  <si>
    <t>Fluorescent, (4) 48", T-8 lamps</t>
  </si>
  <si>
    <t>F44LL</t>
  </si>
  <si>
    <t>Fluorescent, (4) 48", T-8 lamps, Rapid Start Ballast, NLO (0.85 &lt; BF &lt; 0.95)</t>
  </si>
  <si>
    <t>F44LL-R</t>
  </si>
  <si>
    <t>Fluorescent, (4) 48", T-8 lamps, Rapid Start Ballast, RLO (BF &lt; 0.85)</t>
  </si>
  <si>
    <t>F44LL/2</t>
  </si>
  <si>
    <t>Fluorescent, (4) 48", T-8 lamps, (2) 2-lamp Rapid Start Ballast, NLO (0.85 &lt; BF &lt; 0.95)</t>
  </si>
  <si>
    <t>F45ILL/2</t>
  </si>
  <si>
    <t>Fluorescent, (5) 48", T-8 lamps, (1) 3-lamp and (1) 2-lamp IS ballast, NLO (0.85 &lt; BF &lt; 0.95)</t>
  </si>
  <si>
    <t>F45GLL/2-V</t>
  </si>
  <si>
    <t>Fluorescent, (5) 48", T-8 lamps, (1) 3-lamp and (1) 2-lamp Prog. Start Ballast, VHLO (BF &gt; 1.1)</t>
  </si>
  <si>
    <t>F46GLL/2</t>
  </si>
  <si>
    <t>Fluorescent (6) 48" T-8 lamps, (2) Prog. Start or PRS Ballasts, NLO (0.85 &lt; BF &lt; 0.95)</t>
  </si>
  <si>
    <t>F46GLL/2-R</t>
  </si>
  <si>
    <t>Fluorescent (6) 48" T-8 lamps, (2) Prog. Start or PRS Ballasts, RLO (BF &lt; 0.85)</t>
  </si>
  <si>
    <t>F46GLL/2-V</t>
  </si>
  <si>
    <t>Fluorescent (6) 48" T-8 lamps, (2) Prog. Start or PRS Ballasts, VHLO (BF &gt; 1.1)</t>
  </si>
  <si>
    <t>F46ILL/2</t>
  </si>
  <si>
    <t>Fluorescent, (6) 48", T-8 lamps, (2) IS Ballasts, NLO (0.85 &lt; BF &lt; 0.95)</t>
  </si>
  <si>
    <t>F46ILL/2-R</t>
  </si>
  <si>
    <t>Fluorescent, (6) 48", T-8 lamps, (2) IS Ballasts, RLO (BF &lt; 0.85)</t>
  </si>
  <si>
    <t>F46ILL/2-V</t>
  </si>
  <si>
    <t>Fluorescent (6) 48" T-8 lamps, (2) IS Ballasts, VHLO (BF &gt; 1.1)</t>
  </si>
  <si>
    <t>F46ILU/2</t>
  </si>
  <si>
    <t>Fluorescent (6) 48" T-8 lamps, (2) IS Ballasts, NLO (0.85 &lt; BF &lt; 0.95)</t>
  </si>
  <si>
    <t>F46ILU/2-R</t>
  </si>
  <si>
    <t>Fluorescent (6) 48" T-8 lamps, (2) IS Ballasts, RLO (BF &lt; 0.85)</t>
  </si>
  <si>
    <t>F46ILU/2-V</t>
  </si>
  <si>
    <t>F46LL/2</t>
  </si>
  <si>
    <t>Fluorescent, (6) 48", T-8 lamps, (2) Rapid Start Ballasts, NLO (0.85 &lt; BF &lt; 0.95)</t>
  </si>
  <si>
    <t>F48GLL/2</t>
  </si>
  <si>
    <t>Fluorescent (8) 48" T-8 lamps, (2) Prog. Start or PRS Ballasts, NLO (0.85 &lt; BF &lt; 0.95)</t>
  </si>
  <si>
    <t>F48GLL/2-R</t>
  </si>
  <si>
    <t>Fluorescent (8) 48" T-8 lamps, (2) Prog. Start or PRS Ballasts, RLO (BF &lt; 0.85)</t>
  </si>
  <si>
    <t>F48GLL/2-V</t>
  </si>
  <si>
    <t>Fluorescent (8) 48" T-8 lamps, (2) Prog. Start or PRS Ballasts, VHLO (BF &gt; 1.1)</t>
  </si>
  <si>
    <t>F48ILL/2</t>
  </si>
  <si>
    <t>Fluorescent, (8) 48", T-8 lamps, (2) 4-lamp IS Ballasts, NLO (0.85 &lt; BF &lt; 0.95)</t>
  </si>
  <si>
    <t>F48ILL/2-R</t>
  </si>
  <si>
    <t>Fluorescent, (8) 48", T-8 lamps, (2) 4-lamp IS Ballasts, RLO (BF &lt; 0.85)</t>
  </si>
  <si>
    <t>F48ILU/2</t>
  </si>
  <si>
    <t>F48ILU/2-R</t>
  </si>
  <si>
    <t>F48ILU/2-V</t>
  </si>
  <si>
    <t>Fluorescent, (8) 48", T-8 lamps, (2) 4-lamp IS Ballasts, VHLO (BF &gt; 1.1)</t>
  </si>
  <si>
    <t>F41GNLL</t>
  </si>
  <si>
    <t>Fluorescent (1) 48" T-8 @ 25W lamp, Prog. Start or PRS Ballast, NLO (0.85 &lt; BF &lt; 0.95)</t>
  </si>
  <si>
    <t>F41GNLL-R</t>
  </si>
  <si>
    <t>Fluorescent (1) 48" T-8 @ 25W lamp, Prog. Start or PRS Ballast, RLO (BF&lt; 0.85)</t>
  </si>
  <si>
    <t>F41INLL</t>
  </si>
  <si>
    <t>Fluorescent, (1) 48", T-8 @ 25W lamps, Instant Start Ballast, NLO (0.85 &lt; BF &lt; 0.95)</t>
  </si>
  <si>
    <t>F41INLU</t>
  </si>
  <si>
    <t>Fluorescent, (1), T-8 @ 25W lamp, Instant Start Ballast, NLO (0.85 &lt; BF &lt; 0.95)</t>
  </si>
  <si>
    <t>F41INLU-R</t>
  </si>
  <si>
    <t>Fluorescent, (1), T-8 @ 25W lamp, Instant Start Ballast, RLO (BF&lt; 0.85)</t>
  </si>
  <si>
    <t>F41INLU-V</t>
  </si>
  <si>
    <t>Fluorescent, (1), T-8 @ 25W lamp, Instant Start Ballast, VHLO (BF &gt; 1.1)</t>
  </si>
  <si>
    <t>F41INLU/T3-R</t>
  </si>
  <si>
    <t>Fluorescent, (1) 48", T-8 @ 25W lamp, Tandem 3-lamp IS Ballast, RLO (BF&lt; 0.85)</t>
  </si>
  <si>
    <t>F41INLU/T4-R</t>
  </si>
  <si>
    <t>Fluorescent, (1) 48", T-8 @ 25W lamp, Tandem 4-lamp IS Ballast, RLO (BF&lt; 0.85)</t>
  </si>
  <si>
    <t>F42GNLL</t>
  </si>
  <si>
    <t>Fluorescent (2) 48" T-8 @ 25W lamps, Prog. Start or PRS Ballast, NLO (0.85 &lt; BF &lt; 0.95)</t>
  </si>
  <si>
    <t>F42GNLL-R</t>
  </si>
  <si>
    <t>Fluorescent (2) 48" T-8 @ 25W lamps, Prog. Start or PRS Ballast, RLO (BF&lt; 0.85)</t>
  </si>
  <si>
    <t>F42INLL</t>
  </si>
  <si>
    <t>Fluorescent, (2) 48", T-8 @ 25W lamps, Instant Start Ballast, NLO (0.85 &lt; BF &lt; 0.95)</t>
  </si>
  <si>
    <t>F42INLL-V</t>
  </si>
  <si>
    <t>Fluorescent, (2) 48" T-8 @ 25W lamps, Instant Start Ballast, VHLO (BF &gt; 1.1)</t>
  </si>
  <si>
    <t>F42INLU</t>
  </si>
  <si>
    <t>Fluorescent, (2), T-8 @ 25W lamps, Instant Start Ballast, NLO (0.85 &lt; BF &lt; 0.95)</t>
  </si>
  <si>
    <t>F42INLU-R</t>
  </si>
  <si>
    <t>Fluorescent (2) 48" T8 @ 25W lamps, Instant Start Ballast, RLO (BF&lt; 0.85)</t>
  </si>
  <si>
    <t>F42INLU-V</t>
  </si>
  <si>
    <t>Fluorescent, (2) 48", T-8 @ 25W lamps, Instant Start Ballast, VHLO (BF &gt; 1.1)</t>
  </si>
  <si>
    <t>F42INLU/T4-R</t>
  </si>
  <si>
    <t>Fluorescent, (2) 48", T-8 @ 25W lamps, Tandem 4-lamp IS Ballast, RLO (BF&lt; 0.85)</t>
  </si>
  <si>
    <t>F43GNLL</t>
  </si>
  <si>
    <t>Fluorescent (3) 48" T-8 @ 25W lamps, Prog. Start or PRS Ballast, NLO (0.85 &lt; BF &lt; 0.95)</t>
  </si>
  <si>
    <t>F43GNLL-R</t>
  </si>
  <si>
    <t>Fluorescent, (3) 48" T-8 @ 25W lamps, Prog. Start or PRS Ballast, RLO (BF &lt; 0.85)</t>
  </si>
  <si>
    <t>F43INLL</t>
  </si>
  <si>
    <t>Fluorescent, (3) 48" T-8 @ 25W lamps, Instant Start Ballast, NLO (0.85 &lt; BF &lt; 0.95)</t>
  </si>
  <si>
    <t>F43INLL-V</t>
  </si>
  <si>
    <t>Fluorescent, (3) 48" T-8 @ 25W lamps, Instant Start Ballast, VHLO (BF &gt; 1.1)</t>
  </si>
  <si>
    <t>F43INLU</t>
  </si>
  <si>
    <t>Fluorescent, (3) 48" T-8 lamps @ 25W, Instant Start Ballast, NLO (0.85 &lt; BF &lt; 0.95)</t>
  </si>
  <si>
    <t>F43INLU-R</t>
  </si>
  <si>
    <t>Fluorescent, (3) 48" T-8 @ 25W lamps, Instant Start Ballast, RLO (BF &lt; 0.85)</t>
  </si>
  <si>
    <t>F43INLU-V</t>
  </si>
  <si>
    <t>F44GNLL</t>
  </si>
  <si>
    <t>Fluorescent (4) 48" T-8 @ 25W lamps, Prog. Start or PRS Ballast, NLO (0.85 &lt; BF &lt; 0.95)</t>
  </si>
  <si>
    <t>F44GNLL-R</t>
  </si>
  <si>
    <t>Fluorescent (4) 48" T-8 @ 25W lamps, Prog. Start or PRS Ballast, RLO (BF &lt; 0.85)</t>
  </si>
  <si>
    <t>F44INLL</t>
  </si>
  <si>
    <t>Fluorescent, (4) 48", T-8 @ 25W lamps, Instant Start Ballast, NLO (0.85 &lt; BF &lt; 0.95)</t>
  </si>
  <si>
    <t>F44INLU</t>
  </si>
  <si>
    <t>F44INLU-R</t>
  </si>
  <si>
    <t>Fluorescent, (4) 48" T-8 @ 25W lamps, Instant Start Ballast, RLO (BF &lt; 0.85)</t>
  </si>
  <si>
    <t>F44INLU-V</t>
  </si>
  <si>
    <t>Fluorescent, (4) 48" T-8 @ 25W lamps, Instant Start Ballast, VHLO (BF &gt; 1.1)</t>
  </si>
  <si>
    <t>F46INLU/2-R</t>
  </si>
  <si>
    <t>Fluorescent (6) 48" T-8 @ 25W lamps, (2) IS Ballasts, RLO (BF &lt; 0.85)</t>
  </si>
  <si>
    <t>F46INLU/2-V</t>
  </si>
  <si>
    <t>Fluorescent (6) 48" T-8 @ 25W lamps, (2) IS Ballasts, VHLO (BF &gt; 1.1)</t>
  </si>
  <si>
    <t>F41GRLL</t>
  </si>
  <si>
    <t>Fluorescent (1) 48" T-8 @ 28W lamp, Prog. Start or PRS Ballast, NLO (0.85 &lt; BF &lt; 0.95)</t>
  </si>
  <si>
    <t>F41GRLL-R</t>
  </si>
  <si>
    <t>Fluorescent (1) 48" T-8 @ 28W lamp, Prog. Start or PRS Ballast, RLO (BF&lt; 0.85)</t>
  </si>
  <si>
    <t>F41IRLL</t>
  </si>
  <si>
    <t>Fluorescent, (1) 48" T-8 @ 28W lamp, Instant Start Ballast, NLO (0.85 &lt; BF &lt; 0.95)</t>
  </si>
  <si>
    <t>F41IRLL-V</t>
  </si>
  <si>
    <t>Fluorescent, (1) 48" T-8 @ 28W lamp, Instant Start Ballast, VHLO (BF &gt; 1.1)</t>
  </si>
  <si>
    <t>F41IRLU</t>
  </si>
  <si>
    <t>Fluorescent, (1), T-8 @ 28W lamp, Instant Start Ballast, NLO (0.85 &lt; BF &lt; 0.95)</t>
  </si>
  <si>
    <t>F41IRLU-R</t>
  </si>
  <si>
    <t>Fluorescent, (1), T-8 @ 28W lamp, Instant Start Ballast, RLO (BF&lt; 0.85)</t>
  </si>
  <si>
    <t>F41IRLU-V</t>
  </si>
  <si>
    <t>Fluorescent, (1), T-8 @ 28W lamp, Instant Start Ballast, VHLO (BF &gt; 1.1)</t>
  </si>
  <si>
    <t>F41IRLU/T3-R</t>
  </si>
  <si>
    <t>Fluorescent, (1) 48", T-8 @ 28W lamp, Tandem 3-lamp IS Ballast, RLO (BF&lt; 0.85)</t>
  </si>
  <si>
    <t>F41IRLU/T4-R</t>
  </si>
  <si>
    <t>Fluorescent, (1) 48", T-8 @ 28W lamp, Tandem 4-lamp IS Ballast, RLO (BF&lt; 0.85)</t>
  </si>
  <si>
    <t>F42GRLL</t>
  </si>
  <si>
    <t>Fluorescent (2) 48" T-8 @ 28W lamps, Prog. Start or PRS Ballast, NLO (0.85 &lt; BF &lt; 0.95)</t>
  </si>
  <si>
    <t>F42GRLL-R</t>
  </si>
  <si>
    <t>Fluorescent (2) 48" T-8 @ 28W lamps, Prog. Start or PRS Ballast, RLO (BF&lt; 0.85)</t>
  </si>
  <si>
    <t>F42IRLL</t>
  </si>
  <si>
    <t>Fluorescent, (2) 48", T-8 @ 28W lamps, Instant Start Ballast, NLO (0.85 &lt; BF &lt; 0.95)</t>
  </si>
  <si>
    <t>F42IRLL-V</t>
  </si>
  <si>
    <t>Fluorescent, (2) 48" T-8 @ 28W lamps, Instant Start Ballast, VHLO (BF &gt; 1.1)</t>
  </si>
  <si>
    <t>F42IRLU</t>
  </si>
  <si>
    <t>Fluorescent, (2), T-8 @ 28W lamps, Instant Start Ballast, NLO (0.85 &lt; BF &lt; 0.95)</t>
  </si>
  <si>
    <t>F42IRLU-R</t>
  </si>
  <si>
    <t>Fluorescent, (2) 48", T-8 @ 28W lamps, Instant Start Ballast, RLO (BF&lt; 0.85)</t>
  </si>
  <si>
    <t>F42IRLU-V</t>
  </si>
  <si>
    <t>Fluorescent, (2) 48", T-8 @ 28W lamps, Instant Start Ballast, VHLO (BF &gt; 1.1)</t>
  </si>
  <si>
    <t>F42IRLU/T4-R</t>
  </si>
  <si>
    <t>Fluorescent, (2) 48", T-8 @ 28W lamps, Tandem 4-lamp IS Ballast, RLO (BF&lt; 0.85)</t>
  </si>
  <si>
    <t>F43GRLL</t>
  </si>
  <si>
    <t>Fluorescent (3) 48" T-8 @ 28W lamps, Prog. Start or PRS Ballast, NLO (0.85 &lt; BF &lt; 0.95)</t>
  </si>
  <si>
    <t>F43GRLL-R</t>
  </si>
  <si>
    <t>Fluorescent, (3) 48" T-8 @ 28W lamps, Prog. Start or PRS Ballast, RLO (BF &lt; 0.85)</t>
  </si>
  <si>
    <t>F43IRLL</t>
  </si>
  <si>
    <t>Fluorescent, (3) 48" T-8 @ 28W lamps, Instant Start Ballast, NLO (0.85 &lt; BF &lt; 0.95)</t>
  </si>
  <si>
    <t>F43IRLL-H</t>
  </si>
  <si>
    <t>Fluorescent, (3) 48" T-8 @ 28W lamps, Instant Start Ballast, HLO (.95 &lt; BF &lt; 1.1)</t>
  </si>
  <si>
    <t>F43IRLL-V</t>
  </si>
  <si>
    <t>Fluorescent, (3) 48" T-8 @ 28W lamps, Instant Start Ballast, VHLO (BF &gt; 1.1)</t>
  </si>
  <si>
    <t>F43IRLU</t>
  </si>
  <si>
    <t>Fluorescent, (3) 48" T-8 lamps @ 28W, Instant Start Ballast, NLO (0.85 &lt; BF &lt; 0.95)</t>
  </si>
  <si>
    <t>F43IRLU-R</t>
  </si>
  <si>
    <t>Fluorescent, (3) 48" T-8 @ 28W lamps, Instant Start Ballast, RLO (BF &lt; 0.85)</t>
  </si>
  <si>
    <t>F43IRLU-V</t>
  </si>
  <si>
    <t>F44GRLL</t>
  </si>
  <si>
    <t>Fluorescent (4) 48" T-8 @ 28W lamps, Prog. Start or PRS Ballast, NLO (0.85 &lt; BF &lt; 0.95)</t>
  </si>
  <si>
    <t>F44GRLL-R</t>
  </si>
  <si>
    <t>Fluorescent (4) 48" T-8 @ 28W lamps, Prog. Start or PRS Ballast, RLO (BF &lt; 0.85)</t>
  </si>
  <si>
    <t>F44IRLL</t>
  </si>
  <si>
    <t>Fluorescent, (4) 48", T-8 @ 28W lamps, Instant Start Ballast, NLO (0.85 &lt; BF &lt; 0.95)</t>
  </si>
  <si>
    <t>F44IRLL-R</t>
  </si>
  <si>
    <t>Fluorescent, (4) 48", T-8 @ 28W lamps, Instant Start Ballast, RLO (BF &lt; 0.85)</t>
  </si>
  <si>
    <t>F44IRLU</t>
  </si>
  <si>
    <t>F44IRLU-R</t>
  </si>
  <si>
    <t>Fluorescent, (4) 48" T-8 @ 28W lamps, Instant Start Ballast, RLO (BF &lt; 0.85)</t>
  </si>
  <si>
    <t>F44IRLU-V</t>
  </si>
  <si>
    <t>Fluorescent, (4) 48" T-8 @ 28W lamps, Instant Start Ballast, VHLO (BF &gt; 1.1)</t>
  </si>
  <si>
    <t>F46IRLU/2-R</t>
  </si>
  <si>
    <t>Fluorescent (6) 48" T-8 @ 28W lamps, (2) IS Ballasts, RLO (BF &lt; 0.85)</t>
  </si>
  <si>
    <t>F46IRLU/2-V</t>
  </si>
  <si>
    <t>Fluorescent (6) 48" T-8 @ 28W lamps, (2) IS Ballasts, VHLO (BF &gt; 1.1)</t>
  </si>
  <si>
    <t>F48IRLU/2-V</t>
  </si>
  <si>
    <t>Fluorescent (8) 48" T-8 @ 28W lamps, (2) IS Ballasts, VHLO (BF &gt; 1.1)</t>
  </si>
  <si>
    <t>F41GELL</t>
  </si>
  <si>
    <t>Fluorescent (1) 48" T-8 @ 30W lamp, Prog. Start or PRS Ballast, NLO (0.85 &lt; BF &lt; 0.95)</t>
  </si>
  <si>
    <t>F41GELL-R</t>
  </si>
  <si>
    <t>Fluorescent (1) 48" T-8 @ 30W lamp, Prog. Start or PRS Ballast, RLO (BF &lt; 0.85)</t>
  </si>
  <si>
    <t>F41IELL</t>
  </si>
  <si>
    <t>Fluorescent (1) 48" T-8 @ 30W lamp, Instant Start Ballast, NLO (0.85 &lt; BF &lt; 0.95)</t>
  </si>
  <si>
    <t>F41IELL-H</t>
  </si>
  <si>
    <t>Fluorescent (1) 48" T-8 @ 30W lamp, Instant Start Ballast, HLO (0.95 &lt; BF &lt; 1.1)</t>
  </si>
  <si>
    <t>F41IELL-R</t>
  </si>
  <si>
    <t>Fluorescent (1) 48" T-8 @ 30W lamp, Instant Start Ballast, RLO (BF &lt; 0.85)</t>
  </si>
  <si>
    <t>F41IELL/T2</t>
  </si>
  <si>
    <t>Fluorescent (1) 48" T-8 @ 30W lamp, Tandem 2-lamp IS Ballast, NLO (0.85 &lt; BF &lt; 0.95)</t>
  </si>
  <si>
    <t>F41IELL/T3</t>
  </si>
  <si>
    <t>Fluorescent (1) 48" T-8 @ 30W lamp, Tandem 3-lamp IS Ballast, NLO (0.85 &lt; BF &lt; 0.95)</t>
  </si>
  <si>
    <t>F41IELL/T4</t>
  </si>
  <si>
    <t>Fluorescent (1) 48" T-8 @ 30W lamp, Tandem 4-lamp IS Ballast, NLO (0.85 &lt; BF &lt; 0.95)</t>
  </si>
  <si>
    <t>F41IELU</t>
  </si>
  <si>
    <t>Fluorescent, (1) 48", T-8 @ 30W lamp, Instant Start Ballast, NLO (0.85 &lt; BF &lt; 0.95)</t>
  </si>
  <si>
    <t>F41IELU-H</t>
  </si>
  <si>
    <t>F41IELU-R</t>
  </si>
  <si>
    <t>Fluorescent (1) 48" T-8 @ 30W lamp, Instant Start Ballast, RLO (BF&lt; 0.85)</t>
  </si>
  <si>
    <t>F41IELU/T2</t>
  </si>
  <si>
    <t>F41IELU/T2-R</t>
  </si>
  <si>
    <t>Fluorescent (1) 48" T-8 @ 30W lamp, Tandem 2-lamp IS Ballast, RLO (BF&lt; 0.85)</t>
  </si>
  <si>
    <t>F41IELU/T3</t>
  </si>
  <si>
    <t>F41IELU/T3-R</t>
  </si>
  <si>
    <t>Fluorescent (1) 48" T-8 @ 30W lamp, Tandem 3-lamp IS Ballast, RLO (BF&lt; 0.85)</t>
  </si>
  <si>
    <t>F41IELU/T4</t>
  </si>
  <si>
    <t>F41IELU/T4-R</t>
  </si>
  <si>
    <t>Fluorescent (1) 48" T-8 @ 30W lamp, Tandem 4-lamp IS Ballast, RLO (BF&lt; 0.85)</t>
  </si>
  <si>
    <t>F42GELL</t>
  </si>
  <si>
    <t>Fluorescent (2) 48" T-8 @ 30W lamps, Prog. Start or PRS Ballast, NLO (0.85 &lt; BF &lt; 0.95)</t>
  </si>
  <si>
    <t>F42GELL-R</t>
  </si>
  <si>
    <t>Fluorescent (2) 48" T-8 @ 30W lamps, Prog. Start or PRS Ballast, RLO (BF &lt; 0.85)</t>
  </si>
  <si>
    <t>F42IELL</t>
  </si>
  <si>
    <t>Fluorescent (2) 48" T-8 @ 30W lamps, Instant Start Ballast, NLO (0.85 &lt; BF &lt; 0.95)</t>
  </si>
  <si>
    <t>F42IELL-H</t>
  </si>
  <si>
    <t>Fluorescent (2) 48" T-8 @ 30W lamps, Instant Start Ballast, HLO (0.95 &lt; BF &lt; 1.1)</t>
  </si>
  <si>
    <t>F42IELL-R</t>
  </si>
  <si>
    <t>Fluorescent (2) 48" T-8 @ 30W lamps, Instant Start Ballast, RLO (BF&lt; 0.85)</t>
  </si>
  <si>
    <t>F42IELL/T4</t>
  </si>
  <si>
    <t>Fluorescent (4) 48" T-8 @ 30W lamps, Tandem 4-lamp IS Ballast, NLO (0.85 &lt; BF &lt; 0.95)</t>
  </si>
  <si>
    <t>F42IELL/T4-R</t>
  </si>
  <si>
    <t>Fluorescent (4) 48" T-8 @ 30W lamps, Tandem 4-lamp IS Ballast, RLO (BF&lt; 0.85)</t>
  </si>
  <si>
    <t>F42IELU</t>
  </si>
  <si>
    <t>F42IELU-R</t>
  </si>
  <si>
    <t>Fluorescent (2) 48" T-8 @ 30W lamps, Instant Start, RLO (BF&lt; 0.85)</t>
  </si>
  <si>
    <t>F42IELU-V</t>
  </si>
  <si>
    <t>Fluorescent (2) 48" T-8 @ 30W lamps, Instant Start, VHLO (BF &gt; 1.1)</t>
  </si>
  <si>
    <t>F42IELU/T4</t>
  </si>
  <si>
    <t>Fluorescent (2) 48" T-8 @ 30W lamps, Tandem 4-lamp IS Ballast, NLO (0.85 &lt; BF &lt; 0.95)</t>
  </si>
  <si>
    <t>F42IELU/T4-R</t>
  </si>
  <si>
    <t>Fluorescent (2) 48" T-8 @ 30W lamps, Tandem 4-lamp IS Ballast, RLO (BF&lt; 0.85)</t>
  </si>
  <si>
    <t>F43GELL</t>
  </si>
  <si>
    <t>Fluorescent (3) 48" T-8 @ 30W lamps, Prog. Start or PRS Ballast, NLO (0.85 &lt; BF &lt; 0.95)</t>
  </si>
  <si>
    <t>F43GELL-R</t>
  </si>
  <si>
    <t>Fluorescent (3) 48" T-8 @ 30W lamps, Prog. Start or PRS Ballast, RLO (BF &lt; 0.85)</t>
  </si>
  <si>
    <t>F43IELL</t>
  </si>
  <si>
    <t>Fluorescent (3) 48" T-8 @ 30 W lamps, Instant Start Ballast, NLO (0.85 &lt; BF &lt; 0.95)</t>
  </si>
  <si>
    <t>F43IELL-H</t>
  </si>
  <si>
    <t>Fluorescent (3) 48" T-8 @ 30 W lamps, Instant Start Ballast, HLO (0.95 &lt; BF &lt; 1.1)</t>
  </si>
  <si>
    <t>F43IELL-R</t>
  </si>
  <si>
    <t>Fluorescent (3) 48" T-8 @ 30 W lamps, Instant Start Ballast, RLO (BF &lt; 0.85)</t>
  </si>
  <si>
    <t>F43IELL/2</t>
  </si>
  <si>
    <t>Fluorescent (3) 48" T-8 @ 30 W lamps, (1) 1-lamp and (1) 2-lamp IS Ballast, NLO (0.85 &lt; BF &lt; 0.95)</t>
  </si>
  <si>
    <t>F43IELL/2-H</t>
  </si>
  <si>
    <t>Fluorescent (3) 48" T-8 @ 30 W lamps, (1) 2-lamp, (1) 3-lamp IS Ballast, 1 lead capped, HLO (0.95 &lt; BF &lt; 1.1)</t>
  </si>
  <si>
    <t>F43IELL/2-R</t>
  </si>
  <si>
    <t>Fluorescent (3) 48" T-8 @ 30 W lamps, (1) 1-lamp and (1) 2-lamp IS Ballast, RLO (BF &lt; 0.85)</t>
  </si>
  <si>
    <t>F43IELU</t>
  </si>
  <si>
    <t>Fluorescent (3) 48" T-8 @ 30W lamps, Instant Start Ballast, NLO (0.85 &lt; BF &lt; 0.95)</t>
  </si>
  <si>
    <t>F43IELU-R</t>
  </si>
  <si>
    <t>Fluorescent (3) 48" T-8 @ 30W lamps, Instant Start Ballast, RLO (BF &lt; 0.85)</t>
  </si>
  <si>
    <t>F43IELU-V</t>
  </si>
  <si>
    <t>Fluorescent (3) 48" T-8 @ 30W lamps, Instant Start Ballast, VHLO (BF &gt; 1.1)</t>
  </si>
  <si>
    <t>F44GELL</t>
  </si>
  <si>
    <t>Fluorescent (4) 48" T-8 @ 30W lamps, Prog. Start or PRS Ballast, NLO (0.85 &lt; BF &lt; 0.95)</t>
  </si>
  <si>
    <t>F44GELL-R</t>
  </si>
  <si>
    <t>Fluorescent (4) 48" T-8 @ 30W lamps, Prog. Start or PRS Ballast, RLO (BF &lt; 0.85)</t>
  </si>
  <si>
    <t>F44IELL</t>
  </si>
  <si>
    <t>Fluorescent (4) 48" T-8 @ 30W lamps, Instant Start Ballast, NLO (0.85 &lt; BF &lt; 0.95)</t>
  </si>
  <si>
    <t>F44IELL-R</t>
  </si>
  <si>
    <t>Fluorescent (4) 48" T-8 @ 30W lamps, Instant Start Ballast, RLO (BF &lt; 0.85)</t>
  </si>
  <si>
    <t>F44IELL/2</t>
  </si>
  <si>
    <t>Fluorescent (4) 48" T-8 @ 30W lamps, (2) 2-lamp IS Ballasts, NLO (0.85 &lt; BF &lt; 0.95)</t>
  </si>
  <si>
    <t>F44IELL/2-H</t>
  </si>
  <si>
    <t>Fluorescent (4) 48" T-8 @ 30W lamps, (2) 3-lamp IS Ballasts, 1 lead capped, HLO (.95 &lt; BF &lt; 1.1)</t>
  </si>
  <si>
    <t>F44IELL/2-R</t>
  </si>
  <si>
    <t>Fluorescent (4) 48" T-8 @ 30W lamps, (2) 2-lamp IS Ballasts, RLO (BF&lt; 0.85)</t>
  </si>
  <si>
    <t>F44IELU</t>
  </si>
  <si>
    <t>F44IELU-R</t>
  </si>
  <si>
    <t>F46IELU/2</t>
  </si>
  <si>
    <t>Fluorescent (6) 48" T-8 @ 30W lamps, (2) IS Ballasts, NLO (0.85 &lt; BF &lt; 0.95)</t>
  </si>
  <si>
    <t>F46IELU/2-R</t>
  </si>
  <si>
    <t>Fluorescent (6) 48" T-8 @ 30W lamps, (2) IS Ballasts, RLO (BF &lt; 0.85)</t>
  </si>
  <si>
    <t>F51ILL</t>
  </si>
  <si>
    <t>Fluorescent, (1) 60", T-8 lamp, Instant Start Ballast, NLO (0.85 &lt; BF &lt; 0.95)</t>
  </si>
  <si>
    <t>F51ILL-R</t>
  </si>
  <si>
    <t>Fluorescent, (1) 60", T-8 lamp, Instant Start Ballast, RLO (BF &lt; 0.85)</t>
  </si>
  <si>
    <t>F51ILL/T2</t>
  </si>
  <si>
    <t>Fluorescent, (1) 60", T-8 lamp, Tandem 2-lamp IS Ballast, NLO (0.85 &lt; BF &lt; 0.95)</t>
  </si>
  <si>
    <t>F51ILL/T3</t>
  </si>
  <si>
    <t>Fluorescent, (1) 60", T-8 lamp, Tandem 3-lamp IS Ballast, NLO (0.85 &lt; BF &lt; 0.95)</t>
  </si>
  <si>
    <t>F51ILL/T4</t>
  </si>
  <si>
    <t>Fluorescent, (1) 60", T-8 lamp, Tandem 4-lamp IS Ballast, NLO (0.85 &lt; BF &lt; 0.95)</t>
  </si>
  <si>
    <t>F52ILL</t>
  </si>
  <si>
    <t>Fluorescent, (2) 60", T-8 lamps, Instant Start Ballast, NLO (0.85 &lt; BF &lt; 0.95)</t>
  </si>
  <si>
    <t>F52ILL-H</t>
  </si>
  <si>
    <t>Fluorescent, (2) 60", T-8 lamps, Instant Start Ballast, HILO (.95 &lt; BF &lt; 1.1)</t>
  </si>
  <si>
    <t>F52ILL-R</t>
  </si>
  <si>
    <t>Fluorescent, (2) 60", T-8 lamps, Instant Start Ballast, RLO (BF &lt; 0.85)</t>
  </si>
  <si>
    <t>F52ILL/T4</t>
  </si>
  <si>
    <t>Fluorescent, (2) 60", T-8 lamps, Tandem 4-lamp IS Ballast, NLO (0.85 &lt; BF &lt; 0.95)</t>
  </si>
  <si>
    <t>F53ILL</t>
  </si>
  <si>
    <t>Fluorescent, (3) 60", T-8 lamps, Instant Start Ballast, NLO (0.85 &lt; BF &lt; 0.95)</t>
  </si>
  <si>
    <t>F53ILL-H</t>
  </si>
  <si>
    <t>Fluorescent, (3) 60", T-8 lamps, Instant Start Ballast, HILO (.95 &lt; BF &lt; 1.1)</t>
  </si>
  <si>
    <t>F54ILL</t>
  </si>
  <si>
    <t>Fluorescent, (4) 60", T-8 lamps, Instant Start Ballast, NLO (0.85 &lt; BF &lt; 0.95)</t>
  </si>
  <si>
    <t>F54ILL-H</t>
  </si>
  <si>
    <t>Fluorescent, (4) 60", T-8 lamps, Instant Start Ballast, HLO (.95 &lt; BF &lt; 1.1)</t>
  </si>
  <si>
    <t>F41LHL</t>
  </si>
  <si>
    <t>Fluorescent, (1) 48", T-8 HO lamps, (1) Instant Start Ballast, NLO (0.85 &lt; BF &lt; 0.95)</t>
  </si>
  <si>
    <t>F42LHL</t>
  </si>
  <si>
    <t>Fluorescent, (2) 48", T-8 HO lamps, (1) Instant Start Ballast, NLO (0.85 &lt; BF &lt; 0.95)</t>
  </si>
  <si>
    <t>F43LHL</t>
  </si>
  <si>
    <t>Fluorescent, (3) 48", T-8 HO lamps, (2) Instant Start Ballasts, NLO (0.85 &lt; BF &lt; 0.95)</t>
  </si>
  <si>
    <t>F44LHL</t>
  </si>
  <si>
    <t>Fluorescent, (4) 48", T-8 HO lamps, (2) Instant Start Ballasts, NLO (0.85 &lt; BF &lt; 0.95)</t>
  </si>
  <si>
    <t>F81ILL</t>
  </si>
  <si>
    <t>Fluorescent, (1) 96", T-8 lamp, Instant Start Ballast, NLO (0.85 &lt; BF &lt; 0.95)</t>
  </si>
  <si>
    <t>F81ILL-H</t>
  </si>
  <si>
    <t>Fluorescent, (1) 96", T-8 lamp, Instant Start Ballast, HILO (.95 &lt; BF &lt; 1.1)</t>
  </si>
  <si>
    <t>F81ILL-R</t>
  </si>
  <si>
    <t>Fluorescent, (1) 96", T-8 lamp, Instant Start Ballast, RLO (BF &lt; 0.85)</t>
  </si>
  <si>
    <t>F81ILL-V</t>
  </si>
  <si>
    <t>Fluorescent, (1) 96", T-8 lamp, Instant Start Ballast, VHLO (BF &gt; 1.1)</t>
  </si>
  <si>
    <t>F81ILL/T2</t>
  </si>
  <si>
    <t>Fluorescent, (1) 96", T-8 lamp, Tandem 2-lamp IS Ballast, NLO (0.85 &lt; BF &lt; 0.95)</t>
  </si>
  <si>
    <t>F81ILL/T2-R</t>
  </si>
  <si>
    <t>Fluorescent, (1) 96", T-8 lamp, Tandem 2-lamp IS Ballast, RLO (BF &lt; 0.85)</t>
  </si>
  <si>
    <t>F81ILU</t>
  </si>
  <si>
    <t>Fluorescent, (1) 96" T-8 lamp, Instant Start Ballast, NLO (0.85 &lt; BF &lt; 0.95)</t>
  </si>
  <si>
    <t>F82ILL</t>
  </si>
  <si>
    <t>Fluorescent, (2) 96", T-8 lamps, Instant Start Ballast, NLO (0.85 &lt; BF &lt; 0.95)</t>
  </si>
  <si>
    <t>F82ILL-R</t>
  </si>
  <si>
    <t>Fluorescent, (2) 96", T-8 lamps, Instant Start Ballast, RLO (BF &lt; 0.85)</t>
  </si>
  <si>
    <t>F82ILL-V</t>
  </si>
  <si>
    <t>Fluorescent, (2) 96", T-8 lamps, Instant Start Ballast, VHLO (BF &gt; 1.1)</t>
  </si>
  <si>
    <t>F82ILU</t>
  </si>
  <si>
    <t>Fluorescent, (2) 96" T-8 ES lamps, Instant Start Ballast, NLO (0.85 &lt; BF &lt; 0.95)</t>
  </si>
  <si>
    <t>F83ILL</t>
  </si>
  <si>
    <t>Fluorescent, (3) 96", T-8 lamps, Instant Start Ballast, NLO (0.85 &lt; BF &lt; 0.95)</t>
  </si>
  <si>
    <t>F84ILL</t>
  </si>
  <si>
    <t>Fluorescent, (4) 96", T-8 lamps, Instant Start Ballast, NLO (0.85 &lt; BF &lt; 0.95)</t>
  </si>
  <si>
    <t>F84ILL/2-V</t>
  </si>
  <si>
    <t>Fluorescent, (4) 96", T-8 lamps, (2) Instant Start Ballasts, VHLO (BF &gt; 1.1)</t>
  </si>
  <si>
    <t>F86ILL</t>
  </si>
  <si>
    <t>Fluorescent, (6) 96", T-8 lamps, (2) 3-lamp IS Ballasts, NLO (0.85 &lt; BF &lt; 0.95)</t>
  </si>
  <si>
    <t>F81LHL/T2</t>
  </si>
  <si>
    <t>Fluorescent, (1) 96", T-8 HO lamp, Tandem 2-lamp Ballast</t>
  </si>
  <si>
    <t>F82LHL</t>
  </si>
  <si>
    <t>Fluorescent, (2) 96", T-8 HO lamps</t>
  </si>
  <si>
    <t>F84LHL</t>
  </si>
  <si>
    <t>Fluorescent, (4) 96", T-8 HO lamps</t>
  </si>
  <si>
    <t>F81IERU</t>
  </si>
  <si>
    <t>Fluorescent, (1) 96" T-8 reduced-wattage lamp, Instant Start Ballast, NLO (0.85 &lt; BF &lt; 0.95)</t>
  </si>
  <si>
    <t>F82IERU</t>
  </si>
  <si>
    <t>Fluorescent, (2) 96" T-8 @ reduced-wattage lamps, Instant Start Ballast, NLO (0.85 &lt; BF &lt; 0.95)</t>
  </si>
  <si>
    <t>F41T12</t>
  </si>
  <si>
    <t>T12 Linear Fluorescent (T8 Baseline)</t>
  </si>
  <si>
    <t>Fluorescent, (1) 48" T12 lamp (T8 Baseline)</t>
  </si>
  <si>
    <t>Mag/Elec</t>
  </si>
  <si>
    <t>F42T12</t>
  </si>
  <si>
    <t>Fluorescent, (2) 48" T12 lamps (T8 Baseline)</t>
  </si>
  <si>
    <t>F43T12</t>
  </si>
  <si>
    <t>Fluorescent, (3) 48" T12 lamps (T8 Baseline)</t>
  </si>
  <si>
    <t>F44T12</t>
  </si>
  <si>
    <t>Fluorescent, (4) 48" T12 lamps (T8 Baseline)</t>
  </si>
  <si>
    <t>F46T12</t>
  </si>
  <si>
    <t>Fluorescent, (6) 48" T12 lamps (T8 Baseline)</t>
  </si>
  <si>
    <t>F48T12</t>
  </si>
  <si>
    <t>Fluorescent, (8) 48" T12 lamps (T8 Baseline)</t>
  </si>
  <si>
    <t>F41T12-HO</t>
  </si>
  <si>
    <t>Fluorescent, (1) 48" T12 HO lamp (T8 Baseline)</t>
  </si>
  <si>
    <t>F42T12-HO</t>
  </si>
  <si>
    <t>Fluorescent, (2) 48" T12 HO lamps (T8 Baseline)</t>
  </si>
  <si>
    <t>F43T12-HO</t>
  </si>
  <si>
    <t>Fluorescent, (3) 48" T12 HO lamps (T8 Baseline)</t>
  </si>
  <si>
    <t>F44T12-HO</t>
  </si>
  <si>
    <t>Fluorescent, (4) 48" T12 HO lamps (T8 Baseline)</t>
  </si>
  <si>
    <t>F46T12-HO</t>
  </si>
  <si>
    <t>Fluorescent, (6) 48" T12 HO lamps (T8 Baseline)</t>
  </si>
  <si>
    <t>F48T12-HO</t>
  </si>
  <si>
    <t>Fluorescent, (8) 48" T12 HO lamps (T8 Baseline)</t>
  </si>
  <si>
    <t>F41T12-VHO</t>
  </si>
  <si>
    <t>Fluorescent, (1) 48" T12 VHO lamp (T8 Baseline)</t>
  </si>
  <si>
    <t>F42T12-VHO</t>
  </si>
  <si>
    <t>Fluorescent, (2) 48" T12 VHO lamps (T8 Baseline)</t>
  </si>
  <si>
    <t>F43T12-VHO</t>
  </si>
  <si>
    <t>Fluorescent, (3) 48" T12 VHO lamps (T8 Baseline)</t>
  </si>
  <si>
    <t>F44T12-VHO</t>
  </si>
  <si>
    <t>Fluorescent, (4) 48" T12 VHO lamps (T8 Baseline)</t>
  </si>
  <si>
    <t>F46T12-VHO</t>
  </si>
  <si>
    <t>Fluorescent, (6) 48" T12 VHO lamps (T8 Baseline)</t>
  </si>
  <si>
    <t>F48T12-VHO</t>
  </si>
  <si>
    <t>Fluorescent, (8) 48" T12 VHO lamps (T8 Baseline)</t>
  </si>
  <si>
    <t>F81T12</t>
  </si>
  <si>
    <t>Fluorescent, (1) 96", T12 lamp (T8 Baseline)</t>
  </si>
  <si>
    <t>F82T12</t>
  </si>
  <si>
    <t>Fluorescent, (2) 96", T12 lamps (T8 Baseline)</t>
  </si>
  <si>
    <t>F83T12</t>
  </si>
  <si>
    <t>Fluorescent, (3) 96", T12 lamps (T8 Baseline)</t>
  </si>
  <si>
    <t>F84T12</t>
  </si>
  <si>
    <t>Fluorescent, (4) 96", T12 lamps (T8 Baseline)</t>
  </si>
  <si>
    <t>F86T12</t>
  </si>
  <si>
    <t>Fluorescent, (6) 96", T12 lamps (T8 Baseline)</t>
  </si>
  <si>
    <t>F88T12</t>
  </si>
  <si>
    <t>Fluorescent, (8) 96", T12 lamps (T8 Baseline)</t>
  </si>
  <si>
    <t>F81T12-HO</t>
  </si>
  <si>
    <t>Fluorescent, (1) 96", T12 HO lamp (T8 Baseline)</t>
  </si>
  <si>
    <t>F82T12-HO</t>
  </si>
  <si>
    <t>Fluorescent, (2) 96", T12 HO lamps (T8 Baseline)</t>
  </si>
  <si>
    <t>F83T12-HO</t>
  </si>
  <si>
    <t>Fluorescent, (3) 96", T12 HO lamps (T8 Baseline)</t>
  </si>
  <si>
    <t>F84T12-HO</t>
  </si>
  <si>
    <t>Fluorescent, (4) 96", T12 HO lamps (T8 Baseline)</t>
  </si>
  <si>
    <t>F86T12-HO</t>
  </si>
  <si>
    <t>Fluorescent, (6) 96", T12 HO lamps (T8 Baseline)</t>
  </si>
  <si>
    <t>F88T12-HO</t>
  </si>
  <si>
    <t>Fluorescent, (8) 96", T12 HO lamps (T8 Baseline)</t>
  </si>
  <si>
    <t>F81T12-VHO</t>
  </si>
  <si>
    <t>Fluorescent, (1) 96", T12 VHO lamp (T8 Baseline)</t>
  </si>
  <si>
    <t>F82T12-VHO</t>
  </si>
  <si>
    <t>Fluorescent, (2) 96", T12 VHO lamps (T8 Baseline)</t>
  </si>
  <si>
    <t>F83T12-VHO</t>
  </si>
  <si>
    <t>Fluorescent, (3) 96", T12 VHO lamps (T8 Baseline)</t>
  </si>
  <si>
    <t>F84T12-VHO</t>
  </si>
  <si>
    <t>Fluorescent, (4) 96", T12 VHO lamps (T8 Baseline)</t>
  </si>
  <si>
    <t>F86T12-VHO</t>
  </si>
  <si>
    <t>Fluorescent, (6) 96", T12 VHO lamps (T8 Baseline)</t>
  </si>
  <si>
    <t>F88T12-VHO</t>
  </si>
  <si>
    <t>Fluorescent, (8) 96", T12 VHO lamps (T8 Baseline)</t>
  </si>
  <si>
    <t>F1.51SS</t>
  </si>
  <si>
    <t>T12 Linear Fluorescent</t>
  </si>
  <si>
    <t>Fluorescent, (1) 18" T12 lamp</t>
  </si>
  <si>
    <t>F1.52SS</t>
  </si>
  <si>
    <t>Fluorescent, (2) 18", T12 lamps</t>
  </si>
  <si>
    <t>F21SS</t>
  </si>
  <si>
    <t>Fluorescent, (1) 24", STD lamp</t>
  </si>
  <si>
    <t>F22SS</t>
  </si>
  <si>
    <t>Fluorescent, (2) 24", STD lamps</t>
  </si>
  <si>
    <t>F23SS</t>
  </si>
  <si>
    <t>Fluorescent, (3) 24", STD lamps</t>
  </si>
  <si>
    <t>F24SS</t>
  </si>
  <si>
    <t>Fluorescent, (4) 24", STD lamps</t>
  </si>
  <si>
    <t>F26SS/2</t>
  </si>
  <si>
    <t>Fluorescent, (6) 24", STD lamps, (2) ballasts</t>
  </si>
  <si>
    <t>F21HS</t>
  </si>
  <si>
    <t>Fluorescent, (1) 24", HO lamp</t>
  </si>
  <si>
    <t>F22HS</t>
  </si>
  <si>
    <t>Fluorescent, (2) 24", HO lamps</t>
  </si>
  <si>
    <t>F31EE/T2</t>
  </si>
  <si>
    <t>Fluorescent, (1) 36", ES lamp, Tandem 2-lamp ballast</t>
  </si>
  <si>
    <t>F31EL</t>
  </si>
  <si>
    <t>Fluorescent, (1) 36", ES lamp</t>
  </si>
  <si>
    <t>F31ES</t>
  </si>
  <si>
    <t>F31ES/T2</t>
  </si>
  <si>
    <t>F31SE/T2</t>
  </si>
  <si>
    <t>Fluorescent, (1) 36", STD lamp, Tandem 2-lamp ballast</t>
  </si>
  <si>
    <t>F31SHS</t>
  </si>
  <si>
    <t>Fluorescent, (1) 36", HO lamp</t>
  </si>
  <si>
    <t>F31SL</t>
  </si>
  <si>
    <t>Fluorescent, (1) 36", STD lamp</t>
  </si>
  <si>
    <t>F31SS</t>
  </si>
  <si>
    <t>F31SS/T2</t>
  </si>
  <si>
    <t>F32EE</t>
  </si>
  <si>
    <t>Fluorescent, (2) 36", ES lamp</t>
  </si>
  <si>
    <t>F32EL</t>
  </si>
  <si>
    <t>Fluorescent, (2) 36", ES lamps</t>
  </si>
  <si>
    <t>F32EL/T4</t>
  </si>
  <si>
    <t>Fluorescent, (2) 36" ES lamps, Tandem 4-lamp ballast, NLO (0.85 &lt; BF &lt; 0.95)</t>
  </si>
  <si>
    <t>F32ES</t>
  </si>
  <si>
    <t>F32SE</t>
  </si>
  <si>
    <t>Fluorescent, (2) 36", STD lamps</t>
  </si>
  <si>
    <t>F32SHS</t>
  </si>
  <si>
    <t>Fluorescent, (2) 36", HO, lamps</t>
  </si>
  <si>
    <t>F32SL</t>
  </si>
  <si>
    <t>F32SS</t>
  </si>
  <si>
    <t>F33ES</t>
  </si>
  <si>
    <t>Fluorescent, (3) 36", ES lamps</t>
  </si>
  <si>
    <t>F33SE</t>
  </si>
  <si>
    <t>Fluorescent, (3) 36", STD lamps, (1) STD ballast and (1) ES ballast</t>
  </si>
  <si>
    <t>F33SS</t>
  </si>
  <si>
    <t>Fluorescent, (3) 36", STD lamps</t>
  </si>
  <si>
    <t>F34EE</t>
  </si>
  <si>
    <t>Fluorescent, (4) 36", ES lamps</t>
  </si>
  <si>
    <t>F34SE</t>
  </si>
  <si>
    <t>Fluorescent, (4) 36", STD lamps</t>
  </si>
  <si>
    <t>F34SL</t>
  </si>
  <si>
    <t>F34SS</t>
  </si>
  <si>
    <t>F36EE</t>
  </si>
  <si>
    <t>Fluorescent, (6) 36", ES lamps</t>
  </si>
  <si>
    <t>F36ES</t>
  </si>
  <si>
    <t>F36SE</t>
  </si>
  <si>
    <t>Fluorescent, (6) 36", STD lamps</t>
  </si>
  <si>
    <t>F36SS</t>
  </si>
  <si>
    <t>F41EE</t>
  </si>
  <si>
    <t>Fluorescent, (1) 48", ES lamp</t>
  </si>
  <si>
    <t>F41EE/2</t>
  </si>
  <si>
    <t>Fluorescent, (1) 48", ES lamp, 2 ballast</t>
  </si>
  <si>
    <t>F41EE/T2</t>
  </si>
  <si>
    <t>Fluorescent, (1) 48", ES lamp, Tandem 2-lamp ballast</t>
  </si>
  <si>
    <t>F41EL</t>
  </si>
  <si>
    <t>Fluorescent, (1) 48", T12 ES lamp, Electronic Ballast</t>
  </si>
  <si>
    <t>F41IAL</t>
  </si>
  <si>
    <t>Fluorescent, (1) 48", F25T12 lamp, Instant Start Ballast</t>
  </si>
  <si>
    <t>F41IAL/T2-R</t>
  </si>
  <si>
    <t>Fluorescent, (1) 48", F25T12 lamp, Tandem 2-Lamp IS ballast, RLO (BF &lt; 0.85)</t>
  </si>
  <si>
    <t>F41IAL/T3-R</t>
  </si>
  <si>
    <t>Fluorescent, (1) 48", F25T12 lamp, Tandem 3-Lamp IS ballast, RLO (BF &lt; 0.85)</t>
  </si>
  <si>
    <t>F41IAL/T4-R</t>
  </si>
  <si>
    <t>Fluorescent, (1) 48", F25T12 lamp, Tandem 4-Lamp IS ballast, RLO (BF &lt; 0.85)</t>
  </si>
  <si>
    <t>F41SIL</t>
  </si>
  <si>
    <t>Fluorescent, (1) 48", STD IS lamp, Electronic ballast</t>
  </si>
  <si>
    <t>F41SIL/T2</t>
  </si>
  <si>
    <t>Fluorescent, (1) 48", STD IS lamp, Tandem 2-lamp IS ballast</t>
  </si>
  <si>
    <t>F41TS</t>
  </si>
  <si>
    <t>Fluorescent, (1) 48", T-10 lamp</t>
  </si>
  <si>
    <t>F42EE</t>
  </si>
  <si>
    <t>Fluorescent, (2) 48", ES lamp</t>
  </si>
  <si>
    <t>F42EE/2</t>
  </si>
  <si>
    <t>Fluorescent, (2) 48", ES lamps, (2) 1-lamp ballasts</t>
  </si>
  <si>
    <t>F42EE/D2</t>
  </si>
  <si>
    <t>Fluorescent, (2) 48", ES lamps, 2 Ballasts (delamped)</t>
  </si>
  <si>
    <t>F42EL</t>
  </si>
  <si>
    <t>Fluorescent, (2) 48", T12 ES lamps, Electronic Ballast</t>
  </si>
  <si>
    <t>F42IAL-R</t>
  </si>
  <si>
    <t>Fluorescent, (2) 48", F25T12 lamps, Instant Start Ballast, RLO (BF &lt; 0.85)</t>
  </si>
  <si>
    <t>F42IAL/T4-R</t>
  </si>
  <si>
    <t>Fluorescent, (2) 48", F25T12 lamps, Tandem 4-lamp IS Ballast, RLO (BF &lt; 0.85)</t>
  </si>
  <si>
    <t>F42SIL</t>
  </si>
  <si>
    <t>Fluorescent, (2) 48", STD IS lamps, Electronic ballast</t>
  </si>
  <si>
    <t>F43EE</t>
  </si>
  <si>
    <t>Fluorescent, (3) 48", ES lamps</t>
  </si>
  <si>
    <t>F43EE/T2</t>
  </si>
  <si>
    <t>Fluorescent, (3) 48", ES lamps, Tandem 2-lamp ballasts</t>
  </si>
  <si>
    <t>F43EL</t>
  </si>
  <si>
    <t>Fluorescent, (3) 48", T12 ES lamps, Electronic Ballast</t>
  </si>
  <si>
    <t>F43IAL-R</t>
  </si>
  <si>
    <t>Fluorescent, (3) 48", F25T12 lamps, Instant Start Ballast, RLO (BF &lt; 0.85)</t>
  </si>
  <si>
    <t>F43SIL</t>
  </si>
  <si>
    <t>Fluorescent, (3) 48", STD IS lamps, Electronic ballast</t>
  </si>
  <si>
    <t>F44EE</t>
  </si>
  <si>
    <t>Fluorescent, (4) 48", ES lamps</t>
  </si>
  <si>
    <t>F44EE/D3</t>
  </si>
  <si>
    <t>Fluorescent, (4) 48", ES lamps, 3 Ballasts (delamped)</t>
  </si>
  <si>
    <t>F44EE/D4</t>
  </si>
  <si>
    <t>Fluorescent, (4) 48", ES lamps, 4 Ballasts (delamped)</t>
  </si>
  <si>
    <t>F44EL</t>
  </si>
  <si>
    <t>Fluorescent, (4) 48", T12 ES lamps, Electronic Ballast</t>
  </si>
  <si>
    <t>F44IAL-R</t>
  </si>
  <si>
    <t>Fluorescent, (4) 48", F25T12 lamps, Instant Start Ballast, RLO (BF &lt; 0.85)</t>
  </si>
  <si>
    <t>F46EE</t>
  </si>
  <si>
    <t>Fluorescent, (6) 48", ES lamps</t>
  </si>
  <si>
    <t>F46EL</t>
  </si>
  <si>
    <t>F48EE</t>
  </si>
  <si>
    <t>Fluorescent, (8) 48", ES lamps</t>
  </si>
  <si>
    <t>F42EHS</t>
  </si>
  <si>
    <t>Fluorescent, (2) 42", HO lamps (3.5' lamp)</t>
  </si>
  <si>
    <t>F43EHS</t>
  </si>
  <si>
    <t>Fluorescent, (3) 42", HO lamps (3.5' lamp)</t>
  </si>
  <si>
    <t>F41EIS</t>
  </si>
  <si>
    <t>Fluorescent, (1) 48" ES Instant Start lamp. Magnetic ballast</t>
  </si>
  <si>
    <t>F42EIS</t>
  </si>
  <si>
    <t>Fluorescent, (2) 48" ES Instant Start lamps. Magnetic ballast</t>
  </si>
  <si>
    <t>F43EIS</t>
  </si>
  <si>
    <t>Fluorescent, (3) 48" ES Instant Start lamps. Magnetic ballast</t>
  </si>
  <si>
    <t>F44EIS</t>
  </si>
  <si>
    <t>Fluorescent, (4) 48" ES Instant Start lamps. Magnetic ballast</t>
  </si>
  <si>
    <t>F41SHS</t>
  </si>
  <si>
    <t>Fluorescent, (1) 48", STD HO lamp</t>
  </si>
  <si>
    <t>F42SHS</t>
  </si>
  <si>
    <t>Fluorescent, (2) 48", STD HO lamps</t>
  </si>
  <si>
    <t>F43SHS</t>
  </si>
  <si>
    <t>Fluorescent, (3) 48", STD HO lamps</t>
  </si>
  <si>
    <t>F44SHS</t>
  </si>
  <si>
    <t>Fluorescent, (4) 48", STD HO lamps</t>
  </si>
  <si>
    <t>F41EHS</t>
  </si>
  <si>
    <t>Fluorescent, (1) 48", ES HO lamp</t>
  </si>
  <si>
    <t>F44EHS</t>
  </si>
  <si>
    <t>Fluorescent, (4) 48", ES HO lamps</t>
  </si>
  <si>
    <t>F41SVS</t>
  </si>
  <si>
    <t>Fluorescent, (1) 48", STD VHO lamp</t>
  </si>
  <si>
    <t>F42SVS</t>
  </si>
  <si>
    <t>Fluorescent, (2) 48", STD VHO lamps</t>
  </si>
  <si>
    <t>F43SVS</t>
  </si>
  <si>
    <t>Fluorescent, (3) 48", STD VHO lamps</t>
  </si>
  <si>
    <t>F44SVS</t>
  </si>
  <si>
    <t>Fluorescent, (4) 48", STD VHO lamps</t>
  </si>
  <si>
    <t>F44EVS</t>
  </si>
  <si>
    <t>Fluorescent, (4) 48", VHO ES lamps</t>
  </si>
  <si>
    <t>F44SIL</t>
  </si>
  <si>
    <t>Fluorescent, (4) 48", STD IS lamps, Electronic ballast</t>
  </si>
  <si>
    <t>F46SL</t>
  </si>
  <si>
    <t>Fluorescent, (6) 48", STD lamps</t>
  </si>
  <si>
    <t>F51SL</t>
  </si>
  <si>
    <t>Fluorescent, (1) 60", STD lamp</t>
  </si>
  <si>
    <t>F51SS</t>
  </si>
  <si>
    <t>F52SL</t>
  </si>
  <si>
    <t>Fluorescent, (2) 60", STD lamps</t>
  </si>
  <si>
    <t>F52SS</t>
  </si>
  <si>
    <t>F51SHE</t>
  </si>
  <si>
    <t>Fluorescent, (1) 60", STD HO lamp</t>
  </si>
  <si>
    <t>F51SHL</t>
  </si>
  <si>
    <t>F51SHS</t>
  </si>
  <si>
    <t>F51SVS</t>
  </si>
  <si>
    <t>Fluorescent, (1) 60", VHO ES lamp</t>
  </si>
  <si>
    <t>F52SHE</t>
  </si>
  <si>
    <t>Fluorescent, (2) 60", STD HO lamps</t>
  </si>
  <si>
    <t>F52SHL</t>
  </si>
  <si>
    <t>F52SHS</t>
  </si>
  <si>
    <t>F52SVS</t>
  </si>
  <si>
    <t>Fluorescent, (2) 60", VHO ES lamps</t>
  </si>
  <si>
    <t>F61ISL</t>
  </si>
  <si>
    <t>Fluorescent, (1) 72", STD lamp, IS electronic ballast</t>
  </si>
  <si>
    <t>F61SHS</t>
  </si>
  <si>
    <t>Fluorescent, (1) 72", STD HO lamp</t>
  </si>
  <si>
    <t>F61SS</t>
  </si>
  <si>
    <t>Fluorescent, (1) 72", STD lamp</t>
  </si>
  <si>
    <t>F62ISL</t>
  </si>
  <si>
    <t>Fluorescent, (2) 72", STD lamps, IS electronic ballast</t>
  </si>
  <si>
    <t>F62SE</t>
  </si>
  <si>
    <t>Fluorescent, (2) 72", STD lamps</t>
  </si>
  <si>
    <t>F62SHE</t>
  </si>
  <si>
    <t>Fluorescent, (2) 72", STD HO lamps</t>
  </si>
  <si>
    <t>F62SHL</t>
  </si>
  <si>
    <t>F62SHS</t>
  </si>
  <si>
    <t>F62SL</t>
  </si>
  <si>
    <t>F62SS</t>
  </si>
  <si>
    <t>F63ISL</t>
  </si>
  <si>
    <t>Fluorescent, (3) 72", STD lamps, IS electronic ballast</t>
  </si>
  <si>
    <t>F63SS</t>
  </si>
  <si>
    <t>Fluorescent, (3) 72", STD lamps</t>
  </si>
  <si>
    <t>F64ISL</t>
  </si>
  <si>
    <t>Fluorescent, (4) 72", STD lamps, IS electronic ballast</t>
  </si>
  <si>
    <t>F64SE</t>
  </si>
  <si>
    <t>Fluorescent, (4) 72", STD lamps</t>
  </si>
  <si>
    <t>F64SS</t>
  </si>
  <si>
    <t>F64SHE</t>
  </si>
  <si>
    <t>Fluorescent, (4) 72", HO lamps</t>
  </si>
  <si>
    <t>F61SVS</t>
  </si>
  <si>
    <t>Fluorescent, (1) 72", VHO lamp</t>
  </si>
  <si>
    <t>F62SVS</t>
  </si>
  <si>
    <t>Fluorescent, (2) 72", VHO lamps</t>
  </si>
  <si>
    <t>F71HS</t>
  </si>
  <si>
    <t>Fluorescent, (1) 84", HO lamp</t>
  </si>
  <si>
    <t>F72HS</t>
  </si>
  <si>
    <t>Fluorescent, (2) 84", HO lamp</t>
  </si>
  <si>
    <t>F81EE</t>
  </si>
  <si>
    <t>Fluorescent, (1) 96" ES lamp</t>
  </si>
  <si>
    <t>F81EE/T2</t>
  </si>
  <si>
    <t>Fluorescent, (1) 96", ES lamp, Tandem 2-lamp ballast</t>
  </si>
  <si>
    <t>F81EHL</t>
  </si>
  <si>
    <t>Fluorescent, (1) 96", ES HO lamp</t>
  </si>
  <si>
    <t>F81EHS</t>
  </si>
  <si>
    <t>F81EL</t>
  </si>
  <si>
    <t>Fluorescent, (1) 96", ES lamp</t>
  </si>
  <si>
    <t>F81EL/T2</t>
  </si>
  <si>
    <t>F81EVS</t>
  </si>
  <si>
    <t>Fluorescent, (1) 96", ES VHO lamp</t>
  </si>
  <si>
    <t>F81SGS</t>
  </si>
  <si>
    <t>T17 Linear Fluorescent</t>
  </si>
  <si>
    <t>Fluorescent, (1) 96", T17 Grooved lamp</t>
  </si>
  <si>
    <t>F81SHS</t>
  </si>
  <si>
    <t>Fluorescent, (1) 96", STD HO lamp</t>
  </si>
  <si>
    <t>F81SL</t>
  </si>
  <si>
    <t>Fluorescent, (1) 96", STD lamp</t>
  </si>
  <si>
    <t>F81SL/T2</t>
  </si>
  <si>
    <t>Fluorescent, (1) 96", STD lamp, Tandem 2-lamp ballast</t>
  </si>
  <si>
    <t>F81SVS</t>
  </si>
  <si>
    <t>Fluorescent, (1) 96", STD VHO lamp</t>
  </si>
  <si>
    <t>F82EE</t>
  </si>
  <si>
    <t>Fluorescent, (2) 96", ES lamps</t>
  </si>
  <si>
    <t>F82EHE</t>
  </si>
  <si>
    <t>Fluorescent, (2) 96", ES HO lamps</t>
  </si>
  <si>
    <t>F82EHL</t>
  </si>
  <si>
    <t>F82EHS</t>
  </si>
  <si>
    <t>F82EL</t>
  </si>
  <si>
    <t>F82EVS</t>
  </si>
  <si>
    <t>Fluorescent, (2) 96", ES VHO lamps</t>
  </si>
  <si>
    <t>F82SHE</t>
  </si>
  <si>
    <t>Fluorescent, (2) 96", STD HO lamps</t>
  </si>
  <si>
    <t>F82SHL</t>
  </si>
  <si>
    <t>F82SHS</t>
  </si>
  <si>
    <t>F82SL</t>
  </si>
  <si>
    <t>Fluorescent, (2) 96", STD lamps</t>
  </si>
  <si>
    <t>F82SVS</t>
  </si>
  <si>
    <t>Fluorescent, (2) 96", STD VHO lamps</t>
  </si>
  <si>
    <t>F83EE</t>
  </si>
  <si>
    <t>Fluorescent, (3) 96", ES lamps</t>
  </si>
  <si>
    <t>F83EHE</t>
  </si>
  <si>
    <t>Fluorescent, (3) 96", ES HO lamps, (1) 2-lamp ES Ballast and (1) 1-lamp STD Ballast</t>
  </si>
  <si>
    <t>Mag-ES/STD</t>
  </si>
  <si>
    <t>F83EHS</t>
  </si>
  <si>
    <t>Fluorescent, (3) 96", ES HO lamps</t>
  </si>
  <si>
    <t>F83EL</t>
  </si>
  <si>
    <t>F83EVS</t>
  </si>
  <si>
    <t>Fluorescent, (3) 96", ES VHO lamps</t>
  </si>
  <si>
    <t>F83SHE</t>
  </si>
  <si>
    <t>Fluorescent, (3) 96", STD HO lamps</t>
  </si>
  <si>
    <t>F83SHS</t>
  </si>
  <si>
    <t>F83SL</t>
  </si>
  <si>
    <t>Fluorescent, (3) 96", STD lamps</t>
  </si>
  <si>
    <t>F83SVS</t>
  </si>
  <si>
    <t>Fluorescent, (3) 96", STD VHO lamps</t>
  </si>
  <si>
    <t>F84EE</t>
  </si>
  <si>
    <t>Fluorescent, (4) 96", ES lamps</t>
  </si>
  <si>
    <t>F84EHE</t>
  </si>
  <si>
    <t>Fluorescent, (4) 96", ES HO lamps</t>
  </si>
  <si>
    <t>F84EHL</t>
  </si>
  <si>
    <t>F84EHS</t>
  </si>
  <si>
    <t>F84EL</t>
  </si>
  <si>
    <t>F84EVS</t>
  </si>
  <si>
    <t>Fluorescent, (4) 96", ES VHO lamps</t>
  </si>
  <si>
    <t>F84SHE</t>
  </si>
  <si>
    <t>Fluorescent, (4) 96", STD HO lamps</t>
  </si>
  <si>
    <t>F84SHL</t>
  </si>
  <si>
    <t>F84SHS</t>
  </si>
  <si>
    <t>F84SL</t>
  </si>
  <si>
    <t>Fluorescent, (4) 96", STD lamps</t>
  </si>
  <si>
    <t>F84SVS</t>
  </si>
  <si>
    <t>Fluorescent, (4) 96", STD VHO lamps</t>
  </si>
  <si>
    <t>F86EE</t>
  </si>
  <si>
    <t>Fluorescent, (6) 96", ES lamps</t>
  </si>
  <si>
    <t>F86EHS</t>
  </si>
  <si>
    <t>Fluorescent, (6) 96", ES HO lamps</t>
  </si>
  <si>
    <t>F88EHE</t>
  </si>
  <si>
    <t>Fluorescent, (8) 96", ES HO lamps</t>
  </si>
  <si>
    <t>F88SHS</t>
  </si>
  <si>
    <t>Fluorescent, (8) 96", STD HO lamps</t>
  </si>
  <si>
    <t>F40SE/D1</t>
  </si>
  <si>
    <t>Other Linear Fluorescent</t>
  </si>
  <si>
    <t>Fluorescent, (0) 48" lamps, Completely delamped fixture with (1) hot ballast</t>
  </si>
  <si>
    <t>F40SE/D2</t>
  </si>
  <si>
    <t>Fluorescent, (0) 48" lamps, Completely delamped fixture with (2) hot ballast</t>
  </si>
  <si>
    <t>FC6/1</t>
  </si>
  <si>
    <t>Circline Fluorescent</t>
  </si>
  <si>
    <t>Fluorescent, (1) 6" circular lamp, RS ballast</t>
  </si>
  <si>
    <t>FC8/1</t>
  </si>
  <si>
    <t>Fluorescent, (1) 8" circular lamp, RS ballast</t>
  </si>
  <si>
    <t>FC8/2</t>
  </si>
  <si>
    <t>Fluorescent, (2) 8" circular lamps, RS ballast</t>
  </si>
  <si>
    <t>FC20</t>
  </si>
  <si>
    <t>Fluorescent, Circline, (1) 20W lamp, preheat ballast</t>
  </si>
  <si>
    <t>FC22</t>
  </si>
  <si>
    <t>Fluorescent, Circline, (1) 22W lamp, preheat ballast</t>
  </si>
  <si>
    <t>FC12/1</t>
  </si>
  <si>
    <t>Fluorescent, (1) 12" circular lamp, RS ballast</t>
  </si>
  <si>
    <t>FC12/2</t>
  </si>
  <si>
    <t>Fluorescent, (2) 12" circular lamps, RS ballast</t>
  </si>
  <si>
    <t>FC32</t>
  </si>
  <si>
    <t>Fluorescent, Circline, (1) 32W lamp, preheat ballast</t>
  </si>
  <si>
    <t>FC16/1</t>
  </si>
  <si>
    <t>Fluorescent, (1) 16" circular lamp</t>
  </si>
  <si>
    <t>FC40</t>
  </si>
  <si>
    <t>FEI40/1</t>
  </si>
  <si>
    <t>Electrodeless Induction Fluorescent</t>
  </si>
  <si>
    <t>Electrodeless Fluorescent System, (1) 40W lamp</t>
  </si>
  <si>
    <t>FEI55/1</t>
  </si>
  <si>
    <t>Electrodeless Fluorescent System, (1) 55W lamp</t>
  </si>
  <si>
    <t>FEI70/1</t>
  </si>
  <si>
    <t>Electrodeless Fluorescent System, (1) 70W lamp</t>
  </si>
  <si>
    <t>FEI80/1</t>
  </si>
  <si>
    <t>Electrodeless Fluorescent System, (1) 80W lamp</t>
  </si>
  <si>
    <t>FEI85/1</t>
  </si>
  <si>
    <t>Electrodeless Fluorescent System, (1) 85W lamp</t>
  </si>
  <si>
    <t>FEI100/1</t>
  </si>
  <si>
    <t>Electrodeless Fluorescent System, (1) 100W lamp</t>
  </si>
  <si>
    <t>FEI125/1</t>
  </si>
  <si>
    <t>Electrodeless Fluorescent System, (1) 125W lamp</t>
  </si>
  <si>
    <t>FEI150/1</t>
  </si>
  <si>
    <t>Electrodeless Fluorescent System, (1) 150W lamp</t>
  </si>
  <si>
    <t>FEI165/1</t>
  </si>
  <si>
    <t>Electrodeless Fluorescent System, (1) 165W lamp</t>
  </si>
  <si>
    <t>FEI200/1</t>
  </si>
  <si>
    <t>Electrodeless Fluorescent System, (1) 200W lamp</t>
  </si>
  <si>
    <t>FEI250/1</t>
  </si>
  <si>
    <t>Electrodeless Fluorescent System, (1) 250W lamp</t>
  </si>
  <si>
    <t>FEI300/1</t>
  </si>
  <si>
    <t>Electrodeless Fluorescent System, (1) 300W lamp</t>
  </si>
  <si>
    <t>FEI400/1</t>
  </si>
  <si>
    <t>Electrodeless Fluorescent System, (1) 400W lamp</t>
  </si>
  <si>
    <t>FU1ILL</t>
  </si>
  <si>
    <t>U-Tube Fluorescent</t>
  </si>
  <si>
    <t>Fluorescent, (1) U-Tube, T-8 lamp, Instant Start ballast</t>
  </si>
  <si>
    <t>FU1LL</t>
  </si>
  <si>
    <t>Fluorescent, (1) U-Tube, T-8 lamp</t>
  </si>
  <si>
    <t>FU1LL-R</t>
  </si>
  <si>
    <t>Fluorescent, (1) U-Tube, T-8 lamp, RLO (BF &lt; 0.85)</t>
  </si>
  <si>
    <t>FU2ILL</t>
  </si>
  <si>
    <t>Fluorescent, (2) U-Tube, T-8 lamps, Instant Start Ballast</t>
  </si>
  <si>
    <t>FU2ILL-H</t>
  </si>
  <si>
    <t>Fluorescent, (2) U-Tube, T-8 lamps, Instant Start HLO Ballast</t>
  </si>
  <si>
    <t>FU2ILL-R</t>
  </si>
  <si>
    <t>Fluorescent, (2) U-Tube, T-8 lamps, Instant Start RLO Ballast</t>
  </si>
  <si>
    <t>FU2ILL/T4</t>
  </si>
  <si>
    <t>Fluorescent, (2) U-Tube, T-8 lamps, Instant Start Ballast, Tandem 4-lamp ballast</t>
  </si>
  <si>
    <t>FU2ILL/T4-R</t>
  </si>
  <si>
    <t>Fluorescent, (2) U-Tube, T-8 lamps, Instant Start Ballast, RLO, Tandem 4-lamp ballast</t>
  </si>
  <si>
    <t>FU2LL</t>
  </si>
  <si>
    <t>Fluorescent, (2) U-Tube, T-8 lamps</t>
  </si>
  <si>
    <t>FU2LL-R</t>
  </si>
  <si>
    <t>Fluorescent, (2) U-Tube, T-8 lamps, RLO (BF&lt; 0.85)</t>
  </si>
  <si>
    <t>FU2LL/T2</t>
  </si>
  <si>
    <t>Fluorescent, (2) U-Tube, T-8 lamps, Tandem 4-lamp ballast</t>
  </si>
  <si>
    <t>FU3ILL</t>
  </si>
  <si>
    <t>Fluorescent, (3) U-Tube, T-8 lamps, Instant Start Ballast</t>
  </si>
  <si>
    <t>FU3ILL-R</t>
  </si>
  <si>
    <t>Fluorescent, (3) U-Tube, T-8 lamps, Instant Start RLO Ballast</t>
  </si>
  <si>
    <t>FU1ILU</t>
  </si>
  <si>
    <t>Fluorescent, (1) 6" spacing U-Tube, T-8 lamp, IS Ballast, NLO (0.85 &lt; BF &lt; 0.95)</t>
  </si>
  <si>
    <t>FU1ILU-H</t>
  </si>
  <si>
    <t>Fluorescent, (1) 6" spacing U-Tube, T-8 lamp, IS Ballast, HLO (.95 &lt; BF &lt; 1.1)</t>
  </si>
  <si>
    <t>FU2ILU</t>
  </si>
  <si>
    <t>Fluorescent, (2) 6" spacing U-Tube, T-8 lamps, IS Ballast, NLO (0.85 &lt; BF &lt; 0.95)</t>
  </si>
  <si>
    <t>FU2ILU-R</t>
  </si>
  <si>
    <t>Fluorescent, (2) 6" spacing U-Tube, T-8 lamps, IS Ballast, RLO (BF &lt; 0.85)</t>
  </si>
  <si>
    <t>FU2ILU-V</t>
  </si>
  <si>
    <t>Fluorescent, (2) 6" spacing U-Tube, T-8 lamps, IS Ballast, VHLO (BF &gt; 1.1)</t>
  </si>
  <si>
    <t>FU3ILU</t>
  </si>
  <si>
    <t>Fluorescent, (3) 6" spacing U-Tube, T-8 lamps, IS Ballast, NLO (0.85 &lt; BF &lt; 0.95)</t>
  </si>
  <si>
    <t>FU3ILU-R</t>
  </si>
  <si>
    <t>Fluorescent, (3) 6" spacing U-Tube, T-8 lamps, IS Ballast, RLO (BF &lt; 0.85)</t>
  </si>
  <si>
    <t>FU1T12</t>
  </si>
  <si>
    <t>Fluorescent, (1) U-Tube T12 lamp (T8 Baseline)</t>
  </si>
  <si>
    <t>FU2T12</t>
  </si>
  <si>
    <t>Fluorescent, (2) U-Tube T12 lamps (T8 Baseline)</t>
  </si>
  <si>
    <t>FU3T12</t>
  </si>
  <si>
    <t>Fluorescent, (3) U-Tube T12 lamps (T8 Baseline)</t>
  </si>
  <si>
    <t>FU1SE</t>
  </si>
  <si>
    <t>Fluorescent, (1) U-Tube, STD lamp</t>
  </si>
  <si>
    <t>FU1SS</t>
  </si>
  <si>
    <t>Fluorescent, (1) U-Tube, ES Lamp</t>
  </si>
  <si>
    <t>FU2SE</t>
  </si>
  <si>
    <t>Fluorescent, (2) U-Tube, STD lamps</t>
  </si>
  <si>
    <t>FU2SL</t>
  </si>
  <si>
    <t>Fluorescent (2) 48" U-bent Standard lamps, Electronic ballast, NLO (0.85 &lt; BF &lt; 0.95)</t>
  </si>
  <si>
    <t>FU2SS</t>
  </si>
  <si>
    <t>Fluorescent, (1) U-Tube, STD lamp, STD Mag Ballast</t>
  </si>
  <si>
    <t>FU3SE</t>
  </si>
  <si>
    <t>Fluorescent, (3) U-Tube, STD lamps</t>
  </si>
  <si>
    <t>FU1EE</t>
  </si>
  <si>
    <t>Fluorescent, (1) U-Tube, ES lamp</t>
  </si>
  <si>
    <t>FU1ES</t>
  </si>
  <si>
    <t>FU2EE</t>
  </si>
  <si>
    <t>Fluorescent, (2) U-Tube, ES lamps</t>
  </si>
  <si>
    <t>FU2EL</t>
  </si>
  <si>
    <t>Fluorescent (2) 48" U-bent ES lamps, Electronic ballast, NLO (0.85 &lt; BF &lt; 0.95)</t>
  </si>
  <si>
    <t>FU2ES</t>
  </si>
  <si>
    <t>FU3EE</t>
  </si>
  <si>
    <t>Fluorescent, (3) U-Tube, ES lamps</t>
  </si>
  <si>
    <t>H20/1</t>
  </si>
  <si>
    <t>Halogen, (1) 20W lamp</t>
  </si>
  <si>
    <t>H21/1</t>
  </si>
  <si>
    <t>Halogen, (1) 21W lamp</t>
  </si>
  <si>
    <t>H22/1</t>
  </si>
  <si>
    <t>Halogen, (1) 22W lamp</t>
  </si>
  <si>
    <t>H23/1</t>
  </si>
  <si>
    <t>Halogen, (1) 23W lamp</t>
  </si>
  <si>
    <t>H24/1</t>
  </si>
  <si>
    <t>Halogen, (1) 24W lamp</t>
  </si>
  <si>
    <t>H25/1</t>
  </si>
  <si>
    <t>Halogen, (1) 25W lamp</t>
  </si>
  <si>
    <t>H26/1</t>
  </si>
  <si>
    <t>Halogen, (1) 26W lamp</t>
  </si>
  <si>
    <t>H27/1</t>
  </si>
  <si>
    <t>Halogen, (1) 27W lamp</t>
  </si>
  <si>
    <t>H28/1</t>
  </si>
  <si>
    <t>Halogen, (1) 28W lamp</t>
  </si>
  <si>
    <t>H29/1</t>
  </si>
  <si>
    <t>Halogen, (1) 29W lamp</t>
  </si>
  <si>
    <t>H30/1</t>
  </si>
  <si>
    <t>Halogen, (1) 30W lamp</t>
  </si>
  <si>
    <t>H31/1</t>
  </si>
  <si>
    <t>Halogen, (1) 31W lamp</t>
  </si>
  <si>
    <t>H32/1</t>
  </si>
  <si>
    <t>Halogen, (1) 32W lamp</t>
  </si>
  <si>
    <t>H33/1</t>
  </si>
  <si>
    <t>Halogen, (1) 33W lamp</t>
  </si>
  <si>
    <t>H34/1</t>
  </si>
  <si>
    <t>Halogen, (1) 34W lamp</t>
  </si>
  <si>
    <t>H35/1</t>
  </si>
  <si>
    <t>Halogen, (1) 35W lamp</t>
  </si>
  <si>
    <t>H36/1</t>
  </si>
  <si>
    <t>Halogen, (1) 36W lamp</t>
  </si>
  <si>
    <t>H37/1</t>
  </si>
  <si>
    <t>Halogen, (1) 37W lamp</t>
  </si>
  <si>
    <t>H38/1</t>
  </si>
  <si>
    <t>Halogen, (1) 38W lamp</t>
  </si>
  <si>
    <t>H39/1</t>
  </si>
  <si>
    <t>Halogen, (1) 39W lamp</t>
  </si>
  <si>
    <t>H40/1</t>
  </si>
  <si>
    <t>Halogen, (1) 40W lamp</t>
  </si>
  <si>
    <t>H41/1</t>
  </si>
  <si>
    <t>Halogen, (1) 41W lamp</t>
  </si>
  <si>
    <t>H42/1</t>
  </si>
  <si>
    <t>Halogen, (1) 42W lamp</t>
  </si>
  <si>
    <t>H43/1</t>
  </si>
  <si>
    <t>Halogen, (1) 43W lamp</t>
  </si>
  <si>
    <t>H44/1</t>
  </si>
  <si>
    <t>Halogen, (1) 44W lamp</t>
  </si>
  <si>
    <t>H45/1</t>
  </si>
  <si>
    <t>Halogen, (1) 45W lamp</t>
  </si>
  <si>
    <t>H46/1</t>
  </si>
  <si>
    <t>Halogen, (1) 46W lamp</t>
  </si>
  <si>
    <t>H47/1</t>
  </si>
  <si>
    <t>Halogen, (1) 47W lamp</t>
  </si>
  <si>
    <t>H48/1</t>
  </si>
  <si>
    <t>Halogen, (1) 48W lamp</t>
  </si>
  <si>
    <t>H49/1</t>
  </si>
  <si>
    <t>Halogen, (1) 49W lamp</t>
  </si>
  <si>
    <t>H50/1</t>
  </si>
  <si>
    <t>Halogen, (1) 50W lamp</t>
  </si>
  <si>
    <t>H51/1</t>
  </si>
  <si>
    <t>Halogen, (1) 51W lamp</t>
  </si>
  <si>
    <t>H52/1</t>
  </si>
  <si>
    <t>Halogen, (1) 52W lamp</t>
  </si>
  <si>
    <t>H53/1</t>
  </si>
  <si>
    <t>Halogen, (1) 53W lamp</t>
  </si>
  <si>
    <t>H54/1</t>
  </si>
  <si>
    <t>Halogen, (1) 54W lamp</t>
  </si>
  <si>
    <t>H55/1</t>
  </si>
  <si>
    <t>Halogen, (1) 55W lamp</t>
  </si>
  <si>
    <t>H56/1</t>
  </si>
  <si>
    <t>Halogen, (1) 56W lamp</t>
  </si>
  <si>
    <t>H57/1</t>
  </si>
  <si>
    <t>Halogen, (1) 57W lamp</t>
  </si>
  <si>
    <t>H58/1</t>
  </si>
  <si>
    <t>Halogen, (1) 58W lamp</t>
  </si>
  <si>
    <t>H59/1</t>
  </si>
  <si>
    <t>Halogen, (1) 59W lamp</t>
  </si>
  <si>
    <t>H60/1</t>
  </si>
  <si>
    <t>Halogen, (1) 60W lamp</t>
  </si>
  <si>
    <t>H61/1</t>
  </si>
  <si>
    <t>Halogen, (1) 61W lamp</t>
  </si>
  <si>
    <t>H62/1</t>
  </si>
  <si>
    <t>Halogen, (1) 62W lamp</t>
  </si>
  <si>
    <t>H63/1</t>
  </si>
  <si>
    <t>Halogen, (1) 63W lamp</t>
  </si>
  <si>
    <t>H64/1</t>
  </si>
  <si>
    <t>Halogen, (1) 64W lamp</t>
  </si>
  <si>
    <t>H65/1</t>
  </si>
  <si>
    <t>Halogen, (1) 65W lamp</t>
  </si>
  <si>
    <t>H66/1</t>
  </si>
  <si>
    <t>Halogen, (1) 66W lamp</t>
  </si>
  <si>
    <t>H67/1</t>
  </si>
  <si>
    <t>Halogen, (1) 67W lamp</t>
  </si>
  <si>
    <t>H68/1</t>
  </si>
  <si>
    <t>Halogen, (1) 68W lamp</t>
  </si>
  <si>
    <t>H69/1</t>
  </si>
  <si>
    <t>Halogen, (1) 69W lamp</t>
  </si>
  <si>
    <t>H70/1</t>
  </si>
  <si>
    <t>Halogen, (1) 70W lamp</t>
  </si>
  <si>
    <t>H71/1</t>
  </si>
  <si>
    <t>Halogen, (1) 71W lamp</t>
  </si>
  <si>
    <t>H72/1</t>
  </si>
  <si>
    <t>Halogen, (1) 72W lamp</t>
  </si>
  <si>
    <t>H73/1</t>
  </si>
  <si>
    <t>Halogen, (1) 73W lamp</t>
  </si>
  <si>
    <t>H74/1</t>
  </si>
  <si>
    <t>Halogen, (1) 74W lamp</t>
  </si>
  <si>
    <t>H75/1</t>
  </si>
  <si>
    <t>Halogen, (1) 75W lamp</t>
  </si>
  <si>
    <t>H80/1</t>
  </si>
  <si>
    <t>Halogen, (1) 80W lamp</t>
  </si>
  <si>
    <t>H90/1</t>
  </si>
  <si>
    <t>Halogen, (1) 90W lamp</t>
  </si>
  <si>
    <t>H100/1</t>
  </si>
  <si>
    <t>Halogen, (1) 100W lamp</t>
  </si>
  <si>
    <t>H150/1</t>
  </si>
  <si>
    <t>Halogen, (1) 150W lamp</t>
  </si>
  <si>
    <t>H250/1</t>
  </si>
  <si>
    <t>Halogen, (1) 250W lamp</t>
  </si>
  <si>
    <t>H300/1</t>
  </si>
  <si>
    <t>Halogen, (1) 300W lamp</t>
  </si>
  <si>
    <t>H500/1</t>
  </si>
  <si>
    <t>Halogen, (1) 500W lamp</t>
  </si>
  <si>
    <t>I7.5/1</t>
  </si>
  <si>
    <t>Tungsten exit light, (1) 7.5 W lamp, used in night light application</t>
  </si>
  <si>
    <t>I10/1</t>
  </si>
  <si>
    <t>Incandescent, (1) 10W lamp</t>
  </si>
  <si>
    <t>I11/1</t>
  </si>
  <si>
    <t>Incandescent, (1) 11W lamp</t>
  </si>
  <si>
    <t>I12/1</t>
  </si>
  <si>
    <t>Incandescent, (1) 12W lamp</t>
  </si>
  <si>
    <t>I13/1</t>
  </si>
  <si>
    <t>Incandescent, (1) 13W lamp</t>
  </si>
  <si>
    <t>I14/1</t>
  </si>
  <si>
    <t>Incandescent, (1) 14W lamp</t>
  </si>
  <si>
    <t>I15/1</t>
  </si>
  <si>
    <t>Incandescent, (1) 15W lamp</t>
  </si>
  <si>
    <t>I16/1</t>
  </si>
  <si>
    <t>Incandescent, (1) 16W lamp</t>
  </si>
  <si>
    <t>I17/1</t>
  </si>
  <si>
    <t>Incandescent, (1) 17W lamp</t>
  </si>
  <si>
    <t>I18/1</t>
  </si>
  <si>
    <t>Incandescent, (1) 18W lamp</t>
  </si>
  <si>
    <t>I19/1</t>
  </si>
  <si>
    <t>Incandescent, (1) 19W lamp</t>
  </si>
  <si>
    <t>I20/1</t>
  </si>
  <si>
    <t>Incandescent, (1) 20W lamp</t>
  </si>
  <si>
    <t>I21/1</t>
  </si>
  <si>
    <t>Incandescent, (1) 21W lamp</t>
  </si>
  <si>
    <t>I22/1</t>
  </si>
  <si>
    <t>Incandescent, (1) 22W lamp</t>
  </si>
  <si>
    <t>I23/1</t>
  </si>
  <si>
    <t>Incandescent, (1) 23W lamp</t>
  </si>
  <si>
    <t>I24/1</t>
  </si>
  <si>
    <t>Incandescent, (1) 24W lamp</t>
  </si>
  <si>
    <t>I25/1</t>
  </si>
  <si>
    <t>Incandescent, (1) 25W lamp</t>
  </si>
  <si>
    <t>I26/1</t>
  </si>
  <si>
    <t>Incandescent, (1) 26W lamp</t>
  </si>
  <si>
    <t>I27/1</t>
  </si>
  <si>
    <t>Incandescent, (1) 27W lamp</t>
  </si>
  <si>
    <t>I28/1</t>
  </si>
  <si>
    <t>Incandescent, (1) 28W lamp</t>
  </si>
  <si>
    <t>I29/1</t>
  </si>
  <si>
    <t>Incandescent, (1) 29W lamp</t>
  </si>
  <si>
    <t>I30/1</t>
  </si>
  <si>
    <t>Incandescent, (1) 30W lamp</t>
  </si>
  <si>
    <t>I31/1</t>
  </si>
  <si>
    <t>Incandescent, (1) 31W lamp</t>
  </si>
  <si>
    <t>I32/1</t>
  </si>
  <si>
    <t>Incandescent, (1) 32W lamp</t>
  </si>
  <si>
    <t>I33/1</t>
  </si>
  <si>
    <t>Incandescent, (1) 33W lamp</t>
  </si>
  <si>
    <t>I34/1</t>
  </si>
  <si>
    <t>Incandescent, (1) 34W lamp</t>
  </si>
  <si>
    <t>I35/1</t>
  </si>
  <si>
    <t>Incandescent, (1) 35W lamp</t>
  </si>
  <si>
    <t>I36/1</t>
  </si>
  <si>
    <t>Incandescent, (1) 36W lamp</t>
  </si>
  <si>
    <t>I37/1</t>
  </si>
  <si>
    <t>Incandescent, (1) 37W lamp</t>
  </si>
  <si>
    <t>I38/1</t>
  </si>
  <si>
    <t>Incandescent, (1) 38W lamp</t>
  </si>
  <si>
    <t>I39/1</t>
  </si>
  <si>
    <t>Incandescent, (1) 39W lamp</t>
  </si>
  <si>
    <t>I40/1</t>
  </si>
  <si>
    <t>Incandescent, (1) 40W lamp – EISA Compliant</t>
  </si>
  <si>
    <t>I40S/1</t>
  </si>
  <si>
    <t>Incandescent, (1) 40W lamp – Specialty</t>
  </si>
  <si>
    <t>I40E/1</t>
  </si>
  <si>
    <t>Incandescent, (1) 40W ES lamp</t>
  </si>
  <si>
    <t>I40EL/1</t>
  </si>
  <si>
    <t>Incandescent, (1) 40W ES/LL lamp</t>
  </si>
  <si>
    <t>I41/1</t>
  </si>
  <si>
    <t>Incandescent, (1) 41W lamp</t>
  </si>
  <si>
    <t>I42/1</t>
  </si>
  <si>
    <t>Incandescent, (1) 42W lamp</t>
  </si>
  <si>
    <t>I43/1</t>
  </si>
  <si>
    <t>Incandescent, (1) 43W lamp</t>
  </si>
  <si>
    <t>I44/1</t>
  </si>
  <si>
    <t>Incandescent, (1) 44W lamp</t>
  </si>
  <si>
    <t>I45/1</t>
  </si>
  <si>
    <t>Incandescent, (1) 45W lamp</t>
  </si>
  <si>
    <t>I46/1</t>
  </si>
  <si>
    <t>Incandescent, (1) 46W lamp</t>
  </si>
  <si>
    <t>I47/1</t>
  </si>
  <si>
    <t>Incandescent, (1) 47W lamp</t>
  </si>
  <si>
    <t>I48/1</t>
  </si>
  <si>
    <t>Incandescent, (1) 48W lamp</t>
  </si>
  <si>
    <t>I49/1</t>
  </si>
  <si>
    <t>Incandescent, (1) 49W lamp</t>
  </si>
  <si>
    <t>I50/1</t>
  </si>
  <si>
    <t>Incandescent, (1) 50W lamp</t>
  </si>
  <si>
    <t>I51/1</t>
  </si>
  <si>
    <t>Incandescent, (1) 51W lamp</t>
  </si>
  <si>
    <t>I52/1</t>
  </si>
  <si>
    <t>Incandescent, (1) 52W lamp</t>
  </si>
  <si>
    <t>I53/1</t>
  </si>
  <si>
    <t>Incandescent, (1) 53W lamp</t>
  </si>
  <si>
    <t>I54/1</t>
  </si>
  <si>
    <t>Incandescent, (1) 54W lamp</t>
  </si>
  <si>
    <t>I55/1</t>
  </si>
  <si>
    <t>Incandescent, (1) 55W lamp</t>
  </si>
  <si>
    <t>I56/1</t>
  </si>
  <si>
    <t>Incandescent, (1) 56W lamp</t>
  </si>
  <si>
    <t>I57/1</t>
  </si>
  <si>
    <t>Incandescent, (1) 57W lamp</t>
  </si>
  <si>
    <t>I58/1</t>
  </si>
  <si>
    <t>Incandescent, (1) 58W lamp</t>
  </si>
  <si>
    <t>I59/1</t>
  </si>
  <si>
    <t>Incandescent, (1) 59W lamp</t>
  </si>
  <si>
    <t>I60/1</t>
  </si>
  <si>
    <t>Incandescent, (1) 60W lamp – EISA Compliant</t>
  </si>
  <si>
    <t>I60S/1</t>
  </si>
  <si>
    <t>Incandescent, (1) 60W lamp – Specialty</t>
  </si>
  <si>
    <t>I60E/1</t>
  </si>
  <si>
    <t>Incandescent, (1) 60W ES lamp</t>
  </si>
  <si>
    <t>I60EL/1</t>
  </si>
  <si>
    <t>Incandescent, (1) 60W ES/LL lamp</t>
  </si>
  <si>
    <t>I61/1</t>
  </si>
  <si>
    <t>Incandescent, (1) 61W lamp</t>
  </si>
  <si>
    <t>I62/1</t>
  </si>
  <si>
    <t>Incandescent, (1) 62W lamp</t>
  </si>
  <si>
    <t>I63/1</t>
  </si>
  <si>
    <t>Incandescent, (1) 63W lamp</t>
  </si>
  <si>
    <t>I64/1</t>
  </si>
  <si>
    <t>Incandescent, (1) 64W lamp</t>
  </si>
  <si>
    <t>I65/1</t>
  </si>
  <si>
    <t>Incandescent, (1) 65W lamp</t>
  </si>
  <si>
    <t>I66/1</t>
  </si>
  <si>
    <t>Incandescent, (1) 66W lamp</t>
  </si>
  <si>
    <t>I67/1</t>
  </si>
  <si>
    <t>Incandescent, (1) 67W lamp</t>
  </si>
  <si>
    <t>I68/1</t>
  </si>
  <si>
    <t>Incandescent, (1) 68W lamp</t>
  </si>
  <si>
    <t>I69/1</t>
  </si>
  <si>
    <t>Incandescent, (1) 69W lamp</t>
  </si>
  <si>
    <t>I70/1</t>
  </si>
  <si>
    <t>Incandescent, (1) 70W lamp</t>
  </si>
  <si>
    <t>I71/1</t>
  </si>
  <si>
    <t>Incandescent, (1) 71W lamp</t>
  </si>
  <si>
    <t>I72/1</t>
  </si>
  <si>
    <t>Incandescent, (1) 72W lamp</t>
  </si>
  <si>
    <t>I73/1</t>
  </si>
  <si>
    <t>Incandescent, (1) 73W lamp</t>
  </si>
  <si>
    <t>I74/1</t>
  </si>
  <si>
    <t>Incandescent, (1) 74W lamp</t>
  </si>
  <si>
    <t>I75/1</t>
  </si>
  <si>
    <t>Incandescent, (1) 75W lamp – EISA Compliant</t>
  </si>
  <si>
    <t>I75S/1</t>
  </si>
  <si>
    <t>Incandescent, (1) 75W lamp – Specialty</t>
  </si>
  <si>
    <t>I75E/1</t>
  </si>
  <si>
    <t>Incandescent, (1) 75W ES lamp</t>
  </si>
  <si>
    <t>I75EL/1</t>
  </si>
  <si>
    <t>Incandescent, (1) 75W ES/LL lamp</t>
  </si>
  <si>
    <t>I80/1</t>
  </si>
  <si>
    <t>Incandescent, (1) 80W lamp</t>
  </si>
  <si>
    <t>I85/1</t>
  </si>
  <si>
    <t>Incandescent, (1) 85W lamp</t>
  </si>
  <si>
    <t>I90/1</t>
  </si>
  <si>
    <t>Incandescent, (1) 90W lamp</t>
  </si>
  <si>
    <t>I93/1</t>
  </si>
  <si>
    <t>Incandescent, (1) 93W lamp</t>
  </si>
  <si>
    <t>I95/1</t>
  </si>
  <si>
    <t>Incandescent, (1) 95W lamp</t>
  </si>
  <si>
    <t>I100/1</t>
  </si>
  <si>
    <t>Incandescent, (1) 100W lamp – EISA Compliant</t>
  </si>
  <si>
    <t>I100S/1</t>
  </si>
  <si>
    <t>Incandescent, (1) 100W lamp – Specialty</t>
  </si>
  <si>
    <t>I100E/1</t>
  </si>
  <si>
    <t>Incandescent, (1) 100W ES lamp</t>
  </si>
  <si>
    <t>I100EL/1</t>
  </si>
  <si>
    <t>Incandescent, (1) 100W ES/LL lamp</t>
  </si>
  <si>
    <t>I110/1</t>
  </si>
  <si>
    <t>Incandescent, (1) 110W lamp</t>
  </si>
  <si>
    <t>I116/1</t>
  </si>
  <si>
    <t>Incandescent, (1) 116W lamp</t>
  </si>
  <si>
    <t>I120/1</t>
  </si>
  <si>
    <t>Incandescent, (1) 120W lamp</t>
  </si>
  <si>
    <t>I125/1</t>
  </si>
  <si>
    <t>Incandescent, (1) 125W lamp</t>
  </si>
  <si>
    <t>I130/1</t>
  </si>
  <si>
    <t>Incandescent, (1) 130W lamp</t>
  </si>
  <si>
    <t>I135/1</t>
  </si>
  <si>
    <t>Incandescent, (1) 135W lamp</t>
  </si>
  <si>
    <t>I150/1</t>
  </si>
  <si>
    <t>Incandescent, (1) 150W lamp</t>
  </si>
  <si>
    <t>I150E/1</t>
  </si>
  <si>
    <t>Incandescent, (1) 150W ES lamp</t>
  </si>
  <si>
    <t>I150EL/1</t>
  </si>
  <si>
    <t>Incandescent, (1) 150W ES/LL lamp</t>
  </si>
  <si>
    <t>I160/1</t>
  </si>
  <si>
    <t>Incandescent, (1) 160W lamp</t>
  </si>
  <si>
    <t>I170/1</t>
  </si>
  <si>
    <t>Incandescent, (1) 170W lamp</t>
  </si>
  <si>
    <t>I200/1</t>
  </si>
  <si>
    <t>Incandescent, (1) 200W lamp</t>
  </si>
  <si>
    <t>I200L/1</t>
  </si>
  <si>
    <t>Incandescent, (1) 200W LL lamp</t>
  </si>
  <si>
    <t>I250/1</t>
  </si>
  <si>
    <t>Incandescent, (1) 250W lamp</t>
  </si>
  <si>
    <t>I300/1</t>
  </si>
  <si>
    <t>Incandescent, (1) 300W lamp</t>
  </si>
  <si>
    <t>I400/1</t>
  </si>
  <si>
    <t>Incandescent, (1) 400W lamp</t>
  </si>
  <si>
    <t>I448/1</t>
  </si>
  <si>
    <t>Incandescent, (1) 448W lamp</t>
  </si>
  <si>
    <t>I500/1</t>
  </si>
  <si>
    <t>Incandescent, (1) 500W lamp</t>
  </si>
  <si>
    <t>I750/1</t>
  </si>
  <si>
    <t>Incandescent, (1) 750W lamp</t>
  </si>
  <si>
    <t>I1000/1</t>
  </si>
  <si>
    <t>Incandescent, (1) 1000W lamp</t>
  </si>
  <si>
    <t>I1500/1</t>
  </si>
  <si>
    <t>Incandescent, (1) 1500W lamp</t>
  </si>
  <si>
    <t>I2000/1</t>
  </si>
  <si>
    <t>Incandescent, (1) 2000W lamp</t>
  </si>
  <si>
    <t>HPS35/1</t>
  </si>
  <si>
    <t>High Intensity Discharge (HID)</t>
  </si>
  <si>
    <t>High Pressure Sodium, (1) 35W lamp</t>
  </si>
  <si>
    <t>HPS50/1</t>
  </si>
  <si>
    <t>High Pressure Sodium, (1) 50W lamp</t>
  </si>
  <si>
    <t>HPS70/1</t>
  </si>
  <si>
    <t>High Pressure Sodium, (1) 70W lamp</t>
  </si>
  <si>
    <t>HPS100/1</t>
  </si>
  <si>
    <t>High Pressure Sodium, (1) 100W lamp</t>
  </si>
  <si>
    <t>HPS150/1</t>
  </si>
  <si>
    <t>High Pressure Sodium, (1) 150W lamp</t>
  </si>
  <si>
    <t>HPS200/1</t>
  </si>
  <si>
    <t>High Pressure Sodium, (1) 200W lamp</t>
  </si>
  <si>
    <t>HPS250/1</t>
  </si>
  <si>
    <t>High Pressure Sodium, (1) 250W lamp</t>
  </si>
  <si>
    <t>HPS310/1</t>
  </si>
  <si>
    <t>High Pressure Sodium, (1) 310W lamp</t>
  </si>
  <si>
    <t>HPS360/1</t>
  </si>
  <si>
    <t>High Pressure Sodium, (1) 360W lamp</t>
  </si>
  <si>
    <t>HPS400/1</t>
  </si>
  <si>
    <t>High Pressure Sodium, (1) 400W lamp</t>
  </si>
  <si>
    <t>HPS1000/1</t>
  </si>
  <si>
    <t>High Pressure Sodium, (1) 1000W lamp</t>
  </si>
  <si>
    <t>MH20/1-L</t>
  </si>
  <si>
    <t>Metal Halide, (1) 20W lamp</t>
  </si>
  <si>
    <t>MH22/1-L</t>
  </si>
  <si>
    <t>Metal Halide, (1) 22W lamp</t>
  </si>
  <si>
    <t>MH32/1</t>
  </si>
  <si>
    <t>Metal Halide, (1) 32W lamp, Magnetic ballast</t>
  </si>
  <si>
    <t>Magnetic</t>
  </si>
  <si>
    <t>MH39/1</t>
  </si>
  <si>
    <t>Metal Halide, (1) 39W lamp, Magnetic ballast</t>
  </si>
  <si>
    <t>MH39/1-L</t>
  </si>
  <si>
    <t>Metal Halide, (1) 39W lamp</t>
  </si>
  <si>
    <t>MH50/1</t>
  </si>
  <si>
    <t>Metal Halide, (1) 50W lamp, Magnetic ballast</t>
  </si>
  <si>
    <t>MH50/1-L</t>
  </si>
  <si>
    <t>Metal Halide, (1) 50W lamp</t>
  </si>
  <si>
    <t>MH70/1</t>
  </si>
  <si>
    <t>Metal Halide, (1) 70W lamp, Magnetic ballast</t>
  </si>
  <si>
    <t>MH70/1-L</t>
  </si>
  <si>
    <t>Metal Halide, (1) 70W lamp</t>
  </si>
  <si>
    <t>MH100/1</t>
  </si>
  <si>
    <t>Metal Halide, (1) 100W lamp, Magnetic ballast</t>
  </si>
  <si>
    <t>MH100/1-L</t>
  </si>
  <si>
    <t>Metal Halide, (1) 100W lamp</t>
  </si>
  <si>
    <t>MH125/1</t>
  </si>
  <si>
    <t>Metal Halide, (1) 125W lamp, Magnetic ballast</t>
  </si>
  <si>
    <t>MH150/1</t>
  </si>
  <si>
    <t>Metal Halide, (1) 150W lamp, Magnetic ballast</t>
  </si>
  <si>
    <t>MH150/1-L</t>
  </si>
  <si>
    <t>Metal Halide, (1) 150W lamp</t>
  </si>
  <si>
    <t>MH175/1</t>
  </si>
  <si>
    <t>Metal Halide, (1) 175W lamp, Magnetic ballast</t>
  </si>
  <si>
    <t>MH175/1-L</t>
  </si>
  <si>
    <t>Metal Halide, (1) 175W lamp</t>
  </si>
  <si>
    <t>MH200/1</t>
  </si>
  <si>
    <t>Metal Halide, (1) 200W lamp, Magnetic ballast</t>
  </si>
  <si>
    <t>MH200/1-L</t>
  </si>
  <si>
    <t>Metal Halide, (1) 200W lamp</t>
  </si>
  <si>
    <t>MH250/1</t>
  </si>
  <si>
    <t>Metal Halide, (1) 250W lamp, Magnetic ballast</t>
  </si>
  <si>
    <t>MH250/1-L</t>
  </si>
  <si>
    <t>Metal Halide, (1) 250W lamp</t>
  </si>
  <si>
    <t>MH320/1</t>
  </si>
  <si>
    <t>Metal Halide, (1) 320W lamp, Magnetic ballast</t>
  </si>
  <si>
    <t>MH320/1-L</t>
  </si>
  <si>
    <t>Metal Halide, (1) 320W lamp</t>
  </si>
  <si>
    <t>MH350/1</t>
  </si>
  <si>
    <t>Metal Halide, (1) 350W lamp, Magnetic ballast</t>
  </si>
  <si>
    <t>MH350/1-L</t>
  </si>
  <si>
    <t>Metal Halide, (1) 350W lamp</t>
  </si>
  <si>
    <t>MH360/1</t>
  </si>
  <si>
    <t>Metal Halide, (1) 360W lamp, Magnetic ballast</t>
  </si>
  <si>
    <t>MH400/1</t>
  </si>
  <si>
    <t>Metal Halide, (1) 400W lamp, Magnetic ballast</t>
  </si>
  <si>
    <t>MH400/1-L</t>
  </si>
  <si>
    <t>Metal Halide, (1) 400W lamp</t>
  </si>
  <si>
    <t>MH450/1</t>
  </si>
  <si>
    <t>Metal Halide, (1) 450W lamp, Magnetic ballast</t>
  </si>
  <si>
    <t>MH450/1-L</t>
  </si>
  <si>
    <t>Metal Halide, (1) 450W lamp</t>
  </si>
  <si>
    <t>MH575/1</t>
  </si>
  <si>
    <t>Metal Halide, (1) 575W lamp, Magnetic ballast</t>
  </si>
  <si>
    <t>MH750/1</t>
  </si>
  <si>
    <t>Metal Halide, (1) 750W lamp, Magnetic ballast</t>
  </si>
  <si>
    <t>MH775/1</t>
  </si>
  <si>
    <t>Metal Halide, (1) 775W lamp, Magnetic ballast</t>
  </si>
  <si>
    <t>MH875/1</t>
  </si>
  <si>
    <t>Metal Halide, (1) 875W lamp</t>
  </si>
  <si>
    <t>MH1000/1</t>
  </si>
  <si>
    <t>Metal Halide, (1) 1000W lamp, Magnetic ballast</t>
  </si>
  <si>
    <t>MH1000/1-L</t>
  </si>
  <si>
    <t>Metal Halide, (1) 1000W lamp</t>
  </si>
  <si>
    <t>MH1500/1</t>
  </si>
  <si>
    <t>Metal Halide, (1) 1500W lamp, Magnetic ballast</t>
  </si>
  <si>
    <t>MH1650/1</t>
  </si>
  <si>
    <t>Metal Halide, (1) 1650W lamp</t>
  </si>
  <si>
    <t>MH2000/1</t>
  </si>
  <si>
    <t>Metal Halide, (1) 2000W lamp</t>
  </si>
  <si>
    <t>MV40/1</t>
  </si>
  <si>
    <t>Mercury Vapor, (1) 40W lamp</t>
  </si>
  <si>
    <t>MV50/1</t>
  </si>
  <si>
    <t>Mercury Vapor, (1) 50W lamp</t>
  </si>
  <si>
    <t>MV75/1</t>
  </si>
  <si>
    <t>Mercury Vapor, (1) 75W lamp</t>
  </si>
  <si>
    <t>MV100/1</t>
  </si>
  <si>
    <t>Mercury Vapor, (1) 100W lamp</t>
  </si>
  <si>
    <t>MV160/1</t>
  </si>
  <si>
    <t>Mercury Vapor, Self-Ballasted, (1) 160W self-ballasted lamp</t>
  </si>
  <si>
    <t>MV175/1</t>
  </si>
  <si>
    <t>Mercury Vapor, (1) 175W lamp</t>
  </si>
  <si>
    <t>MV250/1</t>
  </si>
  <si>
    <t>Mercury Vapor, (1) 250W lamp</t>
  </si>
  <si>
    <t>MV400/1</t>
  </si>
  <si>
    <t>Mercury Vapor, (1) 400W lamp</t>
  </si>
  <si>
    <t>MV700/1</t>
  </si>
  <si>
    <t>Mercury Vapor, (1) 700W lamp</t>
  </si>
  <si>
    <t>MV1000/1</t>
  </si>
  <si>
    <t>Mercury Vapor, (1) 1000W lamp</t>
  </si>
  <si>
    <t>NEONEPH</t>
  </si>
  <si>
    <t>NEON E (lectonic ballast) P(edestrian) H(and)</t>
  </si>
  <si>
    <t>NEONEPP</t>
  </si>
  <si>
    <t>NEON E (lectonic ballast) P(edestrian) P(erson)</t>
  </si>
  <si>
    <t>NEONMPDW</t>
  </si>
  <si>
    <t>NEON M (agnetic transformer) P(edestrian) D(on't)W(alk)</t>
  </si>
  <si>
    <t>NEONMPH</t>
  </si>
  <si>
    <t>NEON M (agnetic transformer) P(edestrian) H(and)</t>
  </si>
  <si>
    <t>NEONMPP</t>
  </si>
  <si>
    <t>NEON M (agnetic transformer) P(edestrian) P(erson)</t>
  </si>
  <si>
    <t>TI12RB</t>
  </si>
  <si>
    <t>Incandescent Traffic Signal</t>
  </si>
  <si>
    <t>12” Red Incandescent Ball</t>
  </si>
  <si>
    <t>TI12YB</t>
  </si>
  <si>
    <t>12” Yellow Incandescent Ball</t>
  </si>
  <si>
    <t>TI12GB</t>
  </si>
  <si>
    <t>12” Green Incandescent Ball</t>
  </si>
  <si>
    <t>TI8RB</t>
  </si>
  <si>
    <t>8” Red Incandescent Ball</t>
  </si>
  <si>
    <t>TI8YB</t>
  </si>
  <si>
    <t>8” Yellow Incandescent Ball</t>
  </si>
  <si>
    <t>TI8GB</t>
  </si>
  <si>
    <t>8” Green Incandescent Ball</t>
  </si>
  <si>
    <t>TI12RA</t>
  </si>
  <si>
    <t>12” Red Incandescent Arrow</t>
  </si>
  <si>
    <t>TI12YA</t>
  </si>
  <si>
    <t>12” Yellow Incandescent Arrow</t>
  </si>
  <si>
    <t>TI12GA</t>
  </si>
  <si>
    <t>12” Green Incandescent Arrow</t>
  </si>
  <si>
    <t>TILPEDCT</t>
  </si>
  <si>
    <t>Large (16” x 18”) Incandescent Pedestrian Signal with Countdown</t>
  </si>
  <si>
    <t>TISMPEDCT</t>
  </si>
  <si>
    <t>Small (12” x 12”) Incandescent Pedestrian Signal with Countdown</t>
  </si>
  <si>
    <t>TILGPED</t>
  </si>
  <si>
    <t>Large (16” x 18”) Incandescent Pedestrian Signal without Countdown</t>
  </si>
  <si>
    <t>TISMPED</t>
  </si>
  <si>
    <t>Small (12” x 12”) Incandescent Pedestrian Signal without Countdown</t>
  </si>
  <si>
    <t>TLED12RB</t>
  </si>
  <si>
    <t>LED Traffic Signal</t>
  </si>
  <si>
    <t>12” Red LED Ball</t>
  </si>
  <si>
    <t>TLED12YB</t>
  </si>
  <si>
    <t>12” Yellow LED Ball</t>
  </si>
  <si>
    <t>TLED12GB</t>
  </si>
  <si>
    <t>12” Green LED Ball</t>
  </si>
  <si>
    <t>TLED8RB</t>
  </si>
  <si>
    <t>8” Red LED Ball</t>
  </si>
  <si>
    <t>TLED8YB</t>
  </si>
  <si>
    <t>8” Yellow LED Ball</t>
  </si>
  <si>
    <t>TLED8GB</t>
  </si>
  <si>
    <t>8” Green LED Ball</t>
  </si>
  <si>
    <t>TLED12RA</t>
  </si>
  <si>
    <t>12” Red LED Arrow</t>
  </si>
  <si>
    <t>TLED12YA</t>
  </si>
  <si>
    <t>12” Yellow LED Arrow</t>
  </si>
  <si>
    <t>TLED12GA</t>
  </si>
  <si>
    <t>12” Green LED Arrow</t>
  </si>
  <si>
    <t>TLEDLPEDCT</t>
  </si>
  <si>
    <t>Large (16” x 18”) LED Pedestrian Signal with Countdown</t>
  </si>
  <si>
    <t>TLEDSMPEDCT</t>
  </si>
  <si>
    <t>Small (12” x 12”) LED Pedestrian Signal with Countdown</t>
  </si>
  <si>
    <t>TLEDLGPED</t>
  </si>
  <si>
    <t>Large (16” x 18”) LED Pedestrian Signal without countdown</t>
  </si>
  <si>
    <t>TLEDSMPED</t>
  </si>
  <si>
    <t>Small (12” x 12”) LED Pedestrian Signal without Countdown</t>
  </si>
  <si>
    <t>Building/Space Type</t>
  </si>
  <si>
    <t>Air Conditioned Space – Normal Temps. (&gt; 41°F)</t>
  </si>
  <si>
    <t>Refrigerated Space – Med. Temps. (33-41°F)</t>
  </si>
  <si>
    <t>Refrigerated Space – Low Temps. (-10-10°F)</t>
  </si>
  <si>
    <r>
      <t>IEF</t>
    </r>
    <r>
      <rPr>
        <b/>
        <sz val="7"/>
        <color theme="0"/>
        <rFont val="Calibri"/>
        <family val="2"/>
        <scheme val="minor"/>
      </rPr>
      <t>D</t>
    </r>
  </si>
  <si>
    <r>
      <t>IEF</t>
    </r>
    <r>
      <rPr>
        <b/>
        <sz val="7"/>
        <color theme="0"/>
        <rFont val="Calibri"/>
        <family val="2"/>
        <scheme val="minor"/>
      </rPr>
      <t>E</t>
    </r>
  </si>
  <si>
    <t>Lookup Value</t>
  </si>
  <si>
    <t>Refrigerated space (33-41°F)</t>
  </si>
  <si>
    <t>Freezer space (-10-10°F)</t>
  </si>
  <si>
    <t>Space Conditions</t>
  </si>
  <si>
    <t>Existing Fixture Watts</t>
  </si>
  <si>
    <t>Proposed Fixture Watts</t>
  </si>
  <si>
    <t>Over-Ride Annual Hours</t>
  </si>
  <si>
    <t>Annual Hours</t>
  </si>
  <si>
    <t>Building Space</t>
  </si>
  <si>
    <t>Project Index</t>
  </si>
  <si>
    <t>A/C with gas heat</t>
  </si>
  <si>
    <t>A/C with electric resistance heat</t>
  </si>
  <si>
    <t>A/C with heat pump heat</t>
  </si>
  <si>
    <t>A/C with no heat</t>
  </si>
  <si>
    <t>Existing Fixture Code</t>
  </si>
  <si>
    <t>Existing Lamp Make/Model #</t>
  </si>
  <si>
    <t>Existing Ballast Make/Model #</t>
  </si>
  <si>
    <t>Existing Fixture Quantity</t>
  </si>
  <si>
    <t>Proposed Lamp/Fixture Make &amp; Model #</t>
  </si>
  <si>
    <t>Proposed Fixture Code</t>
  </si>
  <si>
    <t>Proposed Lamp/Fixture Qualification</t>
  </si>
  <si>
    <t>Proposed Ballast Make &amp; Model #</t>
  </si>
  <si>
    <t>Proposed Ballast Qualification</t>
  </si>
  <si>
    <t>Proposed Fixture Quantity</t>
  </si>
  <si>
    <t>Retrofit Cost</t>
  </si>
  <si>
    <t>Weeks Per Year</t>
  </si>
  <si>
    <t>TRM Index #</t>
  </si>
  <si>
    <t>Default</t>
  </si>
  <si>
    <t>Weekday Operating Schedule</t>
  </si>
  <si>
    <t>Weekday Operating Hours</t>
  </si>
  <si>
    <t>Weekdays Per Week</t>
  </si>
  <si>
    <t>Saturday Operating Schedule</t>
  </si>
  <si>
    <t>Saturday Operating Hours</t>
  </si>
  <si>
    <t>Sunday Operating Schedule</t>
  </si>
  <si>
    <t>Sunday Operating Hours</t>
  </si>
  <si>
    <t>Annual Operating Hours</t>
  </si>
  <si>
    <t>Default Hours or Over-Ride</t>
  </si>
  <si>
    <t>Over-ride</t>
  </si>
  <si>
    <t>Default or Over-Ride</t>
  </si>
  <si>
    <t>Custom House of Operation</t>
  </si>
  <si>
    <t>Y</t>
  </si>
  <si>
    <t>Baseline Fixture Code</t>
  </si>
  <si>
    <t>Baseline Fixture Watts</t>
  </si>
  <si>
    <t>Wattage Reduction</t>
  </si>
  <si>
    <t>Lighting &amp; Controls Retrofit</t>
  </si>
  <si>
    <t>IEFD</t>
  </si>
  <si>
    <t>IEFE</t>
  </si>
  <si>
    <t>Incentive ($)</t>
  </si>
  <si>
    <t>Electric Incentive Rate ($/kW)</t>
  </si>
  <si>
    <t>Net Project Cost ($)</t>
  </si>
  <si>
    <t>Project Payback (yrs)</t>
  </si>
  <si>
    <t>Energy Cost Savings ($)</t>
  </si>
  <si>
    <t>Existing PAF</t>
  </si>
  <si>
    <t>Existing CF</t>
  </si>
  <si>
    <t>Energy Smart Reviewer Comments</t>
  </si>
  <si>
    <t>Maximum Incentive Amount</t>
  </si>
  <si>
    <t>Gross Project Cost ($)</t>
  </si>
  <si>
    <t>Eligible Proposed Fixture Test</t>
  </si>
  <si>
    <t>Entergy Account Number(s)</t>
  </si>
  <si>
    <t>Instructions</t>
  </si>
  <si>
    <t>If custom operating hours are used for any projects, enter custom hour calculations on "Custom Hours" tab.</t>
  </si>
  <si>
    <t>Spreadsheet Version</t>
  </si>
  <si>
    <t>File Version</t>
  </si>
  <si>
    <t>Change</t>
  </si>
  <si>
    <t>Date</t>
  </si>
  <si>
    <t>Update "Lighting Qualifications" tab</t>
  </si>
  <si>
    <t>Provide data export tab for PSD</t>
  </si>
  <si>
    <t>Lock cells and worksheets</t>
  </si>
  <si>
    <t>Hide Extraneous tabs</t>
  </si>
  <si>
    <t>Operating Hours Test</t>
  </si>
  <si>
    <t>Input Cell</t>
  </si>
  <si>
    <t>Calculation Cell</t>
  </si>
  <si>
    <t>Gray cells like this one generally cannot be changed by the user.</t>
  </si>
  <si>
    <t>Date indication input</t>
  </si>
  <si>
    <t>Lamps</t>
  </si>
  <si>
    <r>
      <t xml:space="preserve">SF </t>
    </r>
    <r>
      <rPr>
        <sz val="11"/>
        <color indexed="8"/>
        <rFont val="Calibri"/>
        <family val="2"/>
        <scheme val="minor"/>
      </rPr>
      <t>= Total affected square footage of the new construction facility</t>
    </r>
  </si>
  <si>
    <r>
      <t xml:space="preserve">LPD </t>
    </r>
    <r>
      <rPr>
        <sz val="11"/>
        <color indexed="8"/>
        <rFont val="Calibri"/>
        <family val="2"/>
        <scheme val="minor"/>
      </rPr>
      <t>= Maximum allowable power density by building type (W/ft2) (Table F1-F4)</t>
    </r>
  </si>
  <si>
    <r>
      <t xml:space="preserve">Nfixt(i),post </t>
    </r>
    <r>
      <rPr>
        <sz val="11"/>
        <color indexed="8"/>
        <rFont val="Calibri"/>
        <family val="2"/>
        <scheme val="minor"/>
      </rPr>
      <t>= Post-retrofit # of fixtures of type i</t>
    </r>
  </si>
  <si>
    <r>
      <t xml:space="preserve">Wfixt(i),post </t>
    </r>
    <r>
      <rPr>
        <sz val="11"/>
        <color indexed="8"/>
        <rFont val="Calibri"/>
        <family val="2"/>
        <scheme val="minor"/>
      </rPr>
      <t>= Rated wattage of post-retrofit fixtures of type i (Appendix E)</t>
    </r>
  </si>
  <si>
    <r>
      <t xml:space="preserve">CF = </t>
    </r>
    <r>
      <rPr>
        <sz val="11"/>
        <color indexed="8"/>
        <rFont val="Calibri"/>
        <family val="2"/>
        <scheme val="minor"/>
      </rPr>
      <t>Peak demand coincidence factor (Table 364)</t>
    </r>
  </si>
  <si>
    <r>
      <t xml:space="preserve">AOH </t>
    </r>
    <r>
      <rPr>
        <sz val="11"/>
        <color indexed="8"/>
        <rFont val="Calibri"/>
        <family val="2"/>
        <scheme val="minor"/>
      </rPr>
      <t>= Annual operating hours for specified building type (Table 364)</t>
    </r>
  </si>
  <si>
    <r>
      <t xml:space="preserve">Nfixt(i),pre </t>
    </r>
    <r>
      <rPr>
        <sz val="11"/>
        <color indexed="8"/>
        <rFont val="Calibri"/>
        <family val="2"/>
        <scheme val="minor"/>
      </rPr>
      <t>= Pre-retrofit number of fixtures of type i</t>
    </r>
  </si>
  <si>
    <r>
      <t xml:space="preserve">Nfixt(i),post </t>
    </r>
    <r>
      <rPr>
        <sz val="11"/>
        <color indexed="8"/>
        <rFont val="Calibri"/>
        <family val="2"/>
        <scheme val="minor"/>
      </rPr>
      <t>= Post-retrofit number of fixtures of type i</t>
    </r>
  </si>
  <si>
    <r>
      <t xml:space="preserve">Wfixt(i),pre </t>
    </r>
    <r>
      <rPr>
        <sz val="11"/>
        <color indexed="8"/>
        <rFont val="Calibri"/>
        <family val="2"/>
        <scheme val="minor"/>
      </rPr>
      <t xml:space="preserve">= Rated wattage of pre-retrofit fixtures of type i (Appendix E)  </t>
    </r>
    <r>
      <rPr>
        <i/>
        <sz val="12"/>
        <color indexed="8"/>
        <rFont val="Times New Roman"/>
        <family val="1"/>
        <charset val="204"/>
      </rPr>
      <t/>
    </r>
  </si>
  <si>
    <r>
      <t xml:space="preserve">PAF </t>
    </r>
    <r>
      <rPr>
        <sz val="11"/>
        <color indexed="8"/>
        <rFont val="Calibri"/>
        <family val="2"/>
        <scheme val="minor"/>
      </rPr>
      <t xml:space="preserve">= Power adjustment factor for specified control type (Table 358)  </t>
    </r>
    <r>
      <rPr>
        <i/>
        <sz val="12"/>
        <color indexed="8"/>
        <rFont val="Times New Roman"/>
        <family val="1"/>
        <charset val="204"/>
      </rPr>
      <t/>
    </r>
  </si>
  <si>
    <r>
      <t xml:space="preserve">IEFG </t>
    </r>
    <r>
      <rPr>
        <sz val="11"/>
        <color indexed="8"/>
        <rFont val="Calibri"/>
        <family val="2"/>
        <scheme val="minor"/>
      </rPr>
      <t>= Interactive effects factor for gas heating savings (Table 366)</t>
    </r>
  </si>
  <si>
    <t>To be eligible for Energy Smart incentives, T-8 lighting equipment must be listed on one of the following qualified products lists.</t>
  </si>
  <si>
    <t>Ballasts manufactured after Nov. 14, 2014</t>
  </si>
  <si>
    <t>Ballasts manufactured before Nov. 14, 2014</t>
  </si>
  <si>
    <t>CEE Qualifying Products List</t>
  </si>
  <si>
    <t>NEMA Qualifying</t>
  </si>
  <si>
    <t>ENERGY STAR® Qualified Product List</t>
  </si>
  <si>
    <t>ENERGY STAR® Qualified Light Fixtures Product List</t>
  </si>
  <si>
    <t>Light bulbs</t>
  </si>
  <si>
    <t>Light fixtures</t>
  </si>
  <si>
    <t>Design Lights Consortium (DLC)</t>
  </si>
  <si>
    <t>Program Selection</t>
  </si>
  <si>
    <t>Program Type</t>
  </si>
  <si>
    <t>Outdoor/Parking Structure/Unconditioned Warehouse or Manufacturing Area</t>
  </si>
  <si>
    <t>N/A (Unconditioned)</t>
  </si>
  <si>
    <t>Small Commercial Solutions</t>
  </si>
  <si>
    <t>Large Commercial &amp; Industrial Solutions</t>
  </si>
  <si>
    <t>Publicly Funded Institutions</t>
  </si>
  <si>
    <t>Added Program Selection</t>
  </si>
  <si>
    <t>Added "N/A (Unconditioned)" to building/space type drop down list</t>
  </si>
  <si>
    <t>Fixed proposed fixture total wattage auto-population formula</t>
  </si>
  <si>
    <t>Fixed savings calculation formula</t>
  </si>
  <si>
    <t>Added in comments about existing and proposed controls</t>
  </si>
  <si>
    <t>Default w/specified hours</t>
  </si>
  <si>
    <t>Custom wo/specified hours</t>
  </si>
  <si>
    <t>Negative retrofit cost</t>
  </si>
  <si>
    <t>Negative retrofit cost with negative savings</t>
  </si>
  <si>
    <t>T12 Proposed higher than baseline</t>
  </si>
  <si>
    <t>T12 Measure type mismatch</t>
  </si>
  <si>
    <t>T12 Default w/specified hours</t>
  </si>
  <si>
    <t>T12 Lower grade proposed controls</t>
  </si>
  <si>
    <t>T12 Existing controls w/improvement</t>
  </si>
  <si>
    <t>T12 Custom wo/specified hours</t>
  </si>
  <si>
    <t>T12 Unconditioned space</t>
  </si>
  <si>
    <t>T12 Negative retrofit cost</t>
  </si>
  <si>
    <t>T12 Negative retrofit cost with negative savings</t>
  </si>
  <si>
    <t>T12 Blank proposed control 1</t>
  </si>
  <si>
    <t>T12 Blank proposed control 2</t>
  </si>
  <si>
    <t>T12 Lower grade proposed controls 1</t>
  </si>
  <si>
    <t>T12 Lower grade proposed controls 2</t>
  </si>
  <si>
    <t>T12 Blank existing control</t>
  </si>
  <si>
    <t>T12 Blank existing control 2</t>
  </si>
  <si>
    <t>T12 All blank controls</t>
  </si>
  <si>
    <t>Pass/Fail</t>
  </si>
  <si>
    <t>Pass</t>
  </si>
  <si>
    <t>Fail</t>
  </si>
  <si>
    <t>T12 retrofit w/improved controls</t>
  </si>
  <si>
    <t>T12 control improvement w/existing controls</t>
  </si>
  <si>
    <t>Conditioned 1</t>
  </si>
  <si>
    <t>Conditioned 2</t>
  </si>
  <si>
    <t>Conditioned 3</t>
  </si>
  <si>
    <t>Conditioned 4</t>
  </si>
  <si>
    <t>Conditioned 5</t>
  </si>
  <si>
    <t>Conditioned 6</t>
  </si>
  <si>
    <t>Conditioned 7</t>
  </si>
  <si>
    <t>Type</t>
  </si>
  <si>
    <t>T12</t>
  </si>
  <si>
    <t>Space Type 1</t>
  </si>
  <si>
    <t>Space Type 2</t>
  </si>
  <si>
    <t>Space Type 3</t>
  </si>
  <si>
    <t>Space Type 4</t>
  </si>
  <si>
    <t>Space Type 5</t>
  </si>
  <si>
    <t>Space Type 6</t>
  </si>
  <si>
    <t>Space Type 7</t>
  </si>
  <si>
    <t>Space Type 8</t>
  </si>
  <si>
    <t>Space Type 9</t>
  </si>
  <si>
    <t>Space Type 10</t>
  </si>
  <si>
    <t>Space Type 11</t>
  </si>
  <si>
    <t>Space Type 12</t>
  </si>
  <si>
    <t>Space Type 13</t>
  </si>
  <si>
    <t>Space Type 14</t>
  </si>
  <si>
    <t>Space Type 15</t>
  </si>
  <si>
    <t>Space Type 16</t>
  </si>
  <si>
    <t>Space Type 17</t>
  </si>
  <si>
    <t>T12 Control improvement wo/retrofit</t>
  </si>
  <si>
    <t>Add note about checking for prescriptive fixtures</t>
  </si>
  <si>
    <t>Person</t>
  </si>
  <si>
    <t>F2.1</t>
  </si>
  <si>
    <t>Sheaffer</t>
  </si>
  <si>
    <t>Updated various number formats on "Project Input"</t>
  </si>
  <si>
    <t>x</t>
  </si>
  <si>
    <t>Notes</t>
  </si>
  <si>
    <t>Implement after controls integrated in to verification review</t>
  </si>
  <si>
    <t>Implemented</t>
  </si>
  <si>
    <t>Removed proposed controls, proposed PAF, proposed CF from input and review calcs.  
Also removed "Project Type" input column from both tabs.
Also removed test to make sure that Project Type matches inputs</t>
  </si>
  <si>
    <t>Space Type 18</t>
  </si>
  <si>
    <t>Space Type 19</t>
  </si>
  <si>
    <t>Space Type 20</t>
  </si>
  <si>
    <t>Space Type 21</t>
  </si>
  <si>
    <t>Space Type 22</t>
  </si>
  <si>
    <t>Space Type 23</t>
  </si>
  <si>
    <t>Space Type 24</t>
  </si>
  <si>
    <t>Space Type 25</t>
  </si>
  <si>
    <t>Space Type 26</t>
  </si>
  <si>
    <t>Space Type 27</t>
  </si>
  <si>
    <t>All blank controls</t>
  </si>
  <si>
    <t>T12 Retrofit w/out controls</t>
  </si>
  <si>
    <t>T12 Retrofit w/existing controls</t>
  </si>
  <si>
    <t>Retrofit w/out controls</t>
  </si>
  <si>
    <t>Retrofit w/existing controls</t>
  </si>
  <si>
    <t>Existing Controls 1</t>
  </si>
  <si>
    <t>Existing Controls 2</t>
  </si>
  <si>
    <t>Existing Controls 3</t>
  </si>
  <si>
    <t>Existing Controls 4</t>
  </si>
  <si>
    <t>Existing Controls 5</t>
  </si>
  <si>
    <t>Existing Controls 6</t>
  </si>
  <si>
    <t>Existing Controls 7</t>
  </si>
  <si>
    <t>Existing Controls 8</t>
  </si>
  <si>
    <t>Existing Controls 9</t>
  </si>
  <si>
    <t>Blank existing control</t>
  </si>
  <si>
    <t>Original Index</t>
  </si>
  <si>
    <t>Changed "Existing Fixture Watts" and "Proposed Fixture Watts" from vlookup() to index(match()) to avoid errors when Fixture Table is sorted or filtered.</t>
  </si>
  <si>
    <t>Changed "Default Hours or Over-Ride" on Custom Hours tab from vlookup() to index(match())</t>
  </si>
  <si>
    <t>Wrapped "Location" text in Custom Hours Table</t>
  </si>
  <si>
    <t>Fix "Operating Hours Test" to return an error if there are any values in the custom hours tab</t>
  </si>
  <si>
    <t>Need to add note and have reviewers not accept CFLs</t>
  </si>
  <si>
    <t>Proposed higher than existing</t>
  </si>
  <si>
    <t>Update "Wattage Reduction Test" so that if the total lighting demand (without accounting for CF) is reduced, it doesn't matter if fixture wattage goes up.</t>
  </si>
  <si>
    <t>Add Conditional formatting to Project Input tab "Actual Energy Savings" thorugh "Payback" so that cells with negative values are filled in with red to indicate an error in input.</t>
  </si>
  <si>
    <t>To Do</t>
  </si>
  <si>
    <t>Kurtz</t>
  </si>
  <si>
    <t>Enter basic customer and trade ally information on this sheet.</t>
  </si>
  <si>
    <t>Added note in "Instructions" about applying for daylighting or occ. sensor incentives</t>
  </si>
  <si>
    <t>Updated the electric incentive rate to reflect the program selection ($0.1/kWh vs. $0.12/kWh) from the instructions tab</t>
  </si>
  <si>
    <t>Enter information into all input cells on the "Project Input" tab. Instructions for input fields can be found be highlighting the column headers in each table.</t>
  </si>
  <si>
    <t xml:space="preserve">Both of these colors indicate an input cell for the user. Each highlighted input cell is required. </t>
  </si>
  <si>
    <t>Changed "Baseline Fixture Watts" on Review tab from vlookup to index(match())</t>
  </si>
  <si>
    <t>Updated comment formatting on pProject Input tab and removed reverences to controls projects in comments</t>
  </si>
  <si>
    <t>Modified Table formats to remove cell fill pattern and make solid colors</t>
  </si>
  <si>
    <t>Added and updated input cell format styles</t>
  </si>
  <si>
    <t>Added brands icons to instructions tab</t>
  </si>
  <si>
    <t>Changed "Annual Hours" from vlookup to index(match())</t>
  </si>
  <si>
    <t>Updated format of Review tab</t>
  </si>
  <si>
    <t>Changed Outdoor space type to Outdoor or Uncovered Parking Lot</t>
  </si>
  <si>
    <t>Changed Parking Structure to Covered Parking Structure</t>
  </si>
  <si>
    <t>Added Conditional Formatting rules to each tab to enable check of cell protection status</t>
  </si>
  <si>
    <t>Cell Protection Review</t>
  </si>
  <si>
    <t>&lt;-This cell should be blank unless you are testing cell protection</t>
  </si>
  <si>
    <t>Proposed Control(s)</t>
  </si>
  <si>
    <t>Proposed CF</t>
  </si>
  <si>
    <t>Proposed PAF</t>
  </si>
  <si>
    <t>Fixture Demand Savings (kW)</t>
  </si>
  <si>
    <t>Fixture Energy Savings</t>
  </si>
  <si>
    <t>Fixture Energy Cost Savings ($)</t>
  </si>
  <si>
    <t>F3</t>
  </si>
  <si>
    <t>Project Type</t>
  </si>
  <si>
    <t>Added in fixture controls and equations</t>
  </si>
  <si>
    <t>Change order of custom formatting rules on Custom Hours tab to preserve highlighting of cells needing input</t>
  </si>
  <si>
    <t>Changed Total Net Project Cost and Payback to reflect incentive cap</t>
  </si>
  <si>
    <t>Added comments to Project Input tab columns to indicate that individual line item totals do not reflect incentive caps.</t>
  </si>
  <si>
    <t>Control Energy Savings (kWh)</t>
  </si>
  <si>
    <t>Control Demand Savings (kW)</t>
  </si>
  <si>
    <t>Control Energy Cost Savings ($)</t>
  </si>
  <si>
    <t>Total Demand Savings (kW)</t>
  </si>
  <si>
    <t>Total Energy Savings (kWh)</t>
  </si>
  <si>
    <t>Total Cost Savings ($)</t>
  </si>
  <si>
    <t>Peak Demand Coincidence Factor for Lighting with  Controls</t>
  </si>
  <si>
    <t>Value</t>
  </si>
  <si>
    <t>CF Controls</t>
  </si>
  <si>
    <t>Revamped Review tab to separate fixture and control savings calculations</t>
  </si>
  <si>
    <t>Updated Project Input summary columns from vlookup to index(match())</t>
  </si>
  <si>
    <t>Updated Conditional Formatting rule order on Fixture Table</t>
  </si>
  <si>
    <t>Incentive Control Demand Savings (kW)</t>
  </si>
  <si>
    <t>Incentive Control Energy Savings (kWh)</t>
  </si>
  <si>
    <t>Incentive Total Demand Savings (kW)</t>
  </si>
  <si>
    <t>Incentive Total Energy Savings (kWh)</t>
  </si>
  <si>
    <t>Incentive Fixture Demand Savings (kW)</t>
  </si>
  <si>
    <t>Incentive Fixture Energy Savings (kWh)</t>
  </si>
  <si>
    <t>Project Type Matches Controls Selections</t>
  </si>
  <si>
    <t>Updated incentive calculation so individual project incentive cannot be less than zero</t>
  </si>
  <si>
    <t>Adjusted IEFe</t>
  </si>
  <si>
    <t>Figure out what we should be using for interactive effects for lighting</t>
  </si>
  <si>
    <t>Add review test that flags any areas where outdoor or parking garage are selected, but sapce is conditioned</t>
  </si>
  <si>
    <t>Added iferror function to control energy savings and incentive control energy savings calculations</t>
  </si>
  <si>
    <t>Added max incentive cap equal to project cost (for all project line items combined)</t>
  </si>
  <si>
    <t>Project Selection</t>
  </si>
  <si>
    <t>Project Stage</t>
  </si>
  <si>
    <t xml:space="preserve">Pre-Retrofit </t>
  </si>
  <si>
    <t xml:space="preserve">Post-Retrofit </t>
  </si>
  <si>
    <t>Add project number input to "Instructions" tab</t>
  </si>
  <si>
    <t>F4.1</t>
  </si>
  <si>
    <t>Reformatted headings for tables on "Tables &amp; Ranges" tab</t>
  </si>
  <si>
    <t>Fixture Existing Demand (kW)</t>
  </si>
  <si>
    <t>Fixture Proposed Demand (kW)</t>
  </si>
  <si>
    <t>Fixture Existing Energy (kWh)</t>
  </si>
  <si>
    <t>Fixture Proposed Energy (kWh)</t>
  </si>
  <si>
    <t>Fixture Existing Cost ($)</t>
  </si>
  <si>
    <t>Fixture Proposed Cost ($)</t>
  </si>
  <si>
    <t>Control Existing Demand (kW)</t>
  </si>
  <si>
    <t>Control Proposed Demand (kW)</t>
  </si>
  <si>
    <t>Control Existing Energy (kWh)</t>
  </si>
  <si>
    <t>Control Proposed Energy (kWh)</t>
  </si>
  <si>
    <t>Control Existing Cost ($)</t>
  </si>
  <si>
    <t>Controls Proposed Cost ($)</t>
  </si>
  <si>
    <t>Total Existing Demand (kW)</t>
  </si>
  <si>
    <t>Total Proposed Demand (kW)</t>
  </si>
  <si>
    <t>Total Existing Energy (kWh)</t>
  </si>
  <si>
    <t>Total Proposed Energy (kWh)</t>
  </si>
  <si>
    <t>Total Existing Cost ($)</t>
  </si>
  <si>
    <t>Total Proposed Cost ($)</t>
  </si>
  <si>
    <t>F5</t>
  </si>
  <si>
    <t>Added columns in the "Review" tab to include existing and proposed energy usage and costs</t>
  </si>
  <si>
    <t>Bar Area</t>
  </si>
  <si>
    <t>Corridor/Hallway/Stairwell</t>
  </si>
  <si>
    <t>Education: College/University</t>
  </si>
  <si>
    <t>Education: K-12</t>
  </si>
  <si>
    <t>Food Sales: 24-Hour Supermarket</t>
  </si>
  <si>
    <t>Food Sales: Non 24-Hour Supermarket</t>
  </si>
  <si>
    <t>Food Service: Sit-Down Restaurant</t>
  </si>
  <si>
    <t>Health Care: In-Patient</t>
  </si>
  <si>
    <t>Health Care: Nursing Home</t>
  </si>
  <si>
    <t>Health Care: Out-Patient</t>
  </si>
  <si>
    <t>Kwik-E-Mart</t>
  </si>
  <si>
    <t>Lodging (Hotel/Motel/Dorm): Room</t>
  </si>
  <si>
    <t>Manufacturing</t>
  </si>
  <si>
    <t>Non-Warehouse Storage (Generic)</t>
  </si>
  <si>
    <t>Office (attached to other facility)</t>
  </si>
  <si>
    <t>Parking Structure</t>
  </si>
  <si>
    <t>Religious Gathering</t>
  </si>
  <si>
    <t>Restroom (Generic)</t>
  </si>
  <si>
    <t>Retail: Freestanding</t>
  </si>
  <si>
    <t>Retail: Other</t>
  </si>
  <si>
    <t>Retail: Strip Mall</t>
  </si>
  <si>
    <t>Service: Excluding Food</t>
  </si>
  <si>
    <t>Warehouse: Non-Refrigerated</t>
  </si>
  <si>
    <t>Exterior/Outdoors/Parking Lot</t>
  </si>
  <si>
    <t>F6</t>
  </si>
  <si>
    <t>Updated the AOH and CF table to reflect the New Orleans TRM</t>
  </si>
  <si>
    <t>F6.1</t>
  </si>
  <si>
    <t>Adjusted the Fixture Table to not include incandescent, CFL or LED screw-in lamps</t>
  </si>
  <si>
    <t xml:space="preserve"> Kurtz</t>
  </si>
  <si>
    <t>Short Description (up to 500 characters)</t>
  </si>
  <si>
    <t>Status</t>
  </si>
  <si>
    <t>Conversion Rates</t>
  </si>
  <si>
    <t>Electricity</t>
  </si>
  <si>
    <t>Natural Gas</t>
  </si>
  <si>
    <t>Package Custom Fields</t>
  </si>
  <si>
    <t>Field Name</t>
  </si>
  <si>
    <t>Fuel Savings</t>
  </si>
  <si>
    <t>Fuel</t>
  </si>
  <si>
    <t>Heating (kBtu/yr)</t>
  </si>
  <si>
    <t>Cooling (kBtu/yr)</t>
  </si>
  <si>
    <t>Lighting (kBtu/yr)</t>
  </si>
  <si>
    <t>Hot Water (kBtu/yr)</t>
  </si>
  <si>
    <t>Appliance (kBtu/yr)</t>
  </si>
  <si>
    <t>Other (kBtu/yr)</t>
  </si>
  <si>
    <t>AnnualTotal(kBtu/yr)</t>
    <phoneticPr fontId="0" type="noConversion"/>
  </si>
  <si>
    <t>AnnualCost</t>
  </si>
  <si>
    <t>Demand</t>
  </si>
  <si>
    <t>Funding Source</t>
  </si>
  <si>
    <t>Incentive Code</t>
  </si>
  <si>
    <t>Eligible Amount</t>
  </si>
  <si>
    <t>Exemption Status</t>
    <phoneticPr fontId="0" type="noConversion"/>
  </si>
  <si>
    <t>Payment Date</t>
  </si>
  <si>
    <t>Amount Paid</t>
  </si>
  <si>
    <t>CheckID</t>
  </si>
  <si>
    <t>Payment Status</t>
  </si>
  <si>
    <t>Note</t>
  </si>
  <si>
    <t>Improvements</t>
  </si>
  <si>
    <t>Improvement 1</t>
  </si>
  <si>
    <t>ImprovementType</t>
  </si>
  <si>
    <t>ImprovementCost</t>
  </si>
  <si>
    <t>ImprovementQuantity</t>
  </si>
  <si>
    <t>Description</t>
  </si>
  <si>
    <t>AutogeneratedName</t>
  </si>
  <si>
    <t>TreatmentWorkscope</t>
  </si>
  <si>
    <t>Savings( $/yr )</t>
  </si>
  <si>
    <t>ImprovementSavings</t>
  </si>
  <si>
    <t>ImprovementAttribute</t>
  </si>
  <si>
    <t>AttributeName</t>
  </si>
  <si>
    <t>ENO_Size</t>
  </si>
  <si>
    <t>ENO_EfficiencyLevel</t>
  </si>
  <si>
    <t>ENO_UsefulLife</t>
  </si>
  <si>
    <t>ENO_SerialNumber</t>
  </si>
  <si>
    <t>ENO_Age</t>
  </si>
  <si>
    <t>ENO_EquipmentReplaced</t>
  </si>
  <si>
    <t>ENO_SimplePayback</t>
  </si>
  <si>
    <t>Improvement 2</t>
  </si>
  <si>
    <t>AnnualTotal(kBtu/yr)</t>
  </si>
  <si>
    <t>Improvement 3</t>
  </si>
  <si>
    <t>Annual Total (kBtu/yr)</t>
  </si>
  <si>
    <t>Cost Savings ($/year)</t>
  </si>
  <si>
    <t>Improvement 4</t>
  </si>
  <si>
    <t>Improvement 5</t>
  </si>
  <si>
    <t>Improvement 6</t>
  </si>
  <si>
    <t>Improvement 7</t>
  </si>
  <si>
    <t>Improvement 8</t>
  </si>
  <si>
    <t>Improvement 9</t>
  </si>
  <si>
    <t>Improvement 10</t>
  </si>
  <si>
    <t>Improvement 11</t>
  </si>
  <si>
    <t>Improvement 12</t>
  </si>
  <si>
    <t>Improvement 13</t>
  </si>
  <si>
    <t>Improvement 14</t>
  </si>
  <si>
    <t>Improvement 15</t>
  </si>
  <si>
    <t>Improvement 16</t>
  </si>
  <si>
    <t>Improvement 17</t>
  </si>
  <si>
    <t>Improvement 18</t>
  </si>
  <si>
    <t>Improvement 19</t>
  </si>
  <si>
    <t>Improvement 20</t>
  </si>
  <si>
    <t>Improvement 21</t>
  </si>
  <si>
    <t>Improvement 22</t>
  </si>
  <si>
    <t>Improvement 23</t>
  </si>
  <si>
    <t>Improvement 24</t>
  </si>
  <si>
    <t>Improvement 25</t>
  </si>
  <si>
    <t>Improvement 26</t>
  </si>
  <si>
    <t>Improvement 27</t>
  </si>
  <si>
    <t>Improvement 28</t>
  </si>
  <si>
    <t>Improvement 29</t>
  </si>
  <si>
    <t>Improvement 30</t>
  </si>
  <si>
    <t>Improvement 31</t>
  </si>
  <si>
    <t>Improvement 32</t>
  </si>
  <si>
    <t>Improvement 33</t>
  </si>
  <si>
    <t>Improvement 34</t>
  </si>
  <si>
    <t>Improvement 35</t>
  </si>
  <si>
    <t>Improvement 36</t>
  </si>
  <si>
    <t>Improvement 37</t>
  </si>
  <si>
    <t>Improvement 38</t>
  </si>
  <si>
    <t>Improvement 39</t>
  </si>
  <si>
    <t>Improvement 40</t>
  </si>
  <si>
    <t>Improvement 41</t>
  </si>
  <si>
    <t>Improvement 42</t>
  </si>
  <si>
    <t>Improvement 43</t>
  </si>
  <si>
    <t>Improvement 44</t>
  </si>
  <si>
    <t>Improvement 45</t>
  </si>
  <si>
    <t>Improvement 46</t>
  </si>
  <si>
    <t>Improvement 47</t>
  </si>
  <si>
    <t>Improvement 48</t>
  </si>
  <si>
    <t>Improvement 49</t>
  </si>
  <si>
    <t>Improvement 50</t>
  </si>
  <si>
    <t>Assert</t>
  </si>
  <si>
    <t>No Electric savings was identified.  Please ensure there is electric savings and re-upload the calculator</t>
  </si>
  <si>
    <t>Please select a program type and re-upload the calculator</t>
  </si>
  <si>
    <t>Please select a project stage and re-upload the calculator</t>
  </si>
  <si>
    <t>Please enter a unit cost for electricity and re-upload the calculator</t>
  </si>
  <si>
    <t>For lighting projects involving installation of LED exit signs or screw-in LED bulbs replacing existing CFL and/or incandescent bulbs, please use the "Prescriptive Energy Smart Calculator" found at www.EnergySmartNola.info/businesses.</t>
  </si>
  <si>
    <t xml:space="preserve">If you are planning to install daylighting controls or occupancy sensors on existing lighting fixtures, please use the "Prescriptive Energy Smart Calculator" found on the Energy Smart website. </t>
  </si>
  <si>
    <t>T-8 Lighting Qualification</t>
  </si>
  <si>
    <t>library.cee1.org/content/commercial-lighting-qualifying-products-lists</t>
  </si>
  <si>
    <t>www.nema.org/Policy/Energy/Efficiency/Documents/nema_premium_electronic_ballast_program.pdf</t>
  </si>
  <si>
    <t>LED Lighting Qualification</t>
  </si>
  <si>
    <t>To be eligible for Energy Smart incentives, LED lighting equipment must be listed on one of the following qualified products lists.</t>
  </si>
  <si>
    <t>www.energystar.gov/productfinder/product/certified-light-bulbs/results</t>
  </si>
  <si>
    <t>www.energystar.gov/productfinder/product/certified-light-fixtures/results</t>
  </si>
  <si>
    <t>Light bulbs or fixtures</t>
  </si>
  <si>
    <t>www.designlights.org/search/</t>
  </si>
  <si>
    <t>F9</t>
  </si>
  <si>
    <t>Added new Measure Incentive Amount attribute (ENO_MeasureIncentiveAmt)</t>
  </si>
  <si>
    <t>Johnson</t>
  </si>
  <si>
    <t>ENO_MeasureIncentiveAmt</t>
  </si>
  <si>
    <t>Prescriptive or Custom</t>
  </si>
  <si>
    <t>1 to 6</t>
  </si>
  <si>
    <t>12 to 17</t>
  </si>
  <si>
    <r>
      <rPr>
        <u/>
        <sz val="11"/>
        <color theme="1"/>
        <rFont val="Calibri"/>
        <family val="2"/>
        <scheme val="minor"/>
      </rPr>
      <t>&gt;</t>
    </r>
    <r>
      <rPr>
        <sz val="11"/>
        <color theme="1"/>
        <rFont val="Calibri"/>
        <family val="2"/>
        <scheme val="minor"/>
      </rPr>
      <t xml:space="preserve"> 18</t>
    </r>
  </si>
  <si>
    <t>Pres.</t>
  </si>
  <si>
    <t>Cust.</t>
  </si>
  <si>
    <t>7 to 11</t>
  </si>
  <si>
    <t>Demand Savings (kW)</t>
  </si>
  <si>
    <t>Energy Savings (kWh)</t>
  </si>
  <si>
    <t>F10</t>
  </si>
  <si>
    <t>Mo</t>
  </si>
  <si>
    <t>Add Macros for Printing and updated "Project Type" list</t>
  </si>
  <si>
    <t>Update "summary_prelim" to include last 4 rows of project input tab</t>
  </si>
  <si>
    <t>Increase row height and font size in "Project Input" for increased legibility</t>
  </si>
  <si>
    <t>Updated space conditions in "Project Input" Tab to ensure drop-down menu was working</t>
  </si>
  <si>
    <t>Updated formula for clmn F in  "Summary_Post" tab to account for last 4 rows of project input sheet</t>
  </si>
  <si>
    <t>Increased the row height in the "Review" Sheet Tab</t>
  </si>
  <si>
    <t>Updated Macro for Printing for Pre-Install Print and Post-Install Print</t>
  </si>
  <si>
    <t>1 to 6 Watt LED Screw-In replacing Incandescent/CFL</t>
  </si>
  <si>
    <t>7 to 11 Watt LED Screw-In replacing Incandescent/CFL</t>
  </si>
  <si>
    <t>12 to 17 LED Screw-In replacing Incandescent/CFL</t>
  </si>
  <si>
    <t>18 or more Watt LED Screw-In replacing Incandescent/CFL</t>
  </si>
  <si>
    <t>Measure Number</t>
  </si>
  <si>
    <t>Linear LED Fixture</t>
  </si>
  <si>
    <t>Non-Linear LED Fixture</t>
  </si>
  <si>
    <t>WattsBase</t>
  </si>
  <si>
    <t>WattsEff</t>
  </si>
  <si>
    <t>kWh savings</t>
  </si>
  <si>
    <t>CFL</t>
  </si>
  <si>
    <t>Incandescent/Halogen/CFL Exit Sign</t>
  </si>
  <si>
    <t>Inefficient fixture</t>
  </si>
  <si>
    <t>T5</t>
  </si>
  <si>
    <t>T8</t>
  </si>
  <si>
    <t>Metal Halide</t>
  </si>
  <si>
    <t>U</t>
  </si>
  <si>
    <t>T17</t>
  </si>
  <si>
    <t>LED</t>
  </si>
  <si>
    <t>Circline Fluorescent Flourescent</t>
  </si>
  <si>
    <t>Mercury Vapor</t>
  </si>
  <si>
    <t>High Pressure Sodium</t>
  </si>
  <si>
    <t>Inefficient Induction Fixture</t>
  </si>
  <si>
    <t>Inefficient NEON Fixture</t>
  </si>
  <si>
    <t>Baseline</t>
  </si>
  <si>
    <t>Inefficient Fixture</t>
  </si>
  <si>
    <t>Measure Numbers (APTracks)</t>
  </si>
  <si>
    <t>APTracks Measure Number</t>
  </si>
  <si>
    <t>LED Exit Sign</t>
  </si>
  <si>
    <t>Exit Sign</t>
  </si>
  <si>
    <t>CFL Custom</t>
  </si>
  <si>
    <t>CFL CUstom</t>
  </si>
  <si>
    <t>Proposed Wattage Range/Exit Sign (Prescriptive Only)</t>
  </si>
  <si>
    <t>Measure Description</t>
  </si>
  <si>
    <t>Total:</t>
  </si>
  <si>
    <t>Watts Base</t>
  </si>
  <si>
    <t>Watts Eff</t>
  </si>
  <si>
    <t>Units</t>
  </si>
  <si>
    <t>Incentive</t>
  </si>
  <si>
    <t>kW Reduction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</si>
</sst>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quot;$&quot;#,##0.00"/>
    <numFmt numFmtId="165" formatCode="0.0"/>
    <numFmt numFmtId="166" formatCode="###0.00;###0.00"/>
    <numFmt numFmtId="167" formatCode="#,##0;#,##0"/>
    <numFmt numFmtId="168" formatCode="###0_);\(###0\)"/>
    <numFmt numFmtId="169" formatCode="###0.000"/>
    <numFmt numFmtId="170" formatCode="_-&quot;$&quot;* #,##0.00_-;\-&quot;$&quot;* #,##0.00_-;_-&quot;$&quot;* &quot;-&quot;??_-;_-@_-"/>
    <numFmt numFmtId="171" formatCode="&quot;$&quot;#,##0"/>
    <numFmt numFmtId="172" formatCode="#,##0.0"/>
    <numFmt numFmtId="173" formatCode="0.000"/>
    <numFmt numFmtId="174" formatCode="0.0000"/>
    <numFmt numFmtId="175" formatCode="_(* #,##0.0_);_(* \(#,##0.0\);_(* &quot;-&quot;??_);_(@_)"/>
    <numFmt numFmtId="176" formatCode="#,##0.0_);\(#,##0.0\)"/>
    <numFmt numFmtId="177" formatCode="#,##0.0000"/>
    <numFmt numFmtId="178" formatCode="#,##0.0000_);\(#,##0.0000\)"/>
  </numFmts>
  <fonts count="50">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i/>
      <sz val="12"/>
      <color indexed="8"/>
      <name val="Times New Roman"/>
      <family val="1"/>
      <charset val="204"/>
    </font>
    <font>
      <sz val="12"/>
      <color theme="0"/>
      <name val="Calibri"/>
      <family val="2"/>
      <charset val="129"/>
    </font>
    <font>
      <sz val="11"/>
      <color theme="0"/>
      <name val="Calibri"/>
      <family val="2"/>
      <scheme val="minor"/>
    </font>
    <font>
      <sz val="8"/>
      <color indexed="81"/>
      <name val="Tahoma"/>
      <family val="2"/>
    </font>
    <font>
      <b/>
      <sz val="11"/>
      <color indexed="8"/>
      <name val="Calibri"/>
      <family val="2"/>
      <scheme val="minor"/>
    </font>
    <font>
      <sz val="10"/>
      <name val="Calibri"/>
      <family val="2"/>
      <scheme val="minor"/>
    </font>
    <font>
      <sz val="11"/>
      <color indexed="8"/>
      <name val="Calibri"/>
      <family val="2"/>
      <scheme val="minor"/>
    </font>
    <font>
      <sz val="11"/>
      <name val="Calibri"/>
      <family val="2"/>
      <scheme val="minor"/>
    </font>
    <font>
      <b/>
      <sz val="7"/>
      <color theme="0"/>
      <name val="Calibri"/>
      <family val="2"/>
      <scheme val="minor"/>
    </font>
    <font>
      <sz val="10"/>
      <color theme="1"/>
      <name val="Arial"/>
      <family val="2"/>
    </font>
    <font>
      <b/>
      <sz val="10"/>
      <color theme="1"/>
      <name val="Arial"/>
      <family val="2"/>
    </font>
    <font>
      <b/>
      <sz val="11"/>
      <color theme="0"/>
      <name val="Calibri"/>
      <family val="2"/>
      <scheme val="minor"/>
    </font>
    <font>
      <b/>
      <i/>
      <sz val="8"/>
      <color indexed="81"/>
      <name val="Tahoma"/>
      <family val="2"/>
    </font>
    <font>
      <sz val="11"/>
      <color rgb="FF3F3F76"/>
      <name val="Calibri"/>
      <family val="2"/>
      <scheme val="minor"/>
    </font>
    <font>
      <b/>
      <sz val="10"/>
      <color theme="0"/>
      <name val="Arial"/>
      <family val="2"/>
    </font>
    <font>
      <sz val="10"/>
      <color theme="0"/>
      <name val="Arial"/>
      <family val="2"/>
    </font>
    <font>
      <b/>
      <sz val="10"/>
      <name val="Arial"/>
      <family val="2"/>
    </font>
    <font>
      <sz val="10"/>
      <name val="Arial"/>
      <family val="2"/>
    </font>
    <font>
      <b/>
      <sz val="14"/>
      <color theme="0"/>
      <name val="Arial"/>
      <family val="2"/>
    </font>
    <font>
      <b/>
      <i/>
      <sz val="11"/>
      <color indexed="8"/>
      <name val="Calibri"/>
      <family val="2"/>
      <scheme val="minor"/>
    </font>
    <font>
      <i/>
      <sz val="11"/>
      <color indexed="8"/>
      <name val="Calibri"/>
      <family val="2"/>
      <scheme val="minor"/>
    </font>
    <font>
      <sz val="11"/>
      <name val="Calibri"/>
      <family val="2"/>
      <scheme val="minor"/>
    </font>
    <font>
      <b/>
      <sz val="8"/>
      <color indexed="81"/>
      <name val="Tahoma"/>
      <family val="2"/>
    </font>
    <font>
      <b/>
      <sz val="11"/>
      <name val="Calibri"/>
      <family val="2"/>
      <scheme val="minor"/>
    </font>
    <font>
      <b/>
      <sz val="11"/>
      <color rgb="FFFF0000"/>
      <name val="Calibri"/>
      <family val="2"/>
      <scheme val="minor"/>
    </font>
    <font>
      <b/>
      <sz val="15"/>
      <color theme="3"/>
      <name val="Calibri"/>
      <family val="2"/>
      <scheme val="minor"/>
    </font>
    <font>
      <sz val="10"/>
      <color theme="0"/>
      <name val="Calibri"/>
      <family val="2"/>
      <scheme val="minor"/>
    </font>
    <font>
      <sz val="18"/>
      <color indexed="8"/>
      <name val="Calibri"/>
      <family val="2"/>
      <charset val="129"/>
    </font>
    <font>
      <sz val="11"/>
      <color indexed="8"/>
      <name val="Calibri"/>
      <family val="2"/>
    </font>
    <font>
      <sz val="12"/>
      <color indexed="8"/>
      <name val="Calibri"/>
      <family val="2"/>
      <charset val="129"/>
    </font>
    <font>
      <sz val="14"/>
      <color indexed="8"/>
      <name val="Calibri"/>
      <family val="2"/>
      <charset val="129"/>
    </font>
    <font>
      <sz val="12"/>
      <color theme="9"/>
      <name val="Calibri"/>
      <family val="2"/>
      <scheme val="minor"/>
    </font>
    <font>
      <sz val="10"/>
      <name val="Arial"/>
      <family val="2"/>
    </font>
    <font>
      <sz val="11"/>
      <color rgb="FF000000"/>
      <name val="Calibri"/>
      <family val="2"/>
      <scheme val="minor"/>
    </font>
    <font>
      <u/>
      <sz val="11"/>
      <color theme="1"/>
      <name val="Calibri"/>
      <family val="2"/>
      <scheme val="minor"/>
    </font>
    <font>
      <sz val="9"/>
      <color indexed="81"/>
      <name val="Tahoma"/>
      <family val="2"/>
    </font>
    <font>
      <b/>
      <sz val="9"/>
      <color indexed="81"/>
      <name val="Tahoma"/>
      <family val="2"/>
    </font>
    <font>
      <sz val="12"/>
      <color theme="1"/>
      <name val="Arial"/>
      <family val="2"/>
    </font>
    <font>
      <b/>
      <sz val="12"/>
      <color theme="0"/>
      <name val="Arial"/>
      <family val="2"/>
    </font>
    <font>
      <sz val="12"/>
      <name val="Arial"/>
      <family val="2"/>
    </font>
    <font>
      <sz val="12"/>
      <color theme="0"/>
      <name val="Arial"/>
      <family val="2"/>
    </font>
    <font>
      <b/>
      <i/>
      <sz val="10"/>
      <color theme="1"/>
      <name val="Arial"/>
      <family val="2"/>
    </font>
    <font>
      <b/>
      <sz val="11"/>
      <color theme="0"/>
      <name val="Calibri"/>
      <family val="2"/>
    </font>
    <font>
      <sz val="10"/>
      <color theme="1"/>
      <name val="Calibri"/>
      <family val="2"/>
      <scheme val="minor"/>
    </font>
    <font>
      <b/>
      <sz val="10"/>
      <color theme="1"/>
      <name val="Calibri"/>
      <family val="2"/>
      <scheme val="minor"/>
    </font>
    <font>
      <b/>
      <sz val="10"/>
      <name val="Calibri"/>
      <family val="2"/>
      <scheme val="minor"/>
    </font>
  </fonts>
  <fills count="28">
    <fill>
      <patternFill patternType="none"/>
    </fill>
    <fill>
      <patternFill patternType="gray125"/>
    </fill>
    <fill>
      <patternFill patternType="solid">
        <fgColor rgb="FF006D9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5"/>
      </patternFill>
    </fill>
    <fill>
      <patternFill patternType="solid">
        <fgColor rgb="FF00B0F0"/>
        <bgColor indexed="64"/>
      </patternFill>
    </fill>
    <fill>
      <patternFill patternType="solid">
        <fgColor theme="8"/>
        <bgColor indexed="64"/>
      </patternFill>
    </fill>
    <fill>
      <patternFill patternType="solid">
        <fgColor theme="0" tint="-0.14996795556505021"/>
        <bgColor theme="7"/>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D54F"/>
        <bgColor theme="7"/>
      </patternFill>
    </fill>
    <fill>
      <patternFill patternType="solid">
        <fgColor rgb="FFFFEAA7"/>
        <bgColor theme="7"/>
      </patternFill>
    </fill>
    <fill>
      <patternFill patternType="solid">
        <fgColor theme="0" tint="-0.14996795556505021"/>
        <bgColor auto="1"/>
      </patternFill>
    </fill>
    <fill>
      <patternFill patternType="solid">
        <fgColor indexed="22"/>
        <bgColor indexed="64"/>
      </patternFill>
    </fill>
    <fill>
      <patternFill patternType="solid">
        <fgColor theme="2" tint="-0.249977111117893"/>
        <bgColor indexed="64"/>
      </patternFill>
    </fill>
    <fill>
      <patternFill patternType="solid">
        <fgColor indexed="46"/>
        <bgColor indexed="64"/>
      </patternFill>
    </fill>
    <fill>
      <patternFill patternType="solid">
        <fgColor theme="4" tint="0.79998168889431442"/>
        <bgColor indexed="64"/>
      </patternFill>
    </fill>
    <fill>
      <patternFill patternType="solid">
        <fgColor rgb="FFFFD54F"/>
        <bgColor indexed="64"/>
      </patternFill>
    </fill>
    <fill>
      <patternFill patternType="solid">
        <fgColor rgb="FFFFE697"/>
        <bgColor indexed="64"/>
      </patternFill>
    </fill>
    <fill>
      <patternFill patternType="solid">
        <fgColor rgb="FF002D56"/>
        <bgColor indexed="64"/>
      </patternFill>
    </fill>
    <fill>
      <patternFill patternType="solid">
        <fgColor rgb="FF8DC63F"/>
        <bgColor indexed="64"/>
      </patternFill>
    </fill>
    <fill>
      <patternFill patternType="solid">
        <fgColor rgb="FF006F51"/>
        <bgColor indexed="64"/>
      </patternFill>
    </fill>
    <fill>
      <patternFill patternType="solid">
        <fgColor rgb="FF007897"/>
        <bgColor indexed="64"/>
      </patternFill>
    </fill>
    <fill>
      <patternFill patternType="solid">
        <fgColor theme="0" tint="-4.9989318521683403E-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1"/>
      </right>
      <top style="medium">
        <color indexed="64"/>
      </top>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right style="thin">
        <color indexed="64"/>
      </right>
      <top style="medium">
        <color indexed="64"/>
      </top>
      <bottom style="medium">
        <color indexed="64"/>
      </bottom>
      <diagonal/>
    </border>
    <border>
      <left/>
      <right style="thin">
        <color auto="1"/>
      </right>
      <top style="thin">
        <color auto="1"/>
      </top>
      <bottom style="medium">
        <color auto="1"/>
      </bottom>
      <diagonal/>
    </border>
    <border>
      <left/>
      <right/>
      <top/>
      <bottom style="thick">
        <color theme="4"/>
      </bottom>
      <diagonal/>
    </border>
    <border>
      <left style="thin">
        <color auto="1"/>
      </left>
      <right/>
      <top style="thin">
        <color auto="1"/>
      </top>
      <bottom style="medium">
        <color indexed="64"/>
      </bottom>
      <diagonal/>
    </border>
    <border>
      <left style="thin">
        <color auto="1"/>
      </left>
      <right/>
      <top/>
      <bottom style="thin">
        <color auto="1"/>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right style="thin">
        <color indexed="64"/>
      </right>
      <top style="medium">
        <color indexed="64"/>
      </top>
      <bottom/>
      <diagonal/>
    </border>
    <border>
      <left/>
      <right style="thin">
        <color auto="1"/>
      </right>
      <top/>
      <bottom style="thin">
        <color auto="1"/>
      </bottom>
      <diagonal/>
    </border>
    <border>
      <left/>
      <right style="thin">
        <color auto="1"/>
      </right>
      <top/>
      <bottom/>
      <diagonal/>
    </border>
    <border>
      <left style="medium">
        <color auto="1"/>
      </left>
      <right style="medium">
        <color indexed="64"/>
      </right>
      <top style="thin">
        <color auto="1"/>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medium">
        <color indexed="64"/>
      </bottom>
      <diagonal/>
    </border>
    <border>
      <left style="thin">
        <color auto="1"/>
      </left>
      <right style="thin">
        <color indexed="64"/>
      </right>
      <top style="medium">
        <color indexed="64"/>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0">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6" fillId="6" borderId="0" applyNumberFormat="0" applyBorder="0" applyAlignment="0" applyProtection="0"/>
    <xf numFmtId="0" fontId="14" fillId="10" borderId="1" applyNumberFormat="0" applyFont="0" applyBorder="0" applyAlignment="0">
      <alignment horizontal="left" vertical="center"/>
    </xf>
    <xf numFmtId="0" fontId="17" fillId="15" borderId="26" applyNumberFormat="0" applyFont="0" applyBorder="0" applyAlignment="0" applyProtection="0"/>
    <xf numFmtId="0" fontId="13" fillId="14" borderId="1" applyNumberFormat="0" applyFont="0" applyBorder="0" applyAlignment="0" applyProtection="0">
      <alignment horizontal="center" vertical="center" wrapText="1"/>
    </xf>
    <xf numFmtId="0" fontId="29" fillId="0" borderId="42" applyNumberFormat="0" applyFill="0" applyAlignment="0" applyProtection="0"/>
    <xf numFmtId="43" fontId="1" fillId="0" borderId="0" applyFont="0" applyFill="0" applyBorder="0" applyAlignment="0" applyProtection="0"/>
  </cellStyleXfs>
  <cellXfs count="348">
    <xf numFmtId="0" fontId="0" fillId="0" borderId="0" xfId="0"/>
    <xf numFmtId="0" fontId="0" fillId="0" borderId="0" xfId="0" applyBorder="1"/>
    <xf numFmtId="0" fontId="0" fillId="0" borderId="1" xfId="0" applyBorder="1"/>
    <xf numFmtId="44" fontId="0" fillId="0" borderId="1" xfId="3" applyFont="1" applyBorder="1"/>
    <xf numFmtId="43" fontId="0" fillId="0" borderId="1" xfId="0" applyNumberFormat="1" applyBorder="1"/>
    <xf numFmtId="0" fontId="5" fillId="0" borderId="0" xfId="0" applyFont="1" applyFill="1" applyBorder="1" applyAlignment="1" applyProtection="1">
      <alignment wrapText="1"/>
      <protection locked="0"/>
    </xf>
    <xf numFmtId="0" fontId="5" fillId="0" borderId="0" xfId="0" applyFont="1" applyFill="1" applyBorder="1" applyAlignment="1" applyProtection="1">
      <alignment horizontal="center" wrapText="1"/>
      <protection locked="0"/>
    </xf>
    <xf numFmtId="0" fontId="0" fillId="0" borderId="0" xfId="0" applyFill="1" applyBorder="1"/>
    <xf numFmtId="44" fontId="0" fillId="0" borderId="0" xfId="3" applyFont="1" applyFill="1" applyBorder="1"/>
    <xf numFmtId="170" fontId="0" fillId="0" borderId="0" xfId="3" applyNumberFormat="1" applyFont="1" applyFill="1" applyBorder="1"/>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protection locked="0"/>
    </xf>
    <xf numFmtId="165" fontId="0" fillId="0" borderId="1" xfId="3" applyNumberFormat="1" applyFont="1" applyBorder="1"/>
    <xf numFmtId="0" fontId="11" fillId="0" borderId="0" xfId="0" applyFont="1" applyBorder="1" applyAlignment="1">
      <alignment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10" fillId="0" borderId="0" xfId="0" applyFont="1" applyBorder="1" applyAlignment="1">
      <alignment vertical="center" wrapText="1"/>
    </xf>
    <xf numFmtId="0" fontId="0" fillId="0" borderId="1" xfId="0" applyFont="1" applyBorder="1" applyAlignment="1">
      <alignment horizontal="left" vertical="center" wrapText="1"/>
    </xf>
    <xf numFmtId="0" fontId="11" fillId="0" borderId="0" xfId="0" applyFont="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168" fontId="8" fillId="0" borderId="0" xfId="0" applyNumberFormat="1" applyFont="1" applyAlignment="1">
      <alignment horizontal="left" vertical="center" wrapText="1"/>
    </xf>
    <xf numFmtId="0" fontId="10" fillId="0" borderId="0" xfId="0" applyFont="1" applyAlignment="1">
      <alignment horizontal="left" vertical="center" wrapText="1"/>
    </xf>
    <xf numFmtId="166" fontId="11" fillId="0" borderId="0" xfId="0" applyNumberFormat="1" applyFont="1" applyBorder="1" applyAlignment="1">
      <alignment vertical="center" wrapText="1"/>
    </xf>
    <xf numFmtId="9" fontId="10" fillId="0" borderId="0" xfId="1" applyFont="1" applyBorder="1" applyAlignment="1">
      <alignment horizontal="left" vertical="center" wrapText="1"/>
    </xf>
    <xf numFmtId="9" fontId="9"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166" fontId="10" fillId="0" borderId="0" xfId="0" applyNumberFormat="1" applyFont="1" applyBorder="1" applyAlignment="1">
      <alignment horizontal="left" vertical="center" wrapText="1"/>
    </xf>
    <xf numFmtId="167" fontId="10" fillId="0" borderId="0" xfId="0" applyNumberFormat="1" applyFont="1" applyBorder="1" applyAlignment="1">
      <alignment horizontal="left" vertical="center" wrapText="1"/>
    </xf>
    <xf numFmtId="3" fontId="10" fillId="0" borderId="0" xfId="0" applyNumberFormat="1" applyFont="1" applyBorder="1" applyAlignment="1">
      <alignment horizontal="left" vertical="center" wrapText="1"/>
    </xf>
    <xf numFmtId="169" fontId="10" fillId="0" borderId="0" xfId="0" applyNumberFormat="1" applyFont="1" applyBorder="1" applyAlignment="1">
      <alignment horizontal="left" vertical="center" wrapText="1"/>
    </xf>
    <xf numFmtId="0" fontId="6" fillId="0" borderId="0" xfId="0" applyFont="1" applyBorder="1"/>
    <xf numFmtId="0" fontId="11" fillId="0" borderId="0" xfId="0" applyFont="1" applyAlignment="1">
      <alignment vertical="center" wrapText="1"/>
    </xf>
    <xf numFmtId="0" fontId="13" fillId="0" borderId="0" xfId="0" applyFont="1" applyBorder="1" applyAlignment="1">
      <alignment horizontal="left" wrapText="1"/>
    </xf>
    <xf numFmtId="0" fontId="13" fillId="0" borderId="0" xfId="0" applyFont="1" applyFill="1" applyBorder="1" applyAlignment="1">
      <alignment horizontal="left" wrapText="1"/>
    </xf>
    <xf numFmtId="0" fontId="13" fillId="0" borderId="0" xfId="0" applyFont="1"/>
    <xf numFmtId="0" fontId="0" fillId="0" borderId="0" xfId="0" applyFont="1" applyBorder="1" applyAlignment="1">
      <alignment horizontal="left" wrapText="1"/>
    </xf>
    <xf numFmtId="0" fontId="13" fillId="0" borderId="0" xfId="0" applyFont="1" applyAlignment="1">
      <alignment wrapText="1"/>
    </xf>
    <xf numFmtId="0" fontId="13" fillId="0" borderId="0" xfId="0" applyFont="1" applyAlignment="1">
      <alignment horizontal="center" vertical="center"/>
    </xf>
    <xf numFmtId="0" fontId="13" fillId="0" borderId="0" xfId="0" applyFont="1" applyAlignment="1">
      <alignment horizontal="center"/>
    </xf>
    <xf numFmtId="0" fontId="20" fillId="10" borderId="19" xfId="5" applyFont="1" applyBorder="1" applyAlignment="1">
      <alignment horizontal="center" vertical="center" wrapText="1"/>
    </xf>
    <xf numFmtId="0" fontId="18" fillId="0" borderId="0" xfId="0" applyFont="1" applyBorder="1" applyAlignment="1">
      <alignment horizontal="center" vertical="center" wrapText="1"/>
    </xf>
    <xf numFmtId="0" fontId="19" fillId="0" borderId="0" xfId="0" applyFont="1" applyBorder="1" applyAlignment="1">
      <alignment horizontal="left" vertical="center" wrapText="1"/>
    </xf>
    <xf numFmtId="0" fontId="19" fillId="0" borderId="0" xfId="0" applyFont="1"/>
    <xf numFmtId="0" fontId="14" fillId="10" borderId="1" xfId="5" applyFont="1" applyBorder="1" applyAlignment="1">
      <alignment horizontal="left" vertical="center" wrapText="1" indent="1"/>
    </xf>
    <xf numFmtId="0" fontId="13" fillId="0" borderId="0" xfId="0" applyFont="1" applyAlignment="1">
      <alignment horizontal="left" wrapText="1" indent="1"/>
    </xf>
    <xf numFmtId="0" fontId="13" fillId="15" borderId="1" xfId="6" applyFont="1" applyBorder="1" applyAlignment="1" applyProtection="1">
      <alignment horizontal="left" vertical="center" wrapText="1" indent="1"/>
      <protection locked="0"/>
    </xf>
    <xf numFmtId="0" fontId="13" fillId="0" borderId="1" xfId="0" applyFont="1" applyFill="1" applyBorder="1" applyAlignment="1">
      <alignment horizontal="left" vertical="center" wrapText="1" indent="1"/>
    </xf>
    <xf numFmtId="164" fontId="13" fillId="15" borderId="1" xfId="6" applyNumberFormat="1" applyFont="1" applyBorder="1" applyAlignment="1" applyProtection="1">
      <alignment horizontal="left" vertical="center" wrapText="1" indent="1"/>
      <protection locked="0"/>
    </xf>
    <xf numFmtId="0" fontId="13" fillId="0" borderId="0" xfId="0" applyFont="1" applyAlignment="1">
      <alignment horizontal="left" vertical="center" wrapText="1" indent="1"/>
    </xf>
    <xf numFmtId="0" fontId="21" fillId="10" borderId="33" xfId="5" applyFont="1" applyBorder="1" applyAlignment="1">
      <alignment horizontal="center" vertical="center" wrapText="1"/>
    </xf>
    <xf numFmtId="0" fontId="21" fillId="10" borderId="34" xfId="5" applyFont="1" applyBorder="1" applyAlignment="1">
      <alignment horizontal="center" vertical="center" wrapText="1"/>
    </xf>
    <xf numFmtId="0" fontId="21" fillId="10" borderId="35" xfId="5" applyFont="1" applyBorder="1" applyAlignment="1">
      <alignment horizontal="center" vertical="center" wrapText="1"/>
    </xf>
    <xf numFmtId="0" fontId="20" fillId="10" borderId="6" xfId="5" applyFont="1" applyBorder="1" applyAlignment="1">
      <alignment horizontal="center" vertical="center" textRotation="90"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4" borderId="3" xfId="0" applyFont="1" applyFill="1" applyBorder="1" applyAlignment="1" applyProtection="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8" borderId="3" xfId="0" applyFont="1" applyFill="1" applyBorder="1" applyAlignment="1" applyProtection="1">
      <alignment horizontal="center" vertical="center" wrapText="1"/>
    </xf>
    <xf numFmtId="0" fontId="18" fillId="8" borderId="4"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20" fillId="10" borderId="7" xfId="5" applyFont="1" applyBorder="1" applyAlignment="1">
      <alignment horizontal="center" vertical="center" wrapText="1"/>
    </xf>
    <xf numFmtId="0" fontId="13" fillId="0" borderId="0" xfId="5" applyFont="1" applyFill="1" applyBorder="1" applyAlignment="1">
      <alignment horizontal="center" vertical="center" wrapText="1"/>
    </xf>
    <xf numFmtId="0" fontId="13" fillId="0" borderId="14" xfId="5" applyFont="1" applyFill="1" applyBorder="1" applyAlignment="1">
      <alignment horizontal="center" vertical="center" wrapText="1"/>
    </xf>
    <xf numFmtId="171" fontId="13" fillId="0" borderId="0" xfId="5" applyNumberFormat="1" applyFont="1" applyFill="1" applyBorder="1" applyAlignment="1">
      <alignment horizontal="center" vertical="center" wrapText="1"/>
    </xf>
    <xf numFmtId="0" fontId="13" fillId="9" borderId="1" xfId="0" applyFont="1" applyFill="1" applyBorder="1" applyAlignment="1">
      <alignment horizontal="center" vertical="center" wrapText="1"/>
    </xf>
    <xf numFmtId="0" fontId="13" fillId="11" borderId="27" xfId="0" applyFont="1" applyFill="1" applyBorder="1" applyAlignment="1">
      <alignment horizontal="center" vertical="center" wrapText="1"/>
    </xf>
    <xf numFmtId="0" fontId="13" fillId="11" borderId="22" xfId="0" applyFont="1" applyFill="1" applyBorder="1" applyAlignment="1">
      <alignment horizontal="center" vertical="center" wrapText="1"/>
    </xf>
    <xf numFmtId="0" fontId="13" fillId="11" borderId="28" xfId="0" applyFont="1" applyFill="1" applyBorder="1" applyAlignment="1">
      <alignment horizontal="center" vertical="center" wrapText="1"/>
    </xf>
    <xf numFmtId="0" fontId="13" fillId="10" borderId="0" xfId="5" applyFont="1" applyFill="1" applyBorder="1" applyAlignment="1">
      <alignment horizontal="center" vertical="center" wrapText="1"/>
    </xf>
    <xf numFmtId="0" fontId="13" fillId="10" borderId="0" xfId="5" applyFont="1" applyBorder="1" applyAlignment="1">
      <alignment horizontal="left" wrapText="1"/>
    </xf>
    <xf numFmtId="0" fontId="20" fillId="10" borderId="1" xfId="5" applyFont="1" applyBorder="1" applyAlignment="1">
      <alignment horizontal="center" vertical="center" textRotation="90" wrapText="1"/>
    </xf>
    <xf numFmtId="0" fontId="23" fillId="0" borderId="1" xfId="0" applyFont="1" applyBorder="1" applyAlignment="1">
      <alignment horizontal="left" vertical="center" wrapText="1"/>
    </xf>
    <xf numFmtId="0" fontId="10" fillId="0" borderId="1" xfId="0" applyFont="1" applyBorder="1" applyAlignment="1">
      <alignment horizontal="left" vertical="center" wrapText="1"/>
    </xf>
    <xf numFmtId="0" fontId="24" fillId="0" borderId="1" xfId="0" applyFont="1" applyBorder="1" applyAlignment="1">
      <alignment horizontal="left" vertical="center" wrapText="1"/>
    </xf>
    <xf numFmtId="0" fontId="11" fillId="0" borderId="0" xfId="0" applyFont="1" applyAlignment="1">
      <alignment horizontal="left" vertical="center" wrapText="1"/>
    </xf>
    <xf numFmtId="0" fontId="20" fillId="12" borderId="7" xfId="5" applyFont="1" applyFill="1" applyBorder="1" applyAlignment="1">
      <alignment horizontal="center" vertical="center" wrapText="1"/>
    </xf>
    <xf numFmtId="0" fontId="0" fillId="12" borderId="1" xfId="0" applyFill="1" applyBorder="1" applyAlignment="1">
      <alignment vertical="center" wrapText="1"/>
    </xf>
    <xf numFmtId="0" fontId="3" fillId="12" borderId="1" xfId="2" applyFill="1" applyBorder="1" applyAlignment="1">
      <alignment vertical="center" wrapText="1"/>
    </xf>
    <xf numFmtId="164" fontId="13" fillId="0" borderId="0" xfId="0" applyNumberFormat="1" applyFont="1" applyBorder="1" applyAlignment="1">
      <alignment horizontal="left" wrapText="1"/>
    </xf>
    <xf numFmtId="0" fontId="13" fillId="13" borderId="0" xfId="0" applyFont="1" applyFill="1"/>
    <xf numFmtId="0" fontId="25" fillId="0" borderId="0" xfId="0" applyFont="1" applyAlignment="1">
      <alignment vertical="center" wrapText="1"/>
    </xf>
    <xf numFmtId="0" fontId="25" fillId="0" borderId="0" xfId="0" applyFont="1" applyBorder="1" applyAlignment="1">
      <alignment vertical="center" wrapText="1"/>
    </xf>
    <xf numFmtId="0" fontId="25" fillId="0" borderId="0" xfId="0" applyFont="1" applyBorder="1" applyAlignment="1">
      <alignment horizontal="left" vertical="center" wrapText="1"/>
    </xf>
    <xf numFmtId="0" fontId="25" fillId="0" borderId="0" xfId="0" applyFont="1" applyAlignment="1">
      <alignment horizontal="left" vertical="center" wrapText="1"/>
    </xf>
    <xf numFmtId="14" fontId="13" fillId="0" borderId="0" xfId="0" applyNumberFormat="1" applyFont="1" applyAlignment="1">
      <alignment horizontal="center" vertical="center"/>
    </xf>
    <xf numFmtId="0" fontId="13" fillId="0" borderId="0" xfId="0" applyFont="1" applyAlignment="1">
      <alignment vertical="center" wrapText="1"/>
    </xf>
    <xf numFmtId="0" fontId="13" fillId="15" borderId="1" xfId="6" applyFont="1" applyBorder="1" applyAlignment="1">
      <alignment horizontal="center" vertical="center" wrapText="1"/>
    </xf>
    <xf numFmtId="0" fontId="13" fillId="14" borderId="1" xfId="7" applyFont="1" applyBorder="1" applyAlignment="1">
      <alignment horizontal="center" vertical="center" wrapText="1"/>
    </xf>
    <xf numFmtId="0" fontId="13" fillId="0" borderId="0" xfId="0" applyFont="1" applyAlignment="1">
      <alignment horizontal="center" vertical="center" wrapText="1"/>
    </xf>
    <xf numFmtId="0" fontId="0" fillId="0" borderId="1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5" xfId="0" applyFill="1" applyBorder="1" applyAlignment="1">
      <alignment horizontal="center" vertical="center" wrapText="1"/>
    </xf>
    <xf numFmtId="0" fontId="13" fillId="0" borderId="0" xfId="0" applyFont="1" applyAlignment="1">
      <alignment vertical="center"/>
    </xf>
    <xf numFmtId="0" fontId="13" fillId="11" borderId="0" xfId="0" applyFont="1" applyFill="1" applyAlignment="1">
      <alignment horizontal="center" vertical="center"/>
    </xf>
    <xf numFmtId="0" fontId="13" fillId="13" borderId="0" xfId="0" applyFont="1" applyFill="1" applyAlignment="1">
      <alignment horizontal="center" vertical="center"/>
    </xf>
    <xf numFmtId="0" fontId="13" fillId="13" borderId="0" xfId="0" applyFont="1" applyFill="1" applyAlignment="1">
      <alignment vertical="center"/>
    </xf>
    <xf numFmtId="0" fontId="13" fillId="13" borderId="0" xfId="0" applyFont="1" applyFill="1" applyAlignment="1">
      <alignment vertical="center" wrapText="1"/>
    </xf>
    <xf numFmtId="0" fontId="13" fillId="5" borderId="0" xfId="0" applyFont="1" applyFill="1" applyAlignment="1">
      <alignment horizontal="center" vertical="center"/>
    </xf>
    <xf numFmtId="0" fontId="13" fillId="5" borderId="0" xfId="0" applyFont="1" applyFill="1" applyAlignment="1">
      <alignment vertical="center"/>
    </xf>
    <xf numFmtId="0" fontId="13" fillId="5" borderId="0" xfId="0" applyFont="1" applyFill="1" applyAlignment="1">
      <alignment vertical="center" wrapText="1"/>
    </xf>
    <xf numFmtId="0" fontId="15" fillId="6" borderId="1" xfId="4" applyFont="1" applyBorder="1" applyAlignment="1">
      <alignment horizontal="left" vertical="center" wrapText="1"/>
    </xf>
    <xf numFmtId="164" fontId="27" fillId="14" borderId="1" xfId="7" applyNumberFormat="1" applyFont="1" applyBorder="1" applyAlignment="1">
      <alignment horizontal="left" vertical="center" wrapText="1"/>
    </xf>
    <xf numFmtId="171" fontId="27" fillId="14" borderId="1" xfId="7" applyNumberFormat="1" applyFont="1" applyBorder="1" applyAlignment="1">
      <alignment horizontal="left" vertical="center" wrapText="1"/>
    </xf>
    <xf numFmtId="0" fontId="28" fillId="0" borderId="0" xfId="0" applyFont="1" applyAlignment="1">
      <alignment horizontal="left" vertical="center"/>
    </xf>
    <xf numFmtId="0" fontId="20" fillId="12" borderId="9" xfId="5" applyFont="1" applyFill="1" applyBorder="1" applyAlignment="1">
      <alignment horizontal="center" vertical="center" wrapText="1"/>
    </xf>
    <xf numFmtId="0" fontId="20" fillId="10" borderId="10" xfId="5" applyFont="1" applyBorder="1" applyAlignment="1">
      <alignment horizontal="center" vertical="center" wrapText="1"/>
    </xf>
    <xf numFmtId="0" fontId="18" fillId="3" borderId="40" xfId="0" applyFont="1" applyFill="1" applyBorder="1" applyAlignment="1">
      <alignment horizontal="center" vertical="center" wrapText="1"/>
    </xf>
    <xf numFmtId="0" fontId="20" fillId="10" borderId="16" xfId="5" applyFont="1" applyBorder="1" applyAlignment="1">
      <alignment horizontal="center" vertical="center" wrapText="1"/>
    </xf>
    <xf numFmtId="172" fontId="13" fillId="0" borderId="0" xfId="5" applyNumberFormat="1" applyFont="1" applyFill="1" applyBorder="1" applyAlignment="1">
      <alignment horizontal="center" vertical="center" wrapText="1"/>
    </xf>
    <xf numFmtId="0" fontId="20" fillId="10" borderId="15" xfId="5" applyFont="1" applyBorder="1" applyAlignment="1">
      <alignment horizontal="center" vertical="center" wrapText="1"/>
    </xf>
    <xf numFmtId="0" fontId="20" fillId="12" borderId="16" xfId="5" applyFont="1" applyFill="1" applyBorder="1" applyAlignment="1">
      <alignment horizontal="center" vertical="center" wrapText="1"/>
    </xf>
    <xf numFmtId="0" fontId="21" fillId="10" borderId="6" xfId="5" applyFont="1" applyBorder="1" applyAlignment="1">
      <alignment vertical="center" wrapText="1"/>
    </xf>
    <xf numFmtId="0" fontId="21" fillId="10" borderId="7" xfId="5" applyFont="1" applyBorder="1" applyAlignment="1">
      <alignment vertical="center" wrapText="1"/>
    </xf>
    <xf numFmtId="172" fontId="13" fillId="16" borderId="3" xfId="5" applyNumberFormat="1" applyFont="1" applyFill="1" applyBorder="1" applyAlignment="1">
      <alignment horizontal="center" vertical="center" wrapText="1"/>
    </xf>
    <xf numFmtId="172" fontId="13" fillId="16" borderId="4" xfId="5" applyNumberFormat="1" applyFont="1" applyFill="1" applyBorder="1" applyAlignment="1">
      <alignment horizontal="center" vertical="center" wrapText="1"/>
    </xf>
    <xf numFmtId="171" fontId="13" fillId="16" borderId="4" xfId="5" applyNumberFormat="1" applyFont="1" applyFill="1" applyBorder="1" applyAlignment="1">
      <alignment horizontal="center" vertical="center" wrapText="1"/>
    </xf>
    <xf numFmtId="172" fontId="13" fillId="16" borderId="5" xfId="5" applyNumberFormat="1" applyFont="1" applyFill="1" applyBorder="1" applyAlignment="1">
      <alignment horizontal="center" vertical="center" wrapText="1"/>
    </xf>
    <xf numFmtId="0" fontId="30" fillId="0" borderId="0" xfId="0" applyFont="1" applyAlignment="1">
      <alignment horizontal="left" vertical="center" wrapText="1"/>
    </xf>
    <xf numFmtId="0" fontId="29" fillId="0" borderId="42" xfId="8" applyAlignment="1">
      <alignment horizontal="left" vertical="center"/>
    </xf>
    <xf numFmtId="165" fontId="13" fillId="0" borderId="0" xfId="5"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wrapText="1"/>
      <protection locked="0"/>
    </xf>
    <xf numFmtId="0" fontId="5" fillId="2" borderId="1" xfId="0" applyFont="1" applyFill="1" applyBorder="1" applyAlignment="1" applyProtection="1">
      <alignment horizontal="center" wrapText="1"/>
      <protection locked="0"/>
    </xf>
    <xf numFmtId="0" fontId="0" fillId="0" borderId="1" xfId="0" applyBorder="1" applyAlignment="1"/>
    <xf numFmtId="2" fontId="0" fillId="0" borderId="1" xfId="3" applyNumberFormat="1" applyFont="1" applyBorder="1"/>
    <xf numFmtId="0" fontId="0" fillId="0" borderId="0" xfId="0" applyBorder="1" applyProtection="1">
      <protection locked="0"/>
    </xf>
    <xf numFmtId="0" fontId="31" fillId="0" borderId="0" xfId="0" applyFont="1" applyFill="1" applyBorder="1" applyAlignment="1" applyProtection="1">
      <alignment horizontal="left"/>
      <protection locked="0"/>
    </xf>
    <xf numFmtId="0" fontId="32" fillId="0" borderId="0" xfId="0" applyFont="1"/>
    <xf numFmtId="0" fontId="0" fillId="17" borderId="0" xfId="0" applyFill="1"/>
    <xf numFmtId="0" fontId="33" fillId="0" borderId="0" xfId="0" applyFont="1" applyBorder="1" applyProtection="1">
      <protection locked="0"/>
    </xf>
    <xf numFmtId="0" fontId="31" fillId="0" borderId="0" xfId="0" applyFont="1" applyFill="1" applyBorder="1" applyProtection="1">
      <protection locked="0"/>
    </xf>
    <xf numFmtId="0" fontId="33" fillId="18" borderId="0" xfId="0" applyFont="1" applyFill="1" applyBorder="1" applyProtection="1">
      <protection locked="0"/>
    </xf>
    <xf numFmtId="0" fontId="0" fillId="5" borderId="0" xfId="0" applyFill="1"/>
    <xf numFmtId="0" fontId="33" fillId="0" borderId="0" xfId="0" applyFont="1"/>
    <xf numFmtId="0" fontId="33" fillId="19" borderId="0" xfId="0" applyFont="1" applyFill="1"/>
    <xf numFmtId="0" fontId="0" fillId="0" borderId="0" xfId="0" applyBorder="1" applyProtection="1"/>
    <xf numFmtId="0" fontId="0" fillId="5" borderId="0" xfId="0" applyFill="1" applyBorder="1" applyProtection="1"/>
    <xf numFmtId="2" fontId="0" fillId="0" borderId="0" xfId="3" applyNumberFormat="1" applyFont="1" applyBorder="1" applyProtection="1"/>
    <xf numFmtId="0" fontId="34" fillId="20" borderId="0" xfId="0" applyFont="1" applyFill="1" applyBorder="1" applyProtection="1">
      <protection locked="0"/>
    </xf>
    <xf numFmtId="0" fontId="0" fillId="20" borderId="0" xfId="0" applyFill="1"/>
    <xf numFmtId="0" fontId="0" fillId="0" borderId="0" xfId="0" applyFill="1"/>
    <xf numFmtId="0" fontId="0" fillId="5" borderId="0" xfId="0" applyNumberFormat="1" applyFill="1"/>
    <xf numFmtId="0" fontId="0" fillId="20" borderId="0" xfId="0" applyFont="1" applyFill="1"/>
    <xf numFmtId="0" fontId="35" fillId="20" borderId="0" xfId="0" applyFont="1" applyFill="1"/>
    <xf numFmtId="173" fontId="0" fillId="5" borderId="0" xfId="0" applyNumberFormat="1" applyFill="1"/>
    <xf numFmtId="0" fontId="0" fillId="5" borderId="0" xfId="0" applyFill="1" applyBorder="1" applyProtection="1">
      <protection locked="0"/>
    </xf>
    <xf numFmtId="0" fontId="36" fillId="5" borderId="0" xfId="0" applyFont="1" applyFill="1"/>
    <xf numFmtId="0" fontId="5" fillId="2" borderId="1" xfId="0" applyFont="1" applyFill="1" applyBorder="1" applyAlignment="1" applyProtection="1">
      <alignment horizontal="center" vertical="center" wrapText="1"/>
      <protection locked="0"/>
    </xf>
    <xf numFmtId="0" fontId="37" fillId="0" borderId="0" xfId="0" applyFont="1"/>
    <xf numFmtId="44" fontId="0" fillId="0" borderId="0" xfId="3" applyFont="1" applyBorder="1"/>
    <xf numFmtId="0" fontId="0" fillId="13" borderId="0" xfId="0" applyFill="1"/>
    <xf numFmtId="44" fontId="0" fillId="0" borderId="1" xfId="3" applyFont="1" applyFill="1" applyBorder="1"/>
    <xf numFmtId="165" fontId="0" fillId="0" borderId="1" xfId="3" applyNumberFormat="1" applyFont="1" applyFill="1" applyBorder="1"/>
    <xf numFmtId="0" fontId="20" fillId="12" borderId="43" xfId="5" applyFont="1" applyFill="1" applyBorder="1" applyAlignment="1">
      <alignment horizontal="center" vertical="center" wrapText="1"/>
    </xf>
    <xf numFmtId="16" fontId="0" fillId="0" borderId="0" xfId="0" applyNumberFormat="1"/>
    <xf numFmtId="0" fontId="20" fillId="12" borderId="41" xfId="5" applyFont="1" applyFill="1" applyBorder="1" applyAlignment="1">
      <alignment horizontal="center" vertical="center" wrapText="1"/>
    </xf>
    <xf numFmtId="0" fontId="41" fillId="0" borderId="29" xfId="0" applyFont="1" applyBorder="1" applyAlignment="1" applyProtection="1">
      <alignment horizontal="center" vertical="center" wrapText="1"/>
      <protection locked="0"/>
    </xf>
    <xf numFmtId="0" fontId="41" fillId="0" borderId="0" xfId="0" applyFont="1" applyBorder="1" applyAlignment="1" applyProtection="1">
      <alignment horizontal="center" vertical="center" wrapText="1"/>
      <protection locked="0"/>
    </xf>
    <xf numFmtId="3" fontId="41" fillId="10" borderId="12" xfId="5" applyNumberFormat="1" applyFont="1" applyBorder="1" applyAlignment="1">
      <alignment horizontal="center" vertical="center" wrapText="1"/>
    </xf>
    <xf numFmtId="0" fontId="41" fillId="0" borderId="11" xfId="0" applyFont="1" applyBorder="1" applyAlignment="1" applyProtection="1">
      <alignment horizontal="center" vertical="center" wrapText="1"/>
      <protection locked="0"/>
    </xf>
    <xf numFmtId="0" fontId="41" fillId="10" borderId="12" xfId="5" applyFont="1" applyBorder="1" applyAlignment="1">
      <alignment horizontal="center" vertical="center" wrapText="1"/>
    </xf>
    <xf numFmtId="3" fontId="41" fillId="10" borderId="46" xfId="5" applyNumberFormat="1" applyFont="1" applyBorder="1" applyAlignment="1">
      <alignment horizontal="center" vertical="center" wrapText="1"/>
    </xf>
    <xf numFmtId="3" fontId="41" fillId="10" borderId="50" xfId="5" applyNumberFormat="1" applyFont="1" applyBorder="1" applyAlignment="1">
      <alignment horizontal="center" vertical="center" wrapText="1"/>
    </xf>
    <xf numFmtId="171" fontId="41" fillId="10" borderId="2" xfId="5" applyNumberFormat="1" applyFont="1" applyBorder="1" applyAlignment="1">
      <alignment horizontal="center" vertical="center" wrapText="1"/>
    </xf>
    <xf numFmtId="165" fontId="41" fillId="10" borderId="44" xfId="5" applyNumberFormat="1" applyFont="1" applyBorder="1" applyAlignment="1">
      <alignment horizontal="center" vertical="center" wrapText="1"/>
    </xf>
    <xf numFmtId="0" fontId="41" fillId="0" borderId="0" xfId="0" applyFont="1" applyBorder="1" applyAlignment="1">
      <alignment horizontal="left" wrapText="1"/>
    </xf>
    <xf numFmtId="0" fontId="41" fillId="0" borderId="14" xfId="0" applyFont="1" applyBorder="1" applyAlignment="1" applyProtection="1">
      <alignment horizontal="center" vertical="center" wrapText="1"/>
      <protection locked="0"/>
    </xf>
    <xf numFmtId="3" fontId="41" fillId="10" borderId="13" xfId="5" applyNumberFormat="1" applyFont="1" applyBorder="1" applyAlignment="1">
      <alignment horizontal="center" vertical="center" wrapText="1"/>
    </xf>
    <xf numFmtId="164" fontId="41" fillId="0" borderId="0" xfId="0" applyNumberFormat="1" applyFont="1" applyBorder="1" applyAlignment="1" applyProtection="1">
      <alignment horizontal="center" vertical="center" wrapText="1"/>
      <protection locked="0"/>
    </xf>
    <xf numFmtId="0" fontId="41" fillId="10" borderId="13" xfId="5" applyFont="1" applyBorder="1" applyAlignment="1">
      <alignment horizontal="center" vertical="center" wrapText="1"/>
    </xf>
    <xf numFmtId="3" fontId="41" fillId="10" borderId="39" xfId="5" applyNumberFormat="1" applyFont="1" applyBorder="1" applyAlignment="1">
      <alignment horizontal="center" vertical="center" wrapText="1"/>
    </xf>
    <xf numFmtId="171" fontId="41" fillId="10" borderId="1" xfId="5" applyNumberFormat="1" applyFont="1" applyBorder="1" applyAlignment="1">
      <alignment horizontal="center" vertical="center" wrapText="1"/>
    </xf>
    <xf numFmtId="165" fontId="41" fillId="10" borderId="20" xfId="5" applyNumberFormat="1" applyFont="1" applyBorder="1" applyAlignment="1">
      <alignment horizontal="center" vertical="center" wrapText="1"/>
    </xf>
    <xf numFmtId="0" fontId="41" fillId="0" borderId="37" xfId="0" applyFont="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locked="0"/>
    </xf>
    <xf numFmtId="164" fontId="41" fillId="0" borderId="1" xfId="0" applyNumberFormat="1" applyFont="1" applyBorder="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3" fontId="41" fillId="10" borderId="17" xfId="5" applyNumberFormat="1" applyFont="1" applyBorder="1" applyAlignment="1">
      <alignment horizontal="center" vertical="center" wrapText="1"/>
    </xf>
    <xf numFmtId="0" fontId="41" fillId="0" borderId="45" xfId="0" applyFont="1" applyBorder="1" applyAlignment="1" applyProtection="1">
      <alignment horizontal="center" vertical="center" wrapText="1"/>
      <protection locked="0"/>
    </xf>
    <xf numFmtId="164" fontId="41" fillId="0" borderId="10" xfId="0" applyNumberFormat="1" applyFont="1" applyBorder="1" applyAlignment="1" applyProtection="1">
      <alignment horizontal="center" vertical="center" wrapText="1"/>
      <protection locked="0"/>
    </xf>
    <xf numFmtId="0" fontId="41" fillId="10" borderId="17" xfId="5" applyFont="1" applyBorder="1" applyAlignment="1">
      <alignment horizontal="center" vertical="center" wrapText="1"/>
    </xf>
    <xf numFmtId="3" fontId="41" fillId="10" borderId="51" xfId="5" applyNumberFormat="1" applyFont="1" applyBorder="1" applyAlignment="1">
      <alignment horizontal="center" vertical="center" wrapText="1"/>
    </xf>
    <xf numFmtId="171" fontId="41" fillId="10" borderId="10" xfId="5" applyNumberFormat="1" applyFont="1" applyBorder="1" applyAlignment="1">
      <alignment horizontal="center" vertical="center" wrapText="1"/>
    </xf>
    <xf numFmtId="165" fontId="41" fillId="10" borderId="43" xfId="5" applyNumberFormat="1" applyFont="1" applyBorder="1" applyAlignment="1">
      <alignment horizontal="center" vertical="center" wrapText="1"/>
    </xf>
    <xf numFmtId="43" fontId="0" fillId="0" borderId="1" xfId="0" applyNumberFormat="1" applyFill="1" applyBorder="1"/>
    <xf numFmtId="0" fontId="41" fillId="10" borderId="1" xfId="5" applyFont="1" applyBorder="1" applyAlignment="1">
      <alignment horizontal="center" vertical="center" wrapText="1"/>
    </xf>
    <xf numFmtId="0" fontId="41" fillId="10" borderId="0" xfId="5" applyFont="1" applyBorder="1" applyAlignment="1">
      <alignment horizontal="center" vertical="center" wrapText="1"/>
    </xf>
    <xf numFmtId="3" fontId="41" fillId="10" borderId="0" xfId="5" applyNumberFormat="1" applyFont="1" applyBorder="1" applyAlignment="1">
      <alignment horizontal="center" vertical="center"/>
    </xf>
    <xf numFmtId="0" fontId="41" fillId="0" borderId="0" xfId="0" applyFont="1" applyAlignment="1" applyProtection="1">
      <alignment horizontal="center" vertical="center"/>
      <protection locked="0"/>
    </xf>
    <xf numFmtId="0" fontId="41" fillId="0" borderId="0" xfId="0" applyNumberFormat="1" applyFont="1" applyAlignment="1" applyProtection="1">
      <alignment horizontal="center" vertical="center"/>
      <protection locked="0"/>
    </xf>
    <xf numFmtId="1" fontId="41" fillId="10" borderId="1" xfId="5" applyNumberFormat="1" applyFont="1" applyBorder="1" applyAlignment="1">
      <alignment horizontal="center" vertical="center"/>
    </xf>
    <xf numFmtId="0" fontId="41" fillId="0" borderId="0" xfId="0" applyFont="1"/>
    <xf numFmtId="0" fontId="41" fillId="10" borderId="18" xfId="5" applyFont="1" applyBorder="1" applyAlignment="1">
      <alignment horizontal="center" vertical="center" wrapText="1"/>
    </xf>
    <xf numFmtId="1" fontId="41" fillId="10" borderId="18" xfId="5" applyNumberFormat="1" applyFont="1" applyBorder="1" applyAlignment="1">
      <alignment horizontal="center" vertical="center"/>
    </xf>
    <xf numFmtId="0" fontId="41" fillId="0" borderId="1" xfId="0" applyFont="1" applyBorder="1" applyAlignment="1" applyProtection="1">
      <alignment horizontal="center" vertical="center"/>
      <protection locked="0"/>
    </xf>
    <xf numFmtId="0" fontId="41" fillId="0" borderId="1" xfId="0" applyNumberFormat="1" applyFont="1" applyBorder="1" applyAlignment="1" applyProtection="1">
      <alignment horizontal="center" vertical="center"/>
      <protection locked="0"/>
    </xf>
    <xf numFmtId="3" fontId="41" fillId="10" borderId="2" xfId="5" applyNumberFormat="1" applyFont="1" applyBorder="1" applyAlignment="1">
      <alignment horizontal="center" vertical="center"/>
    </xf>
    <xf numFmtId="0" fontId="41" fillId="0" borderId="16" xfId="0" applyFont="1" applyBorder="1" applyAlignment="1" applyProtection="1">
      <alignment horizontal="center" vertical="center" wrapText="1"/>
      <protection locked="0"/>
    </xf>
    <xf numFmtId="0" fontId="20" fillId="10" borderId="31" xfId="5" applyFont="1" applyBorder="1" applyAlignment="1">
      <alignment horizontal="center" vertical="center" textRotation="90" wrapText="1"/>
    </xf>
    <xf numFmtId="0" fontId="20" fillId="10" borderId="32" xfId="5" applyFont="1" applyBorder="1" applyAlignment="1">
      <alignment horizontal="center" vertical="center" textRotation="90" wrapText="1"/>
    </xf>
    <xf numFmtId="0" fontId="20" fillId="10" borderId="30" xfId="5" applyFont="1" applyBorder="1" applyAlignment="1">
      <alignment horizontal="center" vertical="center" textRotation="90" wrapText="1"/>
    </xf>
    <xf numFmtId="0" fontId="41" fillId="10" borderId="55" xfId="5" applyFont="1" applyBorder="1" applyAlignment="1">
      <alignment horizontal="center" vertical="center" wrapText="1"/>
    </xf>
    <xf numFmtId="0" fontId="41" fillId="10" borderId="52" xfId="5" applyFont="1" applyBorder="1" applyAlignment="1">
      <alignment horizontal="center" vertical="center" wrapText="1"/>
    </xf>
    <xf numFmtId="0" fontId="41" fillId="10" borderId="53" xfId="5" applyFont="1" applyBorder="1" applyAlignment="1">
      <alignment horizontal="center" vertical="center" wrapText="1"/>
    </xf>
    <xf numFmtId="0" fontId="42" fillId="0" borderId="0" xfId="0" applyFont="1" applyBorder="1" applyAlignment="1">
      <alignment horizontal="center" vertical="center" wrapText="1"/>
    </xf>
    <xf numFmtId="0" fontId="44" fillId="0" borderId="0" xfId="0" applyFont="1" applyBorder="1" applyAlignment="1">
      <alignment horizontal="center" vertical="center" wrapText="1"/>
    </xf>
    <xf numFmtId="0" fontId="13" fillId="21" borderId="47" xfId="5" applyNumberFormat="1" applyFont="1" applyFill="1" applyBorder="1" applyAlignment="1">
      <alignment horizontal="center" vertical="center" wrapText="1"/>
    </xf>
    <xf numFmtId="0" fontId="13" fillId="21" borderId="46" xfId="5" applyFont="1" applyFill="1" applyBorder="1" applyAlignment="1">
      <alignment horizontal="center" vertical="center" wrapText="1"/>
    </xf>
    <xf numFmtId="0" fontId="13" fillId="22" borderId="48" xfId="5" applyNumberFormat="1" applyFont="1" applyFill="1" applyBorder="1" applyAlignment="1">
      <alignment horizontal="center" vertical="center" wrapText="1"/>
    </xf>
    <xf numFmtId="0" fontId="13" fillId="22" borderId="37" xfId="5" applyFont="1" applyFill="1" applyBorder="1" applyAlignment="1">
      <alignment horizontal="center" vertical="center" wrapText="1"/>
    </xf>
    <xf numFmtId="0" fontId="13" fillId="22" borderId="56" xfId="5" applyFont="1" applyFill="1" applyBorder="1" applyAlignment="1">
      <alignment horizontal="center" vertical="center" wrapText="1"/>
    </xf>
    <xf numFmtId="0" fontId="13" fillId="22" borderId="57" xfId="5" applyNumberFormat="1" applyFont="1" applyFill="1" applyBorder="1" applyAlignment="1">
      <alignment horizontal="center" vertical="center" wrapText="1"/>
    </xf>
    <xf numFmtId="0" fontId="13" fillId="21" borderId="37" xfId="5" applyFont="1" applyFill="1" applyBorder="1" applyAlignment="1">
      <alignment horizontal="center" vertical="center" wrapText="1"/>
    </xf>
    <xf numFmtId="0" fontId="13" fillId="21" borderId="48" xfId="5" applyNumberFormat="1" applyFont="1" applyFill="1" applyBorder="1" applyAlignment="1">
      <alignment horizontal="center" vertical="center" wrapText="1"/>
    </xf>
    <xf numFmtId="0" fontId="36" fillId="5" borderId="0" xfId="0" applyFont="1" applyFill="1" applyAlignment="1"/>
    <xf numFmtId="0" fontId="18" fillId="23" borderId="31" xfId="0" applyFont="1" applyFill="1" applyBorder="1" applyAlignment="1">
      <alignment horizontal="center" vertical="center" wrapText="1"/>
    </xf>
    <xf numFmtId="0" fontId="18" fillId="25" borderId="31" xfId="0" applyFont="1" applyFill="1" applyBorder="1" applyAlignment="1">
      <alignment horizontal="center" vertical="center" wrapText="1"/>
    </xf>
    <xf numFmtId="0" fontId="18" fillId="25" borderId="32" xfId="0" applyFont="1" applyFill="1" applyBorder="1" applyAlignment="1">
      <alignment horizontal="center" vertical="center" wrapText="1"/>
    </xf>
    <xf numFmtId="0" fontId="18" fillId="25" borderId="30" xfId="0" applyFont="1" applyFill="1" applyBorder="1" applyAlignment="1">
      <alignment horizontal="center" vertical="center" wrapText="1"/>
    </xf>
    <xf numFmtId="0" fontId="18" fillId="25" borderId="49" xfId="0" applyFont="1" applyFill="1" applyBorder="1" applyAlignment="1">
      <alignment horizontal="center" vertical="center" wrapText="1"/>
    </xf>
    <xf numFmtId="0" fontId="18" fillId="26" borderId="30" xfId="0" applyFont="1" applyFill="1" applyBorder="1" applyAlignment="1" applyProtection="1">
      <alignment horizontal="center" vertical="center" wrapText="1"/>
    </xf>
    <xf numFmtId="0" fontId="18" fillId="26" borderId="31" xfId="0" applyFont="1" applyFill="1" applyBorder="1" applyAlignment="1">
      <alignment horizontal="center" vertical="center" wrapText="1"/>
    </xf>
    <xf numFmtId="0" fontId="18" fillId="26" borderId="32" xfId="0" applyFont="1" applyFill="1" applyBorder="1" applyAlignment="1">
      <alignment horizontal="center" vertical="center" wrapText="1"/>
    </xf>
    <xf numFmtId="0" fontId="18" fillId="23" borderId="30" xfId="0" applyFont="1" applyFill="1" applyBorder="1" applyAlignment="1" applyProtection="1">
      <alignment horizontal="center" vertical="center" wrapText="1"/>
    </xf>
    <xf numFmtId="164" fontId="18" fillId="23" borderId="31" xfId="0" applyNumberFormat="1" applyFont="1" applyFill="1" applyBorder="1" applyAlignment="1">
      <alignment horizontal="center" vertical="center" wrapText="1"/>
    </xf>
    <xf numFmtId="0" fontId="18" fillId="23" borderId="54" xfId="0" applyFont="1" applyFill="1" applyBorder="1" applyAlignment="1">
      <alignment horizontal="center" vertical="center" wrapText="1"/>
    </xf>
    <xf numFmtId="0" fontId="13" fillId="23" borderId="0" xfId="0" applyFont="1" applyFill="1" applyAlignment="1">
      <alignment horizontal="left" wrapText="1" indent="1"/>
    </xf>
    <xf numFmtId="0" fontId="13" fillId="23" borderId="0" xfId="0" applyFont="1" applyFill="1" applyAlignment="1">
      <alignment horizontal="left" vertical="center" wrapText="1" indent="1"/>
    </xf>
    <xf numFmtId="0" fontId="19" fillId="25" borderId="23" xfId="0" applyFont="1" applyFill="1" applyBorder="1" applyAlignment="1">
      <alignment horizontal="center" vertical="center" wrapText="1"/>
    </xf>
    <xf numFmtId="0" fontId="19" fillId="25" borderId="1" xfId="0" applyFont="1" applyFill="1" applyBorder="1" applyAlignment="1">
      <alignment horizontal="center" vertical="center" wrapText="1"/>
    </xf>
    <xf numFmtId="0" fontId="18" fillId="26" borderId="0" xfId="0" applyFont="1" applyFill="1" applyAlignment="1">
      <alignment horizontal="center" vertical="center" wrapText="1"/>
    </xf>
    <xf numFmtId="0" fontId="18" fillId="26" borderId="0" xfId="0" applyFont="1" applyFill="1" applyAlignment="1">
      <alignment vertical="center" wrapText="1"/>
    </xf>
    <xf numFmtId="4" fontId="43" fillId="10" borderId="31" xfId="5" applyNumberFormat="1" applyFont="1" applyBorder="1" applyAlignment="1">
      <alignment horizontal="center" vertical="center"/>
    </xf>
    <xf numFmtId="4" fontId="43" fillId="10" borderId="32" xfId="5" applyNumberFormat="1" applyFont="1" applyBorder="1" applyAlignment="1">
      <alignment horizontal="center" vertical="center" wrapText="1"/>
    </xf>
    <xf numFmtId="0" fontId="13" fillId="22" borderId="9" xfId="5" applyFont="1" applyFill="1" applyBorder="1" applyAlignment="1">
      <alignment horizontal="center" vertical="center" wrapText="1"/>
    </xf>
    <xf numFmtId="0" fontId="13" fillId="22" borderId="58" xfId="5"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0" fillId="0" borderId="1" xfId="0" applyBorder="1" applyAlignment="1">
      <alignment horizontal="left"/>
    </xf>
    <xf numFmtId="0" fontId="0" fillId="23" borderId="0" xfId="0" applyFill="1"/>
    <xf numFmtId="0" fontId="46" fillId="23" borderId="59" xfId="0" applyFont="1" applyFill="1" applyBorder="1" applyAlignment="1" applyProtection="1">
      <alignment horizontal="center" vertical="center" wrapText="1"/>
      <protection locked="0"/>
    </xf>
    <xf numFmtId="0" fontId="46" fillId="23" borderId="56" xfId="0" applyFont="1" applyFill="1" applyBorder="1" applyAlignment="1" applyProtection="1">
      <alignment horizontal="center" vertical="center"/>
      <protection locked="0"/>
    </xf>
    <xf numFmtId="0" fontId="46" fillId="23" borderId="18" xfId="0" applyFont="1" applyFill="1" applyBorder="1" applyAlignment="1" applyProtection="1">
      <alignment horizontal="center" vertical="center"/>
      <protection locked="0"/>
    </xf>
    <xf numFmtId="0" fontId="46" fillId="23" borderId="18"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Fill="1" applyBorder="1" applyAlignment="1">
      <alignment horizontal="left"/>
    </xf>
    <xf numFmtId="0" fontId="0" fillId="0" borderId="0" xfId="0" applyAlignment="1">
      <alignment horizontal="center"/>
    </xf>
    <xf numFmtId="39" fontId="0" fillId="0" borderId="0" xfId="3" applyNumberFormat="1" applyFont="1" applyFill="1" applyBorder="1"/>
    <xf numFmtId="174" fontId="0" fillId="0" borderId="0" xfId="0" applyNumberFormat="1" applyAlignment="1">
      <alignment horizontal="center"/>
    </xf>
    <xf numFmtId="44" fontId="0" fillId="0" borderId="0" xfId="3" applyFont="1" applyAlignment="1">
      <alignment horizontal="center"/>
    </xf>
    <xf numFmtId="172" fontId="0" fillId="0" borderId="0" xfId="0" applyNumberFormat="1" applyAlignment="1">
      <alignment horizontal="center"/>
    </xf>
    <xf numFmtId="174" fontId="0" fillId="0" borderId="1" xfId="0" applyNumberFormat="1" applyBorder="1" applyAlignment="1">
      <alignment horizontal="center"/>
    </xf>
    <xf numFmtId="176" fontId="0" fillId="0" borderId="1" xfId="0" applyNumberFormat="1" applyBorder="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xf>
    <xf numFmtId="165" fontId="0" fillId="0" borderId="1" xfId="3" applyNumberFormat="1" applyFont="1" applyBorder="1" applyAlignment="1">
      <alignment horizontal="center" vertical="center"/>
    </xf>
    <xf numFmtId="0" fontId="5" fillId="2" borderId="1" xfId="0" applyFont="1" applyFill="1" applyBorder="1" applyAlignment="1" applyProtection="1">
      <alignment horizontal="right" vertical="center"/>
      <protection locked="0"/>
    </xf>
    <xf numFmtId="0" fontId="47" fillId="0" borderId="0" xfId="0" applyFont="1" applyAlignment="1">
      <alignment horizontal="left" vertical="center" wrapText="1"/>
    </xf>
    <xf numFmtId="0" fontId="48" fillId="0" borderId="0" xfId="0" applyFont="1" applyAlignment="1">
      <alignment horizontal="left" vertical="center" wrapText="1"/>
    </xf>
    <xf numFmtId="0" fontId="49" fillId="0" borderId="0" xfId="0" applyFont="1" applyAlignment="1">
      <alignment horizontal="left" vertical="center" wrapText="1"/>
    </xf>
    <xf numFmtId="37" fontId="0" fillId="0" borderId="1" xfId="9" applyNumberFormat="1" applyFont="1" applyBorder="1" applyAlignment="1">
      <alignment horizontal="center"/>
    </xf>
    <xf numFmtId="0" fontId="0" fillId="0" borderId="1" xfId="0" applyBorder="1" applyAlignment="1">
      <alignment horizontal="center"/>
    </xf>
    <xf numFmtId="177" fontId="43" fillId="10" borderId="49" xfId="5" applyNumberFormat="1" applyFont="1" applyBorder="1" applyAlignment="1">
      <alignment horizontal="center" vertical="center"/>
    </xf>
    <xf numFmtId="172" fontId="43" fillId="10" borderId="30" xfId="5" applyNumberFormat="1" applyFont="1" applyBorder="1" applyAlignment="1">
      <alignment horizontal="center" vertical="center"/>
    </xf>
    <xf numFmtId="0" fontId="5" fillId="2" borderId="1"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164" fontId="41" fillId="0" borderId="11" xfId="0" applyNumberFormat="1" applyFont="1" applyBorder="1" applyAlignment="1" applyProtection="1">
      <alignment horizontal="center" vertical="center" wrapText="1"/>
      <protection locked="0"/>
    </xf>
    <xf numFmtId="0" fontId="0" fillId="0" borderId="1" xfId="0" applyFill="1" applyBorder="1" applyAlignment="1">
      <alignment horizontal="center"/>
    </xf>
    <xf numFmtId="0" fontId="0" fillId="0" borderId="1" xfId="0" applyFill="1" applyBorder="1" applyAlignment="1">
      <alignment horizontal="center" vertical="center"/>
    </xf>
    <xf numFmtId="0" fontId="5" fillId="2" borderId="20" xfId="0" applyFon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0" xfId="0" applyFill="1" applyBorder="1" applyAlignment="1">
      <alignment horizontal="center" vertical="center"/>
    </xf>
    <xf numFmtId="4" fontId="5" fillId="2" borderId="1" xfId="0" applyNumberFormat="1" applyFont="1" applyFill="1" applyBorder="1" applyAlignment="1" applyProtection="1">
      <alignment horizontal="center" vertical="center"/>
      <protection locked="0"/>
    </xf>
    <xf numFmtId="4" fontId="0" fillId="0" borderId="0" xfId="0" applyNumberFormat="1" applyAlignment="1">
      <alignment horizontal="center"/>
    </xf>
    <xf numFmtId="4" fontId="0" fillId="0" borderId="1" xfId="3" applyNumberFormat="1" applyFont="1" applyBorder="1" applyAlignment="1">
      <alignment horizontal="center"/>
    </xf>
    <xf numFmtId="4" fontId="0" fillId="0" borderId="0" xfId="0" applyNumberFormat="1" applyAlignment="1">
      <alignment horizontal="center" vertical="center"/>
    </xf>
    <xf numFmtId="4" fontId="5"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protection locked="0"/>
    </xf>
    <xf numFmtId="0" fontId="0" fillId="27" borderId="1" xfId="0" applyFill="1" applyBorder="1" applyAlignment="1">
      <alignment horizontal="left"/>
    </xf>
    <xf numFmtId="0" fontId="0" fillId="27" borderId="1" xfId="0" applyFill="1" applyBorder="1"/>
    <xf numFmtId="37" fontId="0" fillId="27" borderId="1" xfId="9" applyNumberFormat="1" applyFont="1" applyFill="1" applyBorder="1" applyAlignment="1">
      <alignment horizontal="center"/>
    </xf>
    <xf numFmtId="0" fontId="0" fillId="27" borderId="1" xfId="0" applyFill="1" applyBorder="1" applyAlignment="1">
      <alignment horizontal="center"/>
    </xf>
    <xf numFmtId="176" fontId="0" fillId="27" borderId="1" xfId="0" applyNumberFormat="1" applyFill="1" applyBorder="1" applyAlignment="1">
      <alignment horizontal="center" vertical="center"/>
    </xf>
    <xf numFmtId="174" fontId="0" fillId="27" borderId="1" xfId="0" applyNumberFormat="1" applyFill="1" applyBorder="1" applyAlignment="1">
      <alignment horizontal="center"/>
    </xf>
    <xf numFmtId="44" fontId="0" fillId="27" borderId="1" xfId="3" applyFont="1" applyFill="1" applyBorder="1"/>
    <xf numFmtId="4" fontId="0" fillId="27" borderId="1" xfId="3" applyNumberFormat="1" applyFont="1" applyFill="1" applyBorder="1" applyAlignment="1">
      <alignment horizontal="center"/>
    </xf>
    <xf numFmtId="165" fontId="0" fillId="27" borderId="1" xfId="3" applyNumberFormat="1" applyFont="1" applyFill="1" applyBorder="1" applyAlignment="1">
      <alignment horizontal="center" vertical="center"/>
    </xf>
    <xf numFmtId="0" fontId="0" fillId="27" borderId="1" xfId="0" applyFill="1" applyBorder="1" applyAlignment="1">
      <alignment horizontal="center" vertical="center"/>
    </xf>
    <xf numFmtId="0" fontId="0" fillId="27" borderId="0" xfId="0" applyFill="1" applyBorder="1"/>
    <xf numFmtId="0" fontId="0" fillId="27" borderId="0" xfId="0" applyFill="1"/>
    <xf numFmtId="37" fontId="2" fillId="0" borderId="1" xfId="0" applyNumberFormat="1" applyFont="1" applyBorder="1" applyAlignment="1">
      <alignment horizontal="center" vertical="center"/>
    </xf>
    <xf numFmtId="176" fontId="2" fillId="0" borderId="1" xfId="0" applyNumberFormat="1" applyFont="1" applyBorder="1" applyAlignment="1">
      <alignment horizontal="center" vertical="center"/>
    </xf>
    <xf numFmtId="178" fontId="2" fillId="0" borderId="1" xfId="0" applyNumberFormat="1" applyFont="1" applyBorder="1" applyAlignment="1">
      <alignment horizontal="center" vertical="center"/>
    </xf>
    <xf numFmtId="44" fontId="2" fillId="0" borderId="1" xfId="3" applyFont="1" applyBorder="1" applyAlignment="1">
      <alignment horizontal="center" vertical="center"/>
    </xf>
    <xf numFmtId="0" fontId="45" fillId="0" borderId="20" xfId="0" applyFont="1" applyBorder="1" applyAlignment="1">
      <alignment horizontal="left" vertical="center" wrapText="1" indent="1"/>
    </xf>
    <xf numFmtId="0" fontId="45" fillId="0" borderId="21" xfId="0" applyFont="1" applyBorder="1" applyAlignment="1">
      <alignment horizontal="left" vertical="center" wrapText="1" indent="1"/>
    </xf>
    <xf numFmtId="0" fontId="13" fillId="0" borderId="18" xfId="0" applyFont="1" applyFill="1" applyBorder="1" applyAlignment="1">
      <alignment horizontal="left" vertical="center" wrapText="1" indent="1"/>
    </xf>
    <xf numFmtId="0" fontId="13" fillId="0" borderId="2" xfId="0" applyFont="1" applyFill="1" applyBorder="1" applyAlignment="1">
      <alignment horizontal="left" vertical="center" wrapText="1" indent="1"/>
    </xf>
    <xf numFmtId="0" fontId="22" fillId="23" borderId="1" xfId="0" applyFont="1" applyFill="1" applyBorder="1" applyAlignment="1">
      <alignment vertical="center" wrapText="1"/>
    </xf>
    <xf numFmtId="0" fontId="22" fillId="24" borderId="1" xfId="0" applyFont="1" applyFill="1" applyBorder="1" applyAlignment="1">
      <alignment vertical="center" wrapText="1"/>
    </xf>
    <xf numFmtId="0" fontId="13" fillId="0" borderId="1" xfId="0" applyFont="1" applyBorder="1" applyAlignment="1">
      <alignment horizontal="left" vertical="center" wrapText="1" indent="1"/>
    </xf>
    <xf numFmtId="0" fontId="45" fillId="0" borderId="1" xfId="0" applyFont="1" applyBorder="1" applyAlignment="1">
      <alignment horizontal="left" wrapText="1" indent="1"/>
    </xf>
    <xf numFmtId="0" fontId="22" fillId="23" borderId="1" xfId="0" applyFont="1" applyFill="1" applyBorder="1" applyAlignment="1">
      <alignment horizontal="left" vertical="center" wrapText="1"/>
    </xf>
    <xf numFmtId="0" fontId="2" fillId="12" borderId="1" xfId="0" applyFont="1" applyFill="1" applyBorder="1" applyAlignment="1">
      <alignment horizontal="left" vertical="center" wrapText="1"/>
    </xf>
    <xf numFmtId="0" fontId="22" fillId="7" borderId="1" xfId="0" applyFont="1" applyFill="1" applyBorder="1" applyAlignment="1">
      <alignment horizontal="left" vertical="center" wrapText="1"/>
    </xf>
    <xf numFmtId="0" fontId="42" fillId="25" borderId="6" xfId="0" applyFont="1" applyFill="1" applyBorder="1" applyAlignment="1">
      <alignment horizontal="center" vertical="center" wrapText="1"/>
    </xf>
    <xf numFmtId="0" fontId="42" fillId="25" borderId="7" xfId="0" applyFont="1" applyFill="1" applyBorder="1" applyAlignment="1">
      <alignment horizontal="center" vertical="center" wrapText="1"/>
    </xf>
    <xf numFmtId="0" fontId="42" fillId="25" borderId="36" xfId="0" applyFont="1" applyFill="1" applyBorder="1" applyAlignment="1">
      <alignment horizontal="center" vertical="center" wrapText="1"/>
    </xf>
    <xf numFmtId="0" fontId="42" fillId="26" borderId="6" xfId="0" applyFont="1" applyFill="1" applyBorder="1" applyAlignment="1">
      <alignment horizontal="center" vertical="center" wrapText="1"/>
    </xf>
    <xf numFmtId="0" fontId="42" fillId="26" borderId="7" xfId="0" applyFont="1" applyFill="1" applyBorder="1" applyAlignment="1">
      <alignment horizontal="center" vertical="center" wrapText="1"/>
    </xf>
    <xf numFmtId="0" fontId="42" fillId="26" borderId="36" xfId="0" applyFont="1" applyFill="1" applyBorder="1" applyAlignment="1">
      <alignment horizontal="center" vertical="center" wrapText="1"/>
    </xf>
    <xf numFmtId="0" fontId="42" fillId="23" borderId="3" xfId="0" applyFont="1" applyFill="1" applyBorder="1" applyAlignment="1" applyProtection="1">
      <alignment horizontal="center" vertical="center" wrapText="1"/>
    </xf>
    <xf numFmtId="0" fontId="42" fillId="23" borderId="4" xfId="0" applyFont="1" applyFill="1" applyBorder="1" applyAlignment="1" applyProtection="1">
      <alignment horizontal="center" vertical="center" wrapText="1"/>
    </xf>
    <xf numFmtId="0" fontId="42" fillId="23" borderId="38" xfId="0" applyFont="1" applyFill="1" applyBorder="1" applyAlignment="1" applyProtection="1">
      <alignment horizontal="center" vertical="center" wrapText="1"/>
    </xf>
    <xf numFmtId="0" fontId="22" fillId="25" borderId="20" xfId="0" applyFont="1" applyFill="1" applyBorder="1" applyAlignment="1">
      <alignment horizontal="center" vertical="center" wrapText="1"/>
    </xf>
    <xf numFmtId="0" fontId="22" fillId="25" borderId="23" xfId="0" applyFont="1" applyFill="1" applyBorder="1" applyAlignment="1">
      <alignment horizontal="center" vertical="center" wrapText="1"/>
    </xf>
    <xf numFmtId="0" fontId="22" fillId="25" borderId="21"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8" borderId="30" xfId="0" applyFont="1" applyFill="1" applyBorder="1" applyAlignment="1" applyProtection="1">
      <alignment horizontal="center" vertical="center" wrapText="1"/>
    </xf>
    <xf numFmtId="0" fontId="22" fillId="8" borderId="31" xfId="0" applyFont="1" applyFill="1" applyBorder="1" applyAlignment="1" applyProtection="1">
      <alignment horizontal="center" vertical="center" wrapText="1"/>
    </xf>
    <xf numFmtId="0" fontId="22" fillId="8" borderId="32" xfId="0" applyFont="1" applyFill="1" applyBorder="1" applyAlignment="1" applyProtection="1">
      <alignment horizontal="center" vertical="center" wrapText="1"/>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5"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2" fillId="0" borderId="1" xfId="0" applyFont="1" applyBorder="1" applyAlignment="1">
      <alignment horizontal="right"/>
    </xf>
    <xf numFmtId="0" fontId="46" fillId="23" borderId="60" xfId="0" applyFont="1" applyFill="1" applyBorder="1" applyAlignment="1" applyProtection="1">
      <alignment horizontal="center" vertical="center" wrapText="1"/>
      <protection locked="0"/>
    </xf>
    <xf numFmtId="0" fontId="46" fillId="23" borderId="61" xfId="0" applyFont="1" applyFill="1" applyBorder="1" applyAlignment="1" applyProtection="1">
      <alignment horizontal="center" vertical="center" wrapText="1"/>
      <protection locked="0"/>
    </xf>
    <xf numFmtId="0" fontId="46" fillId="23" borderId="62" xfId="0" applyFont="1" applyFill="1" applyBorder="1" applyAlignment="1" applyProtection="1">
      <alignment horizontal="center" vertical="center" wrapText="1"/>
      <protection locked="0"/>
    </xf>
    <xf numFmtId="0" fontId="46" fillId="23" borderId="59" xfId="0" applyFont="1" applyFill="1" applyBorder="1" applyAlignment="1" applyProtection="1">
      <alignment horizontal="center" vertical="center" wrapText="1"/>
      <protection locked="0"/>
    </xf>
    <xf numFmtId="44" fontId="0" fillId="0" borderId="0" xfId="3" applyFont="1" applyAlignment="1">
      <alignment horizontal="center" vertical="center"/>
    </xf>
    <xf numFmtId="0" fontId="33" fillId="0" borderId="0" xfId="0" applyFont="1" applyFill="1" applyBorder="1" applyProtection="1">
      <protection locked="0"/>
    </xf>
  </cellXfs>
  <cellStyles count="10">
    <cellStyle name="Accent2" xfId="4" builtinId="33"/>
    <cellStyle name="Comma" xfId="9" builtinId="3"/>
    <cellStyle name="Currency" xfId="3" builtinId="4"/>
    <cellStyle name="Heading 1" xfId="8" builtinId="16" customBuiltin="1"/>
    <cellStyle name="Hyperlink" xfId="2" builtinId="8"/>
    <cellStyle name="Input" xfId="6" builtinId="20" customBuiltin="1"/>
    <cellStyle name="Input 2" xfId="7" xr:uid="{00000000-0005-0000-0000-000005000000}"/>
    <cellStyle name="Locked Cell" xfId="5" xr:uid="{00000000-0005-0000-0000-000006000000}"/>
    <cellStyle name="Normal" xfId="0" builtinId="0"/>
    <cellStyle name="Percent" xfId="1" builtinId="5"/>
  </cellStyles>
  <dxfs count="207">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7" formatCode="#,##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numFmt numFmtId="166" formatCode="###0.00;###0.00"/>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1"/>
        <color indexed="8"/>
        <name val="Calibri"/>
        <scheme val="minor"/>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auto="1"/>
        </top>
        <bottom style="thin">
          <color indexed="64"/>
        </bottom>
      </border>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1" formatCode="&quot;$&quot;#,##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72"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tint="-0.14996795556505021"/>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style="medium">
          <color indexed="64"/>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style="medium">
          <color indexed="64"/>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numFmt numFmtId="0" formatCode="General"/>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border diagonalUp="0" diagonalDown="0">
        <left/>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outline="0">
        <right style="medium">
          <color indexed="64"/>
        </right>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0"/>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fill>
        <patternFill patternType="solid">
          <fgColor indexed="64"/>
          <bgColor theme="0"/>
        </patternFill>
      </fill>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alignment horizontal="general" vertical="center" textRotation="0" wrapText="1"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color theme="1"/>
        <name val="Arial"/>
        <scheme val="none"/>
      </font>
      <alignment vertical="center" textRotation="0" indent="0" justifyLastLine="0" shrinkToFit="0" readingOrder="0"/>
    </dxf>
    <dxf>
      <font>
        <b/>
        <strike val="0"/>
        <outline val="0"/>
        <shadow val="0"/>
        <u val="none"/>
        <vertAlign val="baseline"/>
        <sz val="10"/>
        <color theme="0"/>
        <name val="Arial"/>
        <scheme val="none"/>
      </font>
      <fill>
        <patternFill patternType="solid">
          <fgColor indexed="64"/>
          <bgColor rgb="FF007897"/>
        </patternFill>
      </fill>
      <alignment horizontal="general" vertical="center" textRotation="0" wrapText="1" indent="0" justifyLastLine="0" shrinkToFit="0" readingOrder="0"/>
    </dxf>
    <dxf>
      <fill>
        <patternFill patternType="lightUp">
          <fgColor rgb="FFFF0000"/>
        </patternFill>
      </fill>
    </dxf>
    <dxf>
      <fill>
        <patternFill>
          <bgColor theme="5"/>
        </patternFill>
      </fill>
    </dxf>
    <dxf>
      <fill>
        <patternFill>
          <bgColor theme="9"/>
        </patternFill>
      </fill>
    </dxf>
    <dxf>
      <font>
        <strike val="0"/>
        <outline val="0"/>
        <shadow val="0"/>
        <u val="none"/>
        <vertAlign val="baseline"/>
        <sz val="12"/>
        <color theme="1"/>
        <name val="Arial"/>
        <scheme val="none"/>
      </font>
      <numFmt numFmtId="1" formatCode="0"/>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2"/>
        <color theme="1"/>
        <name val="Arial"/>
        <scheme val="none"/>
      </font>
      <alignment horizontal="center" vertical="center" textRotation="0" indent="0" justifyLastLine="0" shrinkToFit="0" readingOrder="0"/>
    </dxf>
    <dxf>
      <font>
        <strike val="0"/>
        <outline val="0"/>
        <shadow val="0"/>
        <u val="none"/>
        <vertAlign val="baseline"/>
        <sz val="12"/>
        <color theme="1"/>
        <name val="Arial"/>
        <scheme val="none"/>
      </font>
      <numFmt numFmtId="3" formatCode="#,##0"/>
      <alignment horizontal="center" vertical="center" textRotation="0"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horizontal="center" vertical="center" textRotation="0" indent="0" justifyLastLine="0" shrinkToFit="0" readingOrder="0"/>
    </dxf>
    <dxf>
      <font>
        <strike val="0"/>
        <outline val="0"/>
        <shadow val="0"/>
        <u val="none"/>
        <vertAlign val="baseline"/>
        <sz val="10"/>
        <color theme="0"/>
        <name val="Arial"/>
        <scheme val="none"/>
      </font>
      <alignment horizontal="general" vertical="bottom" textRotation="0" wrapText="1" indent="0" justifyLastLine="0" shrinkToFit="0" readingOrder="0"/>
    </dxf>
    <dxf>
      <fill>
        <patternFill patternType="lightUp">
          <fgColor rgb="FFFF0000"/>
        </patternFill>
      </fill>
    </dxf>
    <dxf>
      <fill>
        <patternFill patternType="darkGray">
          <fgColor theme="0" tint="-0.14996795556505021"/>
          <bgColor theme="0" tint="-0.14996795556505021"/>
        </patternFill>
      </fill>
    </dxf>
    <dxf>
      <font>
        <b val="0"/>
        <i val="0"/>
        <strike val="0"/>
        <condense val="0"/>
        <extend val="0"/>
        <outline val="0"/>
        <shadow val="0"/>
        <u val="none"/>
        <vertAlign val="baseline"/>
        <sz val="12"/>
        <color theme="1"/>
        <name val="Arial"/>
        <scheme val="none"/>
      </font>
      <numFmt numFmtId="165" formatCode="0.0"/>
      <alignment horizontal="center"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1" formatCode="&quot;$&quot;#,##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 formatCode="#,##0"/>
      <alignment horizontal="center" vertical="center" textRotation="0" wrapText="1" indent="0" justifyLastLine="0" shrinkToFit="0" readingOrder="0"/>
      <border diagonalUp="0" diagonalDown="0" outline="0">
        <left/>
        <right style="thin">
          <color auto="1"/>
        </right>
        <top/>
        <bottom style="thin">
          <color auto="1"/>
        </bottom>
      </border>
    </dxf>
    <dxf>
      <font>
        <b val="0"/>
        <i val="0"/>
        <strike val="0"/>
        <condense val="0"/>
        <extend val="0"/>
        <outline val="0"/>
        <shadow val="0"/>
        <u val="none"/>
        <vertAlign val="baseline"/>
        <sz val="12"/>
        <color theme="1"/>
        <name val="Arial"/>
        <scheme val="none"/>
      </font>
      <numFmt numFmtId="3" formatCode="#,##0"/>
      <alignment horizontal="center" vertical="center"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strike val="0"/>
        <outline val="0"/>
        <shadow val="0"/>
        <u val="none"/>
        <vertAlign val="baseline"/>
        <sz val="12"/>
        <color theme="1"/>
        <name val="Arial"/>
        <scheme val="none"/>
      </font>
      <numFmt numFmtId="0" formatCode="General"/>
      <alignment horizontal="center"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2"/>
        <color theme="1"/>
        <name val="Arial"/>
        <scheme val="none"/>
      </font>
      <numFmt numFmtId="164" formatCode="&quot;$&quot;#,##0.0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numFmt numFmtId="165" formatCode="0.0"/>
      <fill>
        <patternFill patternType="solid">
          <fgColor indexed="64"/>
          <bgColor theme="0" tint="-0.34998626667073579"/>
        </patternFill>
      </fill>
      <alignment horizontal="center" vertical="center" textRotation="0" wrapText="1" indent="0" justifyLastLine="0" shrinkToFit="0" readingOrder="0"/>
      <border diagonalUp="0" diagonalDown="0">
        <left style="medium">
          <color indexed="64"/>
        </left>
      </border>
      <protection locked="0" hidden="0"/>
    </dxf>
    <dxf>
      <font>
        <b val="0"/>
        <strike val="0"/>
        <outline val="0"/>
        <shadow val="0"/>
        <u val="none"/>
        <vertAlign val="baseline"/>
        <sz val="12"/>
        <color theme="1"/>
        <name val="Arial"/>
        <scheme val="none"/>
      </font>
      <numFmt numFmtId="3" formatCode="#,##0"/>
      <alignment horizontal="center" vertical="center" textRotation="0" wrapText="1"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b val="0"/>
        <strike val="0"/>
        <outline val="0"/>
        <shadow val="0"/>
        <u val="none"/>
        <vertAlign val="baseline"/>
        <sz val="12"/>
        <color theme="1"/>
        <name val="Arial"/>
        <scheme val="none"/>
      </font>
      <numFmt numFmtId="3" formatCode="#,##0"/>
      <alignment horizontal="center" vertical="center" textRotation="0" wrapText="1" indent="0" justifyLastLine="0" shrinkToFit="0" readingOrder="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protection locked="0" hidden="0"/>
    </dxf>
    <dxf>
      <font>
        <strike val="0"/>
        <outline val="0"/>
        <shadow val="0"/>
        <u val="none"/>
        <vertAlign val="baseline"/>
        <sz val="12"/>
        <color theme="1"/>
        <name val="Arial"/>
        <scheme val="none"/>
      </font>
      <alignment horizontal="center" vertical="center" textRotation="0" wrapText="1" indent="0" justifyLastLine="0" shrinkToFit="0" readingOrder="0"/>
      <border diagonalUp="0" diagonalDown="0">
        <left style="medium">
          <color indexed="64"/>
        </left>
        <right/>
        <top/>
        <bottom/>
        <vertical/>
        <horizontal/>
      </border>
      <protection locked="0" hidden="0"/>
    </dxf>
    <dxf>
      <font>
        <b val="0"/>
        <i val="0"/>
        <strike val="0"/>
        <condense val="0"/>
        <extend val="0"/>
        <outline val="0"/>
        <shadow val="0"/>
        <u val="none"/>
        <vertAlign val="baseline"/>
        <sz val="10"/>
        <color theme="1"/>
        <name val="Arial"/>
        <scheme val="none"/>
      </font>
      <numFmt numFmtId="0" formatCode="General"/>
      <alignment horizontal="center" vertical="center" textRotation="0" wrapText="1" indent="0" justifyLastLine="0" shrinkToFit="0" readingOrder="0"/>
      <border diagonalUp="0" diagonalDown="0">
        <left style="thin">
          <color auto="1"/>
        </left>
        <right style="medium">
          <color indexed="64"/>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style="medium">
          <color indexed="64"/>
        </left>
        <right style="thin">
          <color auto="1"/>
        </right>
        <top style="thin">
          <color auto="1"/>
        </top>
        <bottom style="thin">
          <color auto="1"/>
        </bottom>
        <vertical style="thin">
          <color auto="1"/>
        </vertical>
        <horizontal style="thin">
          <color auto="1"/>
        </horizontal>
      </border>
      <protection locked="0" hidden="0"/>
    </dxf>
    <dxf>
      <font>
        <b val="0"/>
        <strike val="0"/>
        <outline val="0"/>
        <shadow val="0"/>
        <u val="none"/>
        <vertAlign val="baseline"/>
        <sz val="12"/>
        <color theme="1"/>
        <name val="Arial"/>
        <scheme val="none"/>
      </font>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style="thin">
          <color indexed="64"/>
        </horizontal>
      </border>
    </dxf>
    <dxf>
      <border outline="0">
        <left style="thin">
          <color auto="1"/>
        </left>
        <right style="medium">
          <color indexed="64"/>
        </right>
      </border>
    </dxf>
    <dxf>
      <font>
        <b val="0"/>
        <i val="0"/>
        <strike val="0"/>
        <condense val="0"/>
        <extend val="0"/>
        <outline val="0"/>
        <shadow val="0"/>
        <u val="none"/>
        <vertAlign val="baseline"/>
        <sz val="12"/>
        <color theme="1"/>
        <name val="Arial"/>
        <scheme val="none"/>
      </font>
      <alignment horizontal="center"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auto="1"/>
        </left>
        <right style="thin">
          <color auto="1"/>
        </right>
        <top/>
        <bottom/>
      </border>
    </dxf>
    <dxf>
      <font>
        <color theme="1" tint="0.499984740745262"/>
      </font>
      <fill>
        <patternFill>
          <bgColor theme="1" tint="0.499984740745262"/>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lightUp">
          <fgColor rgb="FFFF0000"/>
        </patternFill>
      </fill>
    </dxf>
    <dxf>
      <fill>
        <patternFill patternType="solid">
          <fgColor auto="1"/>
          <bgColor rgb="FFF7F7F7"/>
        </patternFill>
      </fill>
    </dxf>
    <dxf>
      <fill>
        <patternFill patternType="solid">
          <fgColor auto="1"/>
          <bgColor theme="0" tint="-0.14996795556505021"/>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theme="0"/>
          <bgColor rgb="FFFFEAA7"/>
        </patternFill>
      </fill>
    </dxf>
    <dxf>
      <fill>
        <patternFill patternType="solid">
          <fgColor theme="7"/>
          <bgColor rgb="FFFFD54F"/>
        </patternFill>
      </fill>
    </dxf>
    <dxf>
      <border>
        <vertical style="thin">
          <color auto="1"/>
        </vertical>
        <horizontal style="thin">
          <color auto="1"/>
        </horizontal>
      </border>
    </dxf>
  </dxfs>
  <tableStyles count="2" defaultTableStyle="TableStyleMedium2" defaultPivotStyle="PivotStyleLight16">
    <tableStyle name="Input Cells" pivot="0" count="3" xr9:uid="{00000000-0011-0000-FFFF-FFFF00000000}">
      <tableStyleElement type="wholeTable" dxfId="206"/>
      <tableStyleElement type="firstRowStripe" dxfId="205"/>
      <tableStyleElement type="secondRowStripe" dxfId="204"/>
    </tableStyle>
    <tableStyle name="No Input" pivot="0" count="3" xr9:uid="{00000000-0011-0000-FFFF-FFFF01000000}">
      <tableStyleElement type="wholeTable" dxfId="203"/>
      <tableStyleElement type="firstRowStripe" dxfId="202"/>
      <tableStyleElement type="secondRowStripe" dxfId="201"/>
    </tableStyle>
  </tableStyles>
  <colors>
    <mruColors>
      <color rgb="FF007897"/>
      <color rgb="FF006F51"/>
      <color rgb="FF002D56"/>
      <color rgb="FF8DC63F"/>
      <color rgb="FFFFE697"/>
      <color rgb="FFFFD54F"/>
      <color rgb="FFF7F7F7"/>
      <color rgb="FFFFEAA7"/>
      <color rgb="FFFFEBAB"/>
      <color rgb="FFFFF2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1714500</xdr:colOff>
      <xdr:row>2</xdr:row>
      <xdr:rowOff>47626</xdr:rowOff>
    </xdr:from>
    <xdr:to>
      <xdr:col>5</xdr:col>
      <xdr:colOff>1630136</xdr:colOff>
      <xdr:row>11</xdr:row>
      <xdr:rowOff>104686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1719" y="381001"/>
          <a:ext cx="8761980" cy="15572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ProjectInput" displayName="ProjectInput" ref="B3:AF303" totalsRowShown="0" headerRowDxfId="195" dataDxfId="193" headerRowBorderDxfId="194" tableBorderDxfId="192" headerRowCellStyle="Locked Cell" dataCellStyle="Locked Cell">
  <tableColumns count="31">
    <tableColumn id="1" xr3:uid="{00000000-0010-0000-0000-000001000000}" name="Project Index" dataDxfId="191" dataCellStyle="Locked Cell"/>
    <tableColumn id="30" xr3:uid="{00000000-0010-0000-0000-00001E000000}" name="Prescriptive or Custom" dataDxfId="190" dataCellStyle="Locked Cell"/>
    <tableColumn id="31" xr3:uid="{00000000-0010-0000-0000-00001F000000}" name="Proposed Wattage Range/Exit Sign (Prescriptive Only)" dataDxfId="189" dataCellStyle="Locked Cell"/>
    <tableColumn id="2" xr3:uid="{00000000-0010-0000-0000-000002000000}" name="Location" dataDxfId="188"/>
    <tableColumn id="15" xr3:uid="{00000000-0010-0000-0000-00000F000000}" name="Project Type" dataDxfId="187"/>
    <tableColumn id="4" xr3:uid="{00000000-0010-0000-0000-000004000000}" name="Building/Space Type" dataDxfId="186"/>
    <tableColumn id="5" xr3:uid="{00000000-0010-0000-0000-000005000000}" name="Space Conditions" dataDxfId="185"/>
    <tableColumn id="7" xr3:uid="{00000000-0010-0000-0000-000007000000}" name="Over-Ride Annual Hours" dataDxfId="184"/>
    <tableColumn id="6" xr3:uid="{00000000-0010-0000-0000-000006000000}" name="Annual Hours" dataDxfId="183" dataCellStyle="Locked Cell">
      <calculatedColumnFormula>IF(ProjectInput[[#This Row],[Over-Ride Annual Hours]]=0, "", IF(ProjectInput[[#This Row],[Over-Ride Annual Hours]]="Default", VLOOKUP(ProjectInput[[#This Row],[Building/Space Type]], Table_364[], 2, FALSE), IF(ProjectInput[[#This Row],[Over-Ride Annual Hours]]="Over-Ride", VLOOKUP(ProjectInput[[#This Row],[Project Index]], Table5[], 13, FALSE))))</calculatedColumnFormula>
    </tableColumn>
    <tableColumn id="11" xr3:uid="{00000000-0010-0000-0000-00000B000000}" name="Existing Fixture Quantity" dataDxfId="182"/>
    <tableColumn id="8" xr3:uid="{00000000-0010-0000-0000-000008000000}" name="Existing Fixture Code" dataDxfId="181"/>
    <tableColumn id="9" xr3:uid="{00000000-0010-0000-0000-000009000000}" name="Existing Lamp Make/Model #" dataDxfId="180"/>
    <tableColumn id="10" xr3:uid="{00000000-0010-0000-0000-00000A000000}" name="Existing Ballast Make/Model #" dataDxfId="179"/>
    <tableColumn id="12" xr3:uid="{00000000-0010-0000-0000-00000C000000}" name="Existing Control(s)" dataDxfId="178"/>
    <tableColumn id="13" xr3:uid="{00000000-0010-0000-0000-00000D000000}" name="Existing Fixture Watts" dataDxfId="177" dataCellStyle="Locked Cell">
      <calculatedColumnFormula>IF(ProjectInput[[#This Row],[Existing Fixture Code]]=0, "",(VLOOKUP(ProjectInput[[#This Row],[Existing Fixture Code]], Table7[[FIXTURE CODE]:[Baseline Fixture Code]], 6, FALSE)))</calculatedColumnFormula>
    </tableColumn>
    <tableColumn id="21" xr3:uid="{00000000-0010-0000-0000-000015000000}" name="Proposed Fixture Quantity" dataDxfId="176"/>
    <tableColumn id="16" xr3:uid="{00000000-0010-0000-0000-000010000000}" name="Proposed Fixture Code" dataDxfId="175"/>
    <tableColumn id="17" xr3:uid="{00000000-0010-0000-0000-000011000000}" name="Proposed Lamp/Fixture Make &amp; Model #" dataDxfId="174"/>
    <tableColumn id="18" xr3:uid="{00000000-0010-0000-0000-000012000000}" name="Proposed Lamp/Fixture Qualification" dataDxfId="173"/>
    <tableColumn id="19" xr3:uid="{00000000-0010-0000-0000-000013000000}" name="Proposed Ballast Make &amp; Model #" dataDxfId="172"/>
    <tableColumn id="20" xr3:uid="{00000000-0010-0000-0000-000014000000}" name="Proposed Ballast Qualification" dataDxfId="171"/>
    <tableColumn id="3" xr3:uid="{00000000-0010-0000-0000-000003000000}" name="Proposed Control(s)" dataDxfId="170"/>
    <tableColumn id="14" xr3:uid="{00000000-0010-0000-0000-00000E000000}" name="Retrofit Cost" dataDxfId="169"/>
    <tableColumn id="23" xr3:uid="{00000000-0010-0000-0000-000017000000}" name="Proposed Fixture Watts" dataDxfId="168" dataCellStyle="Locked Cell">
      <calculatedColumnFormula>IF(ProjectInput[[#This Row],[Proposed Fixture Code]]=0, "", VLOOKUP(ProjectInput[[#This Row],[Proposed Fixture Code]], Table7[[FIXTURE CODE]:[Baseline Fixture Code]], 6))</calculatedColumnFormula>
    </tableColumn>
    <tableColumn id="35" xr3:uid="{00000000-0010-0000-0000-000023000000}" name="Energy Savings (kWh)" dataDxfId="167" dataCellStyle="Locked Cell">
      <calculatedColumnFormula>INDEX(ReviewCalcs[Incentive Total Energy Savings (kWh)], MATCH(ProjectInput[[#This Row],[Project Index]], ReviewCalcs[Project Index], 0))</calculatedColumnFormula>
    </tableColumn>
    <tableColumn id="24" xr3:uid="{00000000-0010-0000-0000-000018000000}" name="Demand Savings (kW)" dataDxfId="166" dataCellStyle="Locked Cell">
      <calculatedColumnFormula>INDEX(ReviewCalcs[Incentive Total Demand Savings (kW)], MATCH(ProjectInput[[#This Row],[Project Index]], ReviewCalcs[Project Index], 0))</calculatedColumnFormula>
    </tableColumn>
    <tableColumn id="36" xr3:uid="{00000000-0010-0000-0000-000024000000}" name="Energy Cost Savings ($)" dataDxfId="165" dataCellStyle="Locked Cell">
      <calculatedColumnFormula>ProjectInput[[#This Row],[Energy Savings (kWh)]]*Avg_KWh_Rate</calculatedColumnFormula>
    </tableColumn>
    <tableColumn id="37" xr3:uid="{00000000-0010-0000-0000-000025000000}" name="Incentive ($)" dataDxfId="164" dataCellStyle="Locked Cell">
      <calculatedColumnFormula>IF(C4="", 0, IF(C4="Cust.", INDEX(ReviewCalcs[Incentive ($)], MATCH(ProjectInput[[#This Row],[Project Index]], ReviewCalcs[Project Index], 0)), IF(AND(C4="Pres.", D4="1 to 6"), 3*Q4, IF(AND(C4="Pres.", D4="7 to 11"), 4*Q4, IF(AND(C4="Pres.", D4="12 to 17"), 5*Q4, IF(AND(C4="Pres.", D4="Exit Sign"), 20*Q4, IF(AND(C4="Pres.", D4="&gt; 18"), 6*Q4)))))))</calculatedColumnFormula>
    </tableColumn>
    <tableColumn id="45" xr3:uid="{00000000-0010-0000-0000-00002D000000}" name="Gross Project Cost ($)" dataDxfId="163" dataCellStyle="Locked Cell">
      <calculatedColumnFormula>ProjectInput[[#This Row],[Retrofit Cost]]</calculatedColumnFormula>
    </tableColumn>
    <tableColumn id="38" xr3:uid="{00000000-0010-0000-0000-000026000000}" name="Net Project Cost ($)" dataDxfId="162" dataCellStyle="Locked Cell">
      <calculatedColumnFormula>ProjectInput[[#This Row],[Retrofit Cost]]-ProjectInput[[#This Row],[Incentive ($)]]</calculatedColumnFormula>
    </tableColumn>
    <tableColumn id="39" xr3:uid="{00000000-0010-0000-0000-000027000000}" name="Project Payback (yrs)" dataDxfId="161" dataCellStyle="Locked Cell">
      <calculatedColumnFormula>IFERROR(ProjectInput[[#This Row],[Net Project Cost ($)]]/ProjectInput[[#This Row],[Energy Cost Savings ($)]], "")</calculatedColumnFormula>
    </tableColumn>
  </tableColumns>
  <tableStyleInfo name="Input Cells"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e_366" displayName="Table_366" ref="A84:C86" totalsRowShown="0">
  <autoFilter ref="A84:C86" xr:uid="{00000000-0009-0000-0100-000009000000}"/>
  <tableColumns count="3">
    <tableColumn id="1" xr3:uid="{00000000-0010-0000-0900-000001000000}" name="Building Type" dataDxfId="18"/>
    <tableColumn id="2" xr3:uid="{00000000-0010-0000-0900-000002000000}" name="Heating Type"/>
    <tableColumn id="3" xr3:uid="{00000000-0010-0000-0900-000003000000}" name="IEFG (Therms/kWh)_x000a_"/>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88:A90" totalsRowShown="0" dataDxfId="17">
  <autoFilter ref="A88:A90" xr:uid="{00000000-0009-0000-0100-00000B000000}"/>
  <tableColumns count="1">
    <tableColumn id="1" xr3:uid="{00000000-0010-0000-0A00-000001000000}" name="Default or Over-Ride" dataDxfId="1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Table10" displayName="Table10" ref="A106:B107" totalsRowShown="0">
  <autoFilter ref="A106:B107" xr:uid="{00000000-0009-0000-0100-00000A000000}"/>
  <tableColumns count="2">
    <tableColumn id="1" xr3:uid="{00000000-0010-0000-0C00-000001000000}" name="Peak Demand Coincidence Factor for Lighting with  Controls" dataDxfId="15"/>
    <tableColumn id="2" xr3:uid="{00000000-0010-0000-0C00-000002000000}" name="Value" dataDxfId="1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15" displayName="Table15" ref="A101:A104" totalsRowShown="0" headerRowDxfId="13">
  <autoFilter ref="A101:A104" xr:uid="{00000000-0009-0000-0100-00000F000000}"/>
  <tableColumns count="1">
    <tableColumn id="1" xr3:uid="{00000000-0010-0000-0D00-000001000000}" name="Program Selectio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le18" displayName="Table18" ref="A109:A111" totalsRowShown="0" headerRowDxfId="12" dataDxfId="11">
  <autoFilter ref="A109:A111" xr:uid="{00000000-0009-0000-0100-000012000000}"/>
  <tableColumns count="1">
    <tableColumn id="1" xr3:uid="{00000000-0010-0000-0E00-000001000000}" name="Project Selection" dataDxfId="1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92:A99" totalsRowShown="0">
  <autoFilter ref="A92:A99" xr:uid="{00000000-0009-0000-0100-00000C000000}"/>
  <tableColumns count="1">
    <tableColumn id="1" xr3:uid="{00000000-0010-0000-0B00-000001000000}" name="Measure Type"/>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1:F74" totalsRowShown="0">
  <autoFilter ref="A1:F74" xr:uid="{00000000-0009-0000-0100-000010000000}"/>
  <sortState ref="A2:F97">
    <sortCondition ref="E1:E97"/>
  </sortState>
  <tableColumns count="6">
    <tableColumn id="6" xr3:uid="{00000000-0010-0000-0F00-000006000000}" name="Original Index"/>
    <tableColumn id="1" xr3:uid="{00000000-0010-0000-0F00-000001000000}" name="Title"/>
    <tableColumn id="2" xr3:uid="{00000000-0010-0000-0F00-000002000000}" name="Pass/Fail"/>
    <tableColumn id="3" xr3:uid="{00000000-0010-0000-0F00-000003000000}" name="Type"/>
    <tableColumn id="4" xr3:uid="{00000000-0010-0000-0F00-000004000000}" name="Implemented"/>
    <tableColumn id="5" xr3:uid="{00000000-0010-0000-0F00-000005000000}" name="Notes"/>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1:E301" totalsRowShown="0" headerRowDxfId="9" dataDxfId="8">
  <autoFilter ref="A1:E301" xr:uid="{00000000-0009-0000-0100-00000E000000}"/>
  <tableColumns count="5">
    <tableColumn id="1" xr3:uid="{00000000-0010-0000-1000-000001000000}" name="Index" dataDxfId="7"/>
    <tableColumn id="2" xr3:uid="{00000000-0010-0000-1000-000002000000}" name="File Version" dataDxfId="6"/>
    <tableColumn id="3" xr3:uid="{00000000-0010-0000-1000-000003000000}" name="Change" dataDxfId="5"/>
    <tableColumn id="4" xr3:uid="{00000000-0010-0000-1000-000004000000}" name="Date" dataDxfId="4"/>
    <tableColumn id="5" xr3:uid="{00000000-0010-0000-1000-000005000000}" name="Person" dataDxfId="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le17" displayName="Table17" ref="G1:G9" totalsRowShown="0" headerRowDxfId="2" dataDxfId="1">
  <autoFilter ref="G1:G9" xr:uid="{00000000-0009-0000-0100-000011000000}"/>
  <tableColumns count="1">
    <tableColumn id="1" xr3:uid="{00000000-0010-0000-1100-000001000000}" name="To Do"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B3:N303" totalsRowShown="0" headerRowDxfId="158" dataDxfId="157">
  <autoFilter ref="B3:N30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100-000001000000}" name="Project Index" dataDxfId="156" dataCellStyle="Locked Cell">
      <calculatedColumnFormula>ProjectInput[[#This Row],[Project Index]]</calculatedColumnFormula>
    </tableColumn>
    <tableColumn id="2" xr3:uid="{00000000-0010-0000-0100-000002000000}" name="Location" dataDxfId="155" dataCellStyle="Locked Cell">
      <calculatedColumnFormula>IF(ProjectInput[[#This Row],[Location]]=0, "", ProjectInput[[#This Row],[Location]])</calculatedColumnFormula>
    </tableColumn>
    <tableColumn id="15" xr3:uid="{00000000-0010-0000-0100-00000F000000}" name="Default Hours or Over-Ride" dataDxfId="154" dataCellStyle="Locked Cell">
      <calculatedColumnFormula>IF(Table5[[#This Row],[Location]]="", "", INDEX(ProjectInput[Over-Ride Annual Hours], MATCH(Table5[[#This Row],[Project Index]], ProjectInput[Project Index], 0)))</calculatedColumnFormula>
    </tableColumn>
    <tableColumn id="3" xr3:uid="{00000000-0010-0000-0100-000003000000}" name="24x7? (Y/N)" dataDxfId="153"/>
    <tableColumn id="4" xr3:uid="{00000000-0010-0000-0100-000004000000}" name="Weekday Operating Schedule" dataDxfId="152"/>
    <tableColumn id="13" xr3:uid="{00000000-0010-0000-0100-00000D000000}" name="Weekday Operating Hours" dataDxfId="151"/>
    <tableColumn id="12" xr3:uid="{00000000-0010-0000-0100-00000C000000}" name="Weekdays Per Week" dataDxfId="150"/>
    <tableColumn id="5" xr3:uid="{00000000-0010-0000-0100-000005000000}" name="Saturday Operating Schedule" dataDxfId="149"/>
    <tableColumn id="6" xr3:uid="{00000000-0010-0000-0100-000006000000}" name="Saturday Operating Hours" dataDxfId="148"/>
    <tableColumn id="7" xr3:uid="{00000000-0010-0000-0100-000007000000}" name="Sunday Operating Schedule" dataDxfId="147"/>
    <tableColumn id="8" xr3:uid="{00000000-0010-0000-0100-000008000000}" name="Sunday Operating Hours" dataDxfId="146"/>
    <tableColumn id="10" xr3:uid="{00000000-0010-0000-0100-00000A000000}" name="Weeks Per Year" dataDxfId="145"/>
    <tableColumn id="11" xr3:uid="{00000000-0010-0000-0100-00000B000000}" name="Annual Operating Hours" dataDxfId="144" dataCellStyle="Locked Cell">
      <calculatedColumnFormula>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calculatedColumnFormula>
    </tableColumn>
  </tableColumns>
  <tableStyleInfo name="Input Cell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7" displayName="Table7" ref="B2:L1785" totalsRowShown="0" headerRowDxfId="140" dataDxfId="139">
  <autoFilter ref="B2:L1785" xr:uid="{00000000-0009-0000-0100-000001000000}"/>
  <sortState ref="B239:K1754">
    <sortCondition ref="G2:G1785"/>
  </sortState>
  <tableColumns count="11">
    <tableColumn id="1" xr3:uid="{00000000-0010-0000-0200-000001000000}" name="TRM Index #" dataDxfId="138"/>
    <tableColumn id="2" xr3:uid="{00000000-0010-0000-0200-000002000000}" name="FIXTURE CODE" dataDxfId="137"/>
    <tableColumn id="3" xr3:uid="{00000000-0010-0000-0200-000003000000}" name="LAMP TYPE" dataDxfId="136"/>
    <tableColumn id="4" xr3:uid="{00000000-0010-0000-0200-000004000000}" name="DESCRIPTION" dataDxfId="135"/>
    <tableColumn id="5" xr3:uid="{00000000-0010-0000-0200-000005000000}" name="LAMP/ FIXT" dataDxfId="134"/>
    <tableColumn id="6" xr3:uid="{00000000-0010-0000-0200-000006000000}" name="WATT/ LAMP" dataDxfId="133"/>
    <tableColumn id="7" xr3:uid="{00000000-0010-0000-0200-000007000000}" name="WATT/ FIXT" dataDxfId="132"/>
    <tableColumn id="8" xr3:uid="{00000000-0010-0000-0200-000008000000}" name="BALLAST" dataDxfId="131"/>
    <tableColumn id="9" xr3:uid="{00000000-0010-0000-0200-000009000000}" name="Eligible for Rebate?" dataDxfId="130"/>
    <tableColumn id="10" xr3:uid="{00000000-0010-0000-0200-00000A000000}" name="Baseline Fixture Code" dataDxfId="129"/>
    <tableColumn id="11" xr3:uid="{E7B59115-CCCA-445F-97C5-3608799289E4}" name="APTracks Measure Number" dataDxfId="128">
      <calculatedColumnFormula>VLOOKUP(Table7[[#This Row],[Baseline Fixture Code]], 'Tables &amp; Ranges'!$A$114:$B$132, 2, FALSE)</calculatedColumnFormula>
    </tableColumn>
  </tableColumns>
  <tableStyleInfo name="No Inpu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eviewCalcs" displayName="ReviewCalcs" ref="A3:BU303" totalsRowShown="0" headerRowDxfId="120" dataDxfId="118" headerRowBorderDxfId="119" tableBorderDxfId="117" headerRowCellStyle="Locked Cell" dataCellStyle="Locked Cell">
  <autoFilter ref="A3:BU303" xr:uid="{00000000-0009-0000-0100-000007000000}"/>
  <sortState ref="A4:AS303">
    <sortCondition ref="A3:A303"/>
  </sortState>
  <tableColumns count="73">
    <tableColumn id="1" xr3:uid="{00000000-0010-0000-0300-000001000000}" name="Project Index" dataDxfId="116" dataCellStyle="Locked Cell"/>
    <tableColumn id="2" xr3:uid="{00000000-0010-0000-0300-000002000000}" name="Location" dataDxfId="115">
      <calculatedColumnFormula>VLOOKUP(ReviewCalcs[[#This Row],[Project Index]], ProjectInput[], D$1, FALSE)</calculatedColumnFormula>
    </tableColumn>
    <tableColumn id="39" xr3:uid="{00000000-0010-0000-0300-000027000000}" name="Measure Type" dataDxfId="114">
      <calculatedColumnFormula>VLOOKUP(ReviewCalcs[[#This Row],[Project Index]], ProjectInput[], E$1, FALSE)</calculatedColumnFormula>
    </tableColumn>
    <tableColumn id="4" xr3:uid="{00000000-0010-0000-0300-000004000000}" name="Building/Space Type" dataDxfId="113">
      <calculatedColumnFormula>VLOOKUP(ReviewCalcs[[#This Row],[Project Index]], ProjectInput[], F$1, FALSE)</calculatedColumnFormula>
    </tableColumn>
    <tableColumn id="5" xr3:uid="{00000000-0010-0000-0300-000005000000}" name="Space Conditions" dataDxfId="112">
      <calculatedColumnFormula>VLOOKUP(ReviewCalcs[[#This Row],[Project Index]], ProjectInput[], G$1, FALSE)</calculatedColumnFormula>
    </tableColumn>
    <tableColumn id="6" xr3:uid="{00000000-0010-0000-0300-000006000000}" name="Over-Ride Annual Hours" dataDxfId="111">
      <calculatedColumnFormula>VLOOKUP(ReviewCalcs[[#This Row],[Project Index]], ProjectInput[], H$1, FALSE)</calculatedColumnFormula>
    </tableColumn>
    <tableColumn id="7" xr3:uid="{00000000-0010-0000-0300-000007000000}" name="Annual Hours" dataDxfId="110">
      <calculatedColumnFormula>VLOOKUP(ReviewCalcs[[#This Row],[Project Index]], ProjectInput[], I$1, FALSE)</calculatedColumnFormula>
    </tableColumn>
    <tableColumn id="8" xr3:uid="{00000000-0010-0000-0300-000008000000}" name="Existing Fixture Quantity" dataDxfId="109">
      <calculatedColumnFormula>VLOOKUP(ReviewCalcs[[#This Row],[Project Index]], ProjectInput[], J$1, FALSE)</calculatedColumnFormula>
    </tableColumn>
    <tableColumn id="9" xr3:uid="{00000000-0010-0000-0300-000009000000}" name="Existing Fixture Code" dataDxfId="108">
      <calculatedColumnFormula>VLOOKUP(ReviewCalcs[[#This Row],[Project Index]], ProjectInput[], K$1, FALSE)</calculatedColumnFormula>
    </tableColumn>
    <tableColumn id="10" xr3:uid="{00000000-0010-0000-0300-00000A000000}" name="Existing Lamp Make/Model #" dataDxfId="107">
      <calculatedColumnFormula>VLOOKUP(ReviewCalcs[[#This Row],[Project Index]], ProjectInput[], L$1, FALSE)</calculatedColumnFormula>
    </tableColumn>
    <tableColumn id="11" xr3:uid="{00000000-0010-0000-0300-00000B000000}" name="Existing Ballast Make/Model #" dataDxfId="106">
      <calculatedColumnFormula>VLOOKUP(ReviewCalcs[[#This Row],[Project Index]], ProjectInput[], M$1, FALSE)</calculatedColumnFormula>
    </tableColumn>
    <tableColumn id="12" xr3:uid="{00000000-0010-0000-0300-00000C000000}" name="Existing Control(s)" dataDxfId="105">
      <calculatedColumnFormula>VLOOKUP(ReviewCalcs[[#This Row],[Project Index]], ProjectInput[], N$1, FALSE)</calculatedColumnFormula>
    </tableColumn>
    <tableColumn id="13" xr3:uid="{00000000-0010-0000-0300-00000D000000}" name="Existing Fixture Watts" dataDxfId="104">
      <calculatedColumnFormula>VLOOKUP(ReviewCalcs[[#This Row],[Project Index]], ProjectInput[], O$1, FALSE)</calculatedColumnFormula>
    </tableColumn>
    <tableColumn id="14" xr3:uid="{00000000-0010-0000-0300-00000E000000}" name="Proposed Fixture Quantity" dataDxfId="103">
      <calculatedColumnFormula>VLOOKUP(ReviewCalcs[[#This Row],[Project Index]], ProjectInput[], P$1, FALSE)</calculatedColumnFormula>
    </tableColumn>
    <tableColumn id="15" xr3:uid="{00000000-0010-0000-0300-00000F000000}" name="Proposed Fixture Code" dataDxfId="102">
      <calculatedColumnFormula>VLOOKUP(ReviewCalcs[[#This Row],[Project Index]], ProjectInput[], Q$1, FALSE)</calculatedColumnFormula>
    </tableColumn>
    <tableColumn id="16" xr3:uid="{00000000-0010-0000-0300-000010000000}" name="Proposed Lamp/Fixture Make &amp; Model #" dataDxfId="101">
      <calculatedColumnFormula>VLOOKUP(ReviewCalcs[[#This Row],[Project Index]], ProjectInput[], R$1, FALSE)</calculatedColumnFormula>
    </tableColumn>
    <tableColumn id="17" xr3:uid="{00000000-0010-0000-0300-000011000000}" name="Proposed Lamp/Fixture Qualification" dataDxfId="100">
      <calculatedColumnFormula>VLOOKUP(ReviewCalcs[[#This Row],[Project Index]], ProjectInput[], S$1, FALSE)</calculatedColumnFormula>
    </tableColumn>
    <tableColumn id="18" xr3:uid="{00000000-0010-0000-0300-000012000000}" name="Proposed Ballast Make &amp; Model #" dataDxfId="99">
      <calculatedColumnFormula>VLOOKUP(ReviewCalcs[[#This Row],[Project Index]], ProjectInput[], T$1, FALSE)</calculatedColumnFormula>
    </tableColumn>
    <tableColumn id="19" xr3:uid="{00000000-0010-0000-0300-000013000000}" name="Proposed Ballast Qualification" dataDxfId="98">
      <calculatedColumnFormula>VLOOKUP(ReviewCalcs[[#This Row],[Project Index]], ProjectInput[], U$1, FALSE)</calculatedColumnFormula>
    </tableColumn>
    <tableColumn id="25" xr3:uid="{00000000-0010-0000-0300-000019000000}" name="Proposed Control(s)" dataDxfId="97">
      <calculatedColumnFormula>VLOOKUP(ReviewCalcs[[#This Row],[Project Index]], ProjectInput[], V$1, FALSE)</calculatedColumnFormula>
    </tableColumn>
    <tableColumn id="21" xr3:uid="{00000000-0010-0000-0300-000015000000}" name="Retrofit Cost" dataDxfId="96">
      <calculatedColumnFormula>VLOOKUP(ReviewCalcs[[#This Row],[Project Index]], ProjectInput[], W$1, FALSE)</calculatedColumnFormula>
    </tableColumn>
    <tableColumn id="22" xr3:uid="{00000000-0010-0000-0300-000016000000}" name="Proposed Fixture Watts" dataDxfId="95">
      <calculatedColumnFormula>VLOOKUP(ReviewCalcs[[#This Row],[Project Index]], ProjectInput[], X$1, FALSE)</calculatedColumnFormula>
    </tableColumn>
    <tableColumn id="23" xr3:uid="{00000000-0010-0000-0300-000017000000}" name="Operating Hours Test" dataDxfId="94" dataCellStyle="Locked Cell">
      <calculatedColumnFormula>IF(OR(
AND(ReviewCalcs[[#This Row],[Over-Ride Annual Hours]]="Default", Table5[[#This Row],[Weekday Operating Hours]],Table5[[#This Row],[Saturday Operating Hours]],Table5[[#This Row],[Sunday Operating Hours]]&lt;&gt;0),
AND(ReviewCalcs[[#This Row],[Over-Ride Annual Hours]]="Over-ride", Table5[[#This Row],[Annual Operating Hours]]=0)),
"ERROR", "PASS")</calculatedColumnFormula>
    </tableColumn>
    <tableColumn id="24" xr3:uid="{00000000-0010-0000-0300-000018000000}" name="Eligible Proposed Fixture Test" dataDxfId="93" dataCellStyle="Locked Cell">
      <calculatedColumnFormula>IF(VLOOKUP(ProjectInput[[#This Row],[Proposed Fixture Code]], Table7[[FIXTURE CODE]:[Baseline Fixture Code]], 8, FALSE)="N", "FAIL", "PASS")</calculatedColumnFormula>
    </tableColumn>
    <tableColumn id="61" xr3:uid="{00000000-0010-0000-0300-00003D000000}" name="Project Type Matches Controls Selections" dataDxfId="92" dataCellStyle="Locked Cell"/>
    <tableColumn id="26" xr3:uid="{00000000-0010-0000-0300-00001A000000}" name="Wattage Reduction" dataDxfId="91" dataCellStyle="Locked Cell">
      <calculatedColumnFormula>IF(OR(ReviewCalcs[[#This Row],[Baseline Fixture Watts]]&gt;=ReviewCalcs[[#This Row],[Proposed Fixture Watts]],ReviewCalcs[[#This Row],[Existing Fixture Watts]]&gt;=ReviewCalcs[[#This Row],[Proposed Fixture Watts]] ), "PASS", "ERROR")</calculatedColumnFormula>
    </tableColumn>
    <tableColumn id="27" xr3:uid="{00000000-0010-0000-0300-00001B000000}" name="IEFD" dataDxfId="90" dataCellStyle="Locked Cell">
      <calculatedColumnFormula>VLOOKUP(ProjectInput[[#This Row],[Space Conditions]], Table_365[], 5, FALSE)</calculatedColumnFormula>
    </tableColumn>
    <tableColumn id="28" xr3:uid="{00000000-0010-0000-0300-00001C000000}" name="AOH" dataDxfId="89" dataCellStyle="Locked Cell">
      <calculatedColumnFormula>ProjectInput[[#This Row],[Annual Hours]]</calculatedColumnFormula>
    </tableColumn>
    <tableColumn id="29" xr3:uid="{00000000-0010-0000-0300-00001D000000}" name="IEFE" dataDxfId="88" dataCellStyle="Locked Cell">
      <calculatedColumnFormula>VLOOKUP(ProjectInput[[#This Row],[Space Conditions]], Table_365[], 6, FALSE)</calculatedColumnFormula>
    </tableColumn>
    <tableColumn id="30" xr3:uid="{00000000-0010-0000-0300-00001E000000}" name="Existing CF" dataDxfId="87" dataCellStyle="Locked Cell">
      <calculatedColumnFormula>IF(ReviewCalcs[[#This Row],[Existing Control(s)]]='Tables &amp; Ranges'!$A$25, VLOOKUP(ReviewCalcs[[#This Row],[Building/Space Type]], Table_364[], 3, FALSE), CF_Contols)</calculatedColumnFormula>
    </tableColumn>
    <tableColumn id="31" xr3:uid="{00000000-0010-0000-0300-00001F000000}" name="Existing PAF" dataDxfId="86" dataCellStyle="Locked Cell">
      <calculatedColumnFormula>VLOOKUP(ProjectInput[[#This Row],[Existing Control(s)]], Table_358[], 2, FALSE)</calculatedColumnFormula>
    </tableColumn>
    <tableColumn id="20" xr3:uid="{00000000-0010-0000-0300-000014000000}" name="Proposed CF" dataDxfId="85" dataCellStyle="Locked Cell">
      <calculatedColumnFormula>IF(ReviewCalcs[[#This Row],[Proposed Control(s)]]='Tables &amp; Ranges'!$A$25, VLOOKUP(ReviewCalcs[[#This Row],[Building/Space Type]], Table_364[], 3, FALSE), CF_Contols)</calculatedColumnFormula>
    </tableColumn>
    <tableColumn id="3" xr3:uid="{00000000-0010-0000-0300-000003000000}" name="Proposed PAF" dataDxfId="84" dataCellStyle="Locked Cell">
      <calculatedColumnFormula>VLOOKUP(ReviewCalcs[[#This Row],[Proposed Control(s)]], Table_358[], 2, FALSE)</calculatedColumnFormula>
    </tableColumn>
    <tableColumn id="33" xr3:uid="{00000000-0010-0000-0300-000021000000}" name="Fixture Existing Demand (kW)" dataDxfId="83" dataCellStyle="Locked Cell">
      <calculatedColumnFormula>IFERROR((ReviewCalcs[[#This Row],[Existing Fixture Quantity]]*ReviewCalcs[[#This Row],[Existing Fixture Watts]]/1000)*ReviewCalcs[[#This Row],[Existing CF]]*ReviewCalcs[[#This Row],[IEFD]], 0)</calculatedColumnFormula>
    </tableColumn>
    <tableColumn id="32" xr3:uid="{00000000-0010-0000-0300-000020000000}" name="Fixture Proposed Demand (kW)" dataDxfId="82" dataCellStyle="Locked Cell">
      <calculatedColumnFormula>IFERROR((ReviewCalcs[[#This Row],[Proposed Fixture Quantity]]*ReviewCalcs[[#This Row],[Proposed Fixture Watts]]/1000)*ReviewCalcs[[#This Row],[Existing CF]]*ReviewCalcs[[#This Row],[IEFD]], 0)</calculatedColumnFormula>
    </tableColumn>
    <tableColumn id="34" xr3:uid="{00000000-0010-0000-0300-000022000000}" name="Fixture Demand Savings (kW)" dataDxfId="81" dataCellStyle="Locked Cell">
      <calculatedColumnFormula>IFERROR((ReviewCalcs[[#This Row],[Existing Fixture Quantity]]*ReviewCalcs[[#This Row],[Existing Fixture Watts]]/1000-ReviewCalcs[[#This Row],[Proposed Fixture Quantity]]*ReviewCalcs[[#This Row],[Proposed Fixture Watts]]/1000)*ReviewCalcs[[#This Row],[Existing CF]]*ReviewCalcs[[#This Row],[IEFD]], 0)</calculatedColumnFormula>
    </tableColumn>
    <tableColumn id="37" xr3:uid="{00000000-0010-0000-0300-000025000000}" name="Fixture Existing Energy (kWh)" dataDxfId="80" dataCellStyle="Locked Cell">
      <calculatedColumnFormula>IFERROR((ReviewCalcs[[#This Row],[Existing Fixture Quantity]]*ReviewCalcs[[#This Row],[Existing Fixture Watts]]/1000)*ReviewCalcs[[#This Row],[AOH]]*ReviewCalcs[[#This Row],[IEFE]]*ReviewCalcs[[#This Row],[Existing PAF]], 0)</calculatedColumnFormula>
    </tableColumn>
    <tableColumn id="36" xr3:uid="{00000000-0010-0000-0300-000024000000}" name="Fixture Proposed Energy (kWh)" dataDxfId="79" dataCellStyle="Locked Cell">
      <calculatedColumnFormula>IFERROR((ReviewCalcs[[#This Row],[Proposed Fixture Quantity]]*ReviewCalcs[[#This Row],[Proposed Fixture Watts]]/1000)*ReviewCalcs[[#This Row],[AOH]]*ReviewCalcs[[#This Row],[IEFE]]*ReviewCalcs[[#This Row],[Existing PAF]], 0)</calculatedColumnFormula>
    </tableColumn>
    <tableColumn id="35" xr3:uid="{00000000-0010-0000-0300-000023000000}" name="Fixture Energy Savings" dataDxfId="78" dataCellStyle="Locked Cell">
      <calculatedColumnFormula>IFERROR((ReviewCalcs[[#This Row],[Existing Fixture Quantity]]*ReviewCalcs[[#This Row],[Existing Fixture Watts]]/1000-ReviewCalcs[[#This Row],[Proposed Fixture Quantity]]*ReviewCalcs[[#This Row],[Proposed Fixture Watts]]/1000)*ReviewCalcs[[#This Row],[AOH]]*ReviewCalcs[[#This Row],[IEFE]]*ReviewCalcs[[#This Row],[Existing PAF]], 0)</calculatedColumnFormula>
    </tableColumn>
    <tableColumn id="52" xr3:uid="{00000000-0010-0000-0300-000034000000}" name="Fixture Existing Cost ($)" dataDxfId="77" dataCellStyle="Locked Cell">
      <calculatedColumnFormula>ReviewCalcs[[#This Row],[Fixture Existing Energy (kWh)]]*Avg_KWh_Rate</calculatedColumnFormula>
    </tableColumn>
    <tableColumn id="38" xr3:uid="{00000000-0010-0000-0300-000026000000}" name="Fixture Proposed Cost ($)" dataDxfId="76" dataCellStyle="Locked Cell">
      <calculatedColumnFormula>ReviewCalcs[[#This Row],[Fixture Proposed Energy (kWh)]]*Avg_KWh_Rate</calculatedColumnFormula>
    </tableColumn>
    <tableColumn id="40" xr3:uid="{00000000-0010-0000-0300-000028000000}" name="Fixture Energy Cost Savings ($)" dataDxfId="75" dataCellStyle="Locked Cell">
      <calculatedColumnFormula>ReviewCalcs[[#This Row],[Fixture Energy Savings]]*Avg_KWh_Rate</calculatedColumnFormula>
    </tableColumn>
    <tableColumn id="63" xr3:uid="{00000000-0010-0000-0300-00003F000000}" name="Control Existing Demand (kW)" dataDxfId="74" dataCellStyle="Locked Cell">
      <calculatedColumnFormula>ReviewCalcs[[#This Row],[Existing Fixture Quantity]]*ReviewCalcs[[#This Row],[Existing Fixture Watts]]/1000*ReviewCalcs[[#This Row],[Existing CF]]*ReviewCalcs[[#This Row],[IEFD]]</calculatedColumnFormula>
    </tableColumn>
    <tableColumn id="62" xr3:uid="{00000000-0010-0000-0300-00003E000000}" name="Control Proposed Demand (kW)" dataDxfId="73" dataCellStyle="Locked Cell">
      <calculatedColumnFormula>ReviewCalcs[[#This Row],[Proposed Fixture Quantity]]*ReviewCalcs[[#This Row],[Proposed Fixture Watts]]/1000*ReviewCalcs[[#This Row],[Proposed CF]]*ReviewCalcs[[#This Row],[IEFD]]</calculatedColumnFormula>
    </tableColumn>
    <tableColumn id="48" xr3:uid="{00000000-0010-0000-0300-000030000000}" name="Control Demand Savings (kW)" dataDxfId="72"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65" xr3:uid="{00000000-0010-0000-0300-000041000000}" name="Control Existing Energy (kWh)" dataDxfId="71" dataCellStyle="Locked Cell">
      <calculatedColumnFormula>IFERROR(ReviewCalcs[[#This Row],[Existing Fixture Quantity]]*ReviewCalcs[[#This Row],[Existing Fixture Watts]]/1000*ReviewCalcs[[#This Row],[Existing PAF]]*ReviewCalcs[[#This Row],[AOH]]*ReviewCalcs[[#This Row],[IEFE]], 0)</calculatedColumnFormula>
    </tableColumn>
    <tableColumn id="64" xr3:uid="{00000000-0010-0000-0300-000040000000}" name="Control Proposed Energy (kWh)" dataDxfId="70" dataCellStyle="Locked Cell">
      <calculatedColumnFormula>IFERROR(ReviewCalcs[[#This Row],[Proposed Fixture Quantity]]*ReviewCalcs[[#This Row],[Proposed Fixture Watts]]/1000*ReviewCalcs[[#This Row],[Proposed PAF]]*ReviewCalcs[[#This Row],[AOH]]*ReviewCalcs[[#This Row],[IEFE]], 0)</calculatedColumnFormula>
    </tableColumn>
    <tableColumn id="51" xr3:uid="{00000000-0010-0000-0300-000033000000}" name="Control Energy Savings (kWh)" dataDxfId="69" dataCellStyle="Locked Cell">
      <calculatedColumnFormula>IFERROR(ReviewCalcs[[#This Row],[Proposed Fixture Quantity]]*ReviewCalcs[[#This Row],[Proposed Fixture Watts]]/1000*(ReviewCalcs[[#This Row],[Existing PAF]]-ReviewCalcs[[#This Row],[Proposed PAF]])*ReviewCalcs[[#This Row],[AOH]]*ReviewCalcs[[#This Row],[IEFE]], 0)</calculatedColumnFormula>
    </tableColumn>
    <tableColumn id="67" xr3:uid="{00000000-0010-0000-0300-000043000000}" name="Control Existing Cost ($)" dataDxfId="68" dataCellStyle="Locked Cell">
      <calculatedColumnFormula>ReviewCalcs[[#This Row],[Control Existing Energy (kWh)]]*kWh_Incentive_Rate</calculatedColumnFormula>
    </tableColumn>
    <tableColumn id="66" xr3:uid="{00000000-0010-0000-0300-000042000000}" name="Controls Proposed Cost ($)" dataDxfId="67" dataCellStyle="Locked Cell">
      <calculatedColumnFormula>ReviewCalcs[[#This Row],[Control Proposed Energy (kWh)]]*kWh_Incentive_Rate</calculatedColumnFormula>
    </tableColumn>
    <tableColumn id="56" xr3:uid="{00000000-0010-0000-0300-000038000000}" name="Control Energy Cost Savings ($)" dataDxfId="66" dataCellStyle="Locked Cell">
      <calculatedColumnFormula>ReviewCalcs[[#This Row],[Control Energy Savings (kWh)]]*kWh_Incentive_Rate</calculatedColumnFormula>
    </tableColumn>
    <tableColumn id="69" xr3:uid="{00000000-0010-0000-0300-000045000000}" name="Total Existing Demand (kW)" dataDxfId="65" dataCellStyle="Locked Cell">
      <calculatedColumnFormula>ReviewCalcs[[#This Row],[Fixture Existing Demand (kW)]]+ReviewCalcs[[#This Row],[Control Existing Demand (kW)]]</calculatedColumnFormula>
    </tableColumn>
    <tableColumn id="68" xr3:uid="{00000000-0010-0000-0300-000044000000}" name="Total Proposed Demand (kW)" dataDxfId="64" dataCellStyle="Locked Cell">
      <calculatedColumnFormula>ReviewCalcs[[#This Row],[Fixture Proposed Demand (kW)]]+ReviewCalcs[[#This Row],[Control Proposed Demand (kW)]]</calculatedColumnFormula>
    </tableColumn>
    <tableColumn id="53" xr3:uid="{00000000-0010-0000-0300-000035000000}" name="Total Demand Savings (kW)" dataDxfId="63" dataCellStyle="Locked Cell">
      <calculatedColumnFormula>ReviewCalcs[[#This Row],[Fixture Demand Savings (kW)]]+ReviewCalcs[[#This Row],[Control Demand Savings (kW)]]</calculatedColumnFormula>
    </tableColumn>
    <tableColumn id="71" xr3:uid="{00000000-0010-0000-0300-000047000000}" name="Total Existing Energy (kWh)" dataDxfId="62" dataCellStyle="Locked Cell">
      <calculatedColumnFormula>ReviewCalcs[[#This Row],[Fixture Existing Energy (kWh)]]+ReviewCalcs[[#This Row],[Control Existing Energy (kWh)]]</calculatedColumnFormula>
    </tableColumn>
    <tableColumn id="70" xr3:uid="{00000000-0010-0000-0300-000046000000}" name="Total Proposed Energy (kWh)" dataDxfId="61" dataCellStyle="Locked Cell">
      <calculatedColumnFormula>ReviewCalcs[[#This Row],[Fixture Proposed Energy (kWh)]]+ReviewCalcs[[#This Row],[Control Proposed Energy (kWh)]]</calculatedColumnFormula>
    </tableColumn>
    <tableColumn id="54" xr3:uid="{00000000-0010-0000-0300-000036000000}" name="Total Energy Savings (kWh)" dataDxfId="60" dataCellStyle="Locked Cell">
      <calculatedColumnFormula>ReviewCalcs[[#This Row],[Fixture Energy Savings]]+ReviewCalcs[[#This Row],[Control Energy Savings (kWh)]]</calculatedColumnFormula>
    </tableColumn>
    <tableColumn id="73" xr3:uid="{00000000-0010-0000-0300-000049000000}" name="Total Existing Cost ($)" dataDxfId="59" dataCellStyle="Locked Cell">
      <calculatedColumnFormula>ReviewCalcs[[#This Row],[Fixture Existing Cost ($)]]+ReviewCalcs[[#This Row],[Control Existing Cost ($)]]</calculatedColumnFormula>
    </tableColumn>
    <tableColumn id="72" xr3:uid="{00000000-0010-0000-0300-000048000000}" name="Total Proposed Cost ($)" dataDxfId="58" dataCellStyle="Locked Cell">
      <calculatedColumnFormula>ReviewCalcs[[#This Row],[Fixture Proposed Cost ($)]]+ReviewCalcs[[#This Row],[Controls Proposed Cost ($)]]</calculatedColumnFormula>
    </tableColumn>
    <tableColumn id="55" xr3:uid="{00000000-0010-0000-0300-000037000000}" name="Total Cost Savings ($)" dataDxfId="57" dataCellStyle="Locked Cell">
      <calculatedColumnFormula>ReviewCalcs[[#This Row],[Total Energy Savings (kWh)]]*Avg_KWh_Rate</calculatedColumnFormula>
    </tableColumn>
    <tableColumn id="41" xr3:uid="{00000000-0010-0000-0300-000029000000}" name="Incentive ($)" dataDxfId="56" dataCellStyle="Locked Cell">
      <calculatedColumnFormula>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calculatedColumnFormula>
    </tableColumn>
    <tableColumn id="42" xr3:uid="{00000000-0010-0000-0300-00002A000000}" name="Gross Project Cost ($)" dataDxfId="55" dataCellStyle="Locked Cell">
      <calculatedColumnFormula>ProjectInput[[#This Row],[Retrofit Cost]]</calculatedColumnFormula>
    </tableColumn>
    <tableColumn id="43" xr3:uid="{00000000-0010-0000-0300-00002B000000}" name="Net Project Cost ($)" dataDxfId="54" dataCellStyle="Locked Cell">
      <calculatedColumnFormula>ProjectInput[[#This Row],[Retrofit Cost]]-ProjectInput[[#This Row],[Incentive ($)]]</calculatedColumnFormula>
    </tableColumn>
    <tableColumn id="44" xr3:uid="{00000000-0010-0000-0300-00002C000000}" name="Project Payback (yrs)" dataDxfId="53" dataCellStyle="Locked Cell">
      <calculatedColumnFormula>IFERROR(ProjectInput[[#This Row],[Net Project Cost ($)]]/ProjectInput[[#This Row],[Energy Cost Savings ($)]], #N/A)</calculatedColumnFormula>
    </tableColumn>
    <tableColumn id="46" xr3:uid="{00000000-0010-0000-0300-00002E000000}" name="Baseline Fixture Code" dataDxfId="52" dataCellStyle="Locked Cell">
      <calculatedColumnFormula>IF(VLOOKUP(ReviewCalcs[[#This Row],[Existing Fixture Code]], Table7[[FIXTURE CODE]:[Baseline Fixture Code]], 8, FALSE)="N", VLOOKUP(ReviewCalcs[[#This Row],[Existing Fixture Code]], Table7[[FIXTURE CODE]:[Baseline Fixture Code]], 9, FALSE), ReviewCalcs[[#This Row],[Existing Fixture Code]])</calculatedColumnFormula>
    </tableColumn>
    <tableColumn id="47" xr3:uid="{00000000-0010-0000-0300-00002F000000}" name="Baseline Fixture Watts" dataDxfId="51" dataCellStyle="Locked Cell">
      <calculatedColumnFormula>INDEX(Table7[WATT/ FIXT], MATCH(ReviewCalcs[Baseline Fixture Code], Table7[FIXTURE CODE], 0))</calculatedColumnFormula>
    </tableColumn>
    <tableColumn id="49" xr3:uid="{00000000-0010-0000-0300-000031000000}" name="Incentive Fixture Demand Savings (kW)" dataDxfId="50" dataCellStyle="Locked Cell">
      <calculatedColumnFormula>IFERROR((ReviewCalcs[[#This Row],[Existing Fixture Quantity]]*ReviewCalcs[[#This Row],[Baseline Fixture Watts]]/1000-ReviewCalcs[[#This Row],[Proposed Fixture Quantity]]*ReviewCalcs[[#This Row],[Proposed Fixture Watts]]/1000)*ReviewCalcs[[#This Row],[Existing CF]]*ReviewCalcs[[#This Row],[IEFD]], 0)</calculatedColumnFormula>
    </tableColumn>
    <tableColumn id="50" xr3:uid="{00000000-0010-0000-0300-000032000000}" name="Incentive Fixture Energy Savings (kWh)" dataDxfId="49" dataCellStyle="Locked Cell">
      <calculatedColumnFormula>IFERROR((ReviewCalcs[[#This Row],[Existing Fixture Quantity]]*ReviewCalcs[[#This Row],[Baseline Fixture Watts]]/1000-ReviewCalcs[[#This Row],[Proposed Fixture Quantity]]*ReviewCalcs[[#This Row],[Proposed Fixture Watts]]/1000)*ReviewCalcs[[#This Row],[AOH]]*ReviewCalcs[[#This Row],[IEFE]]*ReviewCalcs[[#This Row],[Existing PAF]], 0)</calculatedColumnFormula>
    </tableColumn>
    <tableColumn id="57" xr3:uid="{00000000-0010-0000-0300-000039000000}" name="Incentive Control Demand Savings (kW)" dataDxfId="48" dataCellStyle="Locked Cell">
      <calculatedColumnFormula>IF(ReviewCalcs[[#This Row],[Existing CF]]=ReviewCalcs[[#This Row],[Proposed CF]], 0, ReviewCalcs[[#This Row],[Proposed Fixture Quantity]]*ReviewCalcs[[#This Row],[Proposed Fixture Watts]]/1000*ReviewCalcs[[#This Row],[Proposed CF]]*ReviewCalcs[[#This Row],[IEFD]])</calculatedColumnFormula>
    </tableColumn>
    <tableColumn id="58" xr3:uid="{00000000-0010-0000-0300-00003A000000}" name="Incentive Control Energy Savings (kWh)" dataDxfId="47" dataCellStyle="Locked Cell">
      <calculatedColumnFormula>IFERROR(ReviewCalcs[[#This Row],[Proposed Fixture Quantity]]*ReviewCalcs[[#This Row],[Proposed Fixture Watts]]/1000*(ReviewCalcs[[#This Row],[Existing PAF]]-ReviewCalcs[[#This Row],[Proposed PAF]])*ReviewCalcs[[#This Row],[AOH]]*ReviewCalcs[[#This Row],[IEFE]],0)</calculatedColumnFormula>
    </tableColumn>
    <tableColumn id="59" xr3:uid="{00000000-0010-0000-0300-00003B000000}" name="Incentive Total Demand Savings (kW)" dataDxfId="46" dataCellStyle="Locked Cell">
      <calculatedColumnFormula>ReviewCalcs[[#This Row],[Incentive Fixture Demand Savings (kW)]]+ReviewCalcs[[#This Row],[Incentive Control Demand Savings (kW)]]</calculatedColumnFormula>
    </tableColumn>
    <tableColumn id="60" xr3:uid="{00000000-0010-0000-0300-00003C000000}" name="Incentive Total Energy Savings (kWh)" dataDxfId="45" dataCellStyle="Locked Cell">
      <calculatedColumnFormula>ReviewCalcs[[#This Row],[Incentive Fixture Energy Savings (kWh)]]+ReviewCalcs[[#This Row],[Incentive Control Energy Savings (kWh)]]</calculatedColumnFormula>
    </tableColumn>
    <tableColumn id="45" xr3:uid="{00000000-0010-0000-0300-00002D000000}" name="Energy Smart Reviewer Comments" dataDxfId="44"/>
  </tableColumns>
  <tableStyleInfo name="No Inpu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356" displayName="Table_356" ref="A7:E13" totalsRowShown="0" dataDxfId="43" dataCellStyle="Percent">
  <autoFilter ref="A7:E13" xr:uid="{00000000-0009-0000-0100-000002000000}"/>
  <tableColumns count="5">
    <tableColumn id="1" xr3:uid="{00000000-0010-0000-0400-000001000000}" name="Location" dataDxfId="42"/>
    <tableColumn id="2" xr3:uid="{00000000-0010-0000-0400-000002000000}" name="IES" dataDxfId="41" dataCellStyle="Percent"/>
    <tableColumn id="3" xr3:uid="{00000000-0010-0000-0400-000003000000}" name="CNRC" dataDxfId="40" dataCellStyle="Percent"/>
    <tableColumn id="4" xr3:uid="{00000000-0010-0000-0400-000004000000}" name="NBI" dataDxfId="39" dataCellStyle="Percent"/>
    <tableColumn id="5" xr3:uid="{00000000-0010-0000-0400-000005000000}" name="LRC" dataDxfId="38" dataCellStyle="Percen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357" displayName="Table_357" ref="A16:E21" totalsRowShown="0" dataDxfId="37" dataCellStyle="Percent">
  <autoFilter ref="A16:E21" xr:uid="{00000000-0009-0000-0100-000003000000}"/>
  <tableColumns count="5">
    <tableColumn id="1" xr3:uid="{00000000-0010-0000-0500-000001000000}" name="Location" dataDxfId="36"/>
    <tableColumn id="2" xr3:uid="{00000000-0010-0000-0500-000002000000}" name="CNRC" dataDxfId="35" dataCellStyle="Percent"/>
    <tableColumn id="3" xr3:uid="{00000000-0010-0000-0500-000003000000}" name="NBI" dataDxfId="34" dataCellStyle="Percent"/>
    <tableColumn id="4" xr3:uid="{00000000-0010-0000-0500-000004000000}" name="So Cal Edison" dataDxfId="33" dataCellStyle="Percent"/>
    <tableColumn id="5" xr3:uid="{00000000-0010-0000-0500-000005000000}" name="LRC" dataDxfId="32" dataCellStyle="Percen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le_358" displayName="Table_358" ref="A24:B33" totalsRowShown="0">
  <autoFilter ref="A24:B33" xr:uid="{00000000-0009-0000-0100-000004000000}"/>
  <tableColumns count="2">
    <tableColumn id="1" xr3:uid="{00000000-0010-0000-0600-000001000000}" name="Control Type" dataDxfId="31"/>
    <tableColumn id="2" xr3:uid="{00000000-0010-0000-0600-000002000000}" name="Power Adjustment Factor (PAF)" dataDxfId="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_364" displayName="Table_364" ref="A37:C69" totalsRowShown="0">
  <autoFilter ref="A37:C69" xr:uid="{00000000-0009-0000-0100-000006000000}"/>
  <tableColumns count="3">
    <tableColumn id="1" xr3:uid="{00000000-0010-0000-0700-000001000000}" name="Building Type" dataDxfId="29"/>
    <tableColumn id="2" xr3:uid="{00000000-0010-0000-0700-000002000000}" name="AOH" dataDxfId="28"/>
    <tableColumn id="3" xr3:uid="{00000000-0010-0000-0700-000003000000}" name="CF" dataDxfId="2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e_365" displayName="Table_365" ref="A74:G81" totalsRowShown="0" dataDxfId="26">
  <autoFilter ref="A74:G81" xr:uid="{00000000-0009-0000-0100-000008000000}"/>
  <tableColumns count="7">
    <tableColumn id="6" xr3:uid="{00000000-0010-0000-0800-000006000000}" name="Lookup Value" dataDxfId="25"/>
    <tableColumn id="1" xr3:uid="{00000000-0010-0000-0800-000001000000}" name="Building Type" dataDxfId="24"/>
    <tableColumn id="2" xr3:uid="{00000000-0010-0000-0800-000002000000}" name="Temperature Description" dataDxfId="23"/>
    <tableColumn id="3" xr3:uid="{00000000-0010-0000-0800-000003000000}" name="Heating Type" dataDxfId="22"/>
    <tableColumn id="4" xr3:uid="{00000000-0010-0000-0800-000004000000}" name="IEFD" dataDxfId="21"/>
    <tableColumn id="5" xr3:uid="{00000000-0010-0000-0800-000005000000}" name="IEFE" dataDxfId="20"/>
    <tableColumn id="7" xr3:uid="{00000000-0010-0000-0800-000007000000}" name="Adjusted IEFe" dataDxfId="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nema.org/Policy/Energy/Efficiency/Documents/nema_premium_electronic_ballast_program.pdf" TargetMode="External"/><Relationship Id="rId7" Type="http://schemas.openxmlformats.org/officeDocument/2006/relationships/printerSettings" Target="../printerSettings/printerSettings2.bin"/><Relationship Id="rId2" Type="http://schemas.openxmlformats.org/officeDocument/2006/relationships/hyperlink" Target="https://library.cee1.org/content/commercial-lighting-qualifying-products-lists" TargetMode="External"/><Relationship Id="rId1" Type="http://schemas.openxmlformats.org/officeDocument/2006/relationships/hyperlink" Target="https://library.cee1.org/content/commercial-lighting-qualifying-products-lists" TargetMode="External"/><Relationship Id="rId6" Type="http://schemas.openxmlformats.org/officeDocument/2006/relationships/hyperlink" Target="http://www.designlights.org/search/" TargetMode="External"/><Relationship Id="rId5" Type="http://schemas.openxmlformats.org/officeDocument/2006/relationships/hyperlink" Target="http://www.energystar.gov/productfinder/product/certified-light-fixtures/results" TargetMode="External"/><Relationship Id="rId4" Type="http://schemas.openxmlformats.org/officeDocument/2006/relationships/hyperlink" Target="http://www.energystar.gov/productfinder/product/certified-light-bulbs/results"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table" Target="../tables/table5.xml"/><Relationship Id="rId1" Type="http://schemas.openxmlformats.org/officeDocument/2006/relationships/printerSettings" Target="../printerSettings/printerSettings7.bin"/><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3:F37"/>
  <sheetViews>
    <sheetView showGridLines="0" showRowColHeaders="0" tabSelected="1" zoomScale="60" zoomScaleNormal="60" workbookViewId="0">
      <selection activeCell="H23" sqref="H23"/>
    </sheetView>
  </sheetViews>
  <sheetFormatPr defaultColWidth="9.1796875" defaultRowHeight="12.5"/>
  <cols>
    <col min="1" max="1" width="9.1796875" style="49"/>
    <col min="2" max="2" width="36" style="49" customWidth="1"/>
    <col min="3" max="3" width="64.54296875" style="49" customWidth="1"/>
    <col min="4" max="4" width="9.1796875" style="49"/>
    <col min="5" max="5" width="22.81640625" style="49" customWidth="1"/>
    <col min="6" max="6" width="98.7265625" style="49" customWidth="1"/>
    <col min="7" max="16384" width="9.1796875" style="49"/>
  </cols>
  <sheetData>
    <row r="13" spans="2:6" ht="27" customHeight="1">
      <c r="B13" s="309" t="s">
        <v>15</v>
      </c>
      <c r="C13" s="309"/>
      <c r="E13" s="310" t="s">
        <v>3630</v>
      </c>
      <c r="F13" s="310"/>
    </row>
    <row r="14" spans="2:6" ht="27" customHeight="1">
      <c r="B14" s="48" t="s">
        <v>13</v>
      </c>
      <c r="C14" s="50"/>
      <c r="E14" s="311" t="s">
        <v>3777</v>
      </c>
      <c r="F14" s="311"/>
    </row>
    <row r="15" spans="2:6" ht="27" customHeight="1">
      <c r="B15" s="48" t="s">
        <v>14</v>
      </c>
      <c r="C15" s="50"/>
      <c r="E15" s="311" t="s">
        <v>3780</v>
      </c>
      <c r="F15" s="311"/>
    </row>
    <row r="16" spans="2:6" ht="27" customHeight="1">
      <c r="B16" s="48" t="s">
        <v>99</v>
      </c>
      <c r="C16" s="50"/>
      <c r="E16" s="311" t="s">
        <v>3631</v>
      </c>
      <c r="F16" s="311"/>
    </row>
    <row r="17" spans="2:6" ht="27" customHeight="1">
      <c r="B17" s="48" t="s">
        <v>100</v>
      </c>
      <c r="C17" s="50"/>
      <c r="E17" s="312" t="s">
        <v>3990</v>
      </c>
      <c r="F17" s="312"/>
    </row>
    <row r="18" spans="2:6" ht="27" customHeight="1">
      <c r="B18" s="48" t="s">
        <v>101</v>
      </c>
      <c r="C18" s="50"/>
      <c r="E18" s="305" t="s">
        <v>3991</v>
      </c>
      <c r="F18" s="306"/>
    </row>
    <row r="19" spans="2:6" ht="27" customHeight="1">
      <c r="B19" s="48" t="s">
        <v>9</v>
      </c>
      <c r="C19" s="50"/>
      <c r="E19" s="93" t="s">
        <v>3641</v>
      </c>
      <c r="F19" s="307" t="s">
        <v>3781</v>
      </c>
    </row>
    <row r="20" spans="2:6" ht="27" customHeight="1">
      <c r="B20" s="48" t="s">
        <v>3629</v>
      </c>
      <c r="C20" s="50"/>
      <c r="E20" s="94" t="s">
        <v>3641</v>
      </c>
      <c r="F20" s="308"/>
    </row>
    <row r="21" spans="2:6" ht="27" customHeight="1">
      <c r="B21" s="48" t="s">
        <v>12</v>
      </c>
      <c r="C21" s="52"/>
      <c r="E21" s="71" t="s">
        <v>3642</v>
      </c>
      <c r="F21" s="51" t="s">
        <v>3643</v>
      </c>
    </row>
    <row r="22" spans="2:6" ht="27" customHeight="1">
      <c r="B22" s="53"/>
      <c r="C22" s="53"/>
    </row>
    <row r="23" spans="2:6" ht="27" customHeight="1">
      <c r="B23" s="309" t="s">
        <v>16</v>
      </c>
      <c r="C23" s="309"/>
      <c r="E23" s="309" t="s">
        <v>3667</v>
      </c>
      <c r="F23" s="309"/>
    </row>
    <row r="24" spans="2:6" ht="27" customHeight="1">
      <c r="B24" s="48" t="s">
        <v>13</v>
      </c>
      <c r="C24" s="50"/>
      <c r="E24" s="48" t="s">
        <v>3668</v>
      </c>
      <c r="F24" s="50"/>
    </row>
    <row r="25" spans="2:6" ht="27" customHeight="1">
      <c r="B25" s="48" t="s">
        <v>14</v>
      </c>
      <c r="C25" s="50"/>
      <c r="E25" s="48" t="s">
        <v>3832</v>
      </c>
      <c r="F25" s="50"/>
    </row>
    <row r="26" spans="2:6" ht="27" customHeight="1">
      <c r="B26" s="48" t="s">
        <v>99</v>
      </c>
      <c r="C26" s="50"/>
    </row>
    <row r="27" spans="2:6" ht="27" customHeight="1">
      <c r="B27" s="48" t="s">
        <v>100</v>
      </c>
      <c r="C27" s="50"/>
      <c r="E27" s="237"/>
      <c r="F27" s="237"/>
    </row>
    <row r="28" spans="2:6" ht="27" customHeight="1">
      <c r="B28" s="48" t="s">
        <v>101</v>
      </c>
      <c r="C28" s="50"/>
      <c r="E28" s="237"/>
      <c r="F28" s="237"/>
    </row>
    <row r="29" spans="2:6" ht="27" customHeight="1">
      <c r="E29" s="237"/>
      <c r="F29" s="237"/>
    </row>
    <row r="30" spans="2:6" s="53" customFormat="1" ht="27.75" customHeight="1">
      <c r="B30" s="48" t="s">
        <v>3632</v>
      </c>
      <c r="C30" s="48" t="s">
        <v>4014</v>
      </c>
      <c r="E30" s="238"/>
      <c r="F30" s="238"/>
    </row>
    <row r="31" spans="2:6">
      <c r="E31" s="53"/>
      <c r="F31" s="53"/>
    </row>
    <row r="33" spans="4:4">
      <c r="D33" s="53"/>
    </row>
    <row r="34" spans="4:4">
      <c r="D34" s="53"/>
    </row>
    <row r="35" spans="4:4">
      <c r="D35" s="53"/>
    </row>
    <row r="36" spans="4:4">
      <c r="D36" s="53"/>
    </row>
    <row r="37" spans="4:4">
      <c r="D37" s="53"/>
    </row>
  </sheetData>
  <sheetProtection algorithmName="SHA-512" hashValue="w012lEKbTPevLjtSmzI/ct6ZiSIDZXtQnilhnb+qRWtmJYR66oQe6LbY13zuwBmMurauBDaU+P0aqr9tfIgGgA==" saltValue="eHLdv62Zgz+muJZGT08Smg==" spinCount="100000" sheet="1" objects="1" scenarios="1"/>
  <mergeCells count="10">
    <mergeCell ref="E18:F18"/>
    <mergeCell ref="F19:F20"/>
    <mergeCell ref="B13:C13"/>
    <mergeCell ref="B23:C23"/>
    <mergeCell ref="E13:F13"/>
    <mergeCell ref="E15:F15"/>
    <mergeCell ref="E16:F16"/>
    <mergeCell ref="E14:F14"/>
    <mergeCell ref="E23:F23"/>
    <mergeCell ref="E17:F17"/>
  </mergeCells>
  <conditionalFormatting sqref="A1:I16 A19:I45 A17:D18 G17:I18">
    <cfRule type="expression" priority="3" stopIfTrue="1">
      <formula>Cell_Protect=0</formula>
    </cfRule>
    <cfRule type="expression" dxfId="200" priority="4">
      <formula>CELL("PROTECT",A1)=1</formula>
    </cfRule>
  </conditionalFormatting>
  <conditionalFormatting sqref="E17:F18">
    <cfRule type="expression" priority="1" stopIfTrue="1">
      <formula>Cell_Protect=0</formula>
    </cfRule>
    <cfRule type="expression" dxfId="199" priority="2">
      <formula>CELL("PROTECT",E17)=1</formula>
    </cfRule>
  </conditionalFormatting>
  <pageMargins left="0.7" right="0.7" top="0.75" bottom="0.75" header="0.3" footer="0.3"/>
  <pageSetup scale="82" orientation="landscape" verticalDpi="1200" r:id="rId1"/>
  <colBreaks count="1" manualBreakCount="1">
    <brk id="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'Tables &amp; Ranges'!$A$102:$A$104</xm:f>
          </x14:formula1>
          <xm:sqref>F24</xm:sqref>
        </x14:dataValidation>
        <x14:dataValidation type="list" allowBlank="1" showInputMessage="1" showErrorMessage="1" xr:uid="{00000000-0002-0000-0000-000001000000}">
          <x14:formula1>
            <xm:f>'Tables &amp; Ranges'!$A$110:$A$111</xm:f>
          </x14:formula1>
          <xm:sqref>F25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sheetPr>
  <dimension ref="A1:AQ403"/>
  <sheetViews>
    <sheetView showGridLines="0" workbookViewId="0">
      <selection activeCell="Y1" sqref="O1:Y1048576"/>
    </sheetView>
  </sheetViews>
  <sheetFormatPr defaultRowHeight="14.5"/>
  <cols>
    <col min="1" max="1" width="8.7265625" style="255" customWidth="1"/>
    <col min="2" max="3" width="8.26953125" hidden="1" customWidth="1"/>
    <col min="4" max="4" width="27.1796875" bestFit="1" customWidth="1"/>
    <col min="5" max="5" width="30.81640625" customWidth="1"/>
    <col min="6" max="6" width="39.90625" hidden="1" customWidth="1"/>
    <col min="7" max="7" width="7.54296875" style="257" customWidth="1"/>
    <col min="8" max="8" width="7.54296875" customWidth="1"/>
    <col min="9" max="9" width="9" style="257" customWidth="1"/>
    <col min="10" max="10" width="15.81640625" style="265" bestFit="1" customWidth="1"/>
    <col min="11" max="11" width="16.54296875" style="257" bestFit="1" customWidth="1"/>
    <col min="12" max="12" width="12.08984375" hidden="1" customWidth="1"/>
    <col min="13" max="13" width="17.453125" style="284" bestFit="1" customWidth="1"/>
    <col min="14" max="14" width="14" style="284" bestFit="1" customWidth="1"/>
    <col min="15" max="15" width="17.453125" style="265" hidden="1" customWidth="1"/>
    <col min="16" max="21" width="17.453125" hidden="1" customWidth="1"/>
    <col min="22" max="22" width="26.7265625" hidden="1" customWidth="1"/>
    <col min="23" max="23" width="49.453125" hidden="1" customWidth="1"/>
    <col min="24" max="24" width="16.26953125" style="265" hidden="1" customWidth="1"/>
    <col min="25" max="25" width="11.90625" style="282" hidden="1" customWidth="1"/>
    <col min="26" max="41" width="9.1796875" style="7"/>
    <col min="42" max="42" width="41.54296875" style="7" bestFit="1" customWidth="1"/>
    <col min="43" max="43" width="9.1796875" style="7"/>
  </cols>
  <sheetData>
    <row r="1" spans="1:43">
      <c r="G1" s="341" t="s">
        <v>4057</v>
      </c>
      <c r="H1" s="341"/>
      <c r="I1" s="301">
        <f t="shared" ref="I1:K1" si="0">SUM(I3:I302)</f>
        <v>0</v>
      </c>
      <c r="J1" s="302">
        <f t="shared" si="0"/>
        <v>0</v>
      </c>
      <c r="K1" s="303">
        <f t="shared" si="0"/>
        <v>0</v>
      </c>
      <c r="L1" s="302">
        <f>SUM(L3:L302)</f>
        <v>0</v>
      </c>
      <c r="M1" s="304">
        <f>SUM(M3:M302)</f>
        <v>0</v>
      </c>
      <c r="N1" s="304">
        <f>SUM(N3:N302)</f>
        <v>0</v>
      </c>
      <c r="O1" s="286"/>
    </row>
    <row r="2" spans="1:43" ht="46.5">
      <c r="A2" s="288" t="s">
        <v>4027</v>
      </c>
      <c r="B2" s="12"/>
      <c r="C2" s="12"/>
      <c r="D2" s="12" t="s">
        <v>113</v>
      </c>
      <c r="E2" s="12" t="s">
        <v>4056</v>
      </c>
      <c r="F2" s="12" t="s">
        <v>4056</v>
      </c>
      <c r="G2" s="275" t="s">
        <v>4058</v>
      </c>
      <c r="H2" s="275" t="s">
        <v>4059</v>
      </c>
      <c r="I2" s="12" t="s">
        <v>4060</v>
      </c>
      <c r="J2" s="12" t="s">
        <v>4032</v>
      </c>
      <c r="K2" s="248" t="s">
        <v>4062</v>
      </c>
      <c r="L2" s="267" t="s">
        <v>117</v>
      </c>
      <c r="M2" s="287" t="s">
        <v>4061</v>
      </c>
      <c r="N2" s="283" t="s">
        <v>114</v>
      </c>
      <c r="O2" s="247" t="s">
        <v>123</v>
      </c>
      <c r="P2" s="10" t="s">
        <v>124</v>
      </c>
      <c r="Q2" s="10" t="s">
        <v>125</v>
      </c>
      <c r="R2" s="10" t="s">
        <v>126</v>
      </c>
      <c r="S2" s="10" t="s">
        <v>127</v>
      </c>
      <c r="T2" s="10" t="s">
        <v>128</v>
      </c>
      <c r="U2" s="10" t="s">
        <v>129</v>
      </c>
      <c r="V2" s="10" t="s">
        <v>118</v>
      </c>
      <c r="W2" s="12" t="s">
        <v>119</v>
      </c>
      <c r="X2" s="276" t="s">
        <v>3585</v>
      </c>
      <c r="Y2" s="276" t="s">
        <v>3590</v>
      </c>
      <c r="Z2" s="5"/>
      <c r="AA2" s="6"/>
      <c r="AB2" s="6"/>
      <c r="AC2" s="6"/>
      <c r="AD2" s="6"/>
      <c r="AE2" s="6"/>
      <c r="AF2" s="6"/>
      <c r="AG2" s="6"/>
      <c r="AH2" s="6"/>
      <c r="AI2" s="6"/>
      <c r="AJ2" s="6"/>
      <c r="AK2" s="6"/>
      <c r="AL2" s="6"/>
      <c r="AM2" s="6"/>
      <c r="AN2" s="6"/>
      <c r="AO2" s="6"/>
      <c r="AP2" s="5"/>
      <c r="AQ2" s="5"/>
    </row>
    <row r="3" spans="1:43">
      <c r="A3" s="249" t="e">
        <f>IF(D3='Tables &amp; Ranges'!$A$133, 'Tables &amp; Ranges'!$B$133, IF(D3='Tables &amp; Ranges'!$A$134, 'Tables &amp; Ranges'!$B$134, IF(D3='Tables &amp; Ranges'!$A$135, 'Tables &amp; Ranges'!$B$135, IF(D3='Tables &amp; Ranges'!$A$136, 'Tables &amp; Ranges'!$B$136, IF(D3='Tables &amp; Ranges'!$A$99, 'Tables &amp; Ranges'!$B$116, VLOOKUP(X3,'Fixture Table'!$C$3:$M$1785, 10, FALSE))))))</f>
        <v>#N/A</v>
      </c>
      <c r="B3" s="249"/>
      <c r="C3" s="249"/>
      <c r="D3" s="2">
        <f>IFERROR(_xlfn.IFNA(VLOOKUP(F3,Summary_Pre!E:F,2,FALSE),0),0)</f>
        <v>0</v>
      </c>
      <c r="E3" s="249" t="str">
        <f>REPLACE(F3,1,8,"")</f>
        <v>0 with 0</v>
      </c>
      <c r="F3" s="2" t="str">
        <f t="array" ref="F3">INDEX(Summary_Pre!E$4:E$303, MATCH(0, COUNTIF($F$2:F2,Summary_Pre!E$4:E$303), 0))</f>
        <v>Replace 0 with 0</v>
      </c>
      <c r="G3" s="271" t="e">
        <f>VLOOKUP(X3,Table7[[#All],[FIXTURE CODE]:[WATT/ FIXT]], 6, FALSE)</f>
        <v>#N/A</v>
      </c>
      <c r="H3" s="271" t="e">
        <f>VLOOKUP(Y3,Table7[[#All],[FIXTURE CODE]:[WATT/ FIXT]], 6, FALSE)</f>
        <v>#N/A</v>
      </c>
      <c r="I3" s="272">
        <f>SUMIF(Summary_Pre!E:E,"="&amp;F3,Summary_Pre!D:D)</f>
        <v>0</v>
      </c>
      <c r="J3" s="263">
        <f>SUMIF(Summary_Pre!E:E,"="&amp;F3,Summary_Pre!H:H)</f>
        <v>0</v>
      </c>
      <c r="K3" s="262">
        <f>SUMIF(Summary_Pre!E:E,"="&amp; F3,Summary_Pre!I:I)</f>
        <v>0</v>
      </c>
      <c r="L3" s="3">
        <f>SUMIF(Summary_Pre!E:E,"="&amp; F3,Summary_Pre!J:J)</f>
        <v>0</v>
      </c>
      <c r="M3" s="285">
        <f>SUMIF(Summary_Pre!E:E,"="&amp; F3,Summary_Pre!K:K)</f>
        <v>0</v>
      </c>
      <c r="N3" s="285">
        <f>SUMIF(Summary_Pre!E:E,"="&amp;F3,Summary_Pre!C:C)</f>
        <v>0</v>
      </c>
      <c r="O3" s="266">
        <f>IF(L3&lt;&gt;0,(N3-M3)/L3,0)</f>
        <v>0</v>
      </c>
      <c r="P3" s="3"/>
      <c r="Q3" s="3"/>
      <c r="R3" s="3"/>
      <c r="S3" s="3"/>
      <c r="T3" s="3"/>
      <c r="U3" s="3"/>
      <c r="V3" s="3"/>
      <c r="W3" s="2"/>
      <c r="X3" s="281" t="str">
        <f t="shared" ref="X3:X66" si="1">TRIM(MID(SUBSTITUTE(F3," ", REPT(" ",LEN(F3))), (2-1)*LEN(F3)+1,LEN(F3)))</f>
        <v>0</v>
      </c>
      <c r="Y3" s="279" t="str">
        <f t="shared" ref="Y3:Y66" si="2">TRIM(MID(SUBSTITUTE(F3," ", REPT(" ",LEN(F3))), (4-1)*LEN(F3)+1,LEN(F3)))</f>
        <v>0</v>
      </c>
      <c r="AA3" s="258"/>
      <c r="AG3" s="8"/>
      <c r="AH3" s="9"/>
      <c r="AJ3" s="9"/>
      <c r="AK3" s="9"/>
      <c r="AL3" s="9"/>
      <c r="AM3" s="9"/>
      <c r="AN3" s="9"/>
      <c r="AO3" s="9"/>
    </row>
    <row r="4" spans="1:43">
      <c r="A4" s="289" t="e">
        <f>IF(D4='Tables &amp; Ranges'!$A$133, 'Tables &amp; Ranges'!$B$133, IF(D4='Tables &amp; Ranges'!$A$134, 'Tables &amp; Ranges'!$B$134, IF(D4='Tables &amp; Ranges'!$A$135, 'Tables &amp; Ranges'!$B$135, IF(D4='Tables &amp; Ranges'!$A$136, 'Tables &amp; Ranges'!$B$136, IF(D4='Tables &amp; Ranges'!$A$99, 'Tables &amp; Ranges'!$B$116, VLOOKUP(X4,'Fixture Table'!$C$3:$M$1785, 10, FALSE))))))</f>
        <v>#N/A</v>
      </c>
      <c r="B4" s="289"/>
      <c r="C4" s="289"/>
      <c r="D4" s="290">
        <f>IFERROR(_xlfn.IFNA(VLOOKUP(F4,Summary_Pre!E:F,2,FALSE),0),0)</f>
        <v>0</v>
      </c>
      <c r="E4" s="249" t="e">
        <f t="shared" ref="E4:E67" si="3">REPLACE(F4,1,8,"")</f>
        <v>#N/A</v>
      </c>
      <c r="F4" s="290" t="e">
        <f t="array" ref="F4">INDEX(Summary_Pre!E$4:E$303, MATCH(0, COUNTIF($F$2:F3,Summary_Pre!E$4:E$303), 0))</f>
        <v>#N/A</v>
      </c>
      <c r="G4" s="291" t="e">
        <f>VLOOKUP(X4,Table7[[#All],[FIXTURE CODE]:[WATT/ FIXT]], 6, FALSE)</f>
        <v>#N/A</v>
      </c>
      <c r="H4" s="291" t="e">
        <f>VLOOKUP(Y4,Table7[[#All],[FIXTURE CODE]:[WATT/ FIXT]], 6, FALSE)</f>
        <v>#N/A</v>
      </c>
      <c r="I4" s="292">
        <f>SUMIF(Summary_Pre!E:E,"="&amp;F4,Summary_Pre!D:D)</f>
        <v>0</v>
      </c>
      <c r="J4" s="293">
        <f>SUMIF(Summary_Pre!E:E,"="&amp;F4,Summary_Pre!H:H)</f>
        <v>0</v>
      </c>
      <c r="K4" s="294">
        <f>SUMIF(Summary_Pre!E:E,"="&amp; F4,Summary_Pre!I:I)</f>
        <v>0</v>
      </c>
      <c r="L4" s="295">
        <f>SUMIF(Summary_Pre!E:E,"="&amp; F4,Summary_Pre!J:J)</f>
        <v>0</v>
      </c>
      <c r="M4" s="296">
        <f>SUMIF(Summary_Pre!E:E,"="&amp; F4,Summary_Pre!K:K)</f>
        <v>0</v>
      </c>
      <c r="N4" s="296">
        <f>SUMIF(Summary_Pre!E:E,"="&amp;F4,Summary_Pre!C:C)</f>
        <v>0</v>
      </c>
      <c r="O4" s="266">
        <f t="shared" ref="O4:O67" si="4">IF(L4&lt;&gt;0,(N4-M4)/L4,0)</f>
        <v>0</v>
      </c>
      <c r="P4" s="3"/>
      <c r="Q4" s="3"/>
      <c r="R4" s="3"/>
      <c r="S4" s="3"/>
      <c r="T4" s="3"/>
      <c r="U4" s="3"/>
      <c r="V4" s="3"/>
      <c r="W4" s="2"/>
      <c r="X4" s="281" t="e">
        <f t="shared" si="1"/>
        <v>#N/A</v>
      </c>
      <c r="Y4" s="279" t="e">
        <f t="shared" si="2"/>
        <v>#N/A</v>
      </c>
    </row>
    <row r="5" spans="1:43">
      <c r="A5" s="249" t="e">
        <f>IF(D5='Tables &amp; Ranges'!$A$133, 'Tables &amp; Ranges'!$B$133, IF(D5='Tables &amp; Ranges'!$A$134, 'Tables &amp; Ranges'!$B$134, IF(D5='Tables &amp; Ranges'!$A$135, 'Tables &amp; Ranges'!$B$135, IF(D5='Tables &amp; Ranges'!$A$136, 'Tables &amp; Ranges'!$B$136, IF(D5='Tables &amp; Ranges'!$A$99, 'Tables &amp; Ranges'!$B$116, VLOOKUP(X5,'Fixture Table'!$C$3:$M$1785, 10, FALSE))))))</f>
        <v>#N/A</v>
      </c>
      <c r="B5" s="249"/>
      <c r="C5" s="249"/>
      <c r="D5" s="2">
        <f>IFERROR(_xlfn.IFNA(VLOOKUP(F5,Summary_Pre!E:F,2,FALSE),0),0)</f>
        <v>0</v>
      </c>
      <c r="E5" s="249" t="e">
        <f t="shared" si="3"/>
        <v>#N/A</v>
      </c>
      <c r="F5" s="2" t="e">
        <f t="array" ref="F5">INDEX(Summary_Pre!E$4:E$303, MATCH(0, COUNTIF($F$2:F4,Summary_Pre!E$4:E$303), 0))</f>
        <v>#N/A</v>
      </c>
      <c r="G5" s="271" t="e">
        <f>VLOOKUP(X5,Table7[[#All],[FIXTURE CODE]:[WATT/ FIXT]], 6, FALSE)</f>
        <v>#N/A</v>
      </c>
      <c r="H5" s="271" t="e">
        <f>VLOOKUP(Y5,Table7[[#All],[FIXTURE CODE]:[WATT/ FIXT]], 6, FALSE)</f>
        <v>#N/A</v>
      </c>
      <c r="I5" s="272">
        <f>SUMIF(Summary_Pre!E:E,"="&amp;F5,Summary_Pre!D:D)</f>
        <v>0</v>
      </c>
      <c r="J5" s="263">
        <f>SUMIF(Summary_Pre!E:E,"="&amp;F5,Summary_Pre!H:H)</f>
        <v>0</v>
      </c>
      <c r="K5" s="262">
        <f>SUMIF(Summary_Pre!E:E,"="&amp; F5,Summary_Pre!I:I)</f>
        <v>0</v>
      </c>
      <c r="L5" s="3">
        <f>SUMIF(Summary_Pre!E:E,"="&amp; F5,Summary_Pre!J:J)</f>
        <v>0</v>
      </c>
      <c r="M5" s="285">
        <f>SUMIF(Summary_Pre!E:E,"="&amp; F5,Summary_Pre!K:K)</f>
        <v>0</v>
      </c>
      <c r="N5" s="285">
        <f>SUMIF(Summary_Pre!E:E,"="&amp;F5,Summary_Pre!C:C)</f>
        <v>0</v>
      </c>
      <c r="O5" s="266">
        <f t="shared" si="4"/>
        <v>0</v>
      </c>
      <c r="P5" s="3"/>
      <c r="Q5" s="3"/>
      <c r="R5" s="3"/>
      <c r="S5" s="3"/>
      <c r="T5" s="3"/>
      <c r="U5" s="3"/>
      <c r="V5" s="3"/>
      <c r="W5" s="2"/>
      <c r="X5" s="281" t="e">
        <f t="shared" si="1"/>
        <v>#N/A</v>
      </c>
      <c r="Y5" s="279" t="e">
        <f t="shared" si="2"/>
        <v>#N/A</v>
      </c>
    </row>
    <row r="6" spans="1:43" s="300" customFormat="1">
      <c r="A6" s="289" t="e">
        <f>IF(D6='Tables &amp; Ranges'!$A$133, 'Tables &amp; Ranges'!$B$133, IF(D6='Tables &amp; Ranges'!$A$134, 'Tables &amp; Ranges'!$B$134, IF(D6='Tables &amp; Ranges'!$A$135, 'Tables &amp; Ranges'!$B$135, IF(D6='Tables &amp; Ranges'!$A$136, 'Tables &amp; Ranges'!$B$136, IF(D6='Tables &amp; Ranges'!$A$99, 'Tables &amp; Ranges'!$B$116, VLOOKUP(X6,'Fixture Table'!$C$3:$M$1785, 10, FALSE))))))</f>
        <v>#N/A</v>
      </c>
      <c r="B6" s="289"/>
      <c r="C6" s="289"/>
      <c r="D6" s="290">
        <f>IFERROR(_xlfn.IFNA(VLOOKUP(F6,Summary_Pre!E:F,2,FALSE),0),0)</f>
        <v>0</v>
      </c>
      <c r="E6" s="249" t="e">
        <f t="shared" si="3"/>
        <v>#N/A</v>
      </c>
      <c r="F6" s="290" t="e">
        <f t="array" ref="F6">INDEX(Summary_Pre!E$4:E$303, MATCH(0, COUNTIF($F$2:F5,Summary_Pre!E$4:E$303), 0))</f>
        <v>#N/A</v>
      </c>
      <c r="G6" s="291" t="e">
        <f>VLOOKUP(X6,Table7[[#All],[FIXTURE CODE]:[WATT/ FIXT]], 6, FALSE)</f>
        <v>#N/A</v>
      </c>
      <c r="H6" s="291" t="e">
        <f>VLOOKUP(Y6,Table7[[#All],[FIXTURE CODE]:[WATT/ FIXT]], 6, FALSE)</f>
        <v>#N/A</v>
      </c>
      <c r="I6" s="292">
        <f>SUMIF(Summary_Pre!E:E,"="&amp;F6,Summary_Pre!D:D)</f>
        <v>0</v>
      </c>
      <c r="J6" s="293">
        <f>SUMIF(Summary_Pre!E:E,"="&amp;F6,Summary_Pre!H:H)</f>
        <v>0</v>
      </c>
      <c r="K6" s="294">
        <f>SUMIF(Summary_Pre!E:E,"="&amp; F6,Summary_Pre!I:I)</f>
        <v>0</v>
      </c>
      <c r="L6" s="295">
        <f>SUMIF(Summary_Pre!E:E,"="&amp; F6,Summary_Pre!J:J)</f>
        <v>0</v>
      </c>
      <c r="M6" s="296">
        <f>SUMIF(Summary_Pre!E:E,"="&amp; F6,Summary_Pre!K:K)</f>
        <v>0</v>
      </c>
      <c r="N6" s="296">
        <f>SUMIF(Summary_Pre!E:E,"="&amp;F6,Summary_Pre!C:C)</f>
        <v>0</v>
      </c>
      <c r="O6" s="297">
        <f t="shared" si="4"/>
        <v>0</v>
      </c>
      <c r="P6" s="295"/>
      <c r="Q6" s="295"/>
      <c r="R6" s="295"/>
      <c r="S6" s="295"/>
      <c r="T6" s="295"/>
      <c r="U6" s="295"/>
      <c r="V6" s="295"/>
      <c r="W6" s="290"/>
      <c r="X6" s="298" t="e">
        <f t="shared" si="1"/>
        <v>#N/A</v>
      </c>
      <c r="Y6" s="298" t="e">
        <f t="shared" si="2"/>
        <v>#N/A</v>
      </c>
      <c r="Z6" s="299"/>
      <c r="AA6" s="299"/>
      <c r="AB6" s="299"/>
      <c r="AC6" s="299"/>
      <c r="AD6" s="299"/>
      <c r="AE6" s="299"/>
      <c r="AF6" s="299"/>
      <c r="AG6" s="299"/>
      <c r="AH6" s="299"/>
      <c r="AI6" s="299"/>
      <c r="AJ6" s="299"/>
      <c r="AK6" s="299"/>
      <c r="AL6" s="299"/>
      <c r="AM6" s="299"/>
      <c r="AN6" s="299"/>
      <c r="AO6" s="299"/>
      <c r="AP6" s="299"/>
      <c r="AQ6" s="299"/>
    </row>
    <row r="7" spans="1:43">
      <c r="A7" s="249" t="e">
        <f>IF(D7='Tables &amp; Ranges'!$A$133, 'Tables &amp; Ranges'!$B$133, IF(D7='Tables &amp; Ranges'!$A$134, 'Tables &amp; Ranges'!$B$134, IF(D7='Tables &amp; Ranges'!$A$135, 'Tables &amp; Ranges'!$B$135, IF(D7='Tables &amp; Ranges'!$A$136, 'Tables &amp; Ranges'!$B$136, IF(D7='Tables &amp; Ranges'!$A$99, 'Tables &amp; Ranges'!$B$116, VLOOKUP(X7,'Fixture Table'!$C$3:$M$1785, 10, FALSE))))))</f>
        <v>#N/A</v>
      </c>
      <c r="B7" s="249"/>
      <c r="C7" s="249"/>
      <c r="D7" s="2">
        <f>IFERROR(_xlfn.IFNA(VLOOKUP(F7,Summary_Pre!E:F,2,FALSE),0),0)</f>
        <v>0</v>
      </c>
      <c r="E7" s="249" t="e">
        <f t="shared" si="3"/>
        <v>#N/A</v>
      </c>
      <c r="F7" s="2" t="e">
        <f t="array" ref="F7">INDEX(Summary_Pre!E$4:E$303, MATCH(0, COUNTIF($F$2:F6,Summary_Pre!E$4:E$303), 0))</f>
        <v>#N/A</v>
      </c>
      <c r="G7" s="271" t="e">
        <f>VLOOKUP(X7,Table7[[#All],[FIXTURE CODE]:[WATT/ FIXT]], 6, FALSE)</f>
        <v>#N/A</v>
      </c>
      <c r="H7" s="271" t="e">
        <f>VLOOKUP(Y7,Table7[[#All],[FIXTURE CODE]:[WATT/ FIXT]], 6, FALSE)</f>
        <v>#N/A</v>
      </c>
      <c r="I7" s="272">
        <f>SUMIF(Summary_Pre!E:E,"="&amp;F7,Summary_Pre!D:D)</f>
        <v>0</v>
      </c>
      <c r="J7" s="263">
        <f>SUMIF(Summary_Pre!E:E,"="&amp;F7,Summary_Pre!H:H)</f>
        <v>0</v>
      </c>
      <c r="K7" s="262">
        <f>SUMIF(Summary_Pre!E:E,"="&amp; F7,Summary_Pre!I:I)</f>
        <v>0</v>
      </c>
      <c r="L7" s="3">
        <f>SUMIF(Summary_Pre!E:E,"="&amp; F7,Summary_Pre!J:J)</f>
        <v>0</v>
      </c>
      <c r="M7" s="285">
        <f>SUMIF(Summary_Pre!E:E,"="&amp; F7,Summary_Pre!K:K)</f>
        <v>0</v>
      </c>
      <c r="N7" s="285">
        <f>SUMIF(Summary_Pre!E:E,"="&amp;F7,Summary_Pre!C:C)</f>
        <v>0</v>
      </c>
      <c r="O7" s="266">
        <f t="shared" si="4"/>
        <v>0</v>
      </c>
      <c r="P7" s="3"/>
      <c r="Q7" s="3"/>
      <c r="R7" s="3"/>
      <c r="S7" s="3"/>
      <c r="T7" s="3"/>
      <c r="U7" s="3"/>
      <c r="V7" s="3"/>
      <c r="W7" s="2"/>
      <c r="X7" s="281" t="e">
        <f t="shared" si="1"/>
        <v>#N/A</v>
      </c>
      <c r="Y7" s="279" t="e">
        <f t="shared" si="2"/>
        <v>#N/A</v>
      </c>
    </row>
    <row r="8" spans="1:43" s="300" customFormat="1">
      <c r="A8" s="289" t="e">
        <f>IF(D8='Tables &amp; Ranges'!$A$133, 'Tables &amp; Ranges'!$B$133, IF(D8='Tables &amp; Ranges'!$A$134, 'Tables &amp; Ranges'!$B$134, IF(D8='Tables &amp; Ranges'!$A$135, 'Tables &amp; Ranges'!$B$135, IF(D8='Tables &amp; Ranges'!$A$136, 'Tables &amp; Ranges'!$B$136, IF(D8='Tables &amp; Ranges'!$A$99, 'Tables &amp; Ranges'!$B$116, VLOOKUP(X8,'Fixture Table'!$C$3:$M$1785, 10, FALSE))))))</f>
        <v>#N/A</v>
      </c>
      <c r="B8" s="289"/>
      <c r="C8" s="289"/>
      <c r="D8" s="290">
        <f>IFERROR(_xlfn.IFNA(VLOOKUP(F8,Summary_Pre!E:F,2,FALSE),0),0)</f>
        <v>0</v>
      </c>
      <c r="E8" s="249" t="e">
        <f t="shared" si="3"/>
        <v>#N/A</v>
      </c>
      <c r="F8" s="290" t="e">
        <f t="array" ref="F8">INDEX(Summary_Pre!E$4:E$303, MATCH(0, COUNTIF($F$2:F7,Summary_Pre!E$4:E$303), 0))</f>
        <v>#N/A</v>
      </c>
      <c r="G8" s="291" t="e">
        <f>VLOOKUP(X8,Table7[[#All],[FIXTURE CODE]:[WATT/ FIXT]], 6, FALSE)</f>
        <v>#N/A</v>
      </c>
      <c r="H8" s="291" t="e">
        <f>VLOOKUP(Y8,Table7[[#All],[FIXTURE CODE]:[WATT/ FIXT]], 6, FALSE)</f>
        <v>#N/A</v>
      </c>
      <c r="I8" s="292">
        <f>SUMIF(Summary_Pre!E:E,"="&amp;F8,Summary_Pre!D:D)</f>
        <v>0</v>
      </c>
      <c r="J8" s="293">
        <f>SUMIF(Summary_Pre!E:E,"="&amp;F8,Summary_Pre!H:H)</f>
        <v>0</v>
      </c>
      <c r="K8" s="294">
        <f>SUMIF(Summary_Pre!E:E,"="&amp; F8,Summary_Pre!I:I)</f>
        <v>0</v>
      </c>
      <c r="L8" s="295">
        <f>SUMIF(Summary_Pre!E:E,"="&amp; F8,Summary_Pre!J:J)</f>
        <v>0</v>
      </c>
      <c r="M8" s="296">
        <f>SUMIF(Summary_Pre!E:E,"="&amp; F8,Summary_Pre!K:K)</f>
        <v>0</v>
      </c>
      <c r="N8" s="296">
        <f>SUMIF(Summary_Pre!E:E,"="&amp;F8,Summary_Pre!C:C)</f>
        <v>0</v>
      </c>
      <c r="O8" s="297">
        <f t="shared" si="4"/>
        <v>0</v>
      </c>
      <c r="P8" s="295"/>
      <c r="Q8" s="295"/>
      <c r="R8" s="295"/>
      <c r="S8" s="295"/>
      <c r="T8" s="295"/>
      <c r="U8" s="295"/>
      <c r="V8" s="295"/>
      <c r="W8" s="290"/>
      <c r="X8" s="298" t="e">
        <f t="shared" si="1"/>
        <v>#N/A</v>
      </c>
      <c r="Y8" s="298" t="e">
        <f t="shared" si="2"/>
        <v>#N/A</v>
      </c>
      <c r="Z8" s="299"/>
      <c r="AA8" s="299"/>
      <c r="AB8" s="299"/>
      <c r="AC8" s="299"/>
      <c r="AD8" s="299"/>
      <c r="AE8" s="299"/>
      <c r="AF8" s="299"/>
      <c r="AG8" s="299"/>
      <c r="AH8" s="299"/>
      <c r="AI8" s="299"/>
      <c r="AJ8" s="299"/>
      <c r="AK8" s="299"/>
      <c r="AL8" s="299"/>
      <c r="AM8" s="299"/>
      <c r="AN8" s="299"/>
      <c r="AO8" s="299"/>
      <c r="AP8" s="299"/>
      <c r="AQ8" s="299"/>
    </row>
    <row r="9" spans="1:43">
      <c r="A9" s="249" t="e">
        <f>IF(D9='Tables &amp; Ranges'!$A$133, 'Tables &amp; Ranges'!$B$133, IF(D9='Tables &amp; Ranges'!$A$134, 'Tables &amp; Ranges'!$B$134, IF(D9='Tables &amp; Ranges'!$A$135, 'Tables &amp; Ranges'!$B$135, IF(D9='Tables &amp; Ranges'!$A$136, 'Tables &amp; Ranges'!$B$136, IF(D9='Tables &amp; Ranges'!$A$99, 'Tables &amp; Ranges'!$B$116, VLOOKUP(X9,'Fixture Table'!$C$3:$M$1785, 10, FALSE))))))</f>
        <v>#N/A</v>
      </c>
      <c r="B9" s="249"/>
      <c r="C9" s="249"/>
      <c r="D9" s="2">
        <f>IFERROR(_xlfn.IFNA(VLOOKUP(F9,Summary_Pre!E:F,2,FALSE),0),0)</f>
        <v>0</v>
      </c>
      <c r="E9" s="249" t="e">
        <f t="shared" si="3"/>
        <v>#N/A</v>
      </c>
      <c r="F9" s="2" t="e">
        <f t="array" ref="F9">INDEX(Summary_Pre!E$4:E$303, MATCH(0, COUNTIF($F$2:F8,Summary_Pre!E$4:E$303), 0))</f>
        <v>#N/A</v>
      </c>
      <c r="G9" s="271" t="e">
        <f>VLOOKUP(X9,Table7[[#All],[FIXTURE CODE]:[WATT/ FIXT]], 6, FALSE)</f>
        <v>#N/A</v>
      </c>
      <c r="H9" s="271" t="e">
        <f>VLOOKUP(Y9,Table7[[#All],[FIXTURE CODE]:[WATT/ FIXT]], 6, FALSE)</f>
        <v>#N/A</v>
      </c>
      <c r="I9" s="272">
        <f>SUMIF(Summary_Pre!E:E,"="&amp;F9,Summary_Pre!D:D)</f>
        <v>0</v>
      </c>
      <c r="J9" s="263">
        <f>SUMIF(Summary_Pre!E:E,"="&amp;F9,Summary_Pre!H:H)</f>
        <v>0</v>
      </c>
      <c r="K9" s="262">
        <f>SUMIF(Summary_Pre!E:E,"="&amp; F9,Summary_Pre!I:I)</f>
        <v>0</v>
      </c>
      <c r="L9" s="3">
        <f>SUMIF(Summary_Pre!E:E,"="&amp; F9,Summary_Pre!J:J)</f>
        <v>0</v>
      </c>
      <c r="M9" s="285">
        <f>SUMIF(Summary_Pre!E:E,"="&amp; F9,Summary_Pre!K:K)</f>
        <v>0</v>
      </c>
      <c r="N9" s="285">
        <f>SUMIF(Summary_Pre!E:E,"="&amp;F9,Summary_Pre!C:C)</f>
        <v>0</v>
      </c>
      <c r="O9" s="266">
        <f t="shared" si="4"/>
        <v>0</v>
      </c>
      <c r="P9" s="3"/>
      <c r="Q9" s="3"/>
      <c r="R9" s="3"/>
      <c r="S9" s="3"/>
      <c r="T9" s="3"/>
      <c r="U9" s="3"/>
      <c r="V9" s="3"/>
      <c r="W9" s="2"/>
      <c r="X9" s="281" t="e">
        <f t="shared" si="1"/>
        <v>#N/A</v>
      </c>
      <c r="Y9" s="279" t="e">
        <f t="shared" si="2"/>
        <v>#N/A</v>
      </c>
    </row>
    <row r="10" spans="1:43" s="300" customFormat="1">
      <c r="A10" s="289" t="e">
        <f>IF(D10='Tables &amp; Ranges'!$A$133, 'Tables &amp; Ranges'!$B$133, IF(D10='Tables &amp; Ranges'!$A$134, 'Tables &amp; Ranges'!$B$134, IF(D10='Tables &amp; Ranges'!$A$135, 'Tables &amp; Ranges'!$B$135, IF(D10='Tables &amp; Ranges'!$A$136, 'Tables &amp; Ranges'!$B$136, IF(D10='Tables &amp; Ranges'!$A$99, 'Tables &amp; Ranges'!$B$116, VLOOKUP(X10,'Fixture Table'!$C$3:$M$1785, 10, FALSE))))))</f>
        <v>#N/A</v>
      </c>
      <c r="B10" s="289"/>
      <c r="C10" s="289"/>
      <c r="D10" s="290">
        <f>IFERROR(_xlfn.IFNA(VLOOKUP(F10,Summary_Pre!E:F,2,FALSE),0),0)</f>
        <v>0</v>
      </c>
      <c r="E10" s="249" t="e">
        <f t="shared" si="3"/>
        <v>#N/A</v>
      </c>
      <c r="F10" s="290" t="e">
        <f t="array" ref="F10">INDEX(Summary_Pre!E$4:E$303, MATCH(0, COUNTIF($F$2:F9,Summary_Pre!E$4:E$303), 0))</f>
        <v>#N/A</v>
      </c>
      <c r="G10" s="291" t="e">
        <f>VLOOKUP(X10,Table7[[#All],[FIXTURE CODE]:[WATT/ FIXT]], 6, FALSE)</f>
        <v>#N/A</v>
      </c>
      <c r="H10" s="291" t="e">
        <f>VLOOKUP(Y10,Table7[[#All],[FIXTURE CODE]:[WATT/ FIXT]], 6, FALSE)</f>
        <v>#N/A</v>
      </c>
      <c r="I10" s="292">
        <f>SUMIF(Summary_Pre!E:E,"="&amp;F10,Summary_Pre!D:D)</f>
        <v>0</v>
      </c>
      <c r="J10" s="293">
        <f>SUMIF(Summary_Pre!E:E,"="&amp;F10,Summary_Pre!H:H)</f>
        <v>0</v>
      </c>
      <c r="K10" s="294">
        <f>SUMIF(Summary_Pre!E:E,"="&amp; F10,Summary_Pre!I:I)</f>
        <v>0</v>
      </c>
      <c r="L10" s="295">
        <f>SUMIF(Summary_Pre!E:E,"="&amp; F10,Summary_Pre!J:J)</f>
        <v>0</v>
      </c>
      <c r="M10" s="296">
        <f>SUMIF(Summary_Pre!E:E,"="&amp; F10,Summary_Pre!K:K)</f>
        <v>0</v>
      </c>
      <c r="N10" s="296">
        <f>SUMIF(Summary_Pre!E:E,"="&amp;F10,Summary_Pre!C:C)</f>
        <v>0</v>
      </c>
      <c r="O10" s="297">
        <f t="shared" si="4"/>
        <v>0</v>
      </c>
      <c r="P10" s="295"/>
      <c r="Q10" s="295"/>
      <c r="R10" s="295"/>
      <c r="S10" s="295"/>
      <c r="T10" s="295"/>
      <c r="U10" s="295"/>
      <c r="V10" s="295"/>
      <c r="W10" s="290"/>
      <c r="X10" s="298" t="e">
        <f t="shared" si="1"/>
        <v>#N/A</v>
      </c>
      <c r="Y10" s="298" t="e">
        <f t="shared" si="2"/>
        <v>#N/A</v>
      </c>
      <c r="Z10" s="299"/>
      <c r="AA10" s="299"/>
      <c r="AB10" s="299"/>
      <c r="AC10" s="299"/>
      <c r="AD10" s="299"/>
      <c r="AE10" s="299"/>
      <c r="AF10" s="299"/>
      <c r="AG10" s="299"/>
      <c r="AH10" s="299"/>
      <c r="AI10" s="299"/>
      <c r="AJ10" s="299"/>
      <c r="AK10" s="299"/>
      <c r="AL10" s="299"/>
      <c r="AM10" s="299"/>
      <c r="AN10" s="299"/>
      <c r="AO10" s="299"/>
      <c r="AP10" s="299"/>
      <c r="AQ10" s="299"/>
    </row>
    <row r="11" spans="1:43">
      <c r="A11" s="249" t="e">
        <f>IF(D11='Tables &amp; Ranges'!$A$133, 'Tables &amp; Ranges'!$B$133, IF(D11='Tables &amp; Ranges'!$A$134, 'Tables &amp; Ranges'!$B$134, IF(D11='Tables &amp; Ranges'!$A$135, 'Tables &amp; Ranges'!$B$135, IF(D11='Tables &amp; Ranges'!$A$136, 'Tables &amp; Ranges'!$B$136, IF(D11='Tables &amp; Ranges'!$A$99, 'Tables &amp; Ranges'!$B$116, VLOOKUP(X11,'Fixture Table'!$C$3:$M$1785, 10, FALSE))))))</f>
        <v>#N/A</v>
      </c>
      <c r="B11" s="249"/>
      <c r="C11" s="249"/>
      <c r="D11" s="2">
        <f>IFERROR(_xlfn.IFNA(VLOOKUP(F11,Summary_Pre!E:F,2,FALSE),0),0)</f>
        <v>0</v>
      </c>
      <c r="E11" s="249" t="e">
        <f t="shared" si="3"/>
        <v>#N/A</v>
      </c>
      <c r="F11" s="2" t="e">
        <f t="array" ref="F11">INDEX(Summary_Pre!E$4:E$303, MATCH(0, COUNTIF($F$2:F10,Summary_Pre!E$4:E$303), 0))</f>
        <v>#N/A</v>
      </c>
      <c r="G11" s="271" t="e">
        <f>VLOOKUP(X11,Table7[[#All],[FIXTURE CODE]:[WATT/ FIXT]], 6, FALSE)</f>
        <v>#N/A</v>
      </c>
      <c r="H11" s="271" t="e">
        <f>VLOOKUP(Y11,Table7[[#All],[FIXTURE CODE]:[WATT/ FIXT]], 6, FALSE)</f>
        <v>#N/A</v>
      </c>
      <c r="I11" s="272">
        <f>SUMIF(Summary_Pre!E:E,"="&amp;F11,Summary_Pre!D:D)</f>
        <v>0</v>
      </c>
      <c r="J11" s="263">
        <f>SUMIF(Summary_Pre!E:E,"="&amp;F11,Summary_Pre!H:H)</f>
        <v>0</v>
      </c>
      <c r="K11" s="262">
        <f>SUMIF(Summary_Pre!E:E,"="&amp; F11,Summary_Pre!I:I)</f>
        <v>0</v>
      </c>
      <c r="L11" s="3">
        <f>SUMIF(Summary_Pre!E:E,"="&amp; F11,Summary_Pre!J:J)</f>
        <v>0</v>
      </c>
      <c r="M11" s="285">
        <f>SUMIF(Summary_Pre!E:E,"="&amp; F11,Summary_Pre!K:K)</f>
        <v>0</v>
      </c>
      <c r="N11" s="285">
        <f>SUMIF(Summary_Pre!E:E,"="&amp;F11,Summary_Pre!C:C)</f>
        <v>0</v>
      </c>
      <c r="O11" s="266">
        <f t="shared" si="4"/>
        <v>0</v>
      </c>
      <c r="P11" s="3"/>
      <c r="Q11" s="3"/>
      <c r="R11" s="3"/>
      <c r="S11" s="3"/>
      <c r="T11" s="3"/>
      <c r="U11" s="3"/>
      <c r="V11" s="3"/>
      <c r="W11" s="2"/>
      <c r="X11" s="281" t="e">
        <f t="shared" si="1"/>
        <v>#N/A</v>
      </c>
      <c r="Y11" s="279" t="e">
        <f t="shared" si="2"/>
        <v>#N/A</v>
      </c>
    </row>
    <row r="12" spans="1:43" s="300" customFormat="1">
      <c r="A12" s="289" t="e">
        <f>IF(D12='Tables &amp; Ranges'!$A$133, 'Tables &amp; Ranges'!$B$133, IF(D12='Tables &amp; Ranges'!$A$134, 'Tables &amp; Ranges'!$B$134, IF(D12='Tables &amp; Ranges'!$A$135, 'Tables &amp; Ranges'!$B$135, IF(D12='Tables &amp; Ranges'!$A$136, 'Tables &amp; Ranges'!$B$136, IF(D12='Tables &amp; Ranges'!$A$99, 'Tables &amp; Ranges'!$B$116, VLOOKUP(X12,'Fixture Table'!$C$3:$M$1785, 10, FALSE))))))</f>
        <v>#N/A</v>
      </c>
      <c r="B12" s="289"/>
      <c r="C12" s="289"/>
      <c r="D12" s="290">
        <f>IFERROR(_xlfn.IFNA(VLOOKUP(F12,Summary_Pre!E:F,2,FALSE),0),0)</f>
        <v>0</v>
      </c>
      <c r="E12" s="249" t="e">
        <f t="shared" si="3"/>
        <v>#N/A</v>
      </c>
      <c r="F12" s="290" t="e">
        <f t="array" ref="F12">INDEX(Summary_Pre!E$4:E$303, MATCH(0, COUNTIF($F$2:F11,Summary_Pre!E$4:E$303), 0))</f>
        <v>#N/A</v>
      </c>
      <c r="G12" s="291" t="e">
        <f>VLOOKUP(X12,Table7[[#All],[FIXTURE CODE]:[WATT/ FIXT]], 6, FALSE)</f>
        <v>#N/A</v>
      </c>
      <c r="H12" s="291" t="e">
        <f>VLOOKUP(Y12,Table7[[#All],[FIXTURE CODE]:[WATT/ FIXT]], 6, FALSE)</f>
        <v>#N/A</v>
      </c>
      <c r="I12" s="292">
        <f>SUMIF(Summary_Pre!E:E,"="&amp;F12,Summary_Pre!D:D)</f>
        <v>0</v>
      </c>
      <c r="J12" s="293">
        <f>SUMIF(Summary_Pre!E:E,"="&amp;F12,Summary_Pre!H:H)</f>
        <v>0</v>
      </c>
      <c r="K12" s="294">
        <f>SUMIF(Summary_Pre!E:E,"="&amp; F12,Summary_Pre!I:I)</f>
        <v>0</v>
      </c>
      <c r="L12" s="295">
        <f>SUMIF(Summary_Pre!E:E,"="&amp; F12,Summary_Pre!J:J)</f>
        <v>0</v>
      </c>
      <c r="M12" s="296">
        <f>SUMIF(Summary_Pre!E:E,"="&amp; F12,Summary_Pre!K:K)</f>
        <v>0</v>
      </c>
      <c r="N12" s="296">
        <f>SUMIF(Summary_Pre!E:E,"="&amp;F12,Summary_Pre!C:C)</f>
        <v>0</v>
      </c>
      <c r="O12" s="297">
        <f t="shared" si="4"/>
        <v>0</v>
      </c>
      <c r="P12" s="295"/>
      <c r="Q12" s="295"/>
      <c r="R12" s="295"/>
      <c r="S12" s="295"/>
      <c r="T12" s="295"/>
      <c r="U12" s="295"/>
      <c r="V12" s="295"/>
      <c r="W12" s="290"/>
      <c r="X12" s="298" t="e">
        <f t="shared" si="1"/>
        <v>#N/A</v>
      </c>
      <c r="Y12" s="298" t="e">
        <f t="shared" si="2"/>
        <v>#N/A</v>
      </c>
      <c r="Z12" s="299"/>
      <c r="AA12" s="299"/>
      <c r="AB12" s="299"/>
      <c r="AC12" s="299"/>
      <c r="AD12" s="299"/>
      <c r="AE12" s="299"/>
      <c r="AF12" s="299"/>
      <c r="AG12" s="299"/>
      <c r="AH12" s="299"/>
      <c r="AI12" s="299"/>
      <c r="AJ12" s="299"/>
      <c r="AK12" s="299"/>
      <c r="AL12" s="299"/>
      <c r="AM12" s="299"/>
      <c r="AN12" s="299"/>
      <c r="AO12" s="299"/>
      <c r="AP12" s="299"/>
      <c r="AQ12" s="299"/>
    </row>
    <row r="13" spans="1:43">
      <c r="A13" s="249" t="e">
        <f>IF(D13='Tables &amp; Ranges'!$A$133, 'Tables &amp; Ranges'!$B$133, IF(D13='Tables &amp; Ranges'!$A$134, 'Tables &amp; Ranges'!$B$134, IF(D13='Tables &amp; Ranges'!$A$135, 'Tables &amp; Ranges'!$B$135, IF(D13='Tables &amp; Ranges'!$A$136, 'Tables &amp; Ranges'!$B$136, IF(D13='Tables &amp; Ranges'!$A$99, 'Tables &amp; Ranges'!$B$116, VLOOKUP(X13,'Fixture Table'!$C$3:$M$1785, 10, FALSE))))))</f>
        <v>#N/A</v>
      </c>
      <c r="B13" s="249"/>
      <c r="C13" s="249"/>
      <c r="D13" s="2">
        <f>IFERROR(_xlfn.IFNA(VLOOKUP(F13,Summary_Pre!E:F,2,FALSE),0),0)</f>
        <v>0</v>
      </c>
      <c r="E13" s="249" t="e">
        <f t="shared" si="3"/>
        <v>#N/A</v>
      </c>
      <c r="F13" s="2" t="e">
        <f t="array" ref="F13">INDEX(Summary_Pre!E$4:E$303, MATCH(0, COUNTIF($F$2:F12,Summary_Pre!E$4:E$303), 0))</f>
        <v>#N/A</v>
      </c>
      <c r="G13" s="271" t="e">
        <f>VLOOKUP(X13,Table7[[#All],[FIXTURE CODE]:[WATT/ FIXT]], 6, FALSE)</f>
        <v>#N/A</v>
      </c>
      <c r="H13" s="271" t="e">
        <f>VLOOKUP(Y13,Table7[[#All],[FIXTURE CODE]:[WATT/ FIXT]], 6, FALSE)</f>
        <v>#N/A</v>
      </c>
      <c r="I13" s="272">
        <f>SUMIF(Summary_Pre!E:E,"="&amp;F13,Summary_Pre!D:D)</f>
        <v>0</v>
      </c>
      <c r="J13" s="263">
        <f>SUMIF(Summary_Pre!E:E,"="&amp;F13,Summary_Pre!H:H)</f>
        <v>0</v>
      </c>
      <c r="K13" s="262">
        <f>SUMIF(Summary_Pre!E:E,"="&amp; F13,Summary_Pre!I:I)</f>
        <v>0</v>
      </c>
      <c r="L13" s="3">
        <f>SUMIF(Summary_Pre!E:E,"="&amp; F13,Summary_Pre!J:J)</f>
        <v>0</v>
      </c>
      <c r="M13" s="285">
        <f>SUMIF(Summary_Pre!E:E,"="&amp; F13,Summary_Pre!K:K)</f>
        <v>0</v>
      </c>
      <c r="N13" s="285">
        <f>SUMIF(Summary_Pre!E:E,"="&amp;F13,Summary_Pre!C:C)</f>
        <v>0</v>
      </c>
      <c r="O13" s="266">
        <f t="shared" si="4"/>
        <v>0</v>
      </c>
      <c r="P13" s="3"/>
      <c r="Q13" s="3"/>
      <c r="R13" s="3"/>
      <c r="S13" s="3"/>
      <c r="T13" s="3"/>
      <c r="U13" s="3"/>
      <c r="V13" s="3"/>
      <c r="W13" s="2"/>
      <c r="X13" s="281" t="e">
        <f t="shared" si="1"/>
        <v>#N/A</v>
      </c>
      <c r="Y13" s="279" t="e">
        <f t="shared" si="2"/>
        <v>#N/A</v>
      </c>
    </row>
    <row r="14" spans="1:43" s="300" customFormat="1">
      <c r="A14" s="289" t="e">
        <f>IF(D14='Tables &amp; Ranges'!$A$133, 'Tables &amp; Ranges'!$B$133, IF(D14='Tables &amp; Ranges'!$A$134, 'Tables &amp; Ranges'!$B$134, IF(D14='Tables &amp; Ranges'!$A$135, 'Tables &amp; Ranges'!$B$135, IF(D14='Tables &amp; Ranges'!$A$136, 'Tables &amp; Ranges'!$B$136, IF(D14='Tables &amp; Ranges'!$A$99, 'Tables &amp; Ranges'!$B$116, VLOOKUP(X14,'Fixture Table'!$C$3:$M$1785, 10, FALSE))))))</f>
        <v>#N/A</v>
      </c>
      <c r="B14" s="289"/>
      <c r="C14" s="289"/>
      <c r="D14" s="290">
        <f>IFERROR(_xlfn.IFNA(VLOOKUP(F14,Summary_Pre!E:F,2,FALSE),0),0)</f>
        <v>0</v>
      </c>
      <c r="E14" s="249" t="e">
        <f t="shared" si="3"/>
        <v>#N/A</v>
      </c>
      <c r="F14" s="290" t="e">
        <f t="array" ref="F14">INDEX(Summary_Pre!E$4:E$303, MATCH(0, COUNTIF($F$2:F13,Summary_Pre!E$4:E$303), 0))</f>
        <v>#N/A</v>
      </c>
      <c r="G14" s="291" t="e">
        <f>VLOOKUP(X14,Table7[[#All],[FIXTURE CODE]:[WATT/ FIXT]], 6, FALSE)</f>
        <v>#N/A</v>
      </c>
      <c r="H14" s="291" t="e">
        <f>VLOOKUP(Y14,Table7[[#All],[FIXTURE CODE]:[WATT/ FIXT]], 6, FALSE)</f>
        <v>#N/A</v>
      </c>
      <c r="I14" s="292">
        <f>SUMIF(Summary_Pre!E:E,"="&amp;F14,Summary_Pre!D:D)</f>
        <v>0</v>
      </c>
      <c r="J14" s="293">
        <f>SUMIF(Summary_Pre!E:E,"="&amp;F14,Summary_Pre!H:H)</f>
        <v>0</v>
      </c>
      <c r="K14" s="294">
        <f>SUMIF(Summary_Pre!E:E,"="&amp; F14,Summary_Pre!I:I)</f>
        <v>0</v>
      </c>
      <c r="L14" s="295">
        <f>SUMIF(Summary_Pre!E:E,"="&amp; F14,Summary_Pre!J:J)</f>
        <v>0</v>
      </c>
      <c r="M14" s="296">
        <f>SUMIF(Summary_Pre!E:E,"="&amp; F14,Summary_Pre!K:K)</f>
        <v>0</v>
      </c>
      <c r="N14" s="296">
        <f>SUMIF(Summary_Pre!E:E,"="&amp;F14,Summary_Pre!C:C)</f>
        <v>0</v>
      </c>
      <c r="O14" s="297">
        <f t="shared" si="4"/>
        <v>0</v>
      </c>
      <c r="P14" s="295"/>
      <c r="Q14" s="295"/>
      <c r="R14" s="295"/>
      <c r="S14" s="295"/>
      <c r="T14" s="295"/>
      <c r="U14" s="295"/>
      <c r="V14" s="295"/>
      <c r="W14" s="290"/>
      <c r="X14" s="298" t="e">
        <f t="shared" si="1"/>
        <v>#N/A</v>
      </c>
      <c r="Y14" s="298" t="e">
        <f t="shared" si="2"/>
        <v>#N/A</v>
      </c>
      <c r="Z14" s="299"/>
      <c r="AA14" s="299"/>
      <c r="AB14" s="299"/>
      <c r="AC14" s="299"/>
      <c r="AD14" s="299"/>
      <c r="AE14" s="299"/>
      <c r="AF14" s="299"/>
      <c r="AG14" s="299"/>
      <c r="AH14" s="299"/>
      <c r="AI14" s="299"/>
      <c r="AJ14" s="299"/>
      <c r="AK14" s="299"/>
      <c r="AL14" s="299"/>
      <c r="AM14" s="299"/>
      <c r="AN14" s="299"/>
      <c r="AO14" s="299"/>
      <c r="AP14" s="299"/>
      <c r="AQ14" s="299"/>
    </row>
    <row r="15" spans="1:43">
      <c r="A15" s="249" t="e">
        <f>IF(D15='Tables &amp; Ranges'!$A$133, 'Tables &amp; Ranges'!$B$133, IF(D15='Tables &amp; Ranges'!$A$134, 'Tables &amp; Ranges'!$B$134, IF(D15='Tables &amp; Ranges'!$A$135, 'Tables &amp; Ranges'!$B$135, IF(D15='Tables &amp; Ranges'!$A$136, 'Tables &amp; Ranges'!$B$136, IF(D15='Tables &amp; Ranges'!$A$99, 'Tables &amp; Ranges'!$B$116, VLOOKUP(X15,'Fixture Table'!$C$3:$M$1785, 10, FALSE))))))</f>
        <v>#N/A</v>
      </c>
      <c r="B15" s="249"/>
      <c r="C15" s="249"/>
      <c r="D15" s="2">
        <f>IFERROR(_xlfn.IFNA(VLOOKUP(F15,Summary_Pre!E:F,2,FALSE),0),0)</f>
        <v>0</v>
      </c>
      <c r="E15" s="249" t="e">
        <f t="shared" si="3"/>
        <v>#N/A</v>
      </c>
      <c r="F15" s="2" t="e">
        <f t="array" ref="F15">INDEX(Summary_Pre!E$4:E$303, MATCH(0, COUNTIF($F$2:F14,Summary_Pre!E$4:E$303), 0))</f>
        <v>#N/A</v>
      </c>
      <c r="G15" s="271" t="e">
        <f>VLOOKUP(X15,Table7[[#All],[FIXTURE CODE]:[WATT/ FIXT]], 6, FALSE)</f>
        <v>#N/A</v>
      </c>
      <c r="H15" s="271" t="e">
        <f>VLOOKUP(Y15,Table7[[#All],[FIXTURE CODE]:[WATT/ FIXT]], 6, FALSE)</f>
        <v>#N/A</v>
      </c>
      <c r="I15" s="272">
        <f>SUMIF(Summary_Pre!E:E,"="&amp;F15,Summary_Pre!D:D)</f>
        <v>0</v>
      </c>
      <c r="J15" s="263">
        <f>SUMIF(Summary_Pre!E:E,"="&amp;F15,Summary_Pre!H:H)</f>
        <v>0</v>
      </c>
      <c r="K15" s="262">
        <f>SUMIF(Summary_Pre!E:E,"="&amp; F15,Summary_Pre!I:I)</f>
        <v>0</v>
      </c>
      <c r="L15" s="3">
        <f>SUMIF(Summary_Pre!E:E,"="&amp; F15,Summary_Pre!J:J)</f>
        <v>0</v>
      </c>
      <c r="M15" s="285">
        <f>SUMIF(Summary_Pre!E:E,"="&amp; F15,Summary_Pre!K:K)</f>
        <v>0</v>
      </c>
      <c r="N15" s="285">
        <f>SUMIF(Summary_Pre!E:E,"="&amp;F15,Summary_Pre!C:C)</f>
        <v>0</v>
      </c>
      <c r="O15" s="266">
        <f t="shared" si="4"/>
        <v>0</v>
      </c>
      <c r="P15" s="3"/>
      <c r="Q15" s="3"/>
      <c r="R15" s="3"/>
      <c r="S15" s="3"/>
      <c r="T15" s="3"/>
      <c r="U15" s="3"/>
      <c r="V15" s="3"/>
      <c r="W15" s="2"/>
      <c r="X15" s="281" t="e">
        <f t="shared" si="1"/>
        <v>#N/A</v>
      </c>
      <c r="Y15" s="279" t="e">
        <f t="shared" si="2"/>
        <v>#N/A</v>
      </c>
    </row>
    <row r="16" spans="1:43" s="300" customFormat="1">
      <c r="A16" s="289" t="e">
        <f>IF(D16='Tables &amp; Ranges'!$A$133, 'Tables &amp; Ranges'!$B$133, IF(D16='Tables &amp; Ranges'!$A$134, 'Tables &amp; Ranges'!$B$134, IF(D16='Tables &amp; Ranges'!$A$135, 'Tables &amp; Ranges'!$B$135, IF(D16='Tables &amp; Ranges'!$A$136, 'Tables &amp; Ranges'!$B$136, IF(D16='Tables &amp; Ranges'!$A$99, 'Tables &amp; Ranges'!$B$116, VLOOKUP(X16,'Fixture Table'!$C$3:$M$1785, 10, FALSE))))))</f>
        <v>#N/A</v>
      </c>
      <c r="B16" s="289"/>
      <c r="C16" s="289"/>
      <c r="D16" s="290">
        <f>IFERROR(_xlfn.IFNA(VLOOKUP(F16,Summary_Pre!E:F,2,FALSE),0),0)</f>
        <v>0</v>
      </c>
      <c r="E16" s="249" t="e">
        <f t="shared" si="3"/>
        <v>#N/A</v>
      </c>
      <c r="F16" s="290" t="e">
        <f t="array" ref="F16">INDEX(Summary_Pre!E$4:E$303, MATCH(0, COUNTIF($F$2:F15,Summary_Pre!E$4:E$303), 0))</f>
        <v>#N/A</v>
      </c>
      <c r="G16" s="291" t="e">
        <f>VLOOKUP(X16,Table7[[#All],[FIXTURE CODE]:[WATT/ FIXT]], 6, FALSE)</f>
        <v>#N/A</v>
      </c>
      <c r="H16" s="291" t="e">
        <f>VLOOKUP(Y16,Table7[[#All],[FIXTURE CODE]:[WATT/ FIXT]], 6, FALSE)</f>
        <v>#N/A</v>
      </c>
      <c r="I16" s="292">
        <f>SUMIF(Summary_Pre!E:E,"="&amp;F16,Summary_Pre!D:D)</f>
        <v>0</v>
      </c>
      <c r="J16" s="293">
        <f>SUMIF(Summary_Pre!E:E,"="&amp;F16,Summary_Pre!H:H)</f>
        <v>0</v>
      </c>
      <c r="K16" s="294">
        <f>SUMIF(Summary_Pre!E:E,"="&amp; F16,Summary_Pre!I:I)</f>
        <v>0</v>
      </c>
      <c r="L16" s="295">
        <f>SUMIF(Summary_Pre!E:E,"="&amp; F16,Summary_Pre!J:J)</f>
        <v>0</v>
      </c>
      <c r="M16" s="296">
        <f>SUMIF(Summary_Pre!E:E,"="&amp; F16,Summary_Pre!K:K)</f>
        <v>0</v>
      </c>
      <c r="N16" s="296">
        <f>SUMIF(Summary_Pre!E:E,"="&amp;F16,Summary_Pre!C:C)</f>
        <v>0</v>
      </c>
      <c r="O16" s="297">
        <f t="shared" si="4"/>
        <v>0</v>
      </c>
      <c r="P16" s="295"/>
      <c r="Q16" s="295"/>
      <c r="R16" s="295"/>
      <c r="S16" s="295"/>
      <c r="T16" s="295"/>
      <c r="U16" s="295"/>
      <c r="V16" s="295"/>
      <c r="W16" s="290"/>
      <c r="X16" s="298" t="e">
        <f t="shared" si="1"/>
        <v>#N/A</v>
      </c>
      <c r="Y16" s="298" t="e">
        <f t="shared" si="2"/>
        <v>#N/A</v>
      </c>
      <c r="Z16" s="299"/>
      <c r="AA16" s="299"/>
      <c r="AB16" s="299"/>
      <c r="AC16" s="299"/>
      <c r="AD16" s="299"/>
      <c r="AE16" s="299"/>
      <c r="AF16" s="299"/>
      <c r="AG16" s="299"/>
      <c r="AH16" s="299"/>
      <c r="AI16" s="299"/>
      <c r="AJ16" s="299"/>
      <c r="AK16" s="299"/>
      <c r="AL16" s="299"/>
      <c r="AM16" s="299"/>
      <c r="AN16" s="299"/>
      <c r="AO16" s="299"/>
      <c r="AP16" s="299"/>
      <c r="AQ16" s="299"/>
    </row>
    <row r="17" spans="1:43">
      <c r="A17" s="249" t="e">
        <f>IF(D17='Tables &amp; Ranges'!$A$133, 'Tables &amp; Ranges'!$B$133, IF(D17='Tables &amp; Ranges'!$A$134, 'Tables &amp; Ranges'!$B$134, IF(D17='Tables &amp; Ranges'!$A$135, 'Tables &amp; Ranges'!$B$135, IF(D17='Tables &amp; Ranges'!$A$136, 'Tables &amp; Ranges'!$B$136, IF(D17='Tables &amp; Ranges'!$A$99, 'Tables &amp; Ranges'!$B$116, VLOOKUP(X17,'Fixture Table'!$C$3:$M$1785, 10, FALSE))))))</f>
        <v>#N/A</v>
      </c>
      <c r="B17" s="249"/>
      <c r="C17" s="249"/>
      <c r="D17" s="2">
        <f>IFERROR(_xlfn.IFNA(VLOOKUP(F17,Summary_Pre!E:F,2,FALSE),0),0)</f>
        <v>0</v>
      </c>
      <c r="E17" s="249" t="e">
        <f t="shared" si="3"/>
        <v>#N/A</v>
      </c>
      <c r="F17" s="2" t="e">
        <f t="array" ref="F17">INDEX(Summary_Pre!E$4:E$303, MATCH(0, COUNTIF($F$2:F16,Summary_Pre!E$4:E$303), 0))</f>
        <v>#N/A</v>
      </c>
      <c r="G17" s="271" t="e">
        <f>VLOOKUP(X17,Table7[[#All],[FIXTURE CODE]:[WATT/ FIXT]], 6, FALSE)</f>
        <v>#N/A</v>
      </c>
      <c r="H17" s="271" t="e">
        <f>VLOOKUP(Y17,Table7[[#All],[FIXTURE CODE]:[WATT/ FIXT]], 6, FALSE)</f>
        <v>#N/A</v>
      </c>
      <c r="I17" s="272">
        <f>SUMIF(Summary_Pre!E:E,"="&amp;F17,Summary_Pre!D:D)</f>
        <v>0</v>
      </c>
      <c r="J17" s="263">
        <f>SUMIF(Summary_Pre!E:E,"="&amp;F17,Summary_Pre!H:H)</f>
        <v>0</v>
      </c>
      <c r="K17" s="262">
        <f>SUMIF(Summary_Pre!E:E,"="&amp; F17,Summary_Pre!I:I)</f>
        <v>0</v>
      </c>
      <c r="L17" s="3">
        <f>SUMIF(Summary_Pre!E:E,"="&amp; F17,Summary_Pre!J:J)</f>
        <v>0</v>
      </c>
      <c r="M17" s="285">
        <f>SUMIF(Summary_Pre!E:E,"="&amp; F17,Summary_Pre!K:K)</f>
        <v>0</v>
      </c>
      <c r="N17" s="285">
        <f>SUMIF(Summary_Pre!E:E,"="&amp;F17,Summary_Pre!C:C)</f>
        <v>0</v>
      </c>
      <c r="O17" s="266">
        <f t="shared" si="4"/>
        <v>0</v>
      </c>
      <c r="P17" s="3"/>
      <c r="Q17" s="3"/>
      <c r="R17" s="3"/>
      <c r="S17" s="3"/>
      <c r="T17" s="3"/>
      <c r="U17" s="3"/>
      <c r="V17" s="3"/>
      <c r="W17" s="2"/>
      <c r="X17" s="281" t="e">
        <f t="shared" si="1"/>
        <v>#N/A</v>
      </c>
      <c r="Y17" s="279" t="e">
        <f t="shared" si="2"/>
        <v>#N/A</v>
      </c>
    </row>
    <row r="18" spans="1:43" s="300" customFormat="1">
      <c r="A18" s="289" t="e">
        <f>IF(D18='Tables &amp; Ranges'!$A$133, 'Tables &amp; Ranges'!$B$133, IF(D18='Tables &amp; Ranges'!$A$134, 'Tables &amp; Ranges'!$B$134, IF(D18='Tables &amp; Ranges'!$A$135, 'Tables &amp; Ranges'!$B$135, IF(D18='Tables &amp; Ranges'!$A$136, 'Tables &amp; Ranges'!$B$136, IF(D18='Tables &amp; Ranges'!$A$99, 'Tables &amp; Ranges'!$B$116, VLOOKUP(X18,'Fixture Table'!$C$3:$M$1785, 10, FALSE))))))</f>
        <v>#N/A</v>
      </c>
      <c r="B18" s="289"/>
      <c r="C18" s="289"/>
      <c r="D18" s="290">
        <f>IFERROR(_xlfn.IFNA(VLOOKUP(F18,Summary_Pre!E:F,2,FALSE),0),0)</f>
        <v>0</v>
      </c>
      <c r="E18" s="249" t="e">
        <f t="shared" si="3"/>
        <v>#N/A</v>
      </c>
      <c r="F18" s="290" t="e">
        <f t="array" ref="F18">INDEX(Summary_Pre!E$4:E$303, MATCH(0, COUNTIF($F$2:F17,Summary_Pre!E$4:E$303), 0))</f>
        <v>#N/A</v>
      </c>
      <c r="G18" s="291" t="e">
        <f>VLOOKUP(X18,Table7[[#All],[FIXTURE CODE]:[WATT/ FIXT]], 6, FALSE)</f>
        <v>#N/A</v>
      </c>
      <c r="H18" s="291" t="e">
        <f>VLOOKUP(Y18,Table7[[#All],[FIXTURE CODE]:[WATT/ FIXT]], 6, FALSE)</f>
        <v>#N/A</v>
      </c>
      <c r="I18" s="292">
        <f>SUMIF(Summary_Pre!E:E,"="&amp;F18,Summary_Pre!D:D)</f>
        <v>0</v>
      </c>
      <c r="J18" s="293">
        <f>SUMIF(Summary_Pre!E:E,"="&amp;F18,Summary_Pre!H:H)</f>
        <v>0</v>
      </c>
      <c r="K18" s="294">
        <f>SUMIF(Summary_Pre!E:E,"="&amp; F18,Summary_Pre!I:I)</f>
        <v>0</v>
      </c>
      <c r="L18" s="295">
        <f>SUMIF(Summary_Pre!E:E,"="&amp; F18,Summary_Pre!J:J)</f>
        <v>0</v>
      </c>
      <c r="M18" s="296">
        <f>SUMIF(Summary_Pre!E:E,"="&amp; F18,Summary_Pre!K:K)</f>
        <v>0</v>
      </c>
      <c r="N18" s="296">
        <f>SUMIF(Summary_Pre!E:E,"="&amp;F18,Summary_Pre!C:C)</f>
        <v>0</v>
      </c>
      <c r="O18" s="297">
        <f t="shared" si="4"/>
        <v>0</v>
      </c>
      <c r="P18" s="295"/>
      <c r="Q18" s="295"/>
      <c r="R18" s="295"/>
      <c r="S18" s="295"/>
      <c r="T18" s="295"/>
      <c r="U18" s="295"/>
      <c r="V18" s="295"/>
      <c r="W18" s="290"/>
      <c r="X18" s="298" t="e">
        <f t="shared" si="1"/>
        <v>#N/A</v>
      </c>
      <c r="Y18" s="298" t="e">
        <f t="shared" si="2"/>
        <v>#N/A</v>
      </c>
      <c r="Z18" s="299"/>
      <c r="AA18" s="299"/>
      <c r="AB18" s="299"/>
      <c r="AC18" s="299"/>
      <c r="AD18" s="299"/>
      <c r="AE18" s="299"/>
      <c r="AF18" s="299"/>
      <c r="AG18" s="299"/>
      <c r="AH18" s="299"/>
      <c r="AI18" s="299"/>
      <c r="AJ18" s="299"/>
      <c r="AK18" s="299"/>
      <c r="AL18" s="299"/>
      <c r="AM18" s="299"/>
      <c r="AN18" s="299"/>
      <c r="AO18" s="299"/>
      <c r="AP18" s="299"/>
      <c r="AQ18" s="299"/>
    </row>
    <row r="19" spans="1:43">
      <c r="A19" s="249" t="e">
        <f>IF(D19='Tables &amp; Ranges'!$A$133, 'Tables &amp; Ranges'!$B$133, IF(D19='Tables &amp; Ranges'!$A$134, 'Tables &amp; Ranges'!$B$134, IF(D19='Tables &amp; Ranges'!$A$135, 'Tables &amp; Ranges'!$B$135, IF(D19='Tables &amp; Ranges'!$A$136, 'Tables &amp; Ranges'!$B$136, IF(D19='Tables &amp; Ranges'!$A$99, 'Tables &amp; Ranges'!$B$116, VLOOKUP(X19,'Fixture Table'!$C$3:$M$1785, 10, FALSE))))))</f>
        <v>#N/A</v>
      </c>
      <c r="B19" s="249"/>
      <c r="C19" s="249"/>
      <c r="D19" s="2">
        <f>IFERROR(_xlfn.IFNA(VLOOKUP(F19,Summary_Pre!E:F,2,FALSE),0),0)</f>
        <v>0</v>
      </c>
      <c r="E19" s="249" t="e">
        <f t="shared" si="3"/>
        <v>#N/A</v>
      </c>
      <c r="F19" s="2" t="e">
        <f t="array" ref="F19">INDEX(Summary_Pre!E$4:E$303, MATCH(0, COUNTIF($F$2:F18,Summary_Pre!E$4:E$303), 0))</f>
        <v>#N/A</v>
      </c>
      <c r="G19" s="271" t="e">
        <f>VLOOKUP(X19,Table7[[#All],[FIXTURE CODE]:[WATT/ FIXT]], 6, FALSE)</f>
        <v>#N/A</v>
      </c>
      <c r="H19" s="271" t="e">
        <f>VLOOKUP(Y19,Table7[[#All],[FIXTURE CODE]:[WATT/ FIXT]], 6, FALSE)</f>
        <v>#N/A</v>
      </c>
      <c r="I19" s="272">
        <f>SUMIF(Summary_Pre!E:E,"="&amp;F19,Summary_Pre!D:D)</f>
        <v>0</v>
      </c>
      <c r="J19" s="263">
        <f>SUMIF(Summary_Pre!E:E,"="&amp;F19,Summary_Pre!H:H)</f>
        <v>0</v>
      </c>
      <c r="K19" s="262">
        <f>SUMIF(Summary_Pre!E:E,"="&amp; F19,Summary_Pre!I:I)</f>
        <v>0</v>
      </c>
      <c r="L19" s="3">
        <f>SUMIF(Summary_Pre!E:E,"="&amp; F19,Summary_Pre!J:J)</f>
        <v>0</v>
      </c>
      <c r="M19" s="285">
        <f>SUMIF(Summary_Pre!E:E,"="&amp; F19,Summary_Pre!K:K)</f>
        <v>0</v>
      </c>
      <c r="N19" s="285">
        <f>SUMIF(Summary_Pre!E:E,"="&amp;F19,Summary_Pre!C:C)</f>
        <v>0</v>
      </c>
      <c r="O19" s="266">
        <f t="shared" si="4"/>
        <v>0</v>
      </c>
      <c r="P19" s="3"/>
      <c r="Q19" s="3"/>
      <c r="R19" s="3"/>
      <c r="S19" s="3"/>
      <c r="T19" s="3"/>
      <c r="U19" s="3"/>
      <c r="V19" s="3"/>
      <c r="W19" s="2"/>
      <c r="X19" s="281" t="e">
        <f t="shared" si="1"/>
        <v>#N/A</v>
      </c>
      <c r="Y19" s="279" t="e">
        <f t="shared" si="2"/>
        <v>#N/A</v>
      </c>
    </row>
    <row r="20" spans="1:43" s="300" customFormat="1">
      <c r="A20" s="289" t="e">
        <f>IF(D20='Tables &amp; Ranges'!$A$133, 'Tables &amp; Ranges'!$B$133, IF(D20='Tables &amp; Ranges'!$A$134, 'Tables &amp; Ranges'!$B$134, IF(D20='Tables &amp; Ranges'!$A$135, 'Tables &amp; Ranges'!$B$135, IF(D20='Tables &amp; Ranges'!$A$136, 'Tables &amp; Ranges'!$B$136, IF(D20='Tables &amp; Ranges'!$A$99, 'Tables &amp; Ranges'!$B$116, VLOOKUP(X20,'Fixture Table'!$C$3:$M$1785, 10, FALSE))))))</f>
        <v>#N/A</v>
      </c>
      <c r="B20" s="289"/>
      <c r="C20" s="289"/>
      <c r="D20" s="290">
        <f>IFERROR(_xlfn.IFNA(VLOOKUP(F20,Summary_Pre!E:F,2,FALSE),0),0)</f>
        <v>0</v>
      </c>
      <c r="E20" s="249" t="e">
        <f t="shared" si="3"/>
        <v>#N/A</v>
      </c>
      <c r="F20" s="290" t="e">
        <f t="array" ref="F20">INDEX(Summary_Pre!E$4:E$303, MATCH(0, COUNTIF($F$2:F19,Summary_Pre!E$4:E$303), 0))</f>
        <v>#N/A</v>
      </c>
      <c r="G20" s="291" t="e">
        <f>VLOOKUP(X20,Table7[[#All],[FIXTURE CODE]:[WATT/ FIXT]], 6, FALSE)</f>
        <v>#N/A</v>
      </c>
      <c r="H20" s="291" t="e">
        <f>VLOOKUP(Y20,Table7[[#All],[FIXTURE CODE]:[WATT/ FIXT]], 6, FALSE)</f>
        <v>#N/A</v>
      </c>
      <c r="I20" s="292">
        <f>SUMIF(Summary_Pre!E:E,"="&amp;F20,Summary_Pre!D:D)</f>
        <v>0</v>
      </c>
      <c r="J20" s="293">
        <f>SUMIF(Summary_Pre!E:E,"="&amp;F20,Summary_Pre!H:H)</f>
        <v>0</v>
      </c>
      <c r="K20" s="294">
        <f>SUMIF(Summary_Pre!E:E,"="&amp; F20,Summary_Pre!I:I)</f>
        <v>0</v>
      </c>
      <c r="L20" s="295">
        <f>SUMIF(Summary_Pre!E:E,"="&amp; F20,Summary_Pre!J:J)</f>
        <v>0</v>
      </c>
      <c r="M20" s="296">
        <f>SUMIF(Summary_Pre!E:E,"="&amp; F20,Summary_Pre!K:K)</f>
        <v>0</v>
      </c>
      <c r="N20" s="296">
        <f>SUMIF(Summary_Pre!E:E,"="&amp;F20,Summary_Pre!C:C)</f>
        <v>0</v>
      </c>
      <c r="O20" s="297">
        <f t="shared" si="4"/>
        <v>0</v>
      </c>
      <c r="P20" s="295"/>
      <c r="Q20" s="295"/>
      <c r="R20" s="295"/>
      <c r="S20" s="295"/>
      <c r="T20" s="295"/>
      <c r="U20" s="295"/>
      <c r="V20" s="295"/>
      <c r="W20" s="290"/>
      <c r="X20" s="298" t="e">
        <f t="shared" si="1"/>
        <v>#N/A</v>
      </c>
      <c r="Y20" s="298" t="e">
        <f t="shared" si="2"/>
        <v>#N/A</v>
      </c>
      <c r="Z20" s="299"/>
      <c r="AA20" s="299"/>
      <c r="AB20" s="299"/>
      <c r="AC20" s="299"/>
      <c r="AD20" s="299"/>
      <c r="AE20" s="299"/>
      <c r="AF20" s="299"/>
      <c r="AG20" s="299"/>
      <c r="AH20" s="299"/>
      <c r="AI20" s="299"/>
      <c r="AJ20" s="299"/>
      <c r="AK20" s="299"/>
      <c r="AL20" s="299"/>
      <c r="AM20" s="299"/>
      <c r="AN20" s="299"/>
      <c r="AO20" s="299"/>
      <c r="AP20" s="299"/>
      <c r="AQ20" s="299"/>
    </row>
    <row r="21" spans="1:43">
      <c r="A21" s="249" t="e">
        <f>IF(D21='Tables &amp; Ranges'!$A$133, 'Tables &amp; Ranges'!$B$133, IF(D21='Tables &amp; Ranges'!$A$134, 'Tables &amp; Ranges'!$B$134, IF(D21='Tables &amp; Ranges'!$A$135, 'Tables &amp; Ranges'!$B$135, IF(D21='Tables &amp; Ranges'!$A$136, 'Tables &amp; Ranges'!$B$136, IF(D21='Tables &amp; Ranges'!$A$99, 'Tables &amp; Ranges'!$B$116, VLOOKUP(X21,'Fixture Table'!$C$3:$M$1785, 10, FALSE))))))</f>
        <v>#N/A</v>
      </c>
      <c r="B21" s="249"/>
      <c r="C21" s="249"/>
      <c r="D21" s="2">
        <f>IFERROR(_xlfn.IFNA(VLOOKUP(F21,Summary_Pre!E:F,2,FALSE),0),0)</f>
        <v>0</v>
      </c>
      <c r="E21" s="249" t="e">
        <f t="shared" si="3"/>
        <v>#N/A</v>
      </c>
      <c r="F21" s="2" t="e">
        <f t="array" ref="F21">INDEX(Summary_Pre!E$4:E$303, MATCH(0, COUNTIF($F$2:F20,Summary_Pre!E$4:E$303), 0))</f>
        <v>#N/A</v>
      </c>
      <c r="G21" s="271" t="e">
        <f>VLOOKUP(X21,Table7[[#All],[FIXTURE CODE]:[WATT/ FIXT]], 6, FALSE)</f>
        <v>#N/A</v>
      </c>
      <c r="H21" s="271" t="e">
        <f>VLOOKUP(Y21,Table7[[#All],[FIXTURE CODE]:[WATT/ FIXT]], 6, FALSE)</f>
        <v>#N/A</v>
      </c>
      <c r="I21" s="272">
        <f>SUMIF(Summary_Pre!E:E,"="&amp;F21,Summary_Pre!D:D)</f>
        <v>0</v>
      </c>
      <c r="J21" s="263">
        <f>SUMIF(Summary_Pre!E:E,"="&amp;F21,Summary_Pre!H:H)</f>
        <v>0</v>
      </c>
      <c r="K21" s="262">
        <f>SUMIF(Summary_Pre!E:E,"="&amp; F21,Summary_Pre!I:I)</f>
        <v>0</v>
      </c>
      <c r="L21" s="3">
        <f>SUMIF(Summary_Pre!E:E,"="&amp; F21,Summary_Pre!J:J)</f>
        <v>0</v>
      </c>
      <c r="M21" s="285">
        <f>SUMIF(Summary_Pre!E:E,"="&amp; F21,Summary_Pre!K:K)</f>
        <v>0</v>
      </c>
      <c r="N21" s="285">
        <f>SUMIF(Summary_Pre!E:E,"="&amp;F21,Summary_Pre!C:C)</f>
        <v>0</v>
      </c>
      <c r="O21" s="266">
        <f t="shared" si="4"/>
        <v>0</v>
      </c>
      <c r="P21" s="3"/>
      <c r="Q21" s="3"/>
      <c r="R21" s="3"/>
      <c r="S21" s="3"/>
      <c r="T21" s="3"/>
      <c r="U21" s="3"/>
      <c r="V21" s="3"/>
      <c r="W21" s="2"/>
      <c r="X21" s="281" t="e">
        <f t="shared" si="1"/>
        <v>#N/A</v>
      </c>
      <c r="Y21" s="279" t="e">
        <f t="shared" si="2"/>
        <v>#N/A</v>
      </c>
    </row>
    <row r="22" spans="1:43" s="300" customFormat="1">
      <c r="A22" s="289" t="e">
        <f>IF(D22='Tables &amp; Ranges'!$A$133, 'Tables &amp; Ranges'!$B$133, IF(D22='Tables &amp; Ranges'!$A$134, 'Tables &amp; Ranges'!$B$134, IF(D22='Tables &amp; Ranges'!$A$135, 'Tables &amp; Ranges'!$B$135, IF(D22='Tables &amp; Ranges'!$A$136, 'Tables &amp; Ranges'!$B$136, IF(D22='Tables &amp; Ranges'!$A$99, 'Tables &amp; Ranges'!$B$116, VLOOKUP(X22,'Fixture Table'!$C$3:$M$1785, 10, FALSE))))))</f>
        <v>#N/A</v>
      </c>
      <c r="B22" s="289"/>
      <c r="C22" s="289"/>
      <c r="D22" s="290">
        <f>IFERROR(_xlfn.IFNA(VLOOKUP(F22,Summary_Pre!E:F,2,FALSE),0),0)</f>
        <v>0</v>
      </c>
      <c r="E22" s="249" t="e">
        <f t="shared" si="3"/>
        <v>#N/A</v>
      </c>
      <c r="F22" s="290" t="e">
        <f t="array" ref="F22">INDEX(Summary_Pre!E$4:E$303, MATCH(0, COUNTIF($F$2:F21,Summary_Pre!E$4:E$303), 0))</f>
        <v>#N/A</v>
      </c>
      <c r="G22" s="291" t="e">
        <f>VLOOKUP(X22,Table7[[#All],[FIXTURE CODE]:[WATT/ FIXT]], 6, FALSE)</f>
        <v>#N/A</v>
      </c>
      <c r="H22" s="291" t="e">
        <f>VLOOKUP(Y22,Table7[[#All],[FIXTURE CODE]:[WATT/ FIXT]], 6, FALSE)</f>
        <v>#N/A</v>
      </c>
      <c r="I22" s="292">
        <f>SUMIF(Summary_Pre!E:E,"="&amp;F22,Summary_Pre!D:D)</f>
        <v>0</v>
      </c>
      <c r="J22" s="293">
        <f>SUMIF(Summary_Pre!E:E,"="&amp;F22,Summary_Pre!H:H)</f>
        <v>0</v>
      </c>
      <c r="K22" s="294">
        <f>SUMIF(Summary_Pre!E:E,"="&amp; F22,Summary_Pre!I:I)</f>
        <v>0</v>
      </c>
      <c r="L22" s="295">
        <f>SUMIF(Summary_Pre!E:E,"="&amp; F22,Summary_Pre!J:J)</f>
        <v>0</v>
      </c>
      <c r="M22" s="296">
        <f>SUMIF(Summary_Pre!E:E,"="&amp; F22,Summary_Pre!K:K)</f>
        <v>0</v>
      </c>
      <c r="N22" s="296">
        <f>SUMIF(Summary_Pre!E:E,"="&amp;F22,Summary_Pre!C:C)</f>
        <v>0</v>
      </c>
      <c r="O22" s="297">
        <f t="shared" si="4"/>
        <v>0</v>
      </c>
      <c r="P22" s="295"/>
      <c r="Q22" s="295"/>
      <c r="R22" s="295"/>
      <c r="S22" s="295"/>
      <c r="T22" s="295"/>
      <c r="U22" s="295"/>
      <c r="V22" s="295"/>
      <c r="W22" s="290"/>
      <c r="X22" s="298" t="e">
        <f t="shared" si="1"/>
        <v>#N/A</v>
      </c>
      <c r="Y22" s="298" t="e">
        <f t="shared" si="2"/>
        <v>#N/A</v>
      </c>
      <c r="Z22" s="299"/>
      <c r="AA22" s="299"/>
      <c r="AB22" s="299"/>
      <c r="AC22" s="299"/>
      <c r="AD22" s="299"/>
      <c r="AE22" s="299"/>
      <c r="AF22" s="299"/>
      <c r="AG22" s="299"/>
      <c r="AH22" s="299"/>
      <c r="AI22" s="299"/>
      <c r="AJ22" s="299"/>
      <c r="AK22" s="299"/>
      <c r="AL22" s="299"/>
      <c r="AM22" s="299"/>
      <c r="AN22" s="299"/>
      <c r="AO22" s="299"/>
      <c r="AP22" s="299"/>
      <c r="AQ22" s="299"/>
    </row>
    <row r="23" spans="1:43">
      <c r="A23" s="249" t="e">
        <f>IF(D23='Tables &amp; Ranges'!$A$133, 'Tables &amp; Ranges'!$B$133, IF(D23='Tables &amp; Ranges'!$A$134, 'Tables &amp; Ranges'!$B$134, IF(D23='Tables &amp; Ranges'!$A$135, 'Tables &amp; Ranges'!$B$135, IF(D23='Tables &amp; Ranges'!$A$136, 'Tables &amp; Ranges'!$B$136, IF(D23='Tables &amp; Ranges'!$A$99, 'Tables &amp; Ranges'!$B$116, VLOOKUP(X23,'Fixture Table'!$C$3:$M$1785, 10, FALSE))))))</f>
        <v>#N/A</v>
      </c>
      <c r="B23" s="249"/>
      <c r="C23" s="249"/>
      <c r="D23" s="2">
        <f>IFERROR(_xlfn.IFNA(VLOOKUP(F23,Summary_Pre!E:F,2,FALSE),0),0)</f>
        <v>0</v>
      </c>
      <c r="E23" s="249" t="e">
        <f t="shared" si="3"/>
        <v>#N/A</v>
      </c>
      <c r="F23" s="2" t="e">
        <f t="array" ref="F23">INDEX(Summary_Pre!E$4:E$303, MATCH(0, COUNTIF($F$2:F22,Summary_Pre!E$4:E$303), 0))</f>
        <v>#N/A</v>
      </c>
      <c r="G23" s="271" t="e">
        <f>VLOOKUP(X23,Table7[[#All],[FIXTURE CODE]:[WATT/ FIXT]], 6, FALSE)</f>
        <v>#N/A</v>
      </c>
      <c r="H23" s="271" t="e">
        <f>VLOOKUP(Y23,Table7[[#All],[FIXTURE CODE]:[WATT/ FIXT]], 6, FALSE)</f>
        <v>#N/A</v>
      </c>
      <c r="I23" s="272">
        <f>SUMIF(Summary_Pre!E:E,"="&amp;F23,Summary_Pre!D:D)</f>
        <v>0</v>
      </c>
      <c r="J23" s="263">
        <f>SUMIF(Summary_Pre!E:E,"="&amp;F23,Summary_Pre!H:H)</f>
        <v>0</v>
      </c>
      <c r="K23" s="262">
        <f>SUMIF(Summary_Pre!E:E,"="&amp; F23,Summary_Pre!I:I)</f>
        <v>0</v>
      </c>
      <c r="L23" s="3">
        <f>SUMIF(Summary_Pre!E:E,"="&amp; F23,Summary_Pre!J:J)</f>
        <v>0</v>
      </c>
      <c r="M23" s="285">
        <f>SUMIF(Summary_Pre!E:E,"="&amp; F23,Summary_Pre!K:K)</f>
        <v>0</v>
      </c>
      <c r="N23" s="285">
        <f>SUMIF(Summary_Pre!E:E,"="&amp;F23,Summary_Pre!C:C)</f>
        <v>0</v>
      </c>
      <c r="O23" s="266">
        <f t="shared" si="4"/>
        <v>0</v>
      </c>
      <c r="P23" s="3"/>
      <c r="Q23" s="3"/>
      <c r="R23" s="3"/>
      <c r="S23" s="3"/>
      <c r="T23" s="3"/>
      <c r="U23" s="3"/>
      <c r="V23" s="3"/>
      <c r="W23" s="2"/>
      <c r="X23" s="281" t="e">
        <f t="shared" si="1"/>
        <v>#N/A</v>
      </c>
      <c r="Y23" s="279" t="e">
        <f t="shared" si="2"/>
        <v>#N/A</v>
      </c>
    </row>
    <row r="24" spans="1:43" s="300" customFormat="1">
      <c r="A24" s="289" t="e">
        <f>IF(D24='Tables &amp; Ranges'!$A$133, 'Tables &amp; Ranges'!$B$133, IF(D24='Tables &amp; Ranges'!$A$134, 'Tables &amp; Ranges'!$B$134, IF(D24='Tables &amp; Ranges'!$A$135, 'Tables &amp; Ranges'!$B$135, IF(D24='Tables &amp; Ranges'!$A$136, 'Tables &amp; Ranges'!$B$136, IF(D24='Tables &amp; Ranges'!$A$99, 'Tables &amp; Ranges'!$B$116, VLOOKUP(X24,'Fixture Table'!$C$3:$M$1785, 10, FALSE))))))</f>
        <v>#N/A</v>
      </c>
      <c r="B24" s="289"/>
      <c r="C24" s="289"/>
      <c r="D24" s="290">
        <f>IFERROR(_xlfn.IFNA(VLOOKUP(F24,Summary_Pre!E:F,2,FALSE),0),0)</f>
        <v>0</v>
      </c>
      <c r="E24" s="249" t="e">
        <f t="shared" si="3"/>
        <v>#N/A</v>
      </c>
      <c r="F24" s="290" t="e">
        <f t="array" ref="F24">INDEX(Summary_Pre!E$4:E$303, MATCH(0, COUNTIF($F$2:F23,Summary_Pre!E$4:E$303), 0))</f>
        <v>#N/A</v>
      </c>
      <c r="G24" s="291" t="e">
        <f>VLOOKUP(X24,Table7[[#All],[FIXTURE CODE]:[WATT/ FIXT]], 6, FALSE)</f>
        <v>#N/A</v>
      </c>
      <c r="H24" s="291" t="e">
        <f>VLOOKUP(Y24,Table7[[#All],[FIXTURE CODE]:[WATT/ FIXT]], 6, FALSE)</f>
        <v>#N/A</v>
      </c>
      <c r="I24" s="292">
        <f>SUMIF(Summary_Pre!E:E,"="&amp;F24,Summary_Pre!D:D)</f>
        <v>0</v>
      </c>
      <c r="J24" s="293">
        <f>SUMIF(Summary_Pre!E:E,"="&amp;F24,Summary_Pre!H:H)</f>
        <v>0</v>
      </c>
      <c r="K24" s="294">
        <f>SUMIF(Summary_Pre!E:E,"="&amp; F24,Summary_Pre!I:I)</f>
        <v>0</v>
      </c>
      <c r="L24" s="295">
        <f>SUMIF(Summary_Pre!E:E,"="&amp; F24,Summary_Pre!J:J)</f>
        <v>0</v>
      </c>
      <c r="M24" s="296">
        <f>SUMIF(Summary_Pre!E:E,"="&amp; F24,Summary_Pre!K:K)</f>
        <v>0</v>
      </c>
      <c r="N24" s="296">
        <f>SUMIF(Summary_Pre!E:E,"="&amp;F24,Summary_Pre!C:C)</f>
        <v>0</v>
      </c>
      <c r="O24" s="297">
        <f t="shared" si="4"/>
        <v>0</v>
      </c>
      <c r="P24" s="295"/>
      <c r="Q24" s="295"/>
      <c r="R24" s="295"/>
      <c r="S24" s="295"/>
      <c r="T24" s="295"/>
      <c r="U24" s="295"/>
      <c r="V24" s="295"/>
      <c r="W24" s="290"/>
      <c r="X24" s="298" t="e">
        <f t="shared" si="1"/>
        <v>#N/A</v>
      </c>
      <c r="Y24" s="298" t="e">
        <f t="shared" si="2"/>
        <v>#N/A</v>
      </c>
      <c r="Z24" s="299"/>
      <c r="AA24" s="299"/>
      <c r="AB24" s="299"/>
      <c r="AC24" s="299"/>
      <c r="AD24" s="299"/>
      <c r="AE24" s="299"/>
      <c r="AF24" s="299"/>
      <c r="AG24" s="299"/>
      <c r="AH24" s="299"/>
      <c r="AI24" s="299"/>
      <c r="AJ24" s="299"/>
      <c r="AK24" s="299"/>
      <c r="AL24" s="299"/>
      <c r="AM24" s="299"/>
      <c r="AN24" s="299"/>
      <c r="AO24" s="299"/>
      <c r="AP24" s="299"/>
      <c r="AQ24" s="299"/>
    </row>
    <row r="25" spans="1:43">
      <c r="A25" s="249" t="e">
        <f>IF(D25='Tables &amp; Ranges'!$A$133, 'Tables &amp; Ranges'!$B$133, IF(D25='Tables &amp; Ranges'!$A$134, 'Tables &amp; Ranges'!$B$134, IF(D25='Tables &amp; Ranges'!$A$135, 'Tables &amp; Ranges'!$B$135, IF(D25='Tables &amp; Ranges'!$A$136, 'Tables &amp; Ranges'!$B$136, IF(D25='Tables &amp; Ranges'!$A$99, 'Tables &amp; Ranges'!$B$116, VLOOKUP(X25,'Fixture Table'!$C$3:$M$1785, 10, FALSE))))))</f>
        <v>#N/A</v>
      </c>
      <c r="B25" s="249"/>
      <c r="C25" s="249"/>
      <c r="D25" s="2">
        <f>IFERROR(_xlfn.IFNA(VLOOKUP(F25,Summary_Pre!E:F,2,FALSE),0),0)</f>
        <v>0</v>
      </c>
      <c r="E25" s="249" t="e">
        <f t="shared" si="3"/>
        <v>#N/A</v>
      </c>
      <c r="F25" s="2" t="e">
        <f t="array" ref="F25">INDEX(Summary_Pre!E$4:E$303, MATCH(0, COUNTIF($F$2:F24,Summary_Pre!E$4:E$303), 0))</f>
        <v>#N/A</v>
      </c>
      <c r="G25" s="271" t="e">
        <f>VLOOKUP(X25,Table7[[#All],[FIXTURE CODE]:[WATT/ FIXT]], 6, FALSE)</f>
        <v>#N/A</v>
      </c>
      <c r="H25" s="271" t="e">
        <f>VLOOKUP(Y25,Table7[[#All],[FIXTURE CODE]:[WATT/ FIXT]], 6, FALSE)</f>
        <v>#N/A</v>
      </c>
      <c r="I25" s="272">
        <f>SUMIF(Summary_Pre!E:E,"="&amp;F25,Summary_Pre!D:D)</f>
        <v>0</v>
      </c>
      <c r="J25" s="263">
        <f>SUMIF(Summary_Pre!E:E,"="&amp;F25,Summary_Pre!H:H)</f>
        <v>0</v>
      </c>
      <c r="K25" s="262">
        <f>SUMIF(Summary_Pre!E:E,"="&amp; F25,Summary_Pre!I:I)</f>
        <v>0</v>
      </c>
      <c r="L25" s="3">
        <f>SUMIF(Summary_Pre!E:E,"="&amp; F25,Summary_Pre!J:J)</f>
        <v>0</v>
      </c>
      <c r="M25" s="285">
        <f>SUMIF(Summary_Pre!E:E,"="&amp; F25,Summary_Pre!K:K)</f>
        <v>0</v>
      </c>
      <c r="N25" s="285">
        <f>SUMIF(Summary_Pre!E:E,"="&amp;F25,Summary_Pre!C:C)</f>
        <v>0</v>
      </c>
      <c r="O25" s="266">
        <f t="shared" si="4"/>
        <v>0</v>
      </c>
      <c r="P25" s="3"/>
      <c r="Q25" s="3"/>
      <c r="R25" s="3"/>
      <c r="S25" s="3"/>
      <c r="T25" s="3"/>
      <c r="U25" s="3"/>
      <c r="V25" s="3"/>
      <c r="W25" s="2"/>
      <c r="X25" s="281" t="e">
        <f t="shared" si="1"/>
        <v>#N/A</v>
      </c>
      <c r="Y25" s="279" t="e">
        <f t="shared" si="2"/>
        <v>#N/A</v>
      </c>
    </row>
    <row r="26" spans="1:43" s="300" customFormat="1">
      <c r="A26" s="289" t="e">
        <f>IF(D26='Tables &amp; Ranges'!$A$133, 'Tables &amp; Ranges'!$B$133, IF(D26='Tables &amp; Ranges'!$A$134, 'Tables &amp; Ranges'!$B$134, IF(D26='Tables &amp; Ranges'!$A$135, 'Tables &amp; Ranges'!$B$135, IF(D26='Tables &amp; Ranges'!$A$136, 'Tables &amp; Ranges'!$B$136, IF(D26='Tables &amp; Ranges'!$A$99, 'Tables &amp; Ranges'!$B$116, VLOOKUP(X26,'Fixture Table'!$C$3:$M$1785, 10, FALSE))))))</f>
        <v>#N/A</v>
      </c>
      <c r="B26" s="289"/>
      <c r="C26" s="289"/>
      <c r="D26" s="290">
        <f>IFERROR(_xlfn.IFNA(VLOOKUP(F26,Summary_Pre!E:F,2,FALSE),0),0)</f>
        <v>0</v>
      </c>
      <c r="E26" s="249" t="e">
        <f t="shared" si="3"/>
        <v>#N/A</v>
      </c>
      <c r="F26" s="290" t="e">
        <f t="array" ref="F26">INDEX(Summary_Pre!E$4:E$303, MATCH(0, COUNTIF($F$2:F25,Summary_Pre!E$4:E$303), 0))</f>
        <v>#N/A</v>
      </c>
      <c r="G26" s="291" t="e">
        <f>VLOOKUP(X26,Table7[[#All],[FIXTURE CODE]:[WATT/ FIXT]], 6, FALSE)</f>
        <v>#N/A</v>
      </c>
      <c r="H26" s="291" t="e">
        <f>VLOOKUP(Y26,Table7[[#All],[FIXTURE CODE]:[WATT/ FIXT]], 6, FALSE)</f>
        <v>#N/A</v>
      </c>
      <c r="I26" s="292">
        <f>SUMIF(Summary_Pre!E:E,"="&amp;F26,Summary_Pre!D:D)</f>
        <v>0</v>
      </c>
      <c r="J26" s="293">
        <f>SUMIF(Summary_Pre!E:E,"="&amp;F26,Summary_Pre!H:H)</f>
        <v>0</v>
      </c>
      <c r="K26" s="294">
        <f>SUMIF(Summary_Pre!E:E,"="&amp; F26,Summary_Pre!I:I)</f>
        <v>0</v>
      </c>
      <c r="L26" s="295">
        <f>SUMIF(Summary_Pre!E:E,"="&amp; F26,Summary_Pre!J:J)</f>
        <v>0</v>
      </c>
      <c r="M26" s="296">
        <f>SUMIF(Summary_Pre!E:E,"="&amp; F26,Summary_Pre!K:K)</f>
        <v>0</v>
      </c>
      <c r="N26" s="296">
        <f>SUMIF(Summary_Pre!E:E,"="&amp;F26,Summary_Pre!C:C)</f>
        <v>0</v>
      </c>
      <c r="O26" s="297">
        <f t="shared" si="4"/>
        <v>0</v>
      </c>
      <c r="P26" s="295"/>
      <c r="Q26" s="295"/>
      <c r="R26" s="295"/>
      <c r="S26" s="295"/>
      <c r="T26" s="295"/>
      <c r="U26" s="295"/>
      <c r="V26" s="295"/>
      <c r="W26" s="290"/>
      <c r="X26" s="298" t="e">
        <f t="shared" si="1"/>
        <v>#N/A</v>
      </c>
      <c r="Y26" s="298" t="e">
        <f t="shared" si="2"/>
        <v>#N/A</v>
      </c>
      <c r="Z26" s="299"/>
      <c r="AA26" s="299"/>
      <c r="AB26" s="299"/>
      <c r="AC26" s="299"/>
      <c r="AD26" s="299"/>
      <c r="AE26" s="299"/>
      <c r="AF26" s="299"/>
      <c r="AG26" s="299"/>
      <c r="AH26" s="299"/>
      <c r="AI26" s="299"/>
      <c r="AJ26" s="299"/>
      <c r="AK26" s="299"/>
      <c r="AL26" s="299"/>
      <c r="AM26" s="299"/>
      <c r="AN26" s="299"/>
      <c r="AO26" s="299"/>
      <c r="AP26" s="299"/>
      <c r="AQ26" s="299"/>
    </row>
    <row r="27" spans="1:43">
      <c r="A27" s="249" t="e">
        <f>IF(D27='Tables &amp; Ranges'!$A$133, 'Tables &amp; Ranges'!$B$133, IF(D27='Tables &amp; Ranges'!$A$134, 'Tables &amp; Ranges'!$B$134, IF(D27='Tables &amp; Ranges'!$A$135, 'Tables &amp; Ranges'!$B$135, IF(D27='Tables &amp; Ranges'!$A$136, 'Tables &amp; Ranges'!$B$136, IF(D27='Tables &amp; Ranges'!$A$99, 'Tables &amp; Ranges'!$B$116, VLOOKUP(X27,'Fixture Table'!$C$3:$M$1785, 10, FALSE))))))</f>
        <v>#N/A</v>
      </c>
      <c r="B27" s="249"/>
      <c r="C27" s="249"/>
      <c r="D27" s="2">
        <f>IFERROR(_xlfn.IFNA(VLOOKUP(F27,Summary_Pre!E:F,2,FALSE),0),0)</f>
        <v>0</v>
      </c>
      <c r="E27" s="249" t="e">
        <f t="shared" si="3"/>
        <v>#N/A</v>
      </c>
      <c r="F27" s="2" t="e">
        <f t="array" ref="F27">INDEX(Summary_Pre!E$4:E$303, MATCH(0, COUNTIF($F$2:F26,Summary_Pre!E$4:E$303), 0))</f>
        <v>#N/A</v>
      </c>
      <c r="G27" s="271" t="e">
        <f>VLOOKUP(X27,Table7[[#All],[FIXTURE CODE]:[WATT/ FIXT]], 6, FALSE)</f>
        <v>#N/A</v>
      </c>
      <c r="H27" s="271" t="e">
        <f>VLOOKUP(Y27,Table7[[#All],[FIXTURE CODE]:[WATT/ FIXT]], 6, FALSE)</f>
        <v>#N/A</v>
      </c>
      <c r="I27" s="272">
        <f>SUMIF(Summary_Pre!E:E,"="&amp;F27,Summary_Pre!D:D)</f>
        <v>0</v>
      </c>
      <c r="J27" s="263">
        <f>SUMIF(Summary_Pre!E:E,"="&amp;F27,Summary_Pre!H:H)</f>
        <v>0</v>
      </c>
      <c r="K27" s="262">
        <f>SUMIF(Summary_Pre!E:E,"="&amp; F27,Summary_Pre!I:I)</f>
        <v>0</v>
      </c>
      <c r="L27" s="3">
        <f>SUMIF(Summary_Pre!E:E,"="&amp; F27,Summary_Pre!J:J)</f>
        <v>0</v>
      </c>
      <c r="M27" s="285">
        <f>SUMIF(Summary_Pre!E:E,"="&amp; F27,Summary_Pre!K:K)</f>
        <v>0</v>
      </c>
      <c r="N27" s="285">
        <f>SUMIF(Summary_Pre!E:E,"="&amp;F27,Summary_Pre!C:C)</f>
        <v>0</v>
      </c>
      <c r="O27" s="266">
        <f t="shared" si="4"/>
        <v>0</v>
      </c>
      <c r="P27" s="3"/>
      <c r="Q27" s="3"/>
      <c r="R27" s="3"/>
      <c r="S27" s="3"/>
      <c r="T27" s="3"/>
      <c r="U27" s="3"/>
      <c r="V27" s="3"/>
      <c r="W27" s="2"/>
      <c r="X27" s="281" t="e">
        <f t="shared" si="1"/>
        <v>#N/A</v>
      </c>
      <c r="Y27" s="279" t="e">
        <f t="shared" si="2"/>
        <v>#N/A</v>
      </c>
    </row>
    <row r="28" spans="1:43" s="300" customFormat="1">
      <c r="A28" s="289" t="e">
        <f>IF(D28='Tables &amp; Ranges'!$A$133, 'Tables &amp; Ranges'!$B$133, IF(D28='Tables &amp; Ranges'!$A$134, 'Tables &amp; Ranges'!$B$134, IF(D28='Tables &amp; Ranges'!$A$135, 'Tables &amp; Ranges'!$B$135, IF(D28='Tables &amp; Ranges'!$A$136, 'Tables &amp; Ranges'!$B$136, IF(D28='Tables &amp; Ranges'!$A$99, 'Tables &amp; Ranges'!$B$116, VLOOKUP(X28,'Fixture Table'!$C$3:$M$1785, 10, FALSE))))))</f>
        <v>#N/A</v>
      </c>
      <c r="B28" s="289"/>
      <c r="C28" s="289"/>
      <c r="D28" s="290">
        <f>IFERROR(_xlfn.IFNA(VLOOKUP(F28,Summary_Pre!E:F,2,FALSE),0),0)</f>
        <v>0</v>
      </c>
      <c r="E28" s="249" t="e">
        <f t="shared" si="3"/>
        <v>#N/A</v>
      </c>
      <c r="F28" s="290" t="e">
        <f t="array" ref="F28">INDEX(Summary_Pre!E$4:E$303, MATCH(0, COUNTIF($F$2:F27,Summary_Pre!E$4:E$303), 0))</f>
        <v>#N/A</v>
      </c>
      <c r="G28" s="291" t="e">
        <f>VLOOKUP(X28,Table7[[#All],[FIXTURE CODE]:[WATT/ FIXT]], 6, FALSE)</f>
        <v>#N/A</v>
      </c>
      <c r="H28" s="291" t="e">
        <f>VLOOKUP(Y28,Table7[[#All],[FIXTURE CODE]:[WATT/ FIXT]], 6, FALSE)</f>
        <v>#N/A</v>
      </c>
      <c r="I28" s="292">
        <f>SUMIF(Summary_Pre!E:E,"="&amp;F28,Summary_Pre!D:D)</f>
        <v>0</v>
      </c>
      <c r="J28" s="293">
        <f>SUMIF(Summary_Pre!E:E,"="&amp;F28,Summary_Pre!H:H)</f>
        <v>0</v>
      </c>
      <c r="K28" s="294">
        <f>SUMIF(Summary_Pre!E:E,"="&amp; F28,Summary_Pre!I:I)</f>
        <v>0</v>
      </c>
      <c r="L28" s="295">
        <f>SUMIF(Summary_Pre!E:E,"="&amp; F28,Summary_Pre!J:J)</f>
        <v>0</v>
      </c>
      <c r="M28" s="296">
        <f>SUMIF(Summary_Pre!E:E,"="&amp; F28,Summary_Pre!K:K)</f>
        <v>0</v>
      </c>
      <c r="N28" s="296">
        <f>SUMIF(Summary_Pre!E:E,"="&amp;F28,Summary_Pre!C:C)</f>
        <v>0</v>
      </c>
      <c r="O28" s="297">
        <f t="shared" si="4"/>
        <v>0</v>
      </c>
      <c r="P28" s="295"/>
      <c r="Q28" s="295"/>
      <c r="R28" s="295"/>
      <c r="S28" s="295"/>
      <c r="T28" s="295"/>
      <c r="U28" s="295"/>
      <c r="V28" s="295"/>
      <c r="W28" s="290"/>
      <c r="X28" s="298" t="e">
        <f t="shared" si="1"/>
        <v>#N/A</v>
      </c>
      <c r="Y28" s="298" t="e">
        <f t="shared" si="2"/>
        <v>#N/A</v>
      </c>
      <c r="Z28" s="299"/>
      <c r="AA28" s="299"/>
      <c r="AB28" s="299"/>
      <c r="AC28" s="299"/>
      <c r="AD28" s="299"/>
      <c r="AE28" s="299"/>
      <c r="AF28" s="299"/>
      <c r="AG28" s="299"/>
      <c r="AH28" s="299"/>
      <c r="AI28" s="299"/>
      <c r="AJ28" s="299"/>
      <c r="AK28" s="299"/>
      <c r="AL28" s="299"/>
      <c r="AM28" s="299"/>
      <c r="AN28" s="299"/>
      <c r="AO28" s="299"/>
      <c r="AP28" s="299"/>
      <c r="AQ28" s="299"/>
    </row>
    <row r="29" spans="1:43">
      <c r="A29" s="249" t="e">
        <f>IF(D29='Tables &amp; Ranges'!$A$133, 'Tables &amp; Ranges'!$B$133, IF(D29='Tables &amp; Ranges'!$A$134, 'Tables &amp; Ranges'!$B$134, IF(D29='Tables &amp; Ranges'!$A$135, 'Tables &amp; Ranges'!$B$135, IF(D29='Tables &amp; Ranges'!$A$136, 'Tables &amp; Ranges'!$B$136, IF(D29='Tables &amp; Ranges'!$A$99, 'Tables &amp; Ranges'!$B$116, VLOOKUP(X29,'Fixture Table'!$C$3:$M$1785, 10, FALSE))))))</f>
        <v>#N/A</v>
      </c>
      <c r="B29" s="249"/>
      <c r="C29" s="249"/>
      <c r="D29" s="2">
        <f>IFERROR(_xlfn.IFNA(VLOOKUP(F29,Summary_Pre!E:F,2,FALSE),0),0)</f>
        <v>0</v>
      </c>
      <c r="E29" s="249" t="e">
        <f t="shared" si="3"/>
        <v>#N/A</v>
      </c>
      <c r="F29" s="2" t="e">
        <f t="array" ref="F29">INDEX(Summary_Pre!E$4:E$303, MATCH(0, COUNTIF($F$2:F28,Summary_Pre!E$4:E$303), 0))</f>
        <v>#N/A</v>
      </c>
      <c r="G29" s="271" t="e">
        <f>VLOOKUP(X29,Table7[[#All],[FIXTURE CODE]:[WATT/ FIXT]], 6, FALSE)</f>
        <v>#N/A</v>
      </c>
      <c r="H29" s="271" t="e">
        <f>VLOOKUP(Y29,Table7[[#All],[FIXTURE CODE]:[WATT/ FIXT]], 6, FALSE)</f>
        <v>#N/A</v>
      </c>
      <c r="I29" s="272">
        <f>SUMIF(Summary_Pre!E:E,"="&amp;F29,Summary_Pre!D:D)</f>
        <v>0</v>
      </c>
      <c r="J29" s="263">
        <f>SUMIF(Summary_Pre!E:E,"="&amp;F29,Summary_Pre!H:H)</f>
        <v>0</v>
      </c>
      <c r="K29" s="262">
        <f>SUMIF(Summary_Pre!E:E,"="&amp; F29,Summary_Pre!I:I)</f>
        <v>0</v>
      </c>
      <c r="L29" s="3">
        <f>SUMIF(Summary_Pre!E:E,"="&amp; F29,Summary_Pre!J:J)</f>
        <v>0</v>
      </c>
      <c r="M29" s="285">
        <f>SUMIF(Summary_Pre!E:E,"="&amp; F29,Summary_Pre!K:K)</f>
        <v>0</v>
      </c>
      <c r="N29" s="285">
        <f>SUMIF(Summary_Pre!E:E,"="&amp;F29,Summary_Pre!C:C)</f>
        <v>0</v>
      </c>
      <c r="O29" s="266">
        <f t="shared" si="4"/>
        <v>0</v>
      </c>
      <c r="P29" s="3"/>
      <c r="Q29" s="3"/>
      <c r="R29" s="3"/>
      <c r="S29" s="3"/>
      <c r="T29" s="3"/>
      <c r="U29" s="3"/>
      <c r="V29" s="3"/>
      <c r="W29" s="2"/>
      <c r="X29" s="281" t="e">
        <f t="shared" si="1"/>
        <v>#N/A</v>
      </c>
      <c r="Y29" s="279" t="e">
        <f t="shared" si="2"/>
        <v>#N/A</v>
      </c>
    </row>
    <row r="30" spans="1:43" s="300" customFormat="1">
      <c r="A30" s="289" t="e">
        <f>IF(D30='Tables &amp; Ranges'!$A$133, 'Tables &amp; Ranges'!$B$133, IF(D30='Tables &amp; Ranges'!$A$134, 'Tables &amp; Ranges'!$B$134, IF(D30='Tables &amp; Ranges'!$A$135, 'Tables &amp; Ranges'!$B$135, IF(D30='Tables &amp; Ranges'!$A$136, 'Tables &amp; Ranges'!$B$136, IF(D30='Tables &amp; Ranges'!$A$99, 'Tables &amp; Ranges'!$B$116, VLOOKUP(X30,'Fixture Table'!$C$3:$M$1785, 10, FALSE))))))</f>
        <v>#N/A</v>
      </c>
      <c r="B30" s="289"/>
      <c r="C30" s="289"/>
      <c r="D30" s="290">
        <f>IFERROR(_xlfn.IFNA(VLOOKUP(F30,Summary_Pre!E:F,2,FALSE),0),0)</f>
        <v>0</v>
      </c>
      <c r="E30" s="249" t="e">
        <f t="shared" si="3"/>
        <v>#N/A</v>
      </c>
      <c r="F30" s="290" t="e">
        <f t="array" ref="F30">INDEX(Summary_Pre!E$4:E$303, MATCH(0, COUNTIF($F$2:F29,Summary_Pre!E$4:E$303), 0))</f>
        <v>#N/A</v>
      </c>
      <c r="G30" s="291" t="e">
        <f>VLOOKUP(X30,Table7[[#All],[FIXTURE CODE]:[WATT/ FIXT]], 6, FALSE)</f>
        <v>#N/A</v>
      </c>
      <c r="H30" s="291" t="e">
        <f>VLOOKUP(Y30,Table7[[#All],[FIXTURE CODE]:[WATT/ FIXT]], 6, FALSE)</f>
        <v>#N/A</v>
      </c>
      <c r="I30" s="292">
        <f>SUMIF(Summary_Pre!E:E,"="&amp;F30,Summary_Pre!D:D)</f>
        <v>0</v>
      </c>
      <c r="J30" s="293">
        <f>SUMIF(Summary_Pre!E:E,"="&amp;F30,Summary_Pre!H:H)</f>
        <v>0</v>
      </c>
      <c r="K30" s="294">
        <f>SUMIF(Summary_Pre!E:E,"="&amp; F30,Summary_Pre!I:I)</f>
        <v>0</v>
      </c>
      <c r="L30" s="295">
        <f>SUMIF(Summary_Pre!E:E,"="&amp; F30,Summary_Pre!J:J)</f>
        <v>0</v>
      </c>
      <c r="M30" s="296">
        <f>SUMIF(Summary_Pre!E:E,"="&amp; F30,Summary_Pre!K:K)</f>
        <v>0</v>
      </c>
      <c r="N30" s="296">
        <f>SUMIF(Summary_Pre!E:E,"="&amp;F30,Summary_Pre!C:C)</f>
        <v>0</v>
      </c>
      <c r="O30" s="297">
        <f t="shared" si="4"/>
        <v>0</v>
      </c>
      <c r="P30" s="295"/>
      <c r="Q30" s="295"/>
      <c r="R30" s="295"/>
      <c r="S30" s="295"/>
      <c r="T30" s="295"/>
      <c r="U30" s="295"/>
      <c r="V30" s="295"/>
      <c r="W30" s="290"/>
      <c r="X30" s="298" t="e">
        <f t="shared" si="1"/>
        <v>#N/A</v>
      </c>
      <c r="Y30" s="298" t="e">
        <f t="shared" si="2"/>
        <v>#N/A</v>
      </c>
      <c r="Z30" s="299"/>
      <c r="AA30" s="299"/>
      <c r="AB30" s="299"/>
      <c r="AC30" s="299"/>
      <c r="AD30" s="299"/>
      <c r="AE30" s="299"/>
      <c r="AF30" s="299"/>
      <c r="AG30" s="299"/>
      <c r="AH30" s="299"/>
      <c r="AI30" s="299"/>
      <c r="AJ30" s="299"/>
      <c r="AK30" s="299"/>
      <c r="AL30" s="299"/>
      <c r="AM30" s="299"/>
      <c r="AN30" s="299"/>
      <c r="AO30" s="299"/>
      <c r="AP30" s="299"/>
      <c r="AQ30" s="299"/>
    </row>
    <row r="31" spans="1:43">
      <c r="A31" s="249" t="e">
        <f>IF(D31='Tables &amp; Ranges'!$A$133, 'Tables &amp; Ranges'!$B$133, IF(D31='Tables &amp; Ranges'!$A$134, 'Tables &amp; Ranges'!$B$134, IF(D31='Tables &amp; Ranges'!$A$135, 'Tables &amp; Ranges'!$B$135, IF(D31='Tables &amp; Ranges'!$A$136, 'Tables &amp; Ranges'!$B$136, IF(D31='Tables &amp; Ranges'!$A$99, 'Tables &amp; Ranges'!$B$116, VLOOKUP(X31,'Fixture Table'!$C$3:$M$1785, 10, FALSE))))))</f>
        <v>#N/A</v>
      </c>
      <c r="B31" s="249"/>
      <c r="C31" s="249"/>
      <c r="D31" s="2">
        <f>IFERROR(_xlfn.IFNA(VLOOKUP(F31,Summary_Pre!E:F,2,FALSE),0),0)</f>
        <v>0</v>
      </c>
      <c r="E31" s="249" t="e">
        <f t="shared" si="3"/>
        <v>#N/A</v>
      </c>
      <c r="F31" s="2" t="e">
        <f t="array" ref="F31">INDEX(Summary_Pre!E$4:E$303, MATCH(0, COUNTIF($F$2:F30,Summary_Pre!E$4:E$303), 0))</f>
        <v>#N/A</v>
      </c>
      <c r="G31" s="271" t="e">
        <f>VLOOKUP(X31,Table7[[#All],[FIXTURE CODE]:[WATT/ FIXT]], 6, FALSE)</f>
        <v>#N/A</v>
      </c>
      <c r="H31" s="271" t="e">
        <f>VLOOKUP(Y31,Table7[[#All],[FIXTURE CODE]:[WATT/ FIXT]], 6, FALSE)</f>
        <v>#N/A</v>
      </c>
      <c r="I31" s="272">
        <f>SUMIF(Summary_Pre!E:E,"="&amp;F31,Summary_Pre!D:D)</f>
        <v>0</v>
      </c>
      <c r="J31" s="263">
        <f>SUMIF(Summary_Pre!E:E,"="&amp;F31,Summary_Pre!H:H)</f>
        <v>0</v>
      </c>
      <c r="K31" s="262">
        <f>SUMIF(Summary_Pre!E:E,"="&amp; F31,Summary_Pre!I:I)</f>
        <v>0</v>
      </c>
      <c r="L31" s="3">
        <f>SUMIF(Summary_Pre!E:E,"="&amp; F31,Summary_Pre!J:J)</f>
        <v>0</v>
      </c>
      <c r="M31" s="285">
        <f>SUMIF(Summary_Pre!E:E,"="&amp; F31,Summary_Pre!K:K)</f>
        <v>0</v>
      </c>
      <c r="N31" s="285">
        <f>SUMIF(Summary_Pre!E:E,"="&amp;F31,Summary_Pre!C:C)</f>
        <v>0</v>
      </c>
      <c r="O31" s="266">
        <f t="shared" si="4"/>
        <v>0</v>
      </c>
      <c r="P31" s="3"/>
      <c r="Q31" s="3"/>
      <c r="R31" s="3"/>
      <c r="S31" s="3"/>
      <c r="T31" s="3"/>
      <c r="U31" s="3"/>
      <c r="V31" s="3"/>
      <c r="W31" s="2"/>
      <c r="X31" s="281" t="e">
        <f t="shared" si="1"/>
        <v>#N/A</v>
      </c>
      <c r="Y31" s="279" t="e">
        <f t="shared" si="2"/>
        <v>#N/A</v>
      </c>
    </row>
    <row r="32" spans="1:43" s="300" customFormat="1">
      <c r="A32" s="289" t="e">
        <f>IF(D32='Tables &amp; Ranges'!$A$133, 'Tables &amp; Ranges'!$B$133, IF(D32='Tables &amp; Ranges'!$A$134, 'Tables &amp; Ranges'!$B$134, IF(D32='Tables &amp; Ranges'!$A$135, 'Tables &amp; Ranges'!$B$135, IF(D32='Tables &amp; Ranges'!$A$136, 'Tables &amp; Ranges'!$B$136, IF(D32='Tables &amp; Ranges'!$A$99, 'Tables &amp; Ranges'!$B$116, VLOOKUP(X32,'Fixture Table'!$C$3:$M$1785, 10, FALSE))))))</f>
        <v>#N/A</v>
      </c>
      <c r="B32" s="289"/>
      <c r="C32" s="289"/>
      <c r="D32" s="290">
        <f>IFERROR(_xlfn.IFNA(VLOOKUP(F32,Summary_Pre!E:F,2,FALSE),0),0)</f>
        <v>0</v>
      </c>
      <c r="E32" s="249" t="e">
        <f t="shared" si="3"/>
        <v>#N/A</v>
      </c>
      <c r="F32" s="290" t="e">
        <f t="array" ref="F32">INDEX(Summary_Pre!E$4:E$303, MATCH(0, COUNTIF($F$2:F31,Summary_Pre!E$4:E$303), 0))</f>
        <v>#N/A</v>
      </c>
      <c r="G32" s="291" t="e">
        <f>VLOOKUP(X32,Table7[[#All],[FIXTURE CODE]:[WATT/ FIXT]], 6, FALSE)</f>
        <v>#N/A</v>
      </c>
      <c r="H32" s="291" t="e">
        <f>VLOOKUP(Y32,Table7[[#All],[FIXTURE CODE]:[WATT/ FIXT]], 6, FALSE)</f>
        <v>#N/A</v>
      </c>
      <c r="I32" s="292">
        <f>SUMIF(Summary_Pre!E:E,"="&amp;F32,Summary_Pre!D:D)</f>
        <v>0</v>
      </c>
      <c r="J32" s="293">
        <f>SUMIF(Summary_Pre!E:E,"="&amp;F32,Summary_Pre!H:H)</f>
        <v>0</v>
      </c>
      <c r="K32" s="294">
        <f>SUMIF(Summary_Pre!E:E,"="&amp; F32,Summary_Pre!I:I)</f>
        <v>0</v>
      </c>
      <c r="L32" s="295">
        <f>SUMIF(Summary_Pre!E:E,"="&amp; F32,Summary_Pre!J:J)</f>
        <v>0</v>
      </c>
      <c r="M32" s="296">
        <f>SUMIF(Summary_Pre!E:E,"="&amp; F32,Summary_Pre!K:K)</f>
        <v>0</v>
      </c>
      <c r="N32" s="296">
        <f>SUMIF(Summary_Pre!E:E,"="&amp;F32,Summary_Pre!C:C)</f>
        <v>0</v>
      </c>
      <c r="O32" s="297">
        <f t="shared" si="4"/>
        <v>0</v>
      </c>
      <c r="P32" s="295"/>
      <c r="Q32" s="295"/>
      <c r="R32" s="295"/>
      <c r="S32" s="295"/>
      <c r="T32" s="295"/>
      <c r="U32" s="295"/>
      <c r="V32" s="295"/>
      <c r="W32" s="290"/>
      <c r="X32" s="298" t="e">
        <f t="shared" si="1"/>
        <v>#N/A</v>
      </c>
      <c r="Y32" s="298" t="e">
        <f t="shared" si="2"/>
        <v>#N/A</v>
      </c>
      <c r="Z32" s="299"/>
      <c r="AA32" s="299"/>
      <c r="AB32" s="299"/>
      <c r="AC32" s="299"/>
      <c r="AD32" s="299"/>
      <c r="AE32" s="299"/>
      <c r="AF32" s="299"/>
      <c r="AG32" s="299"/>
      <c r="AH32" s="299"/>
      <c r="AI32" s="299"/>
      <c r="AJ32" s="299"/>
      <c r="AK32" s="299"/>
      <c r="AL32" s="299"/>
      <c r="AM32" s="299"/>
      <c r="AN32" s="299"/>
      <c r="AO32" s="299"/>
      <c r="AP32" s="299"/>
      <c r="AQ32" s="299"/>
    </row>
    <row r="33" spans="1:43">
      <c r="A33" s="249" t="e">
        <f>IF(D33='Tables &amp; Ranges'!$A$133, 'Tables &amp; Ranges'!$B$133, IF(D33='Tables &amp; Ranges'!$A$134, 'Tables &amp; Ranges'!$B$134, IF(D33='Tables &amp; Ranges'!$A$135, 'Tables &amp; Ranges'!$B$135, IF(D33='Tables &amp; Ranges'!$A$136, 'Tables &amp; Ranges'!$B$136, IF(D33='Tables &amp; Ranges'!$A$99, 'Tables &amp; Ranges'!$B$116, VLOOKUP(X33,'Fixture Table'!$C$3:$M$1785, 10, FALSE))))))</f>
        <v>#N/A</v>
      </c>
      <c r="B33" s="249"/>
      <c r="C33" s="249"/>
      <c r="D33" s="2">
        <f>IFERROR(_xlfn.IFNA(VLOOKUP(F33,Summary_Pre!E:F,2,FALSE),0),0)</f>
        <v>0</v>
      </c>
      <c r="E33" s="249" t="e">
        <f t="shared" si="3"/>
        <v>#N/A</v>
      </c>
      <c r="F33" s="2" t="e">
        <f t="array" ref="F33">INDEX(Summary_Pre!E$4:E$303, MATCH(0, COUNTIF($F$2:F32,Summary_Pre!E$4:E$303), 0))</f>
        <v>#N/A</v>
      </c>
      <c r="G33" s="271" t="e">
        <f>VLOOKUP(X33,Table7[[#All],[FIXTURE CODE]:[WATT/ FIXT]], 6, FALSE)</f>
        <v>#N/A</v>
      </c>
      <c r="H33" s="271" t="e">
        <f>VLOOKUP(Y33,Table7[[#All],[FIXTURE CODE]:[WATT/ FIXT]], 6, FALSE)</f>
        <v>#N/A</v>
      </c>
      <c r="I33" s="272">
        <f>SUMIF(Summary_Pre!E:E,"="&amp;F33,Summary_Pre!D:D)</f>
        <v>0</v>
      </c>
      <c r="J33" s="263">
        <f>SUMIF(Summary_Pre!E:E,"="&amp;F33,Summary_Pre!H:H)</f>
        <v>0</v>
      </c>
      <c r="K33" s="262">
        <f>SUMIF(Summary_Pre!E:E,"="&amp; F33,Summary_Pre!I:I)</f>
        <v>0</v>
      </c>
      <c r="L33" s="3">
        <f>SUMIF(Summary_Pre!E:E,"="&amp; F33,Summary_Pre!J:J)</f>
        <v>0</v>
      </c>
      <c r="M33" s="285">
        <f>SUMIF(Summary_Pre!E:E,"="&amp; F33,Summary_Pre!K:K)</f>
        <v>0</v>
      </c>
      <c r="N33" s="285">
        <f>SUMIF(Summary_Pre!E:E,"="&amp;F33,Summary_Pre!C:C)</f>
        <v>0</v>
      </c>
      <c r="O33" s="266">
        <f t="shared" si="4"/>
        <v>0</v>
      </c>
      <c r="P33" s="3"/>
      <c r="Q33" s="3"/>
      <c r="R33" s="3"/>
      <c r="S33" s="3"/>
      <c r="T33" s="3"/>
      <c r="U33" s="3"/>
      <c r="V33" s="3"/>
      <c r="W33" s="2"/>
      <c r="X33" s="281" t="e">
        <f t="shared" si="1"/>
        <v>#N/A</v>
      </c>
      <c r="Y33" s="279" t="e">
        <f t="shared" si="2"/>
        <v>#N/A</v>
      </c>
    </row>
    <row r="34" spans="1:43" s="300" customFormat="1">
      <c r="A34" s="289" t="e">
        <f>IF(D34='Tables &amp; Ranges'!$A$133, 'Tables &amp; Ranges'!$B$133, IF(D34='Tables &amp; Ranges'!$A$134, 'Tables &amp; Ranges'!$B$134, IF(D34='Tables &amp; Ranges'!$A$135, 'Tables &amp; Ranges'!$B$135, IF(D34='Tables &amp; Ranges'!$A$136, 'Tables &amp; Ranges'!$B$136, IF(D34='Tables &amp; Ranges'!$A$99, 'Tables &amp; Ranges'!$B$116, VLOOKUP(X34,'Fixture Table'!$C$3:$M$1785, 10, FALSE))))))</f>
        <v>#N/A</v>
      </c>
      <c r="B34" s="289"/>
      <c r="C34" s="289"/>
      <c r="D34" s="290">
        <f>IFERROR(_xlfn.IFNA(VLOOKUP(F34,Summary_Pre!E:F,2,FALSE),0),0)</f>
        <v>0</v>
      </c>
      <c r="E34" s="249" t="e">
        <f t="shared" si="3"/>
        <v>#N/A</v>
      </c>
      <c r="F34" s="290" t="e">
        <f t="array" ref="F34">INDEX(Summary_Pre!E$4:E$303, MATCH(0, COUNTIF($F$2:F33,Summary_Pre!E$4:E$303), 0))</f>
        <v>#N/A</v>
      </c>
      <c r="G34" s="291" t="e">
        <f>VLOOKUP(X34,Table7[[#All],[FIXTURE CODE]:[WATT/ FIXT]], 6, FALSE)</f>
        <v>#N/A</v>
      </c>
      <c r="H34" s="291" t="e">
        <f>VLOOKUP(Y34,Table7[[#All],[FIXTURE CODE]:[WATT/ FIXT]], 6, FALSE)</f>
        <v>#N/A</v>
      </c>
      <c r="I34" s="292">
        <f>SUMIF(Summary_Pre!E:E,"="&amp;F34,Summary_Pre!D:D)</f>
        <v>0</v>
      </c>
      <c r="J34" s="293">
        <f>SUMIF(Summary_Pre!E:E,"="&amp;F34,Summary_Pre!H:H)</f>
        <v>0</v>
      </c>
      <c r="K34" s="294">
        <f>SUMIF(Summary_Pre!E:E,"="&amp; F34,Summary_Pre!I:I)</f>
        <v>0</v>
      </c>
      <c r="L34" s="295">
        <f>SUMIF(Summary_Pre!E:E,"="&amp; F34,Summary_Pre!J:J)</f>
        <v>0</v>
      </c>
      <c r="M34" s="296">
        <f>SUMIF(Summary_Pre!E:E,"="&amp; F34,Summary_Pre!K:K)</f>
        <v>0</v>
      </c>
      <c r="N34" s="296">
        <f>SUMIF(Summary_Pre!E:E,"="&amp;F34,Summary_Pre!C:C)</f>
        <v>0</v>
      </c>
      <c r="O34" s="297">
        <f t="shared" si="4"/>
        <v>0</v>
      </c>
      <c r="P34" s="295"/>
      <c r="Q34" s="295"/>
      <c r="R34" s="295"/>
      <c r="S34" s="295"/>
      <c r="T34" s="295"/>
      <c r="U34" s="295"/>
      <c r="V34" s="295"/>
      <c r="W34" s="290"/>
      <c r="X34" s="298" t="e">
        <f t="shared" si="1"/>
        <v>#N/A</v>
      </c>
      <c r="Y34" s="298" t="e">
        <f t="shared" si="2"/>
        <v>#N/A</v>
      </c>
      <c r="Z34" s="299"/>
      <c r="AA34" s="299"/>
      <c r="AB34" s="299"/>
      <c r="AC34" s="299"/>
      <c r="AD34" s="299"/>
      <c r="AE34" s="299"/>
      <c r="AF34" s="299"/>
      <c r="AG34" s="299"/>
      <c r="AH34" s="299"/>
      <c r="AI34" s="299"/>
      <c r="AJ34" s="299"/>
      <c r="AK34" s="299"/>
      <c r="AL34" s="299"/>
      <c r="AM34" s="299"/>
      <c r="AN34" s="299"/>
      <c r="AO34" s="299"/>
      <c r="AP34" s="299"/>
      <c r="AQ34" s="299"/>
    </row>
    <row r="35" spans="1:43">
      <c r="A35" s="249" t="e">
        <f>IF(D35='Tables &amp; Ranges'!$A$133, 'Tables &amp; Ranges'!$B$133, IF(D35='Tables &amp; Ranges'!$A$134, 'Tables &amp; Ranges'!$B$134, IF(D35='Tables &amp; Ranges'!$A$135, 'Tables &amp; Ranges'!$B$135, IF(D35='Tables &amp; Ranges'!$A$136, 'Tables &amp; Ranges'!$B$136, IF(D35='Tables &amp; Ranges'!$A$99, 'Tables &amp; Ranges'!$B$116, VLOOKUP(X35,'Fixture Table'!$C$3:$M$1785, 10, FALSE))))))</f>
        <v>#N/A</v>
      </c>
      <c r="B35" s="249"/>
      <c r="C35" s="249"/>
      <c r="D35" s="2">
        <f>IFERROR(_xlfn.IFNA(VLOOKUP(F35,Summary_Pre!E:F,2,FALSE),0),0)</f>
        <v>0</v>
      </c>
      <c r="E35" s="249" t="e">
        <f t="shared" si="3"/>
        <v>#N/A</v>
      </c>
      <c r="F35" s="2" t="e">
        <f t="array" ref="F35">INDEX(Summary_Pre!E$4:E$303, MATCH(0, COUNTIF($F$2:F34,Summary_Pre!E$4:E$303), 0))</f>
        <v>#N/A</v>
      </c>
      <c r="G35" s="271" t="e">
        <f>VLOOKUP(X35,Table7[[#All],[FIXTURE CODE]:[WATT/ FIXT]], 6, FALSE)</f>
        <v>#N/A</v>
      </c>
      <c r="H35" s="271" t="e">
        <f>VLOOKUP(Y35,Table7[[#All],[FIXTURE CODE]:[WATT/ FIXT]], 6, FALSE)</f>
        <v>#N/A</v>
      </c>
      <c r="I35" s="272">
        <f>SUMIF(Summary_Pre!E:E,"="&amp;F35,Summary_Pre!D:D)</f>
        <v>0</v>
      </c>
      <c r="J35" s="263">
        <f>SUMIF(Summary_Pre!E:E,"="&amp;F35,Summary_Pre!H:H)</f>
        <v>0</v>
      </c>
      <c r="K35" s="262">
        <f>SUMIF(Summary_Pre!E:E,"="&amp; F35,Summary_Pre!I:I)</f>
        <v>0</v>
      </c>
      <c r="L35" s="3">
        <f>SUMIF(Summary_Pre!E:E,"="&amp; F35,Summary_Pre!J:J)</f>
        <v>0</v>
      </c>
      <c r="M35" s="285">
        <f>SUMIF(Summary_Pre!E:E,"="&amp; F35,Summary_Pre!K:K)</f>
        <v>0</v>
      </c>
      <c r="N35" s="285">
        <f>SUMIF(Summary_Pre!E:E,"="&amp;F35,Summary_Pre!C:C)</f>
        <v>0</v>
      </c>
      <c r="O35" s="266">
        <f t="shared" si="4"/>
        <v>0</v>
      </c>
      <c r="P35" s="3"/>
      <c r="Q35" s="3"/>
      <c r="R35" s="3"/>
      <c r="S35" s="3"/>
      <c r="T35" s="3"/>
      <c r="U35" s="3"/>
      <c r="V35" s="3"/>
      <c r="W35" s="2"/>
      <c r="X35" s="281" t="e">
        <f t="shared" si="1"/>
        <v>#N/A</v>
      </c>
      <c r="Y35" s="279" t="e">
        <f t="shared" si="2"/>
        <v>#N/A</v>
      </c>
    </row>
    <row r="36" spans="1:43" s="300" customFormat="1">
      <c r="A36" s="289" t="e">
        <f>IF(D36='Tables &amp; Ranges'!$A$133, 'Tables &amp; Ranges'!$B$133, IF(D36='Tables &amp; Ranges'!$A$134, 'Tables &amp; Ranges'!$B$134, IF(D36='Tables &amp; Ranges'!$A$135, 'Tables &amp; Ranges'!$B$135, IF(D36='Tables &amp; Ranges'!$A$136, 'Tables &amp; Ranges'!$B$136, IF(D36='Tables &amp; Ranges'!$A$99, 'Tables &amp; Ranges'!$B$116, VLOOKUP(X36,'Fixture Table'!$C$3:$M$1785, 10, FALSE))))))</f>
        <v>#N/A</v>
      </c>
      <c r="B36" s="289"/>
      <c r="C36" s="289"/>
      <c r="D36" s="290">
        <f>IFERROR(_xlfn.IFNA(VLOOKUP(F36,Summary_Pre!E:F,2,FALSE),0),0)</f>
        <v>0</v>
      </c>
      <c r="E36" s="249" t="e">
        <f t="shared" si="3"/>
        <v>#N/A</v>
      </c>
      <c r="F36" s="290" t="e">
        <f t="array" ref="F36">INDEX(Summary_Pre!E$4:E$303, MATCH(0, COUNTIF($F$2:F35,Summary_Pre!E$4:E$303), 0))</f>
        <v>#N/A</v>
      </c>
      <c r="G36" s="291" t="e">
        <f>VLOOKUP(X36,Table7[[#All],[FIXTURE CODE]:[WATT/ FIXT]], 6, FALSE)</f>
        <v>#N/A</v>
      </c>
      <c r="H36" s="291" t="e">
        <f>VLOOKUP(Y36,Table7[[#All],[FIXTURE CODE]:[WATT/ FIXT]], 6, FALSE)</f>
        <v>#N/A</v>
      </c>
      <c r="I36" s="292">
        <f>SUMIF(Summary_Pre!E:E,"="&amp;F36,Summary_Pre!D:D)</f>
        <v>0</v>
      </c>
      <c r="J36" s="293">
        <f>SUMIF(Summary_Pre!E:E,"="&amp;F36,Summary_Pre!H:H)</f>
        <v>0</v>
      </c>
      <c r="K36" s="294">
        <f>SUMIF(Summary_Pre!E:E,"="&amp; F36,Summary_Pre!I:I)</f>
        <v>0</v>
      </c>
      <c r="L36" s="295">
        <f>SUMIF(Summary_Pre!E:E,"="&amp; F36,Summary_Pre!J:J)</f>
        <v>0</v>
      </c>
      <c r="M36" s="296">
        <f>SUMIF(Summary_Pre!E:E,"="&amp; F36,Summary_Pre!K:K)</f>
        <v>0</v>
      </c>
      <c r="N36" s="296">
        <f>SUMIF(Summary_Pre!E:E,"="&amp;F36,Summary_Pre!C:C)</f>
        <v>0</v>
      </c>
      <c r="O36" s="297">
        <f t="shared" si="4"/>
        <v>0</v>
      </c>
      <c r="P36" s="295"/>
      <c r="Q36" s="295"/>
      <c r="R36" s="295"/>
      <c r="S36" s="295"/>
      <c r="T36" s="295"/>
      <c r="U36" s="295"/>
      <c r="V36" s="295"/>
      <c r="W36" s="290"/>
      <c r="X36" s="298" t="e">
        <f t="shared" si="1"/>
        <v>#N/A</v>
      </c>
      <c r="Y36" s="298" t="e">
        <f t="shared" si="2"/>
        <v>#N/A</v>
      </c>
      <c r="Z36" s="299"/>
      <c r="AA36" s="299"/>
      <c r="AB36" s="299"/>
      <c r="AC36" s="299"/>
      <c r="AD36" s="299"/>
      <c r="AE36" s="299"/>
      <c r="AF36" s="299"/>
      <c r="AG36" s="299"/>
      <c r="AH36" s="299"/>
      <c r="AI36" s="299"/>
      <c r="AJ36" s="299"/>
      <c r="AK36" s="299"/>
      <c r="AL36" s="299"/>
      <c r="AM36" s="299"/>
      <c r="AN36" s="299"/>
      <c r="AO36" s="299"/>
      <c r="AP36" s="299"/>
      <c r="AQ36" s="299"/>
    </row>
    <row r="37" spans="1:43">
      <c r="A37" s="249" t="e">
        <f>IF(D37='Tables &amp; Ranges'!$A$133, 'Tables &amp; Ranges'!$B$133, IF(D37='Tables &amp; Ranges'!$A$134, 'Tables &amp; Ranges'!$B$134, IF(D37='Tables &amp; Ranges'!$A$135, 'Tables &amp; Ranges'!$B$135, IF(D37='Tables &amp; Ranges'!$A$136, 'Tables &amp; Ranges'!$B$136, IF(D37='Tables &amp; Ranges'!$A$99, 'Tables &amp; Ranges'!$B$116, VLOOKUP(X37,'Fixture Table'!$C$3:$M$1785, 10, FALSE))))))</f>
        <v>#N/A</v>
      </c>
      <c r="B37" s="249"/>
      <c r="C37" s="249"/>
      <c r="D37" s="2">
        <f>IFERROR(_xlfn.IFNA(VLOOKUP(F37,Summary_Pre!E:F,2,FALSE),0),0)</f>
        <v>0</v>
      </c>
      <c r="E37" s="249" t="e">
        <f t="shared" si="3"/>
        <v>#N/A</v>
      </c>
      <c r="F37" s="2" t="e">
        <f t="array" ref="F37">INDEX(Summary_Pre!E$4:E$303, MATCH(0, COUNTIF($F$2:F36,Summary_Pre!E$4:E$303), 0))</f>
        <v>#N/A</v>
      </c>
      <c r="G37" s="271" t="e">
        <f>VLOOKUP(X37,Table7[[#All],[FIXTURE CODE]:[WATT/ FIXT]], 6, FALSE)</f>
        <v>#N/A</v>
      </c>
      <c r="H37" s="271" t="e">
        <f>VLOOKUP(Y37,Table7[[#All],[FIXTURE CODE]:[WATT/ FIXT]], 6, FALSE)</f>
        <v>#N/A</v>
      </c>
      <c r="I37" s="272">
        <f>SUMIF(Summary_Pre!E:E,"="&amp;F37,Summary_Pre!D:D)</f>
        <v>0</v>
      </c>
      <c r="J37" s="263">
        <f>SUMIF(Summary_Pre!E:E,"="&amp;F37,Summary_Pre!H:H)</f>
        <v>0</v>
      </c>
      <c r="K37" s="262">
        <f>SUMIF(Summary_Pre!E:E,"="&amp; F37,Summary_Pre!I:I)</f>
        <v>0</v>
      </c>
      <c r="L37" s="3">
        <f>SUMIF(Summary_Pre!E:E,"="&amp; F37,Summary_Pre!J:J)</f>
        <v>0</v>
      </c>
      <c r="M37" s="285">
        <f>SUMIF(Summary_Pre!E:E,"="&amp; F37,Summary_Pre!K:K)</f>
        <v>0</v>
      </c>
      <c r="N37" s="285">
        <f>SUMIF(Summary_Pre!E:E,"="&amp;F37,Summary_Pre!C:C)</f>
        <v>0</v>
      </c>
      <c r="O37" s="266">
        <f t="shared" si="4"/>
        <v>0</v>
      </c>
      <c r="P37" s="3"/>
      <c r="Q37" s="3"/>
      <c r="R37" s="3"/>
      <c r="S37" s="3"/>
      <c r="T37" s="3"/>
      <c r="U37" s="3"/>
      <c r="V37" s="3"/>
      <c r="W37" s="2"/>
      <c r="X37" s="281" t="e">
        <f t="shared" si="1"/>
        <v>#N/A</v>
      </c>
      <c r="Y37" s="279" t="e">
        <f t="shared" si="2"/>
        <v>#N/A</v>
      </c>
    </row>
    <row r="38" spans="1:43" s="300" customFormat="1">
      <c r="A38" s="289" t="e">
        <f>IF(D38='Tables &amp; Ranges'!$A$133, 'Tables &amp; Ranges'!$B$133, IF(D38='Tables &amp; Ranges'!$A$134, 'Tables &amp; Ranges'!$B$134, IF(D38='Tables &amp; Ranges'!$A$135, 'Tables &amp; Ranges'!$B$135, IF(D38='Tables &amp; Ranges'!$A$136, 'Tables &amp; Ranges'!$B$136, IF(D38='Tables &amp; Ranges'!$A$99, 'Tables &amp; Ranges'!$B$116, VLOOKUP(X38,'Fixture Table'!$C$3:$M$1785, 10, FALSE))))))</f>
        <v>#N/A</v>
      </c>
      <c r="B38" s="289"/>
      <c r="C38" s="289"/>
      <c r="D38" s="290">
        <f>IFERROR(_xlfn.IFNA(VLOOKUP(F38,Summary_Pre!E:F,2,FALSE),0),0)</f>
        <v>0</v>
      </c>
      <c r="E38" s="249" t="e">
        <f t="shared" si="3"/>
        <v>#N/A</v>
      </c>
      <c r="F38" s="290" t="e">
        <f t="array" ref="F38">INDEX(Summary_Pre!E$4:E$303, MATCH(0, COUNTIF($F$2:F37,Summary_Pre!E$4:E$303), 0))</f>
        <v>#N/A</v>
      </c>
      <c r="G38" s="291" t="e">
        <f>VLOOKUP(X38,Table7[[#All],[FIXTURE CODE]:[WATT/ FIXT]], 6, FALSE)</f>
        <v>#N/A</v>
      </c>
      <c r="H38" s="291" t="e">
        <f>VLOOKUP(Y38,Table7[[#All],[FIXTURE CODE]:[WATT/ FIXT]], 6, FALSE)</f>
        <v>#N/A</v>
      </c>
      <c r="I38" s="292">
        <f>SUMIF(Summary_Pre!E:E,"="&amp;F38,Summary_Pre!D:D)</f>
        <v>0</v>
      </c>
      <c r="J38" s="293">
        <f>SUMIF(Summary_Pre!E:E,"="&amp;F38,Summary_Pre!H:H)</f>
        <v>0</v>
      </c>
      <c r="K38" s="294">
        <f>SUMIF(Summary_Pre!E:E,"="&amp; F38,Summary_Pre!I:I)</f>
        <v>0</v>
      </c>
      <c r="L38" s="295">
        <f>SUMIF(Summary_Pre!E:E,"="&amp; F38,Summary_Pre!J:J)</f>
        <v>0</v>
      </c>
      <c r="M38" s="296">
        <f>SUMIF(Summary_Pre!E:E,"="&amp; F38,Summary_Pre!K:K)</f>
        <v>0</v>
      </c>
      <c r="N38" s="296">
        <f>SUMIF(Summary_Pre!E:E,"="&amp;F38,Summary_Pre!C:C)</f>
        <v>0</v>
      </c>
      <c r="O38" s="297">
        <f t="shared" si="4"/>
        <v>0</v>
      </c>
      <c r="P38" s="295"/>
      <c r="Q38" s="295"/>
      <c r="R38" s="295"/>
      <c r="S38" s="295"/>
      <c r="T38" s="295"/>
      <c r="U38" s="295"/>
      <c r="V38" s="295"/>
      <c r="W38" s="290"/>
      <c r="X38" s="298" t="e">
        <f t="shared" si="1"/>
        <v>#N/A</v>
      </c>
      <c r="Y38" s="298" t="e">
        <f t="shared" si="2"/>
        <v>#N/A</v>
      </c>
      <c r="Z38" s="299"/>
      <c r="AA38" s="299"/>
      <c r="AB38" s="299"/>
      <c r="AC38" s="299"/>
      <c r="AD38" s="299"/>
      <c r="AE38" s="299"/>
      <c r="AF38" s="299"/>
      <c r="AG38" s="299"/>
      <c r="AH38" s="299"/>
      <c r="AI38" s="299"/>
      <c r="AJ38" s="299"/>
      <c r="AK38" s="299"/>
      <c r="AL38" s="299"/>
      <c r="AM38" s="299"/>
      <c r="AN38" s="299"/>
      <c r="AO38" s="299"/>
      <c r="AP38" s="299"/>
      <c r="AQ38" s="299"/>
    </row>
    <row r="39" spans="1:43">
      <c r="A39" s="249" t="e">
        <f>IF(D39='Tables &amp; Ranges'!$A$133, 'Tables &amp; Ranges'!$B$133, IF(D39='Tables &amp; Ranges'!$A$134, 'Tables &amp; Ranges'!$B$134, IF(D39='Tables &amp; Ranges'!$A$135, 'Tables &amp; Ranges'!$B$135, IF(D39='Tables &amp; Ranges'!$A$136, 'Tables &amp; Ranges'!$B$136, IF(D39='Tables &amp; Ranges'!$A$99, 'Tables &amp; Ranges'!$B$116, VLOOKUP(X39,'Fixture Table'!$C$3:$M$1785, 10, FALSE))))))</f>
        <v>#N/A</v>
      </c>
      <c r="B39" s="249"/>
      <c r="C39" s="249"/>
      <c r="D39" s="2">
        <f>IFERROR(_xlfn.IFNA(VLOOKUP(F39,Summary_Pre!E:F,2,FALSE),0),0)</f>
        <v>0</v>
      </c>
      <c r="E39" s="249" t="e">
        <f t="shared" si="3"/>
        <v>#N/A</v>
      </c>
      <c r="F39" s="2" t="e">
        <f t="array" ref="F39">INDEX(Summary_Pre!E$4:E$303, MATCH(0, COUNTIF($F$2:F38,Summary_Pre!E$4:E$303), 0))</f>
        <v>#N/A</v>
      </c>
      <c r="G39" s="271" t="e">
        <f>VLOOKUP(X39,Table7[[#All],[FIXTURE CODE]:[WATT/ FIXT]], 6, FALSE)</f>
        <v>#N/A</v>
      </c>
      <c r="H39" s="271" t="e">
        <f>VLOOKUP(Y39,Table7[[#All],[FIXTURE CODE]:[WATT/ FIXT]], 6, FALSE)</f>
        <v>#N/A</v>
      </c>
      <c r="I39" s="272">
        <f>SUMIF(Summary_Pre!E:E,"="&amp;F39,Summary_Pre!D:D)</f>
        <v>0</v>
      </c>
      <c r="J39" s="263">
        <f>SUMIF(Summary_Pre!E:E,"="&amp;F39,Summary_Pre!H:H)</f>
        <v>0</v>
      </c>
      <c r="K39" s="262">
        <f>SUMIF(Summary_Pre!E:E,"="&amp; F39,Summary_Pre!I:I)</f>
        <v>0</v>
      </c>
      <c r="L39" s="3">
        <f>SUMIF(Summary_Pre!E:E,"="&amp; F39,Summary_Pre!J:J)</f>
        <v>0</v>
      </c>
      <c r="M39" s="285">
        <f>SUMIF(Summary_Pre!E:E,"="&amp; F39,Summary_Pre!K:K)</f>
        <v>0</v>
      </c>
      <c r="N39" s="285">
        <f>SUMIF(Summary_Pre!E:E,"="&amp;F39,Summary_Pre!C:C)</f>
        <v>0</v>
      </c>
      <c r="O39" s="266">
        <f t="shared" si="4"/>
        <v>0</v>
      </c>
      <c r="P39" s="3"/>
      <c r="Q39" s="3"/>
      <c r="R39" s="3"/>
      <c r="S39" s="3"/>
      <c r="T39" s="3"/>
      <c r="U39" s="3"/>
      <c r="V39" s="3"/>
      <c r="W39" s="2"/>
      <c r="X39" s="281" t="e">
        <f t="shared" si="1"/>
        <v>#N/A</v>
      </c>
      <c r="Y39" s="279" t="e">
        <f t="shared" si="2"/>
        <v>#N/A</v>
      </c>
    </row>
    <row r="40" spans="1:43" s="300" customFormat="1">
      <c r="A40" s="289" t="e">
        <f>IF(D40='Tables &amp; Ranges'!$A$133, 'Tables &amp; Ranges'!$B$133, IF(D40='Tables &amp; Ranges'!$A$134, 'Tables &amp; Ranges'!$B$134, IF(D40='Tables &amp; Ranges'!$A$135, 'Tables &amp; Ranges'!$B$135, IF(D40='Tables &amp; Ranges'!$A$136, 'Tables &amp; Ranges'!$B$136, IF(D40='Tables &amp; Ranges'!$A$99, 'Tables &amp; Ranges'!$B$116, VLOOKUP(X40,'Fixture Table'!$C$3:$M$1785, 10, FALSE))))))</f>
        <v>#N/A</v>
      </c>
      <c r="B40" s="289"/>
      <c r="C40" s="289"/>
      <c r="D40" s="290">
        <f>IFERROR(_xlfn.IFNA(VLOOKUP(F40,Summary_Pre!E:F,2,FALSE),0),0)</f>
        <v>0</v>
      </c>
      <c r="E40" s="249" t="e">
        <f t="shared" si="3"/>
        <v>#N/A</v>
      </c>
      <c r="F40" s="290" t="e">
        <f t="array" ref="F40">INDEX(Summary_Pre!E$4:E$303, MATCH(0, COUNTIF($F$2:F39,Summary_Pre!E$4:E$303), 0))</f>
        <v>#N/A</v>
      </c>
      <c r="G40" s="291" t="e">
        <f>VLOOKUP(X40,Table7[[#All],[FIXTURE CODE]:[WATT/ FIXT]], 6, FALSE)</f>
        <v>#N/A</v>
      </c>
      <c r="H40" s="291" t="e">
        <f>VLOOKUP(Y40,Table7[[#All],[FIXTURE CODE]:[WATT/ FIXT]], 6, FALSE)</f>
        <v>#N/A</v>
      </c>
      <c r="I40" s="292">
        <f>SUMIF(Summary_Pre!E:E,"="&amp;F40,Summary_Pre!D:D)</f>
        <v>0</v>
      </c>
      <c r="J40" s="293">
        <f>SUMIF(Summary_Pre!E:E,"="&amp;F40,Summary_Pre!H:H)</f>
        <v>0</v>
      </c>
      <c r="K40" s="294">
        <f>SUMIF(Summary_Pre!E:E,"="&amp; F40,Summary_Pre!I:I)</f>
        <v>0</v>
      </c>
      <c r="L40" s="295">
        <f>SUMIF(Summary_Pre!E:E,"="&amp; F40,Summary_Pre!J:J)</f>
        <v>0</v>
      </c>
      <c r="M40" s="296">
        <f>SUMIF(Summary_Pre!E:E,"="&amp; F40,Summary_Pre!K:K)</f>
        <v>0</v>
      </c>
      <c r="N40" s="296">
        <f>SUMIF(Summary_Pre!E:E,"="&amp;F40,Summary_Pre!C:C)</f>
        <v>0</v>
      </c>
      <c r="O40" s="297">
        <f t="shared" si="4"/>
        <v>0</v>
      </c>
      <c r="P40" s="295"/>
      <c r="Q40" s="295"/>
      <c r="R40" s="295"/>
      <c r="S40" s="295"/>
      <c r="T40" s="295"/>
      <c r="U40" s="295"/>
      <c r="V40" s="295"/>
      <c r="W40" s="290"/>
      <c r="X40" s="298" t="e">
        <f t="shared" si="1"/>
        <v>#N/A</v>
      </c>
      <c r="Y40" s="298" t="e">
        <f t="shared" si="2"/>
        <v>#N/A</v>
      </c>
      <c r="Z40" s="299"/>
      <c r="AA40" s="299"/>
      <c r="AB40" s="299"/>
      <c r="AC40" s="299"/>
      <c r="AD40" s="299"/>
      <c r="AE40" s="299"/>
      <c r="AF40" s="299"/>
      <c r="AG40" s="299"/>
      <c r="AH40" s="299"/>
      <c r="AI40" s="299"/>
      <c r="AJ40" s="299"/>
      <c r="AK40" s="299"/>
      <c r="AL40" s="299"/>
      <c r="AM40" s="299"/>
      <c r="AN40" s="299"/>
      <c r="AO40" s="299"/>
      <c r="AP40" s="299"/>
      <c r="AQ40" s="299"/>
    </row>
    <row r="41" spans="1:43">
      <c r="A41" s="249" t="e">
        <f>IF(D41='Tables &amp; Ranges'!$A$133, 'Tables &amp; Ranges'!$B$133, IF(D41='Tables &amp; Ranges'!$A$134, 'Tables &amp; Ranges'!$B$134, IF(D41='Tables &amp; Ranges'!$A$135, 'Tables &amp; Ranges'!$B$135, IF(D41='Tables &amp; Ranges'!$A$136, 'Tables &amp; Ranges'!$B$136, IF(D41='Tables &amp; Ranges'!$A$99, 'Tables &amp; Ranges'!$B$116, VLOOKUP(X41,'Fixture Table'!$C$3:$M$1785, 10, FALSE))))))</f>
        <v>#N/A</v>
      </c>
      <c r="B41" s="249"/>
      <c r="C41" s="249"/>
      <c r="D41" s="2">
        <f>IFERROR(_xlfn.IFNA(VLOOKUP(F41,Summary_Pre!E:F,2,FALSE),0),0)</f>
        <v>0</v>
      </c>
      <c r="E41" s="249" t="e">
        <f t="shared" si="3"/>
        <v>#N/A</v>
      </c>
      <c r="F41" s="2" t="e">
        <f t="array" ref="F41">INDEX(Summary_Pre!E$4:E$303, MATCH(0, COUNTIF($F$2:F40,Summary_Pre!E$4:E$303), 0))</f>
        <v>#N/A</v>
      </c>
      <c r="G41" s="271" t="e">
        <f>VLOOKUP(X41,Table7[[#All],[FIXTURE CODE]:[WATT/ FIXT]], 6, FALSE)</f>
        <v>#N/A</v>
      </c>
      <c r="H41" s="271" t="e">
        <f>VLOOKUP(Y41,Table7[[#All],[FIXTURE CODE]:[WATT/ FIXT]], 6, FALSE)</f>
        <v>#N/A</v>
      </c>
      <c r="I41" s="272">
        <f>SUMIF(Summary_Pre!E:E,"="&amp;F41,Summary_Pre!D:D)</f>
        <v>0</v>
      </c>
      <c r="J41" s="263">
        <f>SUMIF(Summary_Pre!E:E,"="&amp;F41,Summary_Pre!H:H)</f>
        <v>0</v>
      </c>
      <c r="K41" s="262">
        <f>SUMIF(Summary_Pre!E:E,"="&amp; F41,Summary_Pre!I:I)</f>
        <v>0</v>
      </c>
      <c r="L41" s="3">
        <f>SUMIF(Summary_Pre!E:E,"="&amp; F41,Summary_Pre!J:J)</f>
        <v>0</v>
      </c>
      <c r="M41" s="285">
        <f>SUMIF(Summary_Pre!E:E,"="&amp; F41,Summary_Pre!K:K)</f>
        <v>0</v>
      </c>
      <c r="N41" s="285">
        <f>SUMIF(Summary_Pre!E:E,"="&amp;F41,Summary_Pre!C:C)</f>
        <v>0</v>
      </c>
      <c r="O41" s="266">
        <f t="shared" si="4"/>
        <v>0</v>
      </c>
      <c r="P41" s="3"/>
      <c r="Q41" s="3"/>
      <c r="R41" s="3"/>
      <c r="S41" s="3"/>
      <c r="T41" s="3"/>
      <c r="U41" s="3"/>
      <c r="V41" s="3"/>
      <c r="W41" s="2"/>
      <c r="X41" s="281" t="e">
        <f t="shared" si="1"/>
        <v>#N/A</v>
      </c>
      <c r="Y41" s="279" t="e">
        <f t="shared" si="2"/>
        <v>#N/A</v>
      </c>
    </row>
    <row r="42" spans="1:43" s="300" customFormat="1">
      <c r="A42" s="289" t="e">
        <f>IF(D42='Tables &amp; Ranges'!$A$133, 'Tables &amp; Ranges'!$B$133, IF(D42='Tables &amp; Ranges'!$A$134, 'Tables &amp; Ranges'!$B$134, IF(D42='Tables &amp; Ranges'!$A$135, 'Tables &amp; Ranges'!$B$135, IF(D42='Tables &amp; Ranges'!$A$136, 'Tables &amp; Ranges'!$B$136, IF(D42='Tables &amp; Ranges'!$A$99, 'Tables &amp; Ranges'!$B$116, VLOOKUP(X42,'Fixture Table'!$C$3:$M$1785, 10, FALSE))))))</f>
        <v>#N/A</v>
      </c>
      <c r="B42" s="289"/>
      <c r="C42" s="289"/>
      <c r="D42" s="290">
        <f>IFERROR(_xlfn.IFNA(VLOOKUP(F42,Summary_Pre!E:F,2,FALSE),0),0)</f>
        <v>0</v>
      </c>
      <c r="E42" s="249" t="e">
        <f t="shared" si="3"/>
        <v>#N/A</v>
      </c>
      <c r="F42" s="290" t="e">
        <f t="array" ref="F42">INDEX(Summary_Pre!E$4:E$303, MATCH(0, COUNTIF($F$2:F41,Summary_Pre!E$4:E$303), 0))</f>
        <v>#N/A</v>
      </c>
      <c r="G42" s="291" t="e">
        <f>VLOOKUP(X42,Table7[[#All],[FIXTURE CODE]:[WATT/ FIXT]], 6, FALSE)</f>
        <v>#N/A</v>
      </c>
      <c r="H42" s="291" t="e">
        <f>VLOOKUP(Y42,Table7[[#All],[FIXTURE CODE]:[WATT/ FIXT]], 6, FALSE)</f>
        <v>#N/A</v>
      </c>
      <c r="I42" s="292">
        <f>SUMIF(Summary_Pre!E:E,"="&amp;F42,Summary_Pre!D:D)</f>
        <v>0</v>
      </c>
      <c r="J42" s="293">
        <f>SUMIF(Summary_Pre!E:E,"="&amp;F42,Summary_Pre!H:H)</f>
        <v>0</v>
      </c>
      <c r="K42" s="294">
        <f>SUMIF(Summary_Pre!E:E,"="&amp; F42,Summary_Pre!I:I)</f>
        <v>0</v>
      </c>
      <c r="L42" s="295">
        <f>SUMIF(Summary_Pre!E:E,"="&amp; F42,Summary_Pre!J:J)</f>
        <v>0</v>
      </c>
      <c r="M42" s="296">
        <f>SUMIF(Summary_Pre!E:E,"="&amp; F42,Summary_Pre!K:K)</f>
        <v>0</v>
      </c>
      <c r="N42" s="296">
        <f>SUMIF(Summary_Pre!E:E,"="&amp;F42,Summary_Pre!C:C)</f>
        <v>0</v>
      </c>
      <c r="O42" s="297">
        <f t="shared" si="4"/>
        <v>0</v>
      </c>
      <c r="P42" s="295"/>
      <c r="Q42" s="295"/>
      <c r="R42" s="295"/>
      <c r="S42" s="295"/>
      <c r="T42" s="295"/>
      <c r="U42" s="295"/>
      <c r="V42" s="295"/>
      <c r="W42" s="290"/>
      <c r="X42" s="298" t="e">
        <f t="shared" si="1"/>
        <v>#N/A</v>
      </c>
      <c r="Y42" s="298" t="e">
        <f t="shared" si="2"/>
        <v>#N/A</v>
      </c>
      <c r="Z42" s="299"/>
      <c r="AA42" s="299"/>
      <c r="AB42" s="299"/>
      <c r="AC42" s="299"/>
      <c r="AD42" s="299"/>
      <c r="AE42" s="299"/>
      <c r="AF42" s="299"/>
      <c r="AG42" s="299"/>
      <c r="AH42" s="299"/>
      <c r="AI42" s="299"/>
      <c r="AJ42" s="299"/>
      <c r="AK42" s="299"/>
      <c r="AL42" s="299"/>
      <c r="AM42" s="299"/>
      <c r="AN42" s="299"/>
      <c r="AO42" s="299"/>
      <c r="AP42" s="299"/>
      <c r="AQ42" s="299"/>
    </row>
    <row r="43" spans="1:43">
      <c r="A43" s="249" t="e">
        <f>IF(D43='Tables &amp; Ranges'!$A$133, 'Tables &amp; Ranges'!$B$133, IF(D43='Tables &amp; Ranges'!$A$134, 'Tables &amp; Ranges'!$B$134, IF(D43='Tables &amp; Ranges'!$A$135, 'Tables &amp; Ranges'!$B$135, IF(D43='Tables &amp; Ranges'!$A$136, 'Tables &amp; Ranges'!$B$136, IF(D43='Tables &amp; Ranges'!$A$99, 'Tables &amp; Ranges'!$B$116, VLOOKUP(X43,'Fixture Table'!$C$3:$M$1785, 10, FALSE))))))</f>
        <v>#N/A</v>
      </c>
      <c r="B43" s="249"/>
      <c r="C43" s="249"/>
      <c r="D43" s="2">
        <f>IFERROR(_xlfn.IFNA(VLOOKUP(F43,Summary_Pre!E:F,2,FALSE),0),0)</f>
        <v>0</v>
      </c>
      <c r="E43" s="249" t="e">
        <f t="shared" si="3"/>
        <v>#N/A</v>
      </c>
      <c r="F43" s="2" t="e">
        <f t="array" ref="F43">INDEX(Summary_Pre!E$4:E$303, MATCH(0, COUNTIF($F$2:F42,Summary_Pre!E$4:E$303), 0))</f>
        <v>#N/A</v>
      </c>
      <c r="G43" s="271" t="e">
        <f>VLOOKUP(X43,Table7[[#All],[FIXTURE CODE]:[WATT/ FIXT]], 6, FALSE)</f>
        <v>#N/A</v>
      </c>
      <c r="H43" s="271" t="e">
        <f>VLOOKUP(Y43,Table7[[#All],[FIXTURE CODE]:[WATT/ FIXT]], 6, FALSE)</f>
        <v>#N/A</v>
      </c>
      <c r="I43" s="272">
        <f>SUMIF(Summary_Pre!E:E,"="&amp;F43,Summary_Pre!D:D)</f>
        <v>0</v>
      </c>
      <c r="J43" s="263">
        <f>SUMIF(Summary_Pre!E:E,"="&amp;F43,Summary_Pre!H:H)</f>
        <v>0</v>
      </c>
      <c r="K43" s="262">
        <f>SUMIF(Summary_Pre!E:E,"="&amp; F43,Summary_Pre!I:I)</f>
        <v>0</v>
      </c>
      <c r="L43" s="3">
        <f>SUMIF(Summary_Pre!E:E,"="&amp; F43,Summary_Pre!J:J)</f>
        <v>0</v>
      </c>
      <c r="M43" s="285">
        <f>SUMIF(Summary_Pre!E:E,"="&amp; F43,Summary_Pre!K:K)</f>
        <v>0</v>
      </c>
      <c r="N43" s="285">
        <f>SUMIF(Summary_Pre!E:E,"="&amp;F43,Summary_Pre!C:C)</f>
        <v>0</v>
      </c>
      <c r="O43" s="266">
        <f t="shared" si="4"/>
        <v>0</v>
      </c>
      <c r="P43" s="3"/>
      <c r="Q43" s="3"/>
      <c r="R43" s="3"/>
      <c r="S43" s="3"/>
      <c r="T43" s="3"/>
      <c r="U43" s="3"/>
      <c r="V43" s="3"/>
      <c r="W43" s="2"/>
      <c r="X43" s="281" t="e">
        <f t="shared" si="1"/>
        <v>#N/A</v>
      </c>
      <c r="Y43" s="279" t="e">
        <f t="shared" si="2"/>
        <v>#N/A</v>
      </c>
    </row>
    <row r="44" spans="1:43" s="300" customFormat="1">
      <c r="A44" s="289" t="e">
        <f>IF(D44='Tables &amp; Ranges'!$A$133, 'Tables &amp; Ranges'!$B$133, IF(D44='Tables &amp; Ranges'!$A$134, 'Tables &amp; Ranges'!$B$134, IF(D44='Tables &amp; Ranges'!$A$135, 'Tables &amp; Ranges'!$B$135, IF(D44='Tables &amp; Ranges'!$A$136, 'Tables &amp; Ranges'!$B$136, IF(D44='Tables &amp; Ranges'!$A$99, 'Tables &amp; Ranges'!$B$116, VLOOKUP(X44,'Fixture Table'!$C$3:$M$1785, 10, FALSE))))))</f>
        <v>#N/A</v>
      </c>
      <c r="B44" s="289"/>
      <c r="C44" s="289"/>
      <c r="D44" s="290">
        <f>IFERROR(_xlfn.IFNA(VLOOKUP(F44,Summary_Pre!E:F,2,FALSE),0),0)</f>
        <v>0</v>
      </c>
      <c r="E44" s="249" t="e">
        <f t="shared" si="3"/>
        <v>#N/A</v>
      </c>
      <c r="F44" s="290" t="e">
        <f t="array" ref="F44">INDEX(Summary_Pre!E$4:E$303, MATCH(0, COUNTIF($F$2:F43,Summary_Pre!E$4:E$303), 0))</f>
        <v>#N/A</v>
      </c>
      <c r="G44" s="291" t="e">
        <f>VLOOKUP(X44,Table7[[#All],[FIXTURE CODE]:[WATT/ FIXT]], 6, FALSE)</f>
        <v>#N/A</v>
      </c>
      <c r="H44" s="291" t="e">
        <f>VLOOKUP(Y44,Table7[[#All],[FIXTURE CODE]:[WATT/ FIXT]], 6, FALSE)</f>
        <v>#N/A</v>
      </c>
      <c r="I44" s="292">
        <f>SUMIF(Summary_Pre!E:E,"="&amp;F44,Summary_Pre!D:D)</f>
        <v>0</v>
      </c>
      <c r="J44" s="293">
        <f>SUMIF(Summary_Pre!E:E,"="&amp;F44,Summary_Pre!H:H)</f>
        <v>0</v>
      </c>
      <c r="K44" s="294">
        <f>SUMIF(Summary_Pre!E:E,"="&amp; F44,Summary_Pre!I:I)</f>
        <v>0</v>
      </c>
      <c r="L44" s="295">
        <f>SUMIF(Summary_Pre!E:E,"="&amp; F44,Summary_Pre!J:J)</f>
        <v>0</v>
      </c>
      <c r="M44" s="296">
        <f>SUMIF(Summary_Pre!E:E,"="&amp; F44,Summary_Pre!K:K)</f>
        <v>0</v>
      </c>
      <c r="N44" s="296">
        <f>SUMIF(Summary_Pre!E:E,"="&amp;F44,Summary_Pre!C:C)</f>
        <v>0</v>
      </c>
      <c r="O44" s="297">
        <f t="shared" si="4"/>
        <v>0</v>
      </c>
      <c r="P44" s="295"/>
      <c r="Q44" s="295"/>
      <c r="R44" s="295"/>
      <c r="S44" s="295"/>
      <c r="T44" s="295"/>
      <c r="U44" s="295"/>
      <c r="V44" s="295"/>
      <c r="W44" s="290"/>
      <c r="X44" s="298" t="e">
        <f t="shared" si="1"/>
        <v>#N/A</v>
      </c>
      <c r="Y44" s="298" t="e">
        <f t="shared" si="2"/>
        <v>#N/A</v>
      </c>
      <c r="Z44" s="299"/>
      <c r="AA44" s="299"/>
      <c r="AB44" s="299"/>
      <c r="AC44" s="299"/>
      <c r="AD44" s="299"/>
      <c r="AE44" s="299"/>
      <c r="AF44" s="299"/>
      <c r="AG44" s="299"/>
      <c r="AH44" s="299"/>
      <c r="AI44" s="299"/>
      <c r="AJ44" s="299"/>
      <c r="AK44" s="299"/>
      <c r="AL44" s="299"/>
      <c r="AM44" s="299"/>
      <c r="AN44" s="299"/>
      <c r="AO44" s="299"/>
      <c r="AP44" s="299"/>
      <c r="AQ44" s="299"/>
    </row>
    <row r="45" spans="1:43">
      <c r="A45" s="249" t="e">
        <f>IF(D45='Tables &amp; Ranges'!$A$133, 'Tables &amp; Ranges'!$B$133, IF(D45='Tables &amp; Ranges'!$A$134, 'Tables &amp; Ranges'!$B$134, IF(D45='Tables &amp; Ranges'!$A$135, 'Tables &amp; Ranges'!$B$135, IF(D45='Tables &amp; Ranges'!$A$136, 'Tables &amp; Ranges'!$B$136, IF(D45='Tables &amp; Ranges'!$A$99, 'Tables &amp; Ranges'!$B$116, VLOOKUP(X45,'Fixture Table'!$C$3:$M$1785, 10, FALSE))))))</f>
        <v>#N/A</v>
      </c>
      <c r="B45" s="249"/>
      <c r="C45" s="249"/>
      <c r="D45" s="2">
        <f>IFERROR(_xlfn.IFNA(VLOOKUP(F45,Summary_Pre!E:F,2,FALSE),0),0)</f>
        <v>0</v>
      </c>
      <c r="E45" s="249" t="e">
        <f t="shared" si="3"/>
        <v>#N/A</v>
      </c>
      <c r="F45" s="2" t="e">
        <f t="array" ref="F45">INDEX(Summary_Pre!E$4:E$303, MATCH(0, COUNTIF($F$2:F44,Summary_Pre!E$4:E$303), 0))</f>
        <v>#N/A</v>
      </c>
      <c r="G45" s="271" t="e">
        <f>VLOOKUP(X45,Table7[[#All],[FIXTURE CODE]:[WATT/ FIXT]], 6, FALSE)</f>
        <v>#N/A</v>
      </c>
      <c r="H45" s="271" t="e">
        <f>VLOOKUP(Y45,Table7[[#All],[FIXTURE CODE]:[WATT/ FIXT]], 6, FALSE)</f>
        <v>#N/A</v>
      </c>
      <c r="I45" s="272">
        <f>SUMIF(Summary_Pre!E:E,"="&amp;F45,Summary_Pre!D:D)</f>
        <v>0</v>
      </c>
      <c r="J45" s="263">
        <f>SUMIF(Summary_Pre!E:E,"="&amp;F45,Summary_Pre!H:H)</f>
        <v>0</v>
      </c>
      <c r="K45" s="262">
        <f>SUMIF(Summary_Pre!E:E,"="&amp; F45,Summary_Pre!I:I)</f>
        <v>0</v>
      </c>
      <c r="L45" s="3">
        <f>SUMIF(Summary_Pre!E:E,"="&amp; F45,Summary_Pre!J:J)</f>
        <v>0</v>
      </c>
      <c r="M45" s="285">
        <f>SUMIF(Summary_Pre!E:E,"="&amp; F45,Summary_Pre!K:K)</f>
        <v>0</v>
      </c>
      <c r="N45" s="285">
        <f>SUMIF(Summary_Pre!E:E,"="&amp;F45,Summary_Pre!C:C)</f>
        <v>0</v>
      </c>
      <c r="O45" s="266">
        <f t="shared" si="4"/>
        <v>0</v>
      </c>
      <c r="P45" s="3"/>
      <c r="Q45" s="3"/>
      <c r="R45" s="3"/>
      <c r="S45" s="3"/>
      <c r="T45" s="3"/>
      <c r="U45" s="3"/>
      <c r="V45" s="3"/>
      <c r="W45" s="2"/>
      <c r="X45" s="281" t="e">
        <f t="shared" si="1"/>
        <v>#N/A</v>
      </c>
      <c r="Y45" s="279" t="e">
        <f t="shared" si="2"/>
        <v>#N/A</v>
      </c>
    </row>
    <row r="46" spans="1:43" s="300" customFormat="1">
      <c r="A46" s="289" t="e">
        <f>IF(D46='Tables &amp; Ranges'!$A$133, 'Tables &amp; Ranges'!$B$133, IF(D46='Tables &amp; Ranges'!$A$134, 'Tables &amp; Ranges'!$B$134, IF(D46='Tables &amp; Ranges'!$A$135, 'Tables &amp; Ranges'!$B$135, IF(D46='Tables &amp; Ranges'!$A$136, 'Tables &amp; Ranges'!$B$136, IF(D46='Tables &amp; Ranges'!$A$99, 'Tables &amp; Ranges'!$B$116, VLOOKUP(X46,'Fixture Table'!$C$3:$M$1785, 10, FALSE))))))</f>
        <v>#N/A</v>
      </c>
      <c r="B46" s="289"/>
      <c r="C46" s="289"/>
      <c r="D46" s="290">
        <f>IFERROR(_xlfn.IFNA(VLOOKUP(F46,Summary_Pre!E:F,2,FALSE),0),0)</f>
        <v>0</v>
      </c>
      <c r="E46" s="249" t="e">
        <f t="shared" si="3"/>
        <v>#N/A</v>
      </c>
      <c r="F46" s="290" t="e">
        <f t="array" ref="F46">INDEX(Summary_Pre!E$4:E$303, MATCH(0, COUNTIF($F$2:F45,Summary_Pre!E$4:E$303), 0))</f>
        <v>#N/A</v>
      </c>
      <c r="G46" s="291" t="e">
        <f>VLOOKUP(X46,Table7[[#All],[FIXTURE CODE]:[WATT/ FIXT]], 6, FALSE)</f>
        <v>#N/A</v>
      </c>
      <c r="H46" s="291" t="e">
        <f>VLOOKUP(Y46,Table7[[#All],[FIXTURE CODE]:[WATT/ FIXT]], 6, FALSE)</f>
        <v>#N/A</v>
      </c>
      <c r="I46" s="292">
        <f>SUMIF(Summary_Pre!E:E,"="&amp;F46,Summary_Pre!D:D)</f>
        <v>0</v>
      </c>
      <c r="J46" s="293">
        <f>SUMIF(Summary_Pre!E:E,"="&amp;F46,Summary_Pre!H:H)</f>
        <v>0</v>
      </c>
      <c r="K46" s="294">
        <f>SUMIF(Summary_Pre!E:E,"="&amp; F46,Summary_Pre!I:I)</f>
        <v>0</v>
      </c>
      <c r="L46" s="295">
        <f>SUMIF(Summary_Pre!E:E,"="&amp; F46,Summary_Pre!J:J)</f>
        <v>0</v>
      </c>
      <c r="M46" s="296">
        <f>SUMIF(Summary_Pre!E:E,"="&amp; F46,Summary_Pre!K:K)</f>
        <v>0</v>
      </c>
      <c r="N46" s="296">
        <f>SUMIF(Summary_Pre!E:E,"="&amp;F46,Summary_Pre!C:C)</f>
        <v>0</v>
      </c>
      <c r="O46" s="297">
        <f t="shared" si="4"/>
        <v>0</v>
      </c>
      <c r="P46" s="295"/>
      <c r="Q46" s="295"/>
      <c r="R46" s="295"/>
      <c r="S46" s="295"/>
      <c r="T46" s="295"/>
      <c r="U46" s="295"/>
      <c r="V46" s="295"/>
      <c r="W46" s="290"/>
      <c r="X46" s="298" t="e">
        <f t="shared" si="1"/>
        <v>#N/A</v>
      </c>
      <c r="Y46" s="298" t="e">
        <f t="shared" si="2"/>
        <v>#N/A</v>
      </c>
      <c r="Z46" s="299"/>
      <c r="AA46" s="299"/>
      <c r="AB46" s="299"/>
      <c r="AC46" s="299"/>
      <c r="AD46" s="299"/>
      <c r="AE46" s="299"/>
      <c r="AF46" s="299"/>
      <c r="AG46" s="299"/>
      <c r="AH46" s="299"/>
      <c r="AI46" s="299"/>
      <c r="AJ46" s="299"/>
      <c r="AK46" s="299"/>
      <c r="AL46" s="299"/>
      <c r="AM46" s="299"/>
      <c r="AN46" s="299"/>
      <c r="AO46" s="299"/>
      <c r="AP46" s="299"/>
      <c r="AQ46" s="299"/>
    </row>
    <row r="47" spans="1:43">
      <c r="A47" s="249" t="e">
        <f>IF(D47='Tables &amp; Ranges'!$A$133, 'Tables &amp; Ranges'!$B$133, IF(D47='Tables &amp; Ranges'!$A$134, 'Tables &amp; Ranges'!$B$134, IF(D47='Tables &amp; Ranges'!$A$135, 'Tables &amp; Ranges'!$B$135, IF(D47='Tables &amp; Ranges'!$A$136, 'Tables &amp; Ranges'!$B$136, IF(D47='Tables &amp; Ranges'!$A$99, 'Tables &amp; Ranges'!$B$116, VLOOKUP(X47,'Fixture Table'!$C$3:$M$1785, 10, FALSE))))))</f>
        <v>#N/A</v>
      </c>
      <c r="B47" s="249"/>
      <c r="C47" s="249"/>
      <c r="D47" s="2">
        <f>IFERROR(_xlfn.IFNA(VLOOKUP(F47,Summary_Pre!E:F,2,FALSE),0),0)</f>
        <v>0</v>
      </c>
      <c r="E47" s="249" t="e">
        <f t="shared" si="3"/>
        <v>#N/A</v>
      </c>
      <c r="F47" s="2" t="e">
        <f t="array" ref="F47">INDEX(Summary_Pre!E$4:E$303, MATCH(0, COUNTIF($F$2:F46,Summary_Pre!E$4:E$303), 0))</f>
        <v>#N/A</v>
      </c>
      <c r="G47" s="271" t="e">
        <f>VLOOKUP(X47,Table7[[#All],[FIXTURE CODE]:[WATT/ FIXT]], 6, FALSE)</f>
        <v>#N/A</v>
      </c>
      <c r="H47" s="271" t="e">
        <f>VLOOKUP(Y47,Table7[[#All],[FIXTURE CODE]:[WATT/ FIXT]], 6, FALSE)</f>
        <v>#N/A</v>
      </c>
      <c r="I47" s="272">
        <f>SUMIF(Summary_Pre!E:E,"="&amp;F47,Summary_Pre!D:D)</f>
        <v>0</v>
      </c>
      <c r="J47" s="263">
        <f>SUMIF(Summary_Pre!E:E,"="&amp;F47,Summary_Pre!H:H)</f>
        <v>0</v>
      </c>
      <c r="K47" s="262">
        <f>SUMIF(Summary_Pre!E:E,"="&amp; F47,Summary_Pre!I:I)</f>
        <v>0</v>
      </c>
      <c r="L47" s="3">
        <f>SUMIF(Summary_Pre!E:E,"="&amp; F47,Summary_Pre!J:J)</f>
        <v>0</v>
      </c>
      <c r="M47" s="285">
        <f>SUMIF(Summary_Pre!E:E,"="&amp; F47,Summary_Pre!K:K)</f>
        <v>0</v>
      </c>
      <c r="N47" s="285">
        <f>SUMIF(Summary_Pre!E:E,"="&amp;F47,Summary_Pre!C:C)</f>
        <v>0</v>
      </c>
      <c r="O47" s="266">
        <f t="shared" si="4"/>
        <v>0</v>
      </c>
      <c r="P47" s="3"/>
      <c r="Q47" s="3"/>
      <c r="R47" s="3"/>
      <c r="S47" s="3"/>
      <c r="T47" s="3"/>
      <c r="U47" s="3"/>
      <c r="V47" s="3"/>
      <c r="W47" s="2"/>
      <c r="X47" s="281" t="e">
        <f t="shared" si="1"/>
        <v>#N/A</v>
      </c>
      <c r="Y47" s="279" t="e">
        <f t="shared" si="2"/>
        <v>#N/A</v>
      </c>
    </row>
    <row r="48" spans="1:43" s="300" customFormat="1">
      <c r="A48" s="289" t="e">
        <f>IF(D48='Tables &amp; Ranges'!$A$133, 'Tables &amp; Ranges'!$B$133, IF(D48='Tables &amp; Ranges'!$A$134, 'Tables &amp; Ranges'!$B$134, IF(D48='Tables &amp; Ranges'!$A$135, 'Tables &amp; Ranges'!$B$135, IF(D48='Tables &amp; Ranges'!$A$136, 'Tables &amp; Ranges'!$B$136, IF(D48='Tables &amp; Ranges'!$A$99, 'Tables &amp; Ranges'!$B$116, VLOOKUP(X48,'Fixture Table'!$C$3:$M$1785, 10, FALSE))))))</f>
        <v>#N/A</v>
      </c>
      <c r="B48" s="289"/>
      <c r="C48" s="289"/>
      <c r="D48" s="290">
        <f>IFERROR(_xlfn.IFNA(VLOOKUP(F48,Summary_Pre!E:F,2,FALSE),0),0)</f>
        <v>0</v>
      </c>
      <c r="E48" s="249" t="e">
        <f t="shared" si="3"/>
        <v>#N/A</v>
      </c>
      <c r="F48" s="290" t="e">
        <f t="array" ref="F48">INDEX(Summary_Pre!E$4:E$303, MATCH(0, COUNTIF($F$2:F47,Summary_Pre!E$4:E$303), 0))</f>
        <v>#N/A</v>
      </c>
      <c r="G48" s="291" t="e">
        <f>VLOOKUP(X48,Table7[[#All],[FIXTURE CODE]:[WATT/ FIXT]], 6, FALSE)</f>
        <v>#N/A</v>
      </c>
      <c r="H48" s="291" t="e">
        <f>VLOOKUP(Y48,Table7[[#All],[FIXTURE CODE]:[WATT/ FIXT]], 6, FALSE)</f>
        <v>#N/A</v>
      </c>
      <c r="I48" s="292">
        <f>SUMIF(Summary_Pre!E:E,"="&amp;F48,Summary_Pre!D:D)</f>
        <v>0</v>
      </c>
      <c r="J48" s="293">
        <f>SUMIF(Summary_Pre!E:E,"="&amp;F48,Summary_Pre!H:H)</f>
        <v>0</v>
      </c>
      <c r="K48" s="294">
        <f>SUMIF(Summary_Pre!E:E,"="&amp; F48,Summary_Pre!I:I)</f>
        <v>0</v>
      </c>
      <c r="L48" s="295">
        <f>SUMIF(Summary_Pre!E:E,"="&amp; F48,Summary_Pre!J:J)</f>
        <v>0</v>
      </c>
      <c r="M48" s="296">
        <f>SUMIF(Summary_Pre!E:E,"="&amp; F48,Summary_Pre!K:K)</f>
        <v>0</v>
      </c>
      <c r="N48" s="296">
        <f>SUMIF(Summary_Pre!E:E,"="&amp;F48,Summary_Pre!C:C)</f>
        <v>0</v>
      </c>
      <c r="O48" s="297">
        <f t="shared" si="4"/>
        <v>0</v>
      </c>
      <c r="P48" s="295"/>
      <c r="Q48" s="295"/>
      <c r="R48" s="295"/>
      <c r="S48" s="295"/>
      <c r="T48" s="295"/>
      <c r="U48" s="295"/>
      <c r="V48" s="295"/>
      <c r="W48" s="290"/>
      <c r="X48" s="298" t="e">
        <f t="shared" si="1"/>
        <v>#N/A</v>
      </c>
      <c r="Y48" s="298" t="e">
        <f t="shared" si="2"/>
        <v>#N/A</v>
      </c>
      <c r="Z48" s="299"/>
      <c r="AA48" s="299"/>
      <c r="AB48" s="299"/>
      <c r="AC48" s="299"/>
      <c r="AD48" s="299"/>
      <c r="AE48" s="299"/>
      <c r="AF48" s="299"/>
      <c r="AG48" s="299"/>
      <c r="AH48" s="299"/>
      <c r="AI48" s="299"/>
      <c r="AJ48" s="299"/>
      <c r="AK48" s="299"/>
      <c r="AL48" s="299"/>
      <c r="AM48" s="299"/>
      <c r="AN48" s="299"/>
      <c r="AO48" s="299"/>
      <c r="AP48" s="299"/>
      <c r="AQ48" s="299"/>
    </row>
    <row r="49" spans="1:43">
      <c r="A49" s="249" t="e">
        <f>IF(D49='Tables &amp; Ranges'!$A$133, 'Tables &amp; Ranges'!$B$133, IF(D49='Tables &amp; Ranges'!$A$134, 'Tables &amp; Ranges'!$B$134, IF(D49='Tables &amp; Ranges'!$A$135, 'Tables &amp; Ranges'!$B$135, IF(D49='Tables &amp; Ranges'!$A$136, 'Tables &amp; Ranges'!$B$136, IF(D49='Tables &amp; Ranges'!$A$99, 'Tables &amp; Ranges'!$B$116, VLOOKUP(X49,'Fixture Table'!$C$3:$M$1785, 10, FALSE))))))</f>
        <v>#N/A</v>
      </c>
      <c r="B49" s="249"/>
      <c r="C49" s="249"/>
      <c r="D49" s="2">
        <f>IFERROR(_xlfn.IFNA(VLOOKUP(F49,Summary_Pre!E:F,2,FALSE),0),0)</f>
        <v>0</v>
      </c>
      <c r="E49" s="249" t="e">
        <f t="shared" si="3"/>
        <v>#N/A</v>
      </c>
      <c r="F49" s="2" t="e">
        <f t="array" ref="F49">INDEX(Summary_Pre!E$4:E$303, MATCH(0, COUNTIF($F$2:F48,Summary_Pre!E$4:E$303), 0))</f>
        <v>#N/A</v>
      </c>
      <c r="G49" s="271" t="e">
        <f>VLOOKUP(X49,Table7[[#All],[FIXTURE CODE]:[WATT/ FIXT]], 6, FALSE)</f>
        <v>#N/A</v>
      </c>
      <c r="H49" s="271" t="e">
        <f>VLOOKUP(Y49,Table7[[#All],[FIXTURE CODE]:[WATT/ FIXT]], 6, FALSE)</f>
        <v>#N/A</v>
      </c>
      <c r="I49" s="272">
        <f>SUMIF(Summary_Pre!E:E,"="&amp;F49,Summary_Pre!D:D)</f>
        <v>0</v>
      </c>
      <c r="J49" s="263">
        <f>SUMIF(Summary_Pre!E:E,"="&amp;F49,Summary_Pre!H:H)</f>
        <v>0</v>
      </c>
      <c r="K49" s="262">
        <f>SUMIF(Summary_Pre!E:E,"="&amp; F49,Summary_Pre!I:I)</f>
        <v>0</v>
      </c>
      <c r="L49" s="3">
        <f>SUMIF(Summary_Pre!E:E,"="&amp; F49,Summary_Pre!J:J)</f>
        <v>0</v>
      </c>
      <c r="M49" s="285">
        <f>SUMIF(Summary_Pre!E:E,"="&amp; F49,Summary_Pre!K:K)</f>
        <v>0</v>
      </c>
      <c r="N49" s="285">
        <f>SUMIF(Summary_Pre!E:E,"="&amp;F49,Summary_Pre!C:C)</f>
        <v>0</v>
      </c>
      <c r="O49" s="266">
        <f t="shared" si="4"/>
        <v>0</v>
      </c>
      <c r="P49" s="3"/>
      <c r="Q49" s="3"/>
      <c r="R49" s="3"/>
      <c r="S49" s="3"/>
      <c r="T49" s="3"/>
      <c r="U49" s="3"/>
      <c r="V49" s="3"/>
      <c r="W49" s="2"/>
      <c r="X49" s="281" t="e">
        <f t="shared" si="1"/>
        <v>#N/A</v>
      </c>
      <c r="Y49" s="279" t="e">
        <f t="shared" si="2"/>
        <v>#N/A</v>
      </c>
    </row>
    <row r="50" spans="1:43" s="300" customFormat="1">
      <c r="A50" s="289" t="e">
        <f>IF(D50='Tables &amp; Ranges'!$A$133, 'Tables &amp; Ranges'!$B$133, IF(D50='Tables &amp; Ranges'!$A$134, 'Tables &amp; Ranges'!$B$134, IF(D50='Tables &amp; Ranges'!$A$135, 'Tables &amp; Ranges'!$B$135, IF(D50='Tables &amp; Ranges'!$A$136, 'Tables &amp; Ranges'!$B$136, IF(D50='Tables &amp; Ranges'!$A$99, 'Tables &amp; Ranges'!$B$116, VLOOKUP(X50,'Fixture Table'!$C$3:$M$1785, 10, FALSE))))))</f>
        <v>#N/A</v>
      </c>
      <c r="B50" s="289"/>
      <c r="C50" s="289"/>
      <c r="D50" s="290">
        <f>IFERROR(_xlfn.IFNA(VLOOKUP(F50,Summary_Pre!E:F,2,FALSE),0),0)</f>
        <v>0</v>
      </c>
      <c r="E50" s="249" t="e">
        <f t="shared" si="3"/>
        <v>#N/A</v>
      </c>
      <c r="F50" s="290" t="e">
        <f t="array" ref="F50">INDEX(Summary_Pre!E$4:E$303, MATCH(0, COUNTIF($F$2:F49,Summary_Pre!E$4:E$303), 0))</f>
        <v>#N/A</v>
      </c>
      <c r="G50" s="291" t="e">
        <f>VLOOKUP(X50,Table7[[#All],[FIXTURE CODE]:[WATT/ FIXT]], 6, FALSE)</f>
        <v>#N/A</v>
      </c>
      <c r="H50" s="291" t="e">
        <f>VLOOKUP(Y50,Table7[[#All],[FIXTURE CODE]:[WATT/ FIXT]], 6, FALSE)</f>
        <v>#N/A</v>
      </c>
      <c r="I50" s="292">
        <f>SUMIF(Summary_Pre!E:E,"="&amp;F50,Summary_Pre!D:D)</f>
        <v>0</v>
      </c>
      <c r="J50" s="293">
        <f>SUMIF(Summary_Pre!E:E,"="&amp;F50,Summary_Pre!H:H)</f>
        <v>0</v>
      </c>
      <c r="K50" s="294">
        <f>SUMIF(Summary_Pre!E:E,"="&amp; F50,Summary_Pre!I:I)</f>
        <v>0</v>
      </c>
      <c r="L50" s="295">
        <f>SUMIF(Summary_Pre!E:E,"="&amp; F50,Summary_Pre!J:J)</f>
        <v>0</v>
      </c>
      <c r="M50" s="296">
        <f>SUMIF(Summary_Pre!E:E,"="&amp; F50,Summary_Pre!K:K)</f>
        <v>0</v>
      </c>
      <c r="N50" s="296">
        <f>SUMIF(Summary_Pre!E:E,"="&amp;F50,Summary_Pre!C:C)</f>
        <v>0</v>
      </c>
      <c r="O50" s="297">
        <f t="shared" si="4"/>
        <v>0</v>
      </c>
      <c r="P50" s="295"/>
      <c r="Q50" s="295"/>
      <c r="R50" s="295"/>
      <c r="S50" s="295"/>
      <c r="T50" s="295"/>
      <c r="U50" s="295"/>
      <c r="V50" s="295"/>
      <c r="W50" s="290"/>
      <c r="X50" s="298" t="e">
        <f t="shared" si="1"/>
        <v>#N/A</v>
      </c>
      <c r="Y50" s="298" t="e">
        <f t="shared" si="2"/>
        <v>#N/A</v>
      </c>
      <c r="Z50" s="299"/>
      <c r="AA50" s="299"/>
      <c r="AB50" s="299"/>
      <c r="AC50" s="299"/>
      <c r="AD50" s="299"/>
      <c r="AE50" s="299"/>
      <c r="AF50" s="299"/>
      <c r="AG50" s="299"/>
      <c r="AH50" s="299"/>
      <c r="AI50" s="299"/>
      <c r="AJ50" s="299"/>
      <c r="AK50" s="299"/>
      <c r="AL50" s="299"/>
      <c r="AM50" s="299"/>
      <c r="AN50" s="299"/>
      <c r="AO50" s="299"/>
      <c r="AP50" s="299"/>
      <c r="AQ50" s="299"/>
    </row>
    <row r="51" spans="1:43">
      <c r="A51" s="249" t="e">
        <f>IF(D51='Tables &amp; Ranges'!$A$133, 'Tables &amp; Ranges'!$B$133, IF(D51='Tables &amp; Ranges'!$A$134, 'Tables &amp; Ranges'!$B$134, IF(D51='Tables &amp; Ranges'!$A$135, 'Tables &amp; Ranges'!$B$135, IF(D51='Tables &amp; Ranges'!$A$136, 'Tables &amp; Ranges'!$B$136, IF(D51='Tables &amp; Ranges'!$A$99, 'Tables &amp; Ranges'!$B$116, VLOOKUP(X51,'Fixture Table'!$C$3:$M$1785, 10, FALSE))))))</f>
        <v>#N/A</v>
      </c>
      <c r="B51" s="249"/>
      <c r="C51" s="249"/>
      <c r="D51" s="2">
        <f>IFERROR(_xlfn.IFNA(VLOOKUP(F51,Summary_Pre!E:F,2,FALSE),0),0)</f>
        <v>0</v>
      </c>
      <c r="E51" s="249" t="e">
        <f t="shared" si="3"/>
        <v>#N/A</v>
      </c>
      <c r="F51" s="2" t="e">
        <f t="array" ref="F51">INDEX(Summary_Pre!E$4:E$303, MATCH(0, COUNTIF($F$2:F50,Summary_Pre!E$4:E$303), 0))</f>
        <v>#N/A</v>
      </c>
      <c r="G51" s="271" t="e">
        <f>VLOOKUP(X51,Table7[[#All],[FIXTURE CODE]:[WATT/ FIXT]], 6, FALSE)</f>
        <v>#N/A</v>
      </c>
      <c r="H51" s="271" t="e">
        <f>VLOOKUP(Y51,Table7[[#All],[FIXTURE CODE]:[WATT/ FIXT]], 6, FALSE)</f>
        <v>#N/A</v>
      </c>
      <c r="I51" s="272">
        <f>SUMIF(Summary_Pre!E:E,"="&amp;F51,Summary_Pre!D:D)</f>
        <v>0</v>
      </c>
      <c r="J51" s="263">
        <f>SUMIF(Summary_Pre!E:E,"="&amp;F51,Summary_Pre!H:H)</f>
        <v>0</v>
      </c>
      <c r="K51" s="262">
        <f>SUMIF(Summary_Pre!E:E,"="&amp; F51,Summary_Pre!I:I)</f>
        <v>0</v>
      </c>
      <c r="L51" s="3">
        <f>SUMIF(Summary_Pre!E:E,"="&amp; F51,Summary_Pre!J:J)</f>
        <v>0</v>
      </c>
      <c r="M51" s="285">
        <f>SUMIF(Summary_Pre!E:E,"="&amp; F51,Summary_Pre!K:K)</f>
        <v>0</v>
      </c>
      <c r="N51" s="285">
        <f>SUMIF(Summary_Pre!E:E,"="&amp;F51,Summary_Pre!C:C)</f>
        <v>0</v>
      </c>
      <c r="O51" s="266">
        <f t="shared" si="4"/>
        <v>0</v>
      </c>
      <c r="P51" s="3"/>
      <c r="Q51" s="3"/>
      <c r="R51" s="3"/>
      <c r="S51" s="3"/>
      <c r="T51" s="3"/>
      <c r="U51" s="3"/>
      <c r="V51" s="3"/>
      <c r="W51" s="2"/>
      <c r="X51" s="281" t="e">
        <f t="shared" si="1"/>
        <v>#N/A</v>
      </c>
      <c r="Y51" s="279" t="e">
        <f t="shared" si="2"/>
        <v>#N/A</v>
      </c>
    </row>
    <row r="52" spans="1:43" s="300" customFormat="1">
      <c r="A52" s="289" t="e">
        <f>IF(D52='Tables &amp; Ranges'!$A$133, 'Tables &amp; Ranges'!$B$133, IF(D52='Tables &amp; Ranges'!$A$134, 'Tables &amp; Ranges'!$B$134, IF(D52='Tables &amp; Ranges'!$A$135, 'Tables &amp; Ranges'!$B$135, IF(D52='Tables &amp; Ranges'!$A$136, 'Tables &amp; Ranges'!$B$136, IF(D52='Tables &amp; Ranges'!$A$99, 'Tables &amp; Ranges'!$B$116, VLOOKUP(X52,'Fixture Table'!$C$3:$M$1785, 10, FALSE))))))</f>
        <v>#N/A</v>
      </c>
      <c r="B52" s="289"/>
      <c r="C52" s="289"/>
      <c r="D52" s="290">
        <f>IFERROR(_xlfn.IFNA(VLOOKUP(F52,Summary_Pre!E:F,2,FALSE),0),0)</f>
        <v>0</v>
      </c>
      <c r="E52" s="249" t="e">
        <f t="shared" si="3"/>
        <v>#N/A</v>
      </c>
      <c r="F52" s="290" t="e">
        <f t="array" ref="F52">INDEX(Summary_Pre!E$4:E$303, MATCH(0, COUNTIF($F$2:F51,Summary_Pre!E$4:E$303), 0))</f>
        <v>#N/A</v>
      </c>
      <c r="G52" s="291" t="e">
        <f>VLOOKUP(X52,Table7[[#All],[FIXTURE CODE]:[WATT/ FIXT]], 6, FALSE)</f>
        <v>#N/A</v>
      </c>
      <c r="H52" s="291" t="e">
        <f>VLOOKUP(Y52,Table7[[#All],[FIXTURE CODE]:[WATT/ FIXT]], 6, FALSE)</f>
        <v>#N/A</v>
      </c>
      <c r="I52" s="292">
        <f>SUMIF(Summary_Pre!E:E,"="&amp;F52,Summary_Pre!D:D)</f>
        <v>0</v>
      </c>
      <c r="J52" s="293">
        <f>SUMIF(Summary_Pre!E:E,"="&amp;F52,Summary_Pre!H:H)</f>
        <v>0</v>
      </c>
      <c r="K52" s="294">
        <f>SUMIF(Summary_Pre!E:E,"="&amp; F52,Summary_Pre!I:I)</f>
        <v>0</v>
      </c>
      <c r="L52" s="295">
        <f>SUMIF(Summary_Pre!E:E,"="&amp; F52,Summary_Pre!J:J)</f>
        <v>0</v>
      </c>
      <c r="M52" s="296">
        <f>SUMIF(Summary_Pre!E:E,"="&amp; F52,Summary_Pre!K:K)</f>
        <v>0</v>
      </c>
      <c r="N52" s="296">
        <f>SUMIF(Summary_Pre!E:E,"="&amp;F52,Summary_Pre!C:C)</f>
        <v>0</v>
      </c>
      <c r="O52" s="297">
        <f t="shared" si="4"/>
        <v>0</v>
      </c>
      <c r="P52" s="295"/>
      <c r="Q52" s="295"/>
      <c r="R52" s="295"/>
      <c r="S52" s="295"/>
      <c r="T52" s="295"/>
      <c r="U52" s="295"/>
      <c r="V52" s="295"/>
      <c r="W52" s="290"/>
      <c r="X52" s="298" t="e">
        <f t="shared" si="1"/>
        <v>#N/A</v>
      </c>
      <c r="Y52" s="298" t="e">
        <f t="shared" si="2"/>
        <v>#N/A</v>
      </c>
      <c r="Z52" s="299"/>
      <c r="AA52" s="299"/>
      <c r="AB52" s="299"/>
      <c r="AC52" s="299"/>
      <c r="AD52" s="299"/>
      <c r="AE52" s="299"/>
      <c r="AF52" s="299"/>
      <c r="AG52" s="299"/>
      <c r="AH52" s="299"/>
      <c r="AI52" s="299"/>
      <c r="AJ52" s="299"/>
      <c r="AK52" s="299"/>
      <c r="AL52" s="299"/>
      <c r="AM52" s="299"/>
      <c r="AN52" s="299"/>
      <c r="AO52" s="299"/>
      <c r="AP52" s="299"/>
      <c r="AQ52" s="299"/>
    </row>
    <row r="53" spans="1:43">
      <c r="A53" s="249" t="e">
        <f>IF(D53='Tables &amp; Ranges'!$A$133, 'Tables &amp; Ranges'!$B$133, IF(D53='Tables &amp; Ranges'!$A$134, 'Tables &amp; Ranges'!$B$134, IF(D53='Tables &amp; Ranges'!$A$135, 'Tables &amp; Ranges'!$B$135, IF(D53='Tables &amp; Ranges'!$A$136, 'Tables &amp; Ranges'!$B$136, IF(D53='Tables &amp; Ranges'!$A$99, 'Tables &amp; Ranges'!$B$116, VLOOKUP(X53,'Fixture Table'!$C$3:$M$1785, 10, FALSE))))))</f>
        <v>#N/A</v>
      </c>
      <c r="B53" s="150"/>
      <c r="C53" s="150"/>
      <c r="D53" s="2">
        <f>IFERROR(_xlfn.IFNA(VLOOKUP(F53,Summary_Pre!E:F,2,FALSE),0),0)</f>
        <v>0</v>
      </c>
      <c r="E53" s="249" t="e">
        <f t="shared" si="3"/>
        <v>#N/A</v>
      </c>
      <c r="F53" s="2" t="e">
        <f t="array" ref="F53">INDEX(Summary_Pre!E$4:E$303, MATCH(0, COUNTIF($F$2:F52,Summary_Pre!E$4:E$303), 0))</f>
        <v>#N/A</v>
      </c>
      <c r="G53" s="271" t="e">
        <f>VLOOKUP(X53,Table7[[#All],[FIXTURE CODE]:[WATT/ FIXT]], 6, FALSE)</f>
        <v>#N/A</v>
      </c>
      <c r="H53" s="271" t="e">
        <f>VLOOKUP(Y53,Table7[[#All],[FIXTURE CODE]:[WATT/ FIXT]], 6, FALSE)</f>
        <v>#N/A</v>
      </c>
      <c r="I53" s="272">
        <f>SUMIF(Summary_Pre!E:E,"="&amp;F53,Summary_Pre!D:D)</f>
        <v>0</v>
      </c>
      <c r="J53" s="263">
        <f>SUMIF(Summary_Pre!E:E,"="&amp;F53,Summary_Pre!H:H)</f>
        <v>0</v>
      </c>
      <c r="K53" s="262">
        <f>SUMIF(Summary_Pre!E:E,"="&amp; F53,Summary_Pre!I:I)</f>
        <v>0</v>
      </c>
      <c r="L53" s="3">
        <f>SUMIF(Summary_Pre!E:E,"="&amp; F53,Summary_Pre!J:J)</f>
        <v>0</v>
      </c>
      <c r="M53" s="285">
        <f>SUMIF(Summary_Pre!E:E,"="&amp; F53,Summary_Pre!K:K)</f>
        <v>0</v>
      </c>
      <c r="N53" s="285">
        <f>SUMIF(Summary_Pre!E:E,"="&amp;F53,Summary_Pre!C:C)</f>
        <v>0</v>
      </c>
      <c r="O53" s="266">
        <f t="shared" si="4"/>
        <v>0</v>
      </c>
      <c r="P53" s="3"/>
      <c r="Q53" s="3"/>
      <c r="R53" s="3"/>
      <c r="S53" s="3"/>
      <c r="T53" s="3"/>
      <c r="U53" s="3"/>
      <c r="V53" s="3"/>
      <c r="W53" s="2"/>
      <c r="X53" s="281" t="e">
        <f t="shared" si="1"/>
        <v>#N/A</v>
      </c>
      <c r="Y53" s="279" t="e">
        <f t="shared" si="2"/>
        <v>#N/A</v>
      </c>
    </row>
    <row r="54" spans="1:43" s="300" customFormat="1">
      <c r="A54" s="289" t="e">
        <f>IF(D54='Tables &amp; Ranges'!$A$133, 'Tables &amp; Ranges'!$B$133, IF(D54='Tables &amp; Ranges'!$A$134, 'Tables &amp; Ranges'!$B$134, IF(D54='Tables &amp; Ranges'!$A$135, 'Tables &amp; Ranges'!$B$135, IF(D54='Tables &amp; Ranges'!$A$136, 'Tables &amp; Ranges'!$B$136, IF(D54='Tables &amp; Ranges'!$A$99, 'Tables &amp; Ranges'!$B$116, VLOOKUP(X54,'Fixture Table'!$C$3:$M$1785, 10, FALSE))))))</f>
        <v>#N/A</v>
      </c>
      <c r="D54" s="290">
        <f>IFERROR(_xlfn.IFNA(VLOOKUP(F54,Summary_Pre!E:F,2,FALSE),0),0)</f>
        <v>0</v>
      </c>
      <c r="E54" s="249" t="e">
        <f t="shared" si="3"/>
        <v>#N/A</v>
      </c>
      <c r="F54" s="290" t="e">
        <f t="array" ref="F54">INDEX(Summary_Pre!E$4:E$303, MATCH(0, COUNTIF($F$2:F53,Summary_Pre!E$4:E$303), 0))</f>
        <v>#N/A</v>
      </c>
      <c r="G54" s="291" t="e">
        <f>VLOOKUP(X54,Table7[[#All],[FIXTURE CODE]:[WATT/ FIXT]], 6, FALSE)</f>
        <v>#N/A</v>
      </c>
      <c r="H54" s="291" t="e">
        <f>VLOOKUP(Y54,Table7[[#All],[FIXTURE CODE]:[WATT/ FIXT]], 6, FALSE)</f>
        <v>#N/A</v>
      </c>
      <c r="I54" s="292">
        <f>SUMIF(Summary_Pre!E:E,"="&amp;F54,Summary_Pre!D:D)</f>
        <v>0</v>
      </c>
      <c r="J54" s="293">
        <f>SUMIF(Summary_Pre!E:E,"="&amp;F54,Summary_Pre!H:H)</f>
        <v>0</v>
      </c>
      <c r="K54" s="294">
        <f>SUMIF(Summary_Pre!E:E,"="&amp; F54,Summary_Pre!I:I)</f>
        <v>0</v>
      </c>
      <c r="L54" s="295">
        <f>SUMIF(Summary_Pre!E:E,"="&amp; F54,Summary_Pre!J:J)</f>
        <v>0</v>
      </c>
      <c r="M54" s="296">
        <f>SUMIF(Summary_Pre!E:E,"="&amp; F54,Summary_Pre!K:K)</f>
        <v>0</v>
      </c>
      <c r="N54" s="296">
        <f>SUMIF(Summary_Pre!E:E,"="&amp;F54,Summary_Pre!C:C)</f>
        <v>0</v>
      </c>
      <c r="O54" s="297">
        <f t="shared" si="4"/>
        <v>0</v>
      </c>
      <c r="P54" s="295"/>
      <c r="Q54" s="295"/>
      <c r="R54" s="295"/>
      <c r="S54" s="295"/>
      <c r="T54" s="295"/>
      <c r="U54" s="295"/>
      <c r="V54" s="295"/>
      <c r="W54" s="290"/>
      <c r="X54" s="298" t="e">
        <f t="shared" si="1"/>
        <v>#N/A</v>
      </c>
      <c r="Y54" s="298" t="e">
        <f t="shared" si="2"/>
        <v>#N/A</v>
      </c>
      <c r="Z54" s="299"/>
      <c r="AA54" s="299"/>
      <c r="AB54" s="299"/>
      <c r="AC54" s="299"/>
      <c r="AD54" s="299"/>
      <c r="AE54" s="299"/>
      <c r="AF54" s="299"/>
      <c r="AG54" s="299"/>
      <c r="AH54" s="299"/>
      <c r="AI54" s="299"/>
      <c r="AJ54" s="299"/>
      <c r="AK54" s="299"/>
      <c r="AL54" s="299"/>
      <c r="AM54" s="299"/>
      <c r="AN54" s="299"/>
      <c r="AO54" s="299"/>
      <c r="AP54" s="299"/>
      <c r="AQ54" s="299"/>
    </row>
    <row r="55" spans="1:43">
      <c r="A55" s="249" t="e">
        <f>IF(D55='Tables &amp; Ranges'!$A$133, 'Tables &amp; Ranges'!$B$133, IF(D55='Tables &amp; Ranges'!$A$134, 'Tables &amp; Ranges'!$B$134, IF(D55='Tables &amp; Ranges'!$A$135, 'Tables &amp; Ranges'!$B$135, IF(D55='Tables &amp; Ranges'!$A$136, 'Tables &amp; Ranges'!$B$136, IF(D55='Tables &amp; Ranges'!$A$99, 'Tables &amp; Ranges'!$B$116, VLOOKUP(X55,'Fixture Table'!$C$3:$M$1785, 10, FALSE))))))</f>
        <v>#N/A</v>
      </c>
      <c r="D55" s="2">
        <f>IFERROR(_xlfn.IFNA(VLOOKUP(F55,Summary_Pre!E:F,2,FALSE),0),0)</f>
        <v>0</v>
      </c>
      <c r="E55" s="249" t="e">
        <f t="shared" si="3"/>
        <v>#N/A</v>
      </c>
      <c r="F55" s="2" t="e">
        <f t="array" ref="F55">INDEX(Summary_Pre!E$4:E$303, MATCH(0, COUNTIF($F$2:F54,Summary_Pre!E$4:E$303), 0))</f>
        <v>#N/A</v>
      </c>
      <c r="G55" s="271" t="e">
        <f>VLOOKUP(X55,Table7[[#All],[FIXTURE CODE]:[WATT/ FIXT]], 6, FALSE)</f>
        <v>#N/A</v>
      </c>
      <c r="H55" s="271" t="e">
        <f>VLOOKUP(Y55,Table7[[#All],[FIXTURE CODE]:[WATT/ FIXT]], 6, FALSE)</f>
        <v>#N/A</v>
      </c>
      <c r="I55" s="272">
        <f>SUMIF(Summary_Pre!E:E,"="&amp;F55,Summary_Pre!D:D)</f>
        <v>0</v>
      </c>
      <c r="J55" s="263">
        <f>SUMIF(Summary_Pre!E:E,"="&amp;F55,Summary_Pre!H:H)</f>
        <v>0</v>
      </c>
      <c r="K55" s="262">
        <f>SUMIF(Summary_Pre!E:E,"="&amp; F55,Summary_Pre!I:I)</f>
        <v>0</v>
      </c>
      <c r="L55" s="3">
        <f>SUMIF(Summary_Pre!E:E,"="&amp; F55,Summary_Pre!J:J)</f>
        <v>0</v>
      </c>
      <c r="M55" s="285">
        <f>SUMIF(Summary_Pre!E:E,"="&amp; F55,Summary_Pre!K:K)</f>
        <v>0</v>
      </c>
      <c r="N55" s="285">
        <f>SUMIF(Summary_Pre!E:E,"="&amp;F55,Summary_Pre!C:C)</f>
        <v>0</v>
      </c>
      <c r="O55" s="266">
        <f t="shared" si="4"/>
        <v>0</v>
      </c>
      <c r="P55" s="3"/>
      <c r="Q55" s="3"/>
      <c r="R55" s="3"/>
      <c r="S55" s="3"/>
      <c r="T55" s="3"/>
      <c r="U55" s="3"/>
      <c r="V55" s="3"/>
      <c r="W55" s="2"/>
      <c r="X55" s="281" t="e">
        <f t="shared" si="1"/>
        <v>#N/A</v>
      </c>
      <c r="Y55" s="279" t="e">
        <f t="shared" si="2"/>
        <v>#N/A</v>
      </c>
    </row>
    <row r="56" spans="1:43" s="300" customFormat="1">
      <c r="A56" s="289" t="e">
        <f>IF(D56='Tables &amp; Ranges'!$A$133, 'Tables &amp; Ranges'!$B$133, IF(D56='Tables &amp; Ranges'!$A$134, 'Tables &amp; Ranges'!$B$134, IF(D56='Tables &amp; Ranges'!$A$135, 'Tables &amp; Ranges'!$B$135, IF(D56='Tables &amp; Ranges'!$A$136, 'Tables &amp; Ranges'!$B$136, IF(D56='Tables &amp; Ranges'!$A$99, 'Tables &amp; Ranges'!$B$116, VLOOKUP(X56,'Fixture Table'!$C$3:$M$1785, 10, FALSE))))))</f>
        <v>#N/A</v>
      </c>
      <c r="D56" s="290">
        <f>IFERROR(_xlfn.IFNA(VLOOKUP(F56,Summary_Pre!E:F,2,FALSE),0),0)</f>
        <v>0</v>
      </c>
      <c r="E56" s="249" t="e">
        <f t="shared" si="3"/>
        <v>#N/A</v>
      </c>
      <c r="F56" s="290" t="e">
        <f t="array" ref="F56">INDEX(Summary_Pre!E$4:E$303, MATCH(0, COUNTIF($F$2:F55,Summary_Pre!E$4:E$303), 0))</f>
        <v>#N/A</v>
      </c>
      <c r="G56" s="291" t="e">
        <f>VLOOKUP(X56,Table7[[#All],[FIXTURE CODE]:[WATT/ FIXT]], 6, FALSE)</f>
        <v>#N/A</v>
      </c>
      <c r="H56" s="291" t="e">
        <f>VLOOKUP(Y56,Table7[[#All],[FIXTURE CODE]:[WATT/ FIXT]], 6, FALSE)</f>
        <v>#N/A</v>
      </c>
      <c r="I56" s="292">
        <f>SUMIF(Summary_Pre!E:E,"="&amp;F56,Summary_Pre!D:D)</f>
        <v>0</v>
      </c>
      <c r="J56" s="293">
        <f>SUMIF(Summary_Pre!E:E,"="&amp;F56,Summary_Pre!H:H)</f>
        <v>0</v>
      </c>
      <c r="K56" s="294">
        <f>SUMIF(Summary_Pre!E:E,"="&amp; F56,Summary_Pre!I:I)</f>
        <v>0</v>
      </c>
      <c r="L56" s="295">
        <f>SUMIF(Summary_Pre!E:E,"="&amp; F56,Summary_Pre!J:J)</f>
        <v>0</v>
      </c>
      <c r="M56" s="296">
        <f>SUMIF(Summary_Pre!E:E,"="&amp; F56,Summary_Pre!K:K)</f>
        <v>0</v>
      </c>
      <c r="N56" s="296">
        <f>SUMIF(Summary_Pre!E:E,"="&amp;F56,Summary_Pre!C:C)</f>
        <v>0</v>
      </c>
      <c r="O56" s="297">
        <f t="shared" si="4"/>
        <v>0</v>
      </c>
      <c r="P56" s="295"/>
      <c r="Q56" s="295"/>
      <c r="R56" s="295"/>
      <c r="S56" s="295"/>
      <c r="T56" s="295"/>
      <c r="U56" s="295"/>
      <c r="V56" s="295"/>
      <c r="W56" s="290"/>
      <c r="X56" s="298" t="e">
        <f t="shared" si="1"/>
        <v>#N/A</v>
      </c>
      <c r="Y56" s="298" t="e">
        <f t="shared" si="2"/>
        <v>#N/A</v>
      </c>
      <c r="Z56" s="299"/>
      <c r="AA56" s="299"/>
      <c r="AB56" s="299"/>
      <c r="AC56" s="299"/>
      <c r="AD56" s="299"/>
      <c r="AE56" s="299"/>
      <c r="AF56" s="299"/>
      <c r="AG56" s="299"/>
      <c r="AH56" s="299"/>
      <c r="AI56" s="299"/>
      <c r="AJ56" s="299"/>
      <c r="AK56" s="299"/>
      <c r="AL56" s="299"/>
      <c r="AM56" s="299"/>
      <c r="AN56" s="299"/>
      <c r="AO56" s="299"/>
      <c r="AP56" s="299"/>
      <c r="AQ56" s="299"/>
    </row>
    <row r="57" spans="1:43">
      <c r="A57" s="249" t="e">
        <f>IF(D57='Tables &amp; Ranges'!$A$133, 'Tables &amp; Ranges'!$B$133, IF(D57='Tables &amp; Ranges'!$A$134, 'Tables &amp; Ranges'!$B$134, IF(D57='Tables &amp; Ranges'!$A$135, 'Tables &amp; Ranges'!$B$135, IF(D57='Tables &amp; Ranges'!$A$136, 'Tables &amp; Ranges'!$B$136, IF(D57='Tables &amp; Ranges'!$A$99, 'Tables &amp; Ranges'!$B$116, VLOOKUP(X57,'Fixture Table'!$C$3:$M$1785, 10, FALSE))))))</f>
        <v>#N/A</v>
      </c>
      <c r="D57" s="2">
        <f>IFERROR(_xlfn.IFNA(VLOOKUP(F57,Summary_Pre!E:F,2,FALSE),0),0)</f>
        <v>0</v>
      </c>
      <c r="E57" s="249" t="e">
        <f t="shared" si="3"/>
        <v>#N/A</v>
      </c>
      <c r="F57" s="2" t="e">
        <f t="array" ref="F57">INDEX(Summary_Pre!E$4:E$303, MATCH(0, COUNTIF($F$2:F56,Summary_Pre!E$4:E$303), 0))</f>
        <v>#N/A</v>
      </c>
      <c r="G57" s="271" t="e">
        <f>VLOOKUP(X57,Table7[[#All],[FIXTURE CODE]:[WATT/ FIXT]], 6, FALSE)</f>
        <v>#N/A</v>
      </c>
      <c r="H57" s="271" t="e">
        <f>VLOOKUP(Y57,Table7[[#All],[FIXTURE CODE]:[WATT/ FIXT]], 6, FALSE)</f>
        <v>#N/A</v>
      </c>
      <c r="I57" s="272">
        <f>SUMIF(Summary_Pre!E:E,"="&amp;F57,Summary_Pre!D:D)</f>
        <v>0</v>
      </c>
      <c r="J57" s="263">
        <f>SUMIF(Summary_Pre!E:E,"="&amp;F57,Summary_Pre!H:H)</f>
        <v>0</v>
      </c>
      <c r="K57" s="262">
        <f>SUMIF(Summary_Pre!E:E,"="&amp; F57,Summary_Pre!I:I)</f>
        <v>0</v>
      </c>
      <c r="L57" s="3">
        <f>SUMIF(Summary_Pre!E:E,"="&amp; F57,Summary_Pre!J:J)</f>
        <v>0</v>
      </c>
      <c r="M57" s="285">
        <f>SUMIF(Summary_Pre!E:E,"="&amp; F57,Summary_Pre!K:K)</f>
        <v>0</v>
      </c>
      <c r="N57" s="285">
        <f>SUMIF(Summary_Pre!E:E,"="&amp;F57,Summary_Pre!C:C)</f>
        <v>0</v>
      </c>
      <c r="O57" s="266">
        <f t="shared" si="4"/>
        <v>0</v>
      </c>
      <c r="P57" s="3"/>
      <c r="Q57" s="3"/>
      <c r="R57" s="3"/>
      <c r="S57" s="3"/>
      <c r="T57" s="3"/>
      <c r="U57" s="3"/>
      <c r="V57" s="3"/>
      <c r="W57" s="2"/>
      <c r="X57" s="281" t="e">
        <f t="shared" si="1"/>
        <v>#N/A</v>
      </c>
      <c r="Y57" s="279" t="e">
        <f t="shared" si="2"/>
        <v>#N/A</v>
      </c>
    </row>
    <row r="58" spans="1:43" s="300" customFormat="1">
      <c r="A58" s="289" t="e">
        <f>IF(D58='Tables &amp; Ranges'!$A$133, 'Tables &amp; Ranges'!$B$133, IF(D58='Tables &amp; Ranges'!$A$134, 'Tables &amp; Ranges'!$B$134, IF(D58='Tables &amp; Ranges'!$A$135, 'Tables &amp; Ranges'!$B$135, IF(D58='Tables &amp; Ranges'!$A$136, 'Tables &amp; Ranges'!$B$136, IF(D58='Tables &amp; Ranges'!$A$99, 'Tables &amp; Ranges'!$B$116, VLOOKUP(X58,'Fixture Table'!$C$3:$M$1785, 10, FALSE))))))</f>
        <v>#N/A</v>
      </c>
      <c r="D58" s="290">
        <f>IFERROR(_xlfn.IFNA(VLOOKUP(F58,Summary_Pre!E:F,2,FALSE),0),0)</f>
        <v>0</v>
      </c>
      <c r="E58" s="249" t="e">
        <f t="shared" si="3"/>
        <v>#N/A</v>
      </c>
      <c r="F58" s="290" t="e">
        <f t="array" ref="F58">INDEX(Summary_Pre!E$4:E$303, MATCH(0, COUNTIF($F$2:F57,Summary_Pre!E$4:E$303), 0))</f>
        <v>#N/A</v>
      </c>
      <c r="G58" s="291" t="e">
        <f>VLOOKUP(X58,Table7[[#All],[FIXTURE CODE]:[WATT/ FIXT]], 6, FALSE)</f>
        <v>#N/A</v>
      </c>
      <c r="H58" s="291" t="e">
        <f>VLOOKUP(Y58,Table7[[#All],[FIXTURE CODE]:[WATT/ FIXT]], 6, FALSE)</f>
        <v>#N/A</v>
      </c>
      <c r="I58" s="292">
        <f>SUMIF(Summary_Pre!E:E,"="&amp;F58,Summary_Pre!D:D)</f>
        <v>0</v>
      </c>
      <c r="J58" s="293">
        <f>SUMIF(Summary_Pre!E:E,"="&amp;F58,Summary_Pre!H:H)</f>
        <v>0</v>
      </c>
      <c r="K58" s="294">
        <f>SUMIF(Summary_Pre!E:E,"="&amp; F58,Summary_Pre!I:I)</f>
        <v>0</v>
      </c>
      <c r="L58" s="295">
        <f>SUMIF(Summary_Pre!E:E,"="&amp; F58,Summary_Pre!J:J)</f>
        <v>0</v>
      </c>
      <c r="M58" s="296">
        <f>SUMIF(Summary_Pre!E:E,"="&amp; F58,Summary_Pre!K:K)</f>
        <v>0</v>
      </c>
      <c r="N58" s="296">
        <f>SUMIF(Summary_Pre!E:E,"="&amp;F58,Summary_Pre!C:C)</f>
        <v>0</v>
      </c>
      <c r="O58" s="297">
        <f t="shared" si="4"/>
        <v>0</v>
      </c>
      <c r="P58" s="295"/>
      <c r="Q58" s="295"/>
      <c r="R58" s="295"/>
      <c r="S58" s="295"/>
      <c r="T58" s="295"/>
      <c r="U58" s="295"/>
      <c r="V58" s="295"/>
      <c r="W58" s="290"/>
      <c r="X58" s="298" t="e">
        <f t="shared" si="1"/>
        <v>#N/A</v>
      </c>
      <c r="Y58" s="298" t="e">
        <f t="shared" si="2"/>
        <v>#N/A</v>
      </c>
      <c r="Z58" s="299"/>
      <c r="AA58" s="299"/>
      <c r="AB58" s="299"/>
      <c r="AC58" s="299"/>
      <c r="AD58" s="299"/>
      <c r="AE58" s="299"/>
      <c r="AF58" s="299"/>
      <c r="AG58" s="299"/>
      <c r="AH58" s="299"/>
      <c r="AI58" s="299"/>
      <c r="AJ58" s="299"/>
      <c r="AK58" s="299"/>
      <c r="AL58" s="299"/>
      <c r="AM58" s="299"/>
      <c r="AN58" s="299"/>
      <c r="AO58" s="299"/>
      <c r="AP58" s="299"/>
      <c r="AQ58" s="299"/>
    </row>
    <row r="59" spans="1:43">
      <c r="A59" s="249" t="e">
        <f>IF(D59='Tables &amp; Ranges'!$A$133, 'Tables &amp; Ranges'!$B$133, IF(D59='Tables &amp; Ranges'!$A$134, 'Tables &amp; Ranges'!$B$134, IF(D59='Tables &amp; Ranges'!$A$135, 'Tables &amp; Ranges'!$B$135, IF(D59='Tables &amp; Ranges'!$A$136, 'Tables &amp; Ranges'!$B$136, IF(D59='Tables &amp; Ranges'!$A$99, 'Tables &amp; Ranges'!$B$116, VLOOKUP(X59,'Fixture Table'!$C$3:$M$1785, 10, FALSE))))))</f>
        <v>#N/A</v>
      </c>
      <c r="D59" s="2">
        <f>IFERROR(_xlfn.IFNA(VLOOKUP(F59,Summary_Pre!E:F,2,FALSE),0),0)</f>
        <v>0</v>
      </c>
      <c r="E59" s="249" t="e">
        <f t="shared" si="3"/>
        <v>#N/A</v>
      </c>
      <c r="F59" s="2" t="e">
        <f t="array" ref="F59">INDEX(Summary_Pre!E$4:E$303, MATCH(0, COUNTIF($F$2:F58,Summary_Pre!E$4:E$303), 0))</f>
        <v>#N/A</v>
      </c>
      <c r="G59" s="271" t="e">
        <f>VLOOKUP(X59,Table7[[#All],[FIXTURE CODE]:[WATT/ FIXT]], 6, FALSE)</f>
        <v>#N/A</v>
      </c>
      <c r="H59" s="271" t="e">
        <f>VLOOKUP(Y59,Table7[[#All],[FIXTURE CODE]:[WATT/ FIXT]], 6, FALSE)</f>
        <v>#N/A</v>
      </c>
      <c r="I59" s="272">
        <f>SUMIF(Summary_Pre!E:E,"="&amp;F59,Summary_Pre!D:D)</f>
        <v>0</v>
      </c>
      <c r="J59" s="263">
        <f>SUMIF(Summary_Pre!E:E,"="&amp;F59,Summary_Pre!H:H)</f>
        <v>0</v>
      </c>
      <c r="K59" s="262">
        <f>SUMIF(Summary_Pre!E:E,"="&amp; F59,Summary_Pre!I:I)</f>
        <v>0</v>
      </c>
      <c r="L59" s="3">
        <f>SUMIF(Summary_Pre!E:E,"="&amp; F59,Summary_Pre!J:J)</f>
        <v>0</v>
      </c>
      <c r="M59" s="285">
        <f>SUMIF(Summary_Pre!E:E,"="&amp; F59,Summary_Pre!K:K)</f>
        <v>0</v>
      </c>
      <c r="N59" s="285">
        <f>SUMIF(Summary_Pre!E:E,"="&amp;F59,Summary_Pre!C:C)</f>
        <v>0</v>
      </c>
      <c r="O59" s="266">
        <f t="shared" si="4"/>
        <v>0</v>
      </c>
      <c r="P59" s="3"/>
      <c r="Q59" s="3"/>
      <c r="R59" s="3"/>
      <c r="S59" s="3"/>
      <c r="T59" s="3"/>
      <c r="U59" s="3"/>
      <c r="V59" s="3"/>
      <c r="W59" s="2"/>
      <c r="X59" s="281" t="e">
        <f t="shared" si="1"/>
        <v>#N/A</v>
      </c>
      <c r="Y59" s="279" t="e">
        <f t="shared" si="2"/>
        <v>#N/A</v>
      </c>
    </row>
    <row r="60" spans="1:43" s="300" customFormat="1">
      <c r="A60" s="289" t="e">
        <f>IF(D60='Tables &amp; Ranges'!$A$133, 'Tables &amp; Ranges'!$B$133, IF(D60='Tables &amp; Ranges'!$A$134, 'Tables &amp; Ranges'!$B$134, IF(D60='Tables &amp; Ranges'!$A$135, 'Tables &amp; Ranges'!$B$135, IF(D60='Tables &amp; Ranges'!$A$136, 'Tables &amp; Ranges'!$B$136, IF(D60='Tables &amp; Ranges'!$A$99, 'Tables &amp; Ranges'!$B$116, VLOOKUP(X60,'Fixture Table'!$C$3:$M$1785, 10, FALSE))))))</f>
        <v>#N/A</v>
      </c>
      <c r="D60" s="290">
        <f>IFERROR(_xlfn.IFNA(VLOOKUP(F60,Summary_Pre!E:F,2,FALSE),0),0)</f>
        <v>0</v>
      </c>
      <c r="E60" s="249" t="e">
        <f t="shared" si="3"/>
        <v>#N/A</v>
      </c>
      <c r="F60" s="290" t="e">
        <f t="array" ref="F60">INDEX(Summary_Pre!E$4:E$303, MATCH(0, COUNTIF($F$2:F59,Summary_Pre!E$4:E$303), 0))</f>
        <v>#N/A</v>
      </c>
      <c r="G60" s="291" t="e">
        <f>VLOOKUP(X60,Table7[[#All],[FIXTURE CODE]:[WATT/ FIXT]], 6, FALSE)</f>
        <v>#N/A</v>
      </c>
      <c r="H60" s="291" t="e">
        <f>VLOOKUP(Y60,Table7[[#All],[FIXTURE CODE]:[WATT/ FIXT]], 6, FALSE)</f>
        <v>#N/A</v>
      </c>
      <c r="I60" s="292">
        <f>SUMIF(Summary_Pre!E:E,"="&amp;F60,Summary_Pre!D:D)</f>
        <v>0</v>
      </c>
      <c r="J60" s="293">
        <f>SUMIF(Summary_Pre!E:E,"="&amp;F60,Summary_Pre!H:H)</f>
        <v>0</v>
      </c>
      <c r="K60" s="294">
        <f>SUMIF(Summary_Pre!E:E,"="&amp; F60,Summary_Pre!I:I)</f>
        <v>0</v>
      </c>
      <c r="L60" s="295">
        <f>SUMIF(Summary_Pre!E:E,"="&amp; F60,Summary_Pre!J:J)</f>
        <v>0</v>
      </c>
      <c r="M60" s="296">
        <f>SUMIF(Summary_Pre!E:E,"="&amp; F60,Summary_Pre!K:K)</f>
        <v>0</v>
      </c>
      <c r="N60" s="296">
        <f>SUMIF(Summary_Pre!E:E,"="&amp;F60,Summary_Pre!C:C)</f>
        <v>0</v>
      </c>
      <c r="O60" s="297">
        <f t="shared" si="4"/>
        <v>0</v>
      </c>
      <c r="P60" s="295"/>
      <c r="Q60" s="295"/>
      <c r="R60" s="295"/>
      <c r="S60" s="295"/>
      <c r="T60" s="295"/>
      <c r="U60" s="295"/>
      <c r="V60" s="295"/>
      <c r="W60" s="290"/>
      <c r="X60" s="298" t="e">
        <f t="shared" si="1"/>
        <v>#N/A</v>
      </c>
      <c r="Y60" s="298" t="e">
        <f t="shared" si="2"/>
        <v>#N/A</v>
      </c>
      <c r="Z60" s="299"/>
      <c r="AA60" s="299"/>
      <c r="AB60" s="299"/>
      <c r="AC60" s="299"/>
      <c r="AD60" s="299"/>
      <c r="AE60" s="299"/>
      <c r="AF60" s="299"/>
      <c r="AG60" s="299"/>
      <c r="AH60" s="299"/>
      <c r="AI60" s="299"/>
      <c r="AJ60" s="299"/>
      <c r="AK60" s="299"/>
      <c r="AL60" s="299"/>
      <c r="AM60" s="299"/>
      <c r="AN60" s="299"/>
      <c r="AO60" s="299"/>
      <c r="AP60" s="299"/>
      <c r="AQ60" s="299"/>
    </row>
    <row r="61" spans="1:43">
      <c r="A61" s="249" t="e">
        <f>IF(D61='Tables &amp; Ranges'!$A$133, 'Tables &amp; Ranges'!$B$133, IF(D61='Tables &amp; Ranges'!$A$134, 'Tables &amp; Ranges'!$B$134, IF(D61='Tables &amp; Ranges'!$A$135, 'Tables &amp; Ranges'!$B$135, IF(D61='Tables &amp; Ranges'!$A$136, 'Tables &amp; Ranges'!$B$136, IF(D61='Tables &amp; Ranges'!$A$99, 'Tables &amp; Ranges'!$B$116, VLOOKUP(X61,'Fixture Table'!$C$3:$M$1785, 10, FALSE))))))</f>
        <v>#N/A</v>
      </c>
      <c r="D61" s="2">
        <f>IFERROR(_xlfn.IFNA(VLOOKUP(F61,Summary_Pre!E:F,2,FALSE),0),0)</f>
        <v>0</v>
      </c>
      <c r="E61" s="249" t="e">
        <f t="shared" si="3"/>
        <v>#N/A</v>
      </c>
      <c r="F61" s="2" t="e">
        <f t="array" ref="F61">INDEX(Summary_Pre!E$4:E$303, MATCH(0, COUNTIF($F$2:F60,Summary_Pre!E$4:E$303), 0))</f>
        <v>#N/A</v>
      </c>
      <c r="G61" s="271" t="e">
        <f>VLOOKUP(X61,Table7[[#All],[FIXTURE CODE]:[WATT/ FIXT]], 6, FALSE)</f>
        <v>#N/A</v>
      </c>
      <c r="H61" s="271" t="e">
        <f>VLOOKUP(Y61,Table7[[#All],[FIXTURE CODE]:[WATT/ FIXT]], 6, FALSE)</f>
        <v>#N/A</v>
      </c>
      <c r="I61" s="272">
        <f>SUMIF(Summary_Pre!E:E,"="&amp;F61,Summary_Pre!D:D)</f>
        <v>0</v>
      </c>
      <c r="J61" s="263">
        <f>SUMIF(Summary_Pre!E:E,"="&amp;F61,Summary_Pre!H:H)</f>
        <v>0</v>
      </c>
      <c r="K61" s="262">
        <f>SUMIF(Summary_Pre!E:E,"="&amp; F61,Summary_Pre!I:I)</f>
        <v>0</v>
      </c>
      <c r="L61" s="3">
        <f>SUMIF(Summary_Pre!E:E,"="&amp; F61,Summary_Pre!J:J)</f>
        <v>0</v>
      </c>
      <c r="M61" s="285">
        <f>SUMIF(Summary_Pre!E:E,"="&amp; F61,Summary_Pre!K:K)</f>
        <v>0</v>
      </c>
      <c r="N61" s="285">
        <f>SUMIF(Summary_Pre!E:E,"="&amp;F61,Summary_Pre!C:C)</f>
        <v>0</v>
      </c>
      <c r="O61" s="266">
        <f t="shared" si="4"/>
        <v>0</v>
      </c>
      <c r="P61" s="3"/>
      <c r="Q61" s="3"/>
      <c r="R61" s="3"/>
      <c r="S61" s="3"/>
      <c r="T61" s="3"/>
      <c r="U61" s="3"/>
      <c r="V61" s="3"/>
      <c r="W61" s="2"/>
      <c r="X61" s="281" t="e">
        <f t="shared" si="1"/>
        <v>#N/A</v>
      </c>
      <c r="Y61" s="279" t="e">
        <f t="shared" si="2"/>
        <v>#N/A</v>
      </c>
    </row>
    <row r="62" spans="1:43" s="300" customFormat="1">
      <c r="A62" s="289" t="e">
        <f>IF(D62='Tables &amp; Ranges'!$A$133, 'Tables &amp; Ranges'!$B$133, IF(D62='Tables &amp; Ranges'!$A$134, 'Tables &amp; Ranges'!$B$134, IF(D62='Tables &amp; Ranges'!$A$135, 'Tables &amp; Ranges'!$B$135, IF(D62='Tables &amp; Ranges'!$A$136, 'Tables &amp; Ranges'!$B$136, IF(D62='Tables &amp; Ranges'!$A$99, 'Tables &amp; Ranges'!$B$116, VLOOKUP(X62,'Fixture Table'!$C$3:$M$1785, 10, FALSE))))))</f>
        <v>#N/A</v>
      </c>
      <c r="D62" s="290">
        <f>IFERROR(_xlfn.IFNA(VLOOKUP(F62,Summary_Pre!E:F,2,FALSE),0),0)</f>
        <v>0</v>
      </c>
      <c r="E62" s="249" t="e">
        <f t="shared" si="3"/>
        <v>#N/A</v>
      </c>
      <c r="F62" s="290" t="e">
        <f t="array" ref="F62">INDEX(Summary_Pre!E$4:E$303, MATCH(0, COUNTIF($F$2:F61,Summary_Pre!E$4:E$303), 0))</f>
        <v>#N/A</v>
      </c>
      <c r="G62" s="291" t="e">
        <f>VLOOKUP(X62,Table7[[#All],[FIXTURE CODE]:[WATT/ FIXT]], 6, FALSE)</f>
        <v>#N/A</v>
      </c>
      <c r="H62" s="291" t="e">
        <f>VLOOKUP(Y62,Table7[[#All],[FIXTURE CODE]:[WATT/ FIXT]], 6, FALSE)</f>
        <v>#N/A</v>
      </c>
      <c r="I62" s="292">
        <f>SUMIF(Summary_Pre!E:E,"="&amp;F62,Summary_Pre!D:D)</f>
        <v>0</v>
      </c>
      <c r="J62" s="293">
        <f>SUMIF(Summary_Pre!E:E,"="&amp;F62,Summary_Pre!H:H)</f>
        <v>0</v>
      </c>
      <c r="K62" s="294">
        <f>SUMIF(Summary_Pre!E:E,"="&amp; F62,Summary_Pre!I:I)</f>
        <v>0</v>
      </c>
      <c r="L62" s="295">
        <f>SUMIF(Summary_Pre!E:E,"="&amp; F62,Summary_Pre!J:J)</f>
        <v>0</v>
      </c>
      <c r="M62" s="296">
        <f>SUMIF(Summary_Pre!E:E,"="&amp; F62,Summary_Pre!K:K)</f>
        <v>0</v>
      </c>
      <c r="N62" s="296">
        <f>SUMIF(Summary_Pre!E:E,"="&amp;F62,Summary_Pre!C:C)</f>
        <v>0</v>
      </c>
      <c r="O62" s="297">
        <f t="shared" si="4"/>
        <v>0</v>
      </c>
      <c r="P62" s="295"/>
      <c r="Q62" s="295"/>
      <c r="R62" s="295"/>
      <c r="S62" s="295"/>
      <c r="T62" s="295"/>
      <c r="U62" s="295"/>
      <c r="V62" s="295"/>
      <c r="W62" s="290"/>
      <c r="X62" s="298" t="e">
        <f t="shared" si="1"/>
        <v>#N/A</v>
      </c>
      <c r="Y62" s="298" t="e">
        <f t="shared" si="2"/>
        <v>#N/A</v>
      </c>
      <c r="Z62" s="299"/>
      <c r="AA62" s="299"/>
      <c r="AB62" s="299"/>
      <c r="AC62" s="299"/>
      <c r="AD62" s="299"/>
      <c r="AE62" s="299"/>
      <c r="AF62" s="299"/>
      <c r="AG62" s="299"/>
      <c r="AH62" s="299"/>
      <c r="AI62" s="299"/>
      <c r="AJ62" s="299"/>
      <c r="AK62" s="299"/>
      <c r="AL62" s="299"/>
      <c r="AM62" s="299"/>
      <c r="AN62" s="299"/>
      <c r="AO62" s="299"/>
      <c r="AP62" s="299"/>
      <c r="AQ62" s="299"/>
    </row>
    <row r="63" spans="1:43">
      <c r="A63" s="249" t="e">
        <f>IF(D63='Tables &amp; Ranges'!$A$133, 'Tables &amp; Ranges'!$B$133, IF(D63='Tables &amp; Ranges'!$A$134, 'Tables &amp; Ranges'!$B$134, IF(D63='Tables &amp; Ranges'!$A$135, 'Tables &amp; Ranges'!$B$135, IF(D63='Tables &amp; Ranges'!$A$136, 'Tables &amp; Ranges'!$B$136, IF(D63='Tables &amp; Ranges'!$A$99, 'Tables &amp; Ranges'!$B$116, VLOOKUP(X63,'Fixture Table'!$C$3:$M$1785, 10, FALSE))))))</f>
        <v>#N/A</v>
      </c>
      <c r="D63" s="2">
        <f>IFERROR(_xlfn.IFNA(VLOOKUP(F63,Summary_Pre!E:F,2,FALSE),0),0)</f>
        <v>0</v>
      </c>
      <c r="E63" s="249" t="e">
        <f t="shared" si="3"/>
        <v>#N/A</v>
      </c>
      <c r="F63" s="2" t="e">
        <f t="array" ref="F63">INDEX(Summary_Pre!E$4:E$303, MATCH(0, COUNTIF($F$2:F62,Summary_Pre!E$4:E$303), 0))</f>
        <v>#N/A</v>
      </c>
      <c r="G63" s="271" t="e">
        <f>VLOOKUP(X63,Table7[[#All],[FIXTURE CODE]:[WATT/ FIXT]], 6, FALSE)</f>
        <v>#N/A</v>
      </c>
      <c r="H63" s="271" t="e">
        <f>VLOOKUP(Y63,Table7[[#All],[FIXTURE CODE]:[WATT/ FIXT]], 6, FALSE)</f>
        <v>#N/A</v>
      </c>
      <c r="I63" s="272">
        <f>SUMIF(Summary_Pre!E:E,"="&amp;F63,Summary_Pre!D:D)</f>
        <v>0</v>
      </c>
      <c r="J63" s="263">
        <f>SUMIF(Summary_Pre!E:E,"="&amp;F63,Summary_Pre!H:H)</f>
        <v>0</v>
      </c>
      <c r="K63" s="262">
        <f>SUMIF(Summary_Pre!E:E,"="&amp; F63,Summary_Pre!I:I)</f>
        <v>0</v>
      </c>
      <c r="L63" s="3">
        <f>SUMIF(Summary_Pre!E:E,"="&amp; F63,Summary_Pre!J:J)</f>
        <v>0</v>
      </c>
      <c r="M63" s="285">
        <f>SUMIF(Summary_Pre!E:E,"="&amp; F63,Summary_Pre!K:K)</f>
        <v>0</v>
      </c>
      <c r="N63" s="285">
        <f>SUMIF(Summary_Pre!E:E,"="&amp;F63,Summary_Pre!C:C)</f>
        <v>0</v>
      </c>
      <c r="O63" s="266">
        <f t="shared" si="4"/>
        <v>0</v>
      </c>
      <c r="P63" s="3"/>
      <c r="Q63" s="3"/>
      <c r="R63" s="3"/>
      <c r="S63" s="3"/>
      <c r="T63" s="3"/>
      <c r="U63" s="3"/>
      <c r="V63" s="3"/>
      <c r="W63" s="2"/>
      <c r="X63" s="281" t="e">
        <f t="shared" si="1"/>
        <v>#N/A</v>
      </c>
      <c r="Y63" s="279" t="e">
        <f t="shared" si="2"/>
        <v>#N/A</v>
      </c>
    </row>
    <row r="64" spans="1:43" s="300" customFormat="1">
      <c r="A64" s="289" t="e">
        <f>IF(D64='Tables &amp; Ranges'!$A$133, 'Tables &amp; Ranges'!$B$133, IF(D64='Tables &amp; Ranges'!$A$134, 'Tables &amp; Ranges'!$B$134, IF(D64='Tables &amp; Ranges'!$A$135, 'Tables &amp; Ranges'!$B$135, IF(D64='Tables &amp; Ranges'!$A$136, 'Tables &amp; Ranges'!$B$136, IF(D64='Tables &amp; Ranges'!$A$99, 'Tables &amp; Ranges'!$B$116, VLOOKUP(X64,'Fixture Table'!$C$3:$M$1785, 10, FALSE))))))</f>
        <v>#N/A</v>
      </c>
      <c r="D64" s="290">
        <f>IFERROR(_xlfn.IFNA(VLOOKUP(F64,Summary_Pre!E:F,2,FALSE),0),0)</f>
        <v>0</v>
      </c>
      <c r="E64" s="249" t="e">
        <f t="shared" si="3"/>
        <v>#N/A</v>
      </c>
      <c r="F64" s="290" t="e">
        <f t="array" ref="F64">INDEX(Summary_Pre!E$4:E$303, MATCH(0, COUNTIF($F$2:F63,Summary_Pre!E$4:E$303), 0))</f>
        <v>#N/A</v>
      </c>
      <c r="G64" s="291" t="e">
        <f>VLOOKUP(X64,Table7[[#All],[FIXTURE CODE]:[WATT/ FIXT]], 6, FALSE)</f>
        <v>#N/A</v>
      </c>
      <c r="H64" s="291" t="e">
        <f>VLOOKUP(Y64,Table7[[#All],[FIXTURE CODE]:[WATT/ FIXT]], 6, FALSE)</f>
        <v>#N/A</v>
      </c>
      <c r="I64" s="292">
        <f>SUMIF(Summary_Pre!E:E,"="&amp;F64,Summary_Pre!D:D)</f>
        <v>0</v>
      </c>
      <c r="J64" s="293">
        <f>SUMIF(Summary_Pre!E:E,"="&amp;F64,Summary_Pre!H:H)</f>
        <v>0</v>
      </c>
      <c r="K64" s="294">
        <f>SUMIF(Summary_Pre!E:E,"="&amp; F64,Summary_Pre!I:I)</f>
        <v>0</v>
      </c>
      <c r="L64" s="295">
        <f>SUMIF(Summary_Pre!E:E,"="&amp; F64,Summary_Pre!J:J)</f>
        <v>0</v>
      </c>
      <c r="M64" s="296">
        <f>SUMIF(Summary_Pre!E:E,"="&amp; F64,Summary_Pre!K:K)</f>
        <v>0</v>
      </c>
      <c r="N64" s="296">
        <f>SUMIF(Summary_Pre!E:E,"="&amp;F64,Summary_Pre!C:C)</f>
        <v>0</v>
      </c>
      <c r="O64" s="297">
        <f t="shared" si="4"/>
        <v>0</v>
      </c>
      <c r="P64" s="295"/>
      <c r="Q64" s="295"/>
      <c r="R64" s="295"/>
      <c r="S64" s="295"/>
      <c r="T64" s="295"/>
      <c r="U64" s="295"/>
      <c r="V64" s="295"/>
      <c r="W64" s="290"/>
      <c r="X64" s="298" t="e">
        <f t="shared" si="1"/>
        <v>#N/A</v>
      </c>
      <c r="Y64" s="298" t="e">
        <f t="shared" si="2"/>
        <v>#N/A</v>
      </c>
      <c r="Z64" s="299"/>
      <c r="AA64" s="299"/>
      <c r="AB64" s="299"/>
      <c r="AC64" s="299"/>
      <c r="AD64" s="299"/>
      <c r="AE64" s="299"/>
      <c r="AF64" s="299"/>
      <c r="AG64" s="299"/>
      <c r="AH64" s="299"/>
      <c r="AI64" s="299"/>
      <c r="AJ64" s="299"/>
      <c r="AK64" s="299"/>
      <c r="AL64" s="299"/>
      <c r="AM64" s="299"/>
      <c r="AN64" s="299"/>
      <c r="AO64" s="299"/>
      <c r="AP64" s="299"/>
      <c r="AQ64" s="299"/>
    </row>
    <row r="65" spans="1:43">
      <c r="A65" s="249" t="e">
        <f>IF(D65='Tables &amp; Ranges'!$A$133, 'Tables &amp; Ranges'!$B$133, IF(D65='Tables &amp; Ranges'!$A$134, 'Tables &amp; Ranges'!$B$134, IF(D65='Tables &amp; Ranges'!$A$135, 'Tables &amp; Ranges'!$B$135, IF(D65='Tables &amp; Ranges'!$A$136, 'Tables &amp; Ranges'!$B$136, IF(D65='Tables &amp; Ranges'!$A$99, 'Tables &amp; Ranges'!$B$116, VLOOKUP(X65,'Fixture Table'!$C$3:$M$1785, 10, FALSE))))))</f>
        <v>#N/A</v>
      </c>
      <c r="D65" s="2">
        <f>IFERROR(_xlfn.IFNA(VLOOKUP(F65,Summary_Pre!E:F,2,FALSE),0),0)</f>
        <v>0</v>
      </c>
      <c r="E65" s="249" t="e">
        <f t="shared" si="3"/>
        <v>#N/A</v>
      </c>
      <c r="F65" s="2" t="e">
        <f t="array" ref="F65">INDEX(Summary_Pre!E$4:E$303, MATCH(0, COUNTIF($F$2:F64,Summary_Pre!E$4:E$303), 0))</f>
        <v>#N/A</v>
      </c>
      <c r="G65" s="271" t="e">
        <f>VLOOKUP(X65,Table7[[#All],[FIXTURE CODE]:[WATT/ FIXT]], 6, FALSE)</f>
        <v>#N/A</v>
      </c>
      <c r="H65" s="271" t="e">
        <f>VLOOKUP(Y65,Table7[[#All],[FIXTURE CODE]:[WATT/ FIXT]], 6, FALSE)</f>
        <v>#N/A</v>
      </c>
      <c r="I65" s="272">
        <f>SUMIF(Summary_Pre!E:E,"="&amp;F65,Summary_Pre!D:D)</f>
        <v>0</v>
      </c>
      <c r="J65" s="263">
        <f>SUMIF(Summary_Pre!E:E,"="&amp;F65,Summary_Pre!H:H)</f>
        <v>0</v>
      </c>
      <c r="K65" s="262">
        <f>SUMIF(Summary_Pre!E:E,"="&amp; F65,Summary_Pre!I:I)</f>
        <v>0</v>
      </c>
      <c r="L65" s="3">
        <f>SUMIF(Summary_Pre!E:E,"="&amp; F65,Summary_Pre!J:J)</f>
        <v>0</v>
      </c>
      <c r="M65" s="285">
        <f>SUMIF(Summary_Pre!E:E,"="&amp; F65,Summary_Pre!K:K)</f>
        <v>0</v>
      </c>
      <c r="N65" s="285">
        <f>SUMIF(Summary_Pre!E:E,"="&amp;F65,Summary_Pre!C:C)</f>
        <v>0</v>
      </c>
      <c r="O65" s="266">
        <f t="shared" si="4"/>
        <v>0</v>
      </c>
      <c r="P65" s="3"/>
      <c r="Q65" s="3"/>
      <c r="R65" s="3"/>
      <c r="S65" s="3"/>
      <c r="T65" s="3"/>
      <c r="U65" s="3"/>
      <c r="V65" s="3"/>
      <c r="W65" s="2"/>
      <c r="X65" s="281" t="e">
        <f t="shared" si="1"/>
        <v>#N/A</v>
      </c>
      <c r="Y65" s="279" t="e">
        <f t="shared" si="2"/>
        <v>#N/A</v>
      </c>
    </row>
    <row r="66" spans="1:43" s="300" customFormat="1">
      <c r="A66" s="289" t="e">
        <f>IF(D66='Tables &amp; Ranges'!$A$133, 'Tables &amp; Ranges'!$B$133, IF(D66='Tables &amp; Ranges'!$A$134, 'Tables &amp; Ranges'!$B$134, IF(D66='Tables &amp; Ranges'!$A$135, 'Tables &amp; Ranges'!$B$135, IF(D66='Tables &amp; Ranges'!$A$136, 'Tables &amp; Ranges'!$B$136, IF(D66='Tables &amp; Ranges'!$A$99, 'Tables &amp; Ranges'!$B$116, VLOOKUP(X66,'Fixture Table'!$C$3:$M$1785, 10, FALSE))))))</f>
        <v>#N/A</v>
      </c>
      <c r="D66" s="290">
        <f>IFERROR(_xlfn.IFNA(VLOOKUP(F66,Summary_Pre!E:F,2,FALSE),0),0)</f>
        <v>0</v>
      </c>
      <c r="E66" s="249" t="e">
        <f t="shared" si="3"/>
        <v>#N/A</v>
      </c>
      <c r="F66" s="290" t="e">
        <f t="array" ref="F66">INDEX(Summary_Pre!E$4:E$303, MATCH(0, COUNTIF($F$2:F65,Summary_Pre!E$4:E$303), 0))</f>
        <v>#N/A</v>
      </c>
      <c r="G66" s="291" t="e">
        <f>VLOOKUP(X66,Table7[[#All],[FIXTURE CODE]:[WATT/ FIXT]], 6, FALSE)</f>
        <v>#N/A</v>
      </c>
      <c r="H66" s="291" t="e">
        <f>VLOOKUP(Y66,Table7[[#All],[FIXTURE CODE]:[WATT/ FIXT]], 6, FALSE)</f>
        <v>#N/A</v>
      </c>
      <c r="I66" s="292">
        <f>SUMIF(Summary_Pre!E:E,"="&amp;F66,Summary_Pre!D:D)</f>
        <v>0</v>
      </c>
      <c r="J66" s="293">
        <f>SUMIF(Summary_Pre!E:E,"="&amp;F66,Summary_Pre!H:H)</f>
        <v>0</v>
      </c>
      <c r="K66" s="294">
        <f>SUMIF(Summary_Pre!E:E,"="&amp; F66,Summary_Pre!I:I)</f>
        <v>0</v>
      </c>
      <c r="L66" s="295">
        <f>SUMIF(Summary_Pre!E:E,"="&amp; F66,Summary_Pre!J:J)</f>
        <v>0</v>
      </c>
      <c r="M66" s="296">
        <f>SUMIF(Summary_Pre!E:E,"="&amp; F66,Summary_Pre!K:K)</f>
        <v>0</v>
      </c>
      <c r="N66" s="296">
        <f>SUMIF(Summary_Pre!E:E,"="&amp;F66,Summary_Pre!C:C)</f>
        <v>0</v>
      </c>
      <c r="O66" s="297">
        <f t="shared" si="4"/>
        <v>0</v>
      </c>
      <c r="P66" s="295"/>
      <c r="Q66" s="295"/>
      <c r="R66" s="295"/>
      <c r="S66" s="295"/>
      <c r="T66" s="295"/>
      <c r="U66" s="295"/>
      <c r="V66" s="295"/>
      <c r="W66" s="290"/>
      <c r="X66" s="298" t="e">
        <f t="shared" si="1"/>
        <v>#N/A</v>
      </c>
      <c r="Y66" s="298" t="e">
        <f t="shared" si="2"/>
        <v>#N/A</v>
      </c>
      <c r="Z66" s="299"/>
      <c r="AA66" s="299"/>
      <c r="AB66" s="299"/>
      <c r="AC66" s="299"/>
      <c r="AD66" s="299"/>
      <c r="AE66" s="299"/>
      <c r="AF66" s="299"/>
      <c r="AG66" s="299"/>
      <c r="AH66" s="299"/>
      <c r="AI66" s="299"/>
      <c r="AJ66" s="299"/>
      <c r="AK66" s="299"/>
      <c r="AL66" s="299"/>
      <c r="AM66" s="299"/>
      <c r="AN66" s="299"/>
      <c r="AO66" s="299"/>
      <c r="AP66" s="299"/>
      <c r="AQ66" s="299"/>
    </row>
    <row r="67" spans="1:43">
      <c r="A67" s="249" t="e">
        <f>IF(D67='Tables &amp; Ranges'!$A$133, 'Tables &amp; Ranges'!$B$133, IF(D67='Tables &amp; Ranges'!$A$134, 'Tables &amp; Ranges'!$B$134, IF(D67='Tables &amp; Ranges'!$A$135, 'Tables &amp; Ranges'!$B$135, IF(D67='Tables &amp; Ranges'!$A$136, 'Tables &amp; Ranges'!$B$136, IF(D67='Tables &amp; Ranges'!$A$99, 'Tables &amp; Ranges'!$B$116, VLOOKUP(X67,'Fixture Table'!$C$3:$M$1785, 10, FALSE))))))</f>
        <v>#N/A</v>
      </c>
      <c r="D67" s="2">
        <f>IFERROR(_xlfn.IFNA(VLOOKUP(F67,Summary_Pre!E:F,2,FALSE),0),0)</f>
        <v>0</v>
      </c>
      <c r="E67" s="249" t="e">
        <f t="shared" si="3"/>
        <v>#N/A</v>
      </c>
      <c r="F67" s="2" t="e">
        <f t="array" ref="F67">INDEX(Summary_Pre!E$4:E$303, MATCH(0, COUNTIF($F$2:F66,Summary_Pre!E$4:E$303), 0))</f>
        <v>#N/A</v>
      </c>
      <c r="G67" s="271" t="e">
        <f>VLOOKUP(X67,Table7[[#All],[FIXTURE CODE]:[WATT/ FIXT]], 6, FALSE)</f>
        <v>#N/A</v>
      </c>
      <c r="H67" s="271" t="e">
        <f>VLOOKUP(Y67,Table7[[#All],[FIXTURE CODE]:[WATT/ FIXT]], 6, FALSE)</f>
        <v>#N/A</v>
      </c>
      <c r="I67" s="272">
        <f>SUMIF(Summary_Pre!E:E,"="&amp;F67,Summary_Pre!D:D)</f>
        <v>0</v>
      </c>
      <c r="J67" s="263">
        <f>SUMIF(Summary_Pre!E:E,"="&amp;F67,Summary_Pre!H:H)</f>
        <v>0</v>
      </c>
      <c r="K67" s="262">
        <f>SUMIF(Summary_Pre!E:E,"="&amp; F67,Summary_Pre!I:I)</f>
        <v>0</v>
      </c>
      <c r="L67" s="3">
        <f>SUMIF(Summary_Pre!E:E,"="&amp; F67,Summary_Pre!J:J)</f>
        <v>0</v>
      </c>
      <c r="M67" s="285">
        <f>SUMIF(Summary_Pre!E:E,"="&amp; F67,Summary_Pre!K:K)</f>
        <v>0</v>
      </c>
      <c r="N67" s="285">
        <f>SUMIF(Summary_Pre!E:E,"="&amp;F67,Summary_Pre!C:C)</f>
        <v>0</v>
      </c>
      <c r="O67" s="266">
        <f t="shared" si="4"/>
        <v>0</v>
      </c>
      <c r="P67" s="3"/>
      <c r="Q67" s="3"/>
      <c r="R67" s="3"/>
      <c r="S67" s="3"/>
      <c r="T67" s="3"/>
      <c r="U67" s="3"/>
      <c r="V67" s="3"/>
      <c r="W67" s="2"/>
      <c r="X67" s="281" t="e">
        <f t="shared" ref="X67:X130" si="5">TRIM(MID(SUBSTITUTE(F67," ", REPT(" ",LEN(F67))), (2-1)*LEN(F67)+1,LEN(F67)))</f>
        <v>#N/A</v>
      </c>
      <c r="Y67" s="279" t="e">
        <f t="shared" ref="Y67:Y130" si="6">TRIM(MID(SUBSTITUTE(F67," ", REPT(" ",LEN(F67))), (4-1)*LEN(F67)+1,LEN(F67)))</f>
        <v>#N/A</v>
      </c>
    </row>
    <row r="68" spans="1:43" s="300" customFormat="1">
      <c r="A68" s="289" t="e">
        <f>IF(D68='Tables &amp; Ranges'!$A$133, 'Tables &amp; Ranges'!$B$133, IF(D68='Tables &amp; Ranges'!$A$134, 'Tables &amp; Ranges'!$B$134, IF(D68='Tables &amp; Ranges'!$A$135, 'Tables &amp; Ranges'!$B$135, IF(D68='Tables &amp; Ranges'!$A$136, 'Tables &amp; Ranges'!$B$136, IF(D68='Tables &amp; Ranges'!$A$99, 'Tables &amp; Ranges'!$B$116, VLOOKUP(X68,'Fixture Table'!$C$3:$M$1785, 10, FALSE))))))</f>
        <v>#N/A</v>
      </c>
      <c r="D68" s="290">
        <f>IFERROR(_xlfn.IFNA(VLOOKUP(F68,Summary_Pre!E:F,2,FALSE),0),0)</f>
        <v>0</v>
      </c>
      <c r="E68" s="249" t="e">
        <f t="shared" ref="E68:E131" si="7">REPLACE(F68,1,8,"")</f>
        <v>#N/A</v>
      </c>
      <c r="F68" s="290" t="e">
        <f t="array" ref="F68">INDEX(Summary_Pre!E$4:E$303, MATCH(0, COUNTIF($F$2:F67,Summary_Pre!E$4:E$303), 0))</f>
        <v>#N/A</v>
      </c>
      <c r="G68" s="291" t="e">
        <f>VLOOKUP(X68,Table7[[#All],[FIXTURE CODE]:[WATT/ FIXT]], 6, FALSE)</f>
        <v>#N/A</v>
      </c>
      <c r="H68" s="291" t="e">
        <f>VLOOKUP(Y68,Table7[[#All],[FIXTURE CODE]:[WATT/ FIXT]], 6, FALSE)</f>
        <v>#N/A</v>
      </c>
      <c r="I68" s="292">
        <f>SUMIF(Summary_Pre!E:E,"="&amp;F68,Summary_Pre!D:D)</f>
        <v>0</v>
      </c>
      <c r="J68" s="293">
        <f>SUMIF(Summary_Pre!E:E,"="&amp;F68,Summary_Pre!H:H)</f>
        <v>0</v>
      </c>
      <c r="K68" s="294">
        <f>SUMIF(Summary_Pre!E:E,"="&amp; F68,Summary_Pre!I:I)</f>
        <v>0</v>
      </c>
      <c r="L68" s="295">
        <f>SUMIF(Summary_Pre!E:E,"="&amp; F68,Summary_Pre!J:J)</f>
        <v>0</v>
      </c>
      <c r="M68" s="296">
        <f>SUMIF(Summary_Pre!E:E,"="&amp; F68,Summary_Pre!K:K)</f>
        <v>0</v>
      </c>
      <c r="N68" s="296">
        <f>SUMIF(Summary_Pre!E:E,"="&amp;F68,Summary_Pre!C:C)</f>
        <v>0</v>
      </c>
      <c r="O68" s="297">
        <f t="shared" ref="O68:O131" si="8">IF(L68&lt;&gt;0,(N68-M68)/L68,0)</f>
        <v>0</v>
      </c>
      <c r="P68" s="295"/>
      <c r="Q68" s="295"/>
      <c r="R68" s="295"/>
      <c r="S68" s="295"/>
      <c r="T68" s="295"/>
      <c r="U68" s="295"/>
      <c r="V68" s="295"/>
      <c r="W68" s="290"/>
      <c r="X68" s="298" t="e">
        <f t="shared" si="5"/>
        <v>#N/A</v>
      </c>
      <c r="Y68" s="298" t="e">
        <f t="shared" si="6"/>
        <v>#N/A</v>
      </c>
      <c r="Z68" s="299"/>
      <c r="AA68" s="299"/>
      <c r="AB68" s="299"/>
      <c r="AC68" s="299"/>
      <c r="AD68" s="299"/>
      <c r="AE68" s="299"/>
      <c r="AF68" s="299"/>
      <c r="AG68" s="299"/>
      <c r="AH68" s="299"/>
      <c r="AI68" s="299"/>
      <c r="AJ68" s="299"/>
      <c r="AK68" s="299"/>
      <c r="AL68" s="299"/>
      <c r="AM68" s="299"/>
      <c r="AN68" s="299"/>
      <c r="AO68" s="299"/>
      <c r="AP68" s="299"/>
      <c r="AQ68" s="299"/>
    </row>
    <row r="69" spans="1:43">
      <c r="A69" s="249" t="e">
        <f>IF(D69='Tables &amp; Ranges'!$A$133, 'Tables &amp; Ranges'!$B$133, IF(D69='Tables &amp; Ranges'!$A$134, 'Tables &amp; Ranges'!$B$134, IF(D69='Tables &amp; Ranges'!$A$135, 'Tables &amp; Ranges'!$B$135, IF(D69='Tables &amp; Ranges'!$A$136, 'Tables &amp; Ranges'!$B$136, IF(D69='Tables &amp; Ranges'!$A$99, 'Tables &amp; Ranges'!$B$116, VLOOKUP(X69,'Fixture Table'!$C$3:$M$1785, 10, FALSE))))))</f>
        <v>#N/A</v>
      </c>
      <c r="D69" s="2">
        <f>IFERROR(_xlfn.IFNA(VLOOKUP(F69,Summary_Pre!E:F,2,FALSE),0),0)</f>
        <v>0</v>
      </c>
      <c r="E69" s="249" t="e">
        <f t="shared" si="7"/>
        <v>#N/A</v>
      </c>
      <c r="F69" s="2" t="e">
        <f t="array" ref="F69">INDEX(Summary_Pre!E$4:E$303, MATCH(0, COUNTIF($F$2:F68,Summary_Pre!E$4:E$303), 0))</f>
        <v>#N/A</v>
      </c>
      <c r="G69" s="271" t="e">
        <f>VLOOKUP(X69,Table7[[#All],[FIXTURE CODE]:[WATT/ FIXT]], 6, FALSE)</f>
        <v>#N/A</v>
      </c>
      <c r="H69" s="271" t="e">
        <f>VLOOKUP(Y69,Table7[[#All],[FIXTURE CODE]:[WATT/ FIXT]], 6, FALSE)</f>
        <v>#N/A</v>
      </c>
      <c r="I69" s="272">
        <f>SUMIF(Summary_Pre!E:E,"="&amp;F69,Summary_Pre!D:D)</f>
        <v>0</v>
      </c>
      <c r="J69" s="263">
        <f>SUMIF(Summary_Pre!E:E,"="&amp;F69,Summary_Pre!H:H)</f>
        <v>0</v>
      </c>
      <c r="K69" s="262">
        <f>SUMIF(Summary_Pre!E:E,"="&amp; F69,Summary_Pre!I:I)</f>
        <v>0</v>
      </c>
      <c r="L69" s="3">
        <f>SUMIF(Summary_Pre!E:E,"="&amp; F69,Summary_Pre!J:J)</f>
        <v>0</v>
      </c>
      <c r="M69" s="285">
        <f>SUMIF(Summary_Pre!E:E,"="&amp; F69,Summary_Pre!K:K)</f>
        <v>0</v>
      </c>
      <c r="N69" s="285">
        <f>SUMIF(Summary_Pre!E:E,"="&amp;F69,Summary_Pre!C:C)</f>
        <v>0</v>
      </c>
      <c r="O69" s="266">
        <f t="shared" si="8"/>
        <v>0</v>
      </c>
      <c r="P69" s="3"/>
      <c r="Q69" s="3"/>
      <c r="R69" s="3"/>
      <c r="S69" s="3"/>
      <c r="T69" s="3"/>
      <c r="U69" s="3"/>
      <c r="V69" s="3"/>
      <c r="W69" s="2"/>
      <c r="X69" s="281" t="e">
        <f t="shared" si="5"/>
        <v>#N/A</v>
      </c>
      <c r="Y69" s="279" t="e">
        <f t="shared" si="6"/>
        <v>#N/A</v>
      </c>
    </row>
    <row r="70" spans="1:43" s="300" customFormat="1">
      <c r="A70" s="289" t="e">
        <f>IF(D70='Tables &amp; Ranges'!$A$133, 'Tables &amp; Ranges'!$B$133, IF(D70='Tables &amp; Ranges'!$A$134, 'Tables &amp; Ranges'!$B$134, IF(D70='Tables &amp; Ranges'!$A$135, 'Tables &amp; Ranges'!$B$135, IF(D70='Tables &amp; Ranges'!$A$136, 'Tables &amp; Ranges'!$B$136, IF(D70='Tables &amp; Ranges'!$A$99, 'Tables &amp; Ranges'!$B$116, VLOOKUP(X70,'Fixture Table'!$C$3:$M$1785, 10, FALSE))))))</f>
        <v>#N/A</v>
      </c>
      <c r="D70" s="290">
        <f>IFERROR(_xlfn.IFNA(VLOOKUP(F70,Summary_Pre!E:F,2,FALSE),0),0)</f>
        <v>0</v>
      </c>
      <c r="E70" s="249" t="e">
        <f t="shared" si="7"/>
        <v>#N/A</v>
      </c>
      <c r="F70" s="290" t="e">
        <f t="array" ref="F70">INDEX(Summary_Pre!E$4:E$303, MATCH(0, COUNTIF($F$2:F69,Summary_Pre!E$4:E$303), 0))</f>
        <v>#N/A</v>
      </c>
      <c r="G70" s="291" t="e">
        <f>VLOOKUP(X70,Table7[[#All],[FIXTURE CODE]:[WATT/ FIXT]], 6, FALSE)</f>
        <v>#N/A</v>
      </c>
      <c r="H70" s="291" t="e">
        <f>VLOOKUP(Y70,Table7[[#All],[FIXTURE CODE]:[WATT/ FIXT]], 6, FALSE)</f>
        <v>#N/A</v>
      </c>
      <c r="I70" s="292">
        <f>SUMIF(Summary_Pre!E:E,"="&amp;F70,Summary_Pre!D:D)</f>
        <v>0</v>
      </c>
      <c r="J70" s="293">
        <f>SUMIF(Summary_Pre!E:E,"="&amp;F70,Summary_Pre!H:H)</f>
        <v>0</v>
      </c>
      <c r="K70" s="294">
        <f>SUMIF(Summary_Pre!E:E,"="&amp; F70,Summary_Pre!I:I)</f>
        <v>0</v>
      </c>
      <c r="L70" s="295">
        <f>SUMIF(Summary_Pre!E:E,"="&amp; F70,Summary_Pre!J:J)</f>
        <v>0</v>
      </c>
      <c r="M70" s="296">
        <f>SUMIF(Summary_Pre!E:E,"="&amp; F70,Summary_Pre!K:K)</f>
        <v>0</v>
      </c>
      <c r="N70" s="296">
        <f>SUMIF(Summary_Pre!E:E,"="&amp;F70,Summary_Pre!C:C)</f>
        <v>0</v>
      </c>
      <c r="O70" s="297">
        <f t="shared" si="8"/>
        <v>0</v>
      </c>
      <c r="P70" s="295"/>
      <c r="Q70" s="295"/>
      <c r="R70" s="295"/>
      <c r="S70" s="295"/>
      <c r="T70" s="295"/>
      <c r="U70" s="295"/>
      <c r="V70" s="295"/>
      <c r="W70" s="290"/>
      <c r="X70" s="298" t="e">
        <f t="shared" si="5"/>
        <v>#N/A</v>
      </c>
      <c r="Y70" s="298" t="e">
        <f t="shared" si="6"/>
        <v>#N/A</v>
      </c>
      <c r="Z70" s="299"/>
      <c r="AA70" s="299"/>
      <c r="AB70" s="299"/>
      <c r="AC70" s="299"/>
      <c r="AD70" s="299"/>
      <c r="AE70" s="299"/>
      <c r="AF70" s="299"/>
      <c r="AG70" s="299"/>
      <c r="AH70" s="299"/>
      <c r="AI70" s="299"/>
      <c r="AJ70" s="299"/>
      <c r="AK70" s="299"/>
      <c r="AL70" s="299"/>
      <c r="AM70" s="299"/>
      <c r="AN70" s="299"/>
      <c r="AO70" s="299"/>
      <c r="AP70" s="299"/>
      <c r="AQ70" s="299"/>
    </row>
    <row r="71" spans="1:43">
      <c r="A71" s="249" t="e">
        <f>IF(D71='Tables &amp; Ranges'!$A$133, 'Tables &amp; Ranges'!$B$133, IF(D71='Tables &amp; Ranges'!$A$134, 'Tables &amp; Ranges'!$B$134, IF(D71='Tables &amp; Ranges'!$A$135, 'Tables &amp; Ranges'!$B$135, IF(D71='Tables &amp; Ranges'!$A$136, 'Tables &amp; Ranges'!$B$136, IF(D71='Tables &amp; Ranges'!$A$99, 'Tables &amp; Ranges'!$B$116, VLOOKUP(X71,'Fixture Table'!$C$3:$M$1785, 10, FALSE))))))</f>
        <v>#N/A</v>
      </c>
      <c r="D71" s="2">
        <f>IFERROR(_xlfn.IFNA(VLOOKUP(F71,Summary_Pre!E:F,2,FALSE),0),0)</f>
        <v>0</v>
      </c>
      <c r="E71" s="249" t="e">
        <f t="shared" si="7"/>
        <v>#N/A</v>
      </c>
      <c r="F71" s="2" t="e">
        <f t="array" ref="F71">INDEX(Summary_Pre!E$4:E$303, MATCH(0, COUNTIF($F$2:F70,Summary_Pre!E$4:E$303), 0))</f>
        <v>#N/A</v>
      </c>
      <c r="G71" s="271" t="e">
        <f>VLOOKUP(X71,Table7[[#All],[FIXTURE CODE]:[WATT/ FIXT]], 6, FALSE)</f>
        <v>#N/A</v>
      </c>
      <c r="H71" s="271" t="e">
        <f>VLOOKUP(Y71,Table7[[#All],[FIXTURE CODE]:[WATT/ FIXT]], 6, FALSE)</f>
        <v>#N/A</v>
      </c>
      <c r="I71" s="272">
        <f>SUMIF(Summary_Pre!E:E,"="&amp;F71,Summary_Pre!D:D)</f>
        <v>0</v>
      </c>
      <c r="J71" s="263">
        <f>SUMIF(Summary_Pre!E:E,"="&amp;F71,Summary_Pre!H:H)</f>
        <v>0</v>
      </c>
      <c r="K71" s="262">
        <f>SUMIF(Summary_Pre!E:E,"="&amp; F71,Summary_Pre!I:I)</f>
        <v>0</v>
      </c>
      <c r="L71" s="3">
        <f>SUMIF(Summary_Pre!E:E,"="&amp; F71,Summary_Pre!J:J)</f>
        <v>0</v>
      </c>
      <c r="M71" s="285">
        <f>SUMIF(Summary_Pre!E:E,"="&amp; F71,Summary_Pre!K:K)</f>
        <v>0</v>
      </c>
      <c r="N71" s="285">
        <f>SUMIF(Summary_Pre!E:E,"="&amp;F71,Summary_Pre!C:C)</f>
        <v>0</v>
      </c>
      <c r="O71" s="266">
        <f t="shared" si="8"/>
        <v>0</v>
      </c>
      <c r="P71" s="3"/>
      <c r="Q71" s="3"/>
      <c r="R71" s="3"/>
      <c r="S71" s="3"/>
      <c r="T71" s="3"/>
      <c r="U71" s="3"/>
      <c r="V71" s="3"/>
      <c r="W71" s="2"/>
      <c r="X71" s="281" t="e">
        <f t="shared" si="5"/>
        <v>#N/A</v>
      </c>
      <c r="Y71" s="279" t="e">
        <f t="shared" si="6"/>
        <v>#N/A</v>
      </c>
    </row>
    <row r="72" spans="1:43" s="300" customFormat="1">
      <c r="A72" s="289" t="e">
        <f>IF(D72='Tables &amp; Ranges'!$A$133, 'Tables &amp; Ranges'!$B$133, IF(D72='Tables &amp; Ranges'!$A$134, 'Tables &amp; Ranges'!$B$134, IF(D72='Tables &amp; Ranges'!$A$135, 'Tables &amp; Ranges'!$B$135, IF(D72='Tables &amp; Ranges'!$A$136, 'Tables &amp; Ranges'!$B$136, IF(D72='Tables &amp; Ranges'!$A$99, 'Tables &amp; Ranges'!$B$116, VLOOKUP(X72,'Fixture Table'!$C$3:$M$1785, 10, FALSE))))))</f>
        <v>#N/A</v>
      </c>
      <c r="D72" s="290">
        <f>IFERROR(_xlfn.IFNA(VLOOKUP(F72,Summary_Pre!E:F,2,FALSE),0),0)</f>
        <v>0</v>
      </c>
      <c r="E72" s="249" t="e">
        <f t="shared" si="7"/>
        <v>#N/A</v>
      </c>
      <c r="F72" s="290" t="e">
        <f t="array" ref="F72">INDEX(Summary_Pre!E$4:E$303, MATCH(0, COUNTIF($F$2:F71,Summary_Pre!E$4:E$303), 0))</f>
        <v>#N/A</v>
      </c>
      <c r="G72" s="291" t="e">
        <f>VLOOKUP(X72,Table7[[#All],[FIXTURE CODE]:[WATT/ FIXT]], 6, FALSE)</f>
        <v>#N/A</v>
      </c>
      <c r="H72" s="291" t="e">
        <f>VLOOKUP(Y72,Table7[[#All],[FIXTURE CODE]:[WATT/ FIXT]], 6, FALSE)</f>
        <v>#N/A</v>
      </c>
      <c r="I72" s="292">
        <f>SUMIF(Summary_Pre!E:E,"="&amp;F72,Summary_Pre!D:D)</f>
        <v>0</v>
      </c>
      <c r="J72" s="293">
        <f>SUMIF(Summary_Pre!E:E,"="&amp;F72,Summary_Pre!H:H)</f>
        <v>0</v>
      </c>
      <c r="K72" s="294">
        <f>SUMIF(Summary_Pre!E:E,"="&amp; F72,Summary_Pre!I:I)</f>
        <v>0</v>
      </c>
      <c r="L72" s="295">
        <f>SUMIF(Summary_Pre!E:E,"="&amp; F72,Summary_Pre!J:J)</f>
        <v>0</v>
      </c>
      <c r="M72" s="296">
        <f>SUMIF(Summary_Pre!E:E,"="&amp; F72,Summary_Pre!K:K)</f>
        <v>0</v>
      </c>
      <c r="N72" s="296">
        <f>SUMIF(Summary_Pre!E:E,"="&amp;F72,Summary_Pre!C:C)</f>
        <v>0</v>
      </c>
      <c r="O72" s="297">
        <f t="shared" si="8"/>
        <v>0</v>
      </c>
      <c r="P72" s="295"/>
      <c r="Q72" s="295"/>
      <c r="R72" s="295"/>
      <c r="S72" s="295"/>
      <c r="T72" s="295"/>
      <c r="U72" s="295"/>
      <c r="V72" s="295"/>
      <c r="W72" s="290"/>
      <c r="X72" s="298" t="e">
        <f t="shared" si="5"/>
        <v>#N/A</v>
      </c>
      <c r="Y72" s="298" t="e">
        <f t="shared" si="6"/>
        <v>#N/A</v>
      </c>
      <c r="Z72" s="299"/>
      <c r="AA72" s="299"/>
      <c r="AB72" s="299"/>
      <c r="AC72" s="299"/>
      <c r="AD72" s="299"/>
      <c r="AE72" s="299"/>
      <c r="AF72" s="299"/>
      <c r="AG72" s="299"/>
      <c r="AH72" s="299"/>
      <c r="AI72" s="299"/>
      <c r="AJ72" s="299"/>
      <c r="AK72" s="299"/>
      <c r="AL72" s="299"/>
      <c r="AM72" s="299"/>
      <c r="AN72" s="299"/>
      <c r="AO72" s="299"/>
      <c r="AP72" s="299"/>
      <c r="AQ72" s="299"/>
    </row>
    <row r="73" spans="1:43">
      <c r="A73" s="249" t="e">
        <f>IF(D73='Tables &amp; Ranges'!$A$133, 'Tables &amp; Ranges'!$B$133, IF(D73='Tables &amp; Ranges'!$A$134, 'Tables &amp; Ranges'!$B$134, IF(D73='Tables &amp; Ranges'!$A$135, 'Tables &amp; Ranges'!$B$135, IF(D73='Tables &amp; Ranges'!$A$136, 'Tables &amp; Ranges'!$B$136, IF(D73='Tables &amp; Ranges'!$A$99, 'Tables &amp; Ranges'!$B$116, VLOOKUP(X73,'Fixture Table'!$C$3:$M$1785, 10, FALSE))))))</f>
        <v>#N/A</v>
      </c>
      <c r="D73" s="2">
        <f>IFERROR(_xlfn.IFNA(VLOOKUP(F73,Summary_Pre!E:F,2,FALSE),0),0)</f>
        <v>0</v>
      </c>
      <c r="E73" s="249" t="e">
        <f t="shared" si="7"/>
        <v>#N/A</v>
      </c>
      <c r="F73" s="2" t="e">
        <f t="array" ref="F73">INDEX(Summary_Pre!E$4:E$303, MATCH(0, COUNTIF($F$2:F72,Summary_Pre!E$4:E$303), 0))</f>
        <v>#N/A</v>
      </c>
      <c r="G73" s="271" t="e">
        <f>VLOOKUP(X73,Table7[[#All],[FIXTURE CODE]:[WATT/ FIXT]], 6, FALSE)</f>
        <v>#N/A</v>
      </c>
      <c r="H73" s="271" t="e">
        <f>VLOOKUP(Y73,Table7[[#All],[FIXTURE CODE]:[WATT/ FIXT]], 6, FALSE)</f>
        <v>#N/A</v>
      </c>
      <c r="I73" s="272">
        <f>SUMIF(Summary_Pre!E:E,"="&amp;F73,Summary_Pre!D:D)</f>
        <v>0</v>
      </c>
      <c r="J73" s="263">
        <f>SUMIF(Summary_Pre!E:E,"="&amp;F73,Summary_Pre!H:H)</f>
        <v>0</v>
      </c>
      <c r="K73" s="262">
        <f>SUMIF(Summary_Pre!E:E,"="&amp; F73,Summary_Pre!I:I)</f>
        <v>0</v>
      </c>
      <c r="L73" s="3">
        <f>SUMIF(Summary_Pre!E:E,"="&amp; F73,Summary_Pre!J:J)</f>
        <v>0</v>
      </c>
      <c r="M73" s="285">
        <f>SUMIF(Summary_Pre!E:E,"="&amp; F73,Summary_Pre!K:K)</f>
        <v>0</v>
      </c>
      <c r="N73" s="285">
        <f>SUMIF(Summary_Pre!E:E,"="&amp;F73,Summary_Pre!C:C)</f>
        <v>0</v>
      </c>
      <c r="O73" s="266">
        <f t="shared" si="8"/>
        <v>0</v>
      </c>
      <c r="P73" s="3"/>
      <c r="Q73" s="3"/>
      <c r="R73" s="3"/>
      <c r="S73" s="3"/>
      <c r="T73" s="3"/>
      <c r="U73" s="3"/>
      <c r="V73" s="3"/>
      <c r="W73" s="2"/>
      <c r="X73" s="281" t="e">
        <f t="shared" si="5"/>
        <v>#N/A</v>
      </c>
      <c r="Y73" s="279" t="e">
        <f t="shared" si="6"/>
        <v>#N/A</v>
      </c>
    </row>
    <row r="74" spans="1:43" s="300" customFormat="1">
      <c r="A74" s="289" t="e">
        <f>IF(D74='Tables &amp; Ranges'!$A$133, 'Tables &amp; Ranges'!$B$133, IF(D74='Tables &amp; Ranges'!$A$134, 'Tables &amp; Ranges'!$B$134, IF(D74='Tables &amp; Ranges'!$A$135, 'Tables &amp; Ranges'!$B$135, IF(D74='Tables &amp; Ranges'!$A$136, 'Tables &amp; Ranges'!$B$136, IF(D74='Tables &amp; Ranges'!$A$99, 'Tables &amp; Ranges'!$B$116, VLOOKUP(X74,'Fixture Table'!$C$3:$M$1785, 10, FALSE))))))</f>
        <v>#N/A</v>
      </c>
      <c r="D74" s="290">
        <f>IFERROR(_xlfn.IFNA(VLOOKUP(F74,Summary_Pre!E:F,2,FALSE),0),0)</f>
        <v>0</v>
      </c>
      <c r="E74" s="249" t="e">
        <f t="shared" si="7"/>
        <v>#N/A</v>
      </c>
      <c r="F74" s="290" t="e">
        <f t="array" ref="F74">INDEX(Summary_Pre!E$4:E$303, MATCH(0, COUNTIF($F$2:F73,Summary_Pre!E$4:E$303), 0))</f>
        <v>#N/A</v>
      </c>
      <c r="G74" s="291" t="e">
        <f>VLOOKUP(X74,Table7[[#All],[FIXTURE CODE]:[WATT/ FIXT]], 6, FALSE)</f>
        <v>#N/A</v>
      </c>
      <c r="H74" s="291" t="e">
        <f>VLOOKUP(Y74,Table7[[#All],[FIXTURE CODE]:[WATT/ FIXT]], 6, FALSE)</f>
        <v>#N/A</v>
      </c>
      <c r="I74" s="292">
        <f>SUMIF(Summary_Pre!E:E,"="&amp;F74,Summary_Pre!D:D)</f>
        <v>0</v>
      </c>
      <c r="J74" s="293">
        <f>SUMIF(Summary_Pre!E:E,"="&amp;F74,Summary_Pre!H:H)</f>
        <v>0</v>
      </c>
      <c r="K74" s="294">
        <f>SUMIF(Summary_Pre!E:E,"="&amp; F74,Summary_Pre!I:I)</f>
        <v>0</v>
      </c>
      <c r="L74" s="295">
        <f>SUMIF(Summary_Pre!E:E,"="&amp; F74,Summary_Pre!J:J)</f>
        <v>0</v>
      </c>
      <c r="M74" s="296">
        <f>SUMIF(Summary_Pre!E:E,"="&amp; F74,Summary_Pre!K:K)</f>
        <v>0</v>
      </c>
      <c r="N74" s="296">
        <f>SUMIF(Summary_Pre!E:E,"="&amp;F74,Summary_Pre!C:C)</f>
        <v>0</v>
      </c>
      <c r="O74" s="297">
        <f t="shared" si="8"/>
        <v>0</v>
      </c>
      <c r="P74" s="295"/>
      <c r="Q74" s="295"/>
      <c r="R74" s="295"/>
      <c r="S74" s="295"/>
      <c r="T74" s="295"/>
      <c r="U74" s="295"/>
      <c r="V74" s="295"/>
      <c r="W74" s="290"/>
      <c r="X74" s="298" t="e">
        <f t="shared" si="5"/>
        <v>#N/A</v>
      </c>
      <c r="Y74" s="298" t="e">
        <f t="shared" si="6"/>
        <v>#N/A</v>
      </c>
      <c r="Z74" s="299"/>
      <c r="AA74" s="299"/>
      <c r="AB74" s="299"/>
      <c r="AC74" s="299"/>
      <c r="AD74" s="299"/>
      <c r="AE74" s="299"/>
      <c r="AF74" s="299"/>
      <c r="AG74" s="299"/>
      <c r="AH74" s="299"/>
      <c r="AI74" s="299"/>
      <c r="AJ74" s="299"/>
      <c r="AK74" s="299"/>
      <c r="AL74" s="299"/>
      <c r="AM74" s="299"/>
      <c r="AN74" s="299"/>
      <c r="AO74" s="299"/>
      <c r="AP74" s="299"/>
      <c r="AQ74" s="299"/>
    </row>
    <row r="75" spans="1:43">
      <c r="A75" s="249" t="e">
        <f>IF(D75='Tables &amp; Ranges'!$A$133, 'Tables &amp; Ranges'!$B$133, IF(D75='Tables &amp; Ranges'!$A$134, 'Tables &amp; Ranges'!$B$134, IF(D75='Tables &amp; Ranges'!$A$135, 'Tables &amp; Ranges'!$B$135, IF(D75='Tables &amp; Ranges'!$A$136, 'Tables &amp; Ranges'!$B$136, IF(D75='Tables &amp; Ranges'!$A$99, 'Tables &amp; Ranges'!$B$116, VLOOKUP(X75,'Fixture Table'!$C$3:$M$1785, 10, FALSE))))))</f>
        <v>#N/A</v>
      </c>
      <c r="D75" s="2">
        <f>IFERROR(_xlfn.IFNA(VLOOKUP(F75,Summary_Pre!E:F,2,FALSE),0),0)</f>
        <v>0</v>
      </c>
      <c r="E75" s="249" t="e">
        <f t="shared" si="7"/>
        <v>#N/A</v>
      </c>
      <c r="F75" s="2" t="e">
        <f t="array" ref="F75">INDEX(Summary_Pre!E$4:E$303, MATCH(0, COUNTIF($F$2:F74,Summary_Pre!E$4:E$303), 0))</f>
        <v>#N/A</v>
      </c>
      <c r="G75" s="271" t="e">
        <f>VLOOKUP(X75,Table7[[#All],[FIXTURE CODE]:[WATT/ FIXT]], 6, FALSE)</f>
        <v>#N/A</v>
      </c>
      <c r="H75" s="271" t="e">
        <f>VLOOKUP(Y75,Table7[[#All],[FIXTURE CODE]:[WATT/ FIXT]], 6, FALSE)</f>
        <v>#N/A</v>
      </c>
      <c r="I75" s="272">
        <f>SUMIF(Summary_Pre!E:E,"="&amp;F75,Summary_Pre!D:D)</f>
        <v>0</v>
      </c>
      <c r="J75" s="263">
        <f>SUMIF(Summary_Pre!E:E,"="&amp;F75,Summary_Pre!H:H)</f>
        <v>0</v>
      </c>
      <c r="K75" s="262">
        <f>SUMIF(Summary_Pre!E:E,"="&amp; F75,Summary_Pre!I:I)</f>
        <v>0</v>
      </c>
      <c r="L75" s="3">
        <f>SUMIF(Summary_Pre!E:E,"="&amp; F75,Summary_Pre!J:J)</f>
        <v>0</v>
      </c>
      <c r="M75" s="285">
        <f>SUMIF(Summary_Pre!E:E,"="&amp; F75,Summary_Pre!K:K)</f>
        <v>0</v>
      </c>
      <c r="N75" s="285">
        <f>SUMIF(Summary_Pre!E:E,"="&amp;F75,Summary_Pre!C:C)</f>
        <v>0</v>
      </c>
      <c r="O75" s="266">
        <f t="shared" si="8"/>
        <v>0</v>
      </c>
      <c r="P75" s="3"/>
      <c r="Q75" s="3"/>
      <c r="R75" s="3"/>
      <c r="S75" s="3"/>
      <c r="T75" s="3"/>
      <c r="U75" s="3"/>
      <c r="V75" s="3"/>
      <c r="W75" s="2"/>
      <c r="X75" s="281" t="e">
        <f t="shared" si="5"/>
        <v>#N/A</v>
      </c>
      <c r="Y75" s="279" t="e">
        <f t="shared" si="6"/>
        <v>#N/A</v>
      </c>
    </row>
    <row r="76" spans="1:43" s="300" customFormat="1">
      <c r="A76" s="289" t="e">
        <f>IF(D76='Tables &amp; Ranges'!$A$133, 'Tables &amp; Ranges'!$B$133, IF(D76='Tables &amp; Ranges'!$A$134, 'Tables &amp; Ranges'!$B$134, IF(D76='Tables &amp; Ranges'!$A$135, 'Tables &amp; Ranges'!$B$135, IF(D76='Tables &amp; Ranges'!$A$136, 'Tables &amp; Ranges'!$B$136, IF(D76='Tables &amp; Ranges'!$A$99, 'Tables &amp; Ranges'!$B$116, VLOOKUP(X76,'Fixture Table'!$C$3:$M$1785, 10, FALSE))))))</f>
        <v>#N/A</v>
      </c>
      <c r="D76" s="290">
        <f>IFERROR(_xlfn.IFNA(VLOOKUP(F76,Summary_Pre!E:F,2,FALSE),0),0)</f>
        <v>0</v>
      </c>
      <c r="E76" s="249" t="e">
        <f t="shared" si="7"/>
        <v>#N/A</v>
      </c>
      <c r="F76" s="290" t="e">
        <f t="array" ref="F76">INDEX(Summary_Pre!E$4:E$303, MATCH(0, COUNTIF($F$2:F75,Summary_Pre!E$4:E$303), 0))</f>
        <v>#N/A</v>
      </c>
      <c r="G76" s="291" t="e">
        <f>VLOOKUP(X76,Table7[[#All],[FIXTURE CODE]:[WATT/ FIXT]], 6, FALSE)</f>
        <v>#N/A</v>
      </c>
      <c r="H76" s="291" t="e">
        <f>VLOOKUP(Y76,Table7[[#All],[FIXTURE CODE]:[WATT/ FIXT]], 6, FALSE)</f>
        <v>#N/A</v>
      </c>
      <c r="I76" s="292">
        <f>SUMIF(Summary_Pre!E:E,"="&amp;F76,Summary_Pre!D:D)</f>
        <v>0</v>
      </c>
      <c r="J76" s="293">
        <f>SUMIF(Summary_Pre!E:E,"="&amp;F76,Summary_Pre!H:H)</f>
        <v>0</v>
      </c>
      <c r="K76" s="294">
        <f>SUMIF(Summary_Pre!E:E,"="&amp; F76,Summary_Pre!I:I)</f>
        <v>0</v>
      </c>
      <c r="L76" s="295">
        <f>SUMIF(Summary_Pre!E:E,"="&amp; F76,Summary_Pre!J:J)</f>
        <v>0</v>
      </c>
      <c r="M76" s="296">
        <f>SUMIF(Summary_Pre!E:E,"="&amp; F76,Summary_Pre!K:K)</f>
        <v>0</v>
      </c>
      <c r="N76" s="296">
        <f>SUMIF(Summary_Pre!E:E,"="&amp;F76,Summary_Pre!C:C)</f>
        <v>0</v>
      </c>
      <c r="O76" s="297">
        <f t="shared" si="8"/>
        <v>0</v>
      </c>
      <c r="P76" s="295"/>
      <c r="Q76" s="295"/>
      <c r="R76" s="295"/>
      <c r="S76" s="295"/>
      <c r="T76" s="295"/>
      <c r="U76" s="295"/>
      <c r="V76" s="295"/>
      <c r="W76" s="290"/>
      <c r="X76" s="298" t="e">
        <f t="shared" si="5"/>
        <v>#N/A</v>
      </c>
      <c r="Y76" s="298" t="e">
        <f t="shared" si="6"/>
        <v>#N/A</v>
      </c>
      <c r="Z76" s="299"/>
      <c r="AA76" s="299"/>
      <c r="AB76" s="299"/>
      <c r="AC76" s="299"/>
      <c r="AD76" s="299"/>
      <c r="AE76" s="299"/>
      <c r="AF76" s="299"/>
      <c r="AG76" s="299"/>
      <c r="AH76" s="299"/>
      <c r="AI76" s="299"/>
      <c r="AJ76" s="299"/>
      <c r="AK76" s="299"/>
      <c r="AL76" s="299"/>
      <c r="AM76" s="299"/>
      <c r="AN76" s="299"/>
      <c r="AO76" s="299"/>
      <c r="AP76" s="299"/>
      <c r="AQ76" s="299"/>
    </row>
    <row r="77" spans="1:43">
      <c r="A77" s="249" t="e">
        <f>IF(D77='Tables &amp; Ranges'!$A$133, 'Tables &amp; Ranges'!$B$133, IF(D77='Tables &amp; Ranges'!$A$134, 'Tables &amp; Ranges'!$B$134, IF(D77='Tables &amp; Ranges'!$A$135, 'Tables &amp; Ranges'!$B$135, IF(D77='Tables &amp; Ranges'!$A$136, 'Tables &amp; Ranges'!$B$136, IF(D77='Tables &amp; Ranges'!$A$99, 'Tables &amp; Ranges'!$B$116, VLOOKUP(X77,'Fixture Table'!$C$3:$M$1785, 10, FALSE))))))</f>
        <v>#N/A</v>
      </c>
      <c r="D77" s="2">
        <f>IFERROR(_xlfn.IFNA(VLOOKUP(F77,Summary_Pre!E:F,2,FALSE),0),0)</f>
        <v>0</v>
      </c>
      <c r="E77" s="249" t="e">
        <f t="shared" si="7"/>
        <v>#N/A</v>
      </c>
      <c r="F77" s="2" t="e">
        <f t="array" ref="F77">INDEX(Summary_Pre!E$4:E$303, MATCH(0, COUNTIF($F$2:F76,Summary_Pre!E$4:E$303), 0))</f>
        <v>#N/A</v>
      </c>
      <c r="G77" s="271" t="e">
        <f>VLOOKUP(X77,Table7[[#All],[FIXTURE CODE]:[WATT/ FIXT]], 6, FALSE)</f>
        <v>#N/A</v>
      </c>
      <c r="H77" s="271" t="e">
        <f>VLOOKUP(Y77,Table7[[#All],[FIXTURE CODE]:[WATT/ FIXT]], 6, FALSE)</f>
        <v>#N/A</v>
      </c>
      <c r="I77" s="272">
        <f>SUMIF(Summary_Pre!E:E,"="&amp;F77,Summary_Pre!D:D)</f>
        <v>0</v>
      </c>
      <c r="J77" s="263">
        <f>SUMIF(Summary_Pre!E:E,"="&amp;F77,Summary_Pre!H:H)</f>
        <v>0</v>
      </c>
      <c r="K77" s="262">
        <f>SUMIF(Summary_Pre!E:E,"="&amp; F77,Summary_Pre!I:I)</f>
        <v>0</v>
      </c>
      <c r="L77" s="3">
        <f>SUMIF(Summary_Pre!E:E,"="&amp; F77,Summary_Pre!J:J)</f>
        <v>0</v>
      </c>
      <c r="M77" s="285">
        <f>SUMIF(Summary_Pre!E:E,"="&amp; F77,Summary_Pre!K:K)</f>
        <v>0</v>
      </c>
      <c r="N77" s="285">
        <f>SUMIF(Summary_Pre!E:E,"="&amp;F77,Summary_Pre!C:C)</f>
        <v>0</v>
      </c>
      <c r="O77" s="266">
        <f t="shared" si="8"/>
        <v>0</v>
      </c>
      <c r="P77" s="3"/>
      <c r="Q77" s="3"/>
      <c r="R77" s="3"/>
      <c r="S77" s="3"/>
      <c r="T77" s="3"/>
      <c r="U77" s="3"/>
      <c r="V77" s="3"/>
      <c r="W77" s="2"/>
      <c r="X77" s="281" t="e">
        <f t="shared" si="5"/>
        <v>#N/A</v>
      </c>
      <c r="Y77" s="279" t="e">
        <f t="shared" si="6"/>
        <v>#N/A</v>
      </c>
    </row>
    <row r="78" spans="1:43" s="300" customFormat="1">
      <c r="A78" s="289" t="e">
        <f>IF(D78='Tables &amp; Ranges'!$A$133, 'Tables &amp; Ranges'!$B$133, IF(D78='Tables &amp; Ranges'!$A$134, 'Tables &amp; Ranges'!$B$134, IF(D78='Tables &amp; Ranges'!$A$135, 'Tables &amp; Ranges'!$B$135, IF(D78='Tables &amp; Ranges'!$A$136, 'Tables &amp; Ranges'!$B$136, IF(D78='Tables &amp; Ranges'!$A$99, 'Tables &amp; Ranges'!$B$116, VLOOKUP(X78,'Fixture Table'!$C$3:$M$1785, 10, FALSE))))))</f>
        <v>#N/A</v>
      </c>
      <c r="D78" s="290">
        <f>IFERROR(_xlfn.IFNA(VLOOKUP(F78,Summary_Pre!E:F,2,FALSE),0),0)</f>
        <v>0</v>
      </c>
      <c r="E78" s="249" t="e">
        <f t="shared" si="7"/>
        <v>#N/A</v>
      </c>
      <c r="F78" s="290" t="e">
        <f t="array" ref="F78">INDEX(Summary_Pre!E$4:E$303, MATCH(0, COUNTIF($F$2:F77,Summary_Pre!E$4:E$303), 0))</f>
        <v>#N/A</v>
      </c>
      <c r="G78" s="291" t="e">
        <f>VLOOKUP(X78,Table7[[#All],[FIXTURE CODE]:[WATT/ FIXT]], 6, FALSE)</f>
        <v>#N/A</v>
      </c>
      <c r="H78" s="291" t="e">
        <f>VLOOKUP(Y78,Table7[[#All],[FIXTURE CODE]:[WATT/ FIXT]], 6, FALSE)</f>
        <v>#N/A</v>
      </c>
      <c r="I78" s="292">
        <f>SUMIF(Summary_Pre!E:E,"="&amp;F78,Summary_Pre!D:D)</f>
        <v>0</v>
      </c>
      <c r="J78" s="293">
        <f>SUMIF(Summary_Pre!E:E,"="&amp;F78,Summary_Pre!H:H)</f>
        <v>0</v>
      </c>
      <c r="K78" s="294">
        <f>SUMIF(Summary_Pre!E:E,"="&amp; F78,Summary_Pre!I:I)</f>
        <v>0</v>
      </c>
      <c r="L78" s="295">
        <f>SUMIF(Summary_Pre!E:E,"="&amp; F78,Summary_Pre!J:J)</f>
        <v>0</v>
      </c>
      <c r="M78" s="296">
        <f>SUMIF(Summary_Pre!E:E,"="&amp; F78,Summary_Pre!K:K)</f>
        <v>0</v>
      </c>
      <c r="N78" s="296">
        <f>SUMIF(Summary_Pre!E:E,"="&amp;F78,Summary_Pre!C:C)</f>
        <v>0</v>
      </c>
      <c r="O78" s="297">
        <f t="shared" si="8"/>
        <v>0</v>
      </c>
      <c r="P78" s="295"/>
      <c r="Q78" s="295"/>
      <c r="R78" s="295"/>
      <c r="S78" s="295"/>
      <c r="T78" s="295"/>
      <c r="U78" s="295"/>
      <c r="V78" s="295"/>
      <c r="W78" s="290"/>
      <c r="X78" s="298" t="e">
        <f t="shared" si="5"/>
        <v>#N/A</v>
      </c>
      <c r="Y78" s="298" t="e">
        <f t="shared" si="6"/>
        <v>#N/A</v>
      </c>
      <c r="Z78" s="299"/>
      <c r="AA78" s="299"/>
      <c r="AB78" s="299"/>
      <c r="AC78" s="299"/>
      <c r="AD78" s="299"/>
      <c r="AE78" s="299"/>
      <c r="AF78" s="299"/>
      <c r="AG78" s="299"/>
      <c r="AH78" s="299"/>
      <c r="AI78" s="299"/>
      <c r="AJ78" s="299"/>
      <c r="AK78" s="299"/>
      <c r="AL78" s="299"/>
      <c r="AM78" s="299"/>
      <c r="AN78" s="299"/>
      <c r="AO78" s="299"/>
      <c r="AP78" s="299"/>
      <c r="AQ78" s="299"/>
    </row>
    <row r="79" spans="1:43">
      <c r="A79" s="249" t="e">
        <f>IF(D79='Tables &amp; Ranges'!$A$133, 'Tables &amp; Ranges'!$B$133, IF(D79='Tables &amp; Ranges'!$A$134, 'Tables &amp; Ranges'!$B$134, IF(D79='Tables &amp; Ranges'!$A$135, 'Tables &amp; Ranges'!$B$135, IF(D79='Tables &amp; Ranges'!$A$136, 'Tables &amp; Ranges'!$B$136, IF(D79='Tables &amp; Ranges'!$A$99, 'Tables &amp; Ranges'!$B$116, VLOOKUP(X79,'Fixture Table'!$C$3:$M$1785, 10, FALSE))))))</f>
        <v>#N/A</v>
      </c>
      <c r="D79" s="2">
        <f>IFERROR(_xlfn.IFNA(VLOOKUP(F79,Summary_Pre!E:F,2,FALSE),0),0)</f>
        <v>0</v>
      </c>
      <c r="E79" s="249" t="e">
        <f t="shared" si="7"/>
        <v>#N/A</v>
      </c>
      <c r="F79" s="2" t="e">
        <f t="array" ref="F79">INDEX(Summary_Pre!E$4:E$303, MATCH(0, COUNTIF($F$2:F78,Summary_Pre!E$4:E$303), 0))</f>
        <v>#N/A</v>
      </c>
      <c r="G79" s="271" t="e">
        <f>VLOOKUP(X79,Table7[[#All],[FIXTURE CODE]:[WATT/ FIXT]], 6, FALSE)</f>
        <v>#N/A</v>
      </c>
      <c r="H79" s="271" t="e">
        <f>VLOOKUP(Y79,Table7[[#All],[FIXTURE CODE]:[WATT/ FIXT]], 6, FALSE)</f>
        <v>#N/A</v>
      </c>
      <c r="I79" s="272">
        <f>SUMIF(Summary_Pre!E:E,"="&amp;F79,Summary_Pre!D:D)</f>
        <v>0</v>
      </c>
      <c r="J79" s="263">
        <f>SUMIF(Summary_Pre!E:E,"="&amp;F79,Summary_Pre!H:H)</f>
        <v>0</v>
      </c>
      <c r="K79" s="262">
        <f>SUMIF(Summary_Pre!E:E,"="&amp; F79,Summary_Pre!I:I)</f>
        <v>0</v>
      </c>
      <c r="L79" s="3">
        <f>SUMIF(Summary_Pre!E:E,"="&amp; F79,Summary_Pre!J:J)</f>
        <v>0</v>
      </c>
      <c r="M79" s="285">
        <f>SUMIF(Summary_Pre!E:E,"="&amp; F79,Summary_Pre!K:K)</f>
        <v>0</v>
      </c>
      <c r="N79" s="285">
        <f>SUMIF(Summary_Pre!E:E,"="&amp;F79,Summary_Pre!C:C)</f>
        <v>0</v>
      </c>
      <c r="O79" s="266">
        <f t="shared" si="8"/>
        <v>0</v>
      </c>
      <c r="P79" s="3"/>
      <c r="Q79" s="3"/>
      <c r="R79" s="3"/>
      <c r="S79" s="3"/>
      <c r="T79" s="3"/>
      <c r="U79" s="3"/>
      <c r="V79" s="3"/>
      <c r="W79" s="2"/>
      <c r="X79" s="281" t="e">
        <f t="shared" si="5"/>
        <v>#N/A</v>
      </c>
      <c r="Y79" s="279" t="e">
        <f t="shared" si="6"/>
        <v>#N/A</v>
      </c>
    </row>
    <row r="80" spans="1:43" s="300" customFormat="1">
      <c r="A80" s="289" t="e">
        <f>IF(D80='Tables &amp; Ranges'!$A$133, 'Tables &amp; Ranges'!$B$133, IF(D80='Tables &amp; Ranges'!$A$134, 'Tables &amp; Ranges'!$B$134, IF(D80='Tables &amp; Ranges'!$A$135, 'Tables &amp; Ranges'!$B$135, IF(D80='Tables &amp; Ranges'!$A$136, 'Tables &amp; Ranges'!$B$136, IF(D80='Tables &amp; Ranges'!$A$99, 'Tables &amp; Ranges'!$B$116, VLOOKUP(X80,'Fixture Table'!$C$3:$M$1785, 10, FALSE))))))</f>
        <v>#N/A</v>
      </c>
      <c r="D80" s="290">
        <f>IFERROR(_xlfn.IFNA(VLOOKUP(F80,Summary_Pre!E:F,2,FALSE),0),0)</f>
        <v>0</v>
      </c>
      <c r="E80" s="249" t="e">
        <f t="shared" si="7"/>
        <v>#N/A</v>
      </c>
      <c r="F80" s="290" t="e">
        <f t="array" ref="F80">INDEX(Summary_Pre!E$4:E$303, MATCH(0, COUNTIF($F$2:F79,Summary_Pre!E$4:E$303), 0))</f>
        <v>#N/A</v>
      </c>
      <c r="G80" s="291" t="e">
        <f>VLOOKUP(X80,Table7[[#All],[FIXTURE CODE]:[WATT/ FIXT]], 6, FALSE)</f>
        <v>#N/A</v>
      </c>
      <c r="H80" s="291" t="e">
        <f>VLOOKUP(Y80,Table7[[#All],[FIXTURE CODE]:[WATT/ FIXT]], 6, FALSE)</f>
        <v>#N/A</v>
      </c>
      <c r="I80" s="292">
        <f>SUMIF(Summary_Pre!E:E,"="&amp;F80,Summary_Pre!D:D)</f>
        <v>0</v>
      </c>
      <c r="J80" s="293">
        <f>SUMIF(Summary_Pre!E:E,"="&amp;F80,Summary_Pre!H:H)</f>
        <v>0</v>
      </c>
      <c r="K80" s="294">
        <f>SUMIF(Summary_Pre!E:E,"="&amp; F80,Summary_Pre!I:I)</f>
        <v>0</v>
      </c>
      <c r="L80" s="295">
        <f>SUMIF(Summary_Pre!E:E,"="&amp; F80,Summary_Pre!J:J)</f>
        <v>0</v>
      </c>
      <c r="M80" s="296">
        <f>SUMIF(Summary_Pre!E:E,"="&amp; F80,Summary_Pre!K:K)</f>
        <v>0</v>
      </c>
      <c r="N80" s="296">
        <f>SUMIF(Summary_Pre!E:E,"="&amp;F80,Summary_Pre!C:C)</f>
        <v>0</v>
      </c>
      <c r="O80" s="297">
        <f t="shared" si="8"/>
        <v>0</v>
      </c>
      <c r="P80" s="295"/>
      <c r="Q80" s="295"/>
      <c r="R80" s="295"/>
      <c r="S80" s="295"/>
      <c r="T80" s="295"/>
      <c r="U80" s="295"/>
      <c r="V80" s="295"/>
      <c r="W80" s="290"/>
      <c r="X80" s="298" t="e">
        <f t="shared" si="5"/>
        <v>#N/A</v>
      </c>
      <c r="Y80" s="298" t="e">
        <f t="shared" si="6"/>
        <v>#N/A</v>
      </c>
      <c r="Z80" s="299"/>
      <c r="AA80" s="299"/>
      <c r="AB80" s="299"/>
      <c r="AC80" s="299"/>
      <c r="AD80" s="299"/>
      <c r="AE80" s="299"/>
      <c r="AF80" s="299"/>
      <c r="AG80" s="299"/>
      <c r="AH80" s="299"/>
      <c r="AI80" s="299"/>
      <c r="AJ80" s="299"/>
      <c r="AK80" s="299"/>
      <c r="AL80" s="299"/>
      <c r="AM80" s="299"/>
      <c r="AN80" s="299"/>
      <c r="AO80" s="299"/>
      <c r="AP80" s="299"/>
      <c r="AQ80" s="299"/>
    </row>
    <row r="81" spans="1:43">
      <c r="A81" s="249" t="e">
        <f>IF(D81='Tables &amp; Ranges'!$A$133, 'Tables &amp; Ranges'!$B$133, IF(D81='Tables &amp; Ranges'!$A$134, 'Tables &amp; Ranges'!$B$134, IF(D81='Tables &amp; Ranges'!$A$135, 'Tables &amp; Ranges'!$B$135, IF(D81='Tables &amp; Ranges'!$A$136, 'Tables &amp; Ranges'!$B$136, IF(D81='Tables &amp; Ranges'!$A$99, 'Tables &amp; Ranges'!$B$116, VLOOKUP(X81,'Fixture Table'!$C$3:$M$1785, 10, FALSE))))))</f>
        <v>#N/A</v>
      </c>
      <c r="D81" s="2">
        <f>IFERROR(_xlfn.IFNA(VLOOKUP(F81,Summary_Pre!E:F,2,FALSE),0),0)</f>
        <v>0</v>
      </c>
      <c r="E81" s="249" t="e">
        <f t="shared" si="7"/>
        <v>#N/A</v>
      </c>
      <c r="F81" s="2" t="e">
        <f t="array" ref="F81">INDEX(Summary_Pre!E$4:E$303, MATCH(0, COUNTIF($F$2:F80,Summary_Pre!E$4:E$303), 0))</f>
        <v>#N/A</v>
      </c>
      <c r="G81" s="271" t="e">
        <f>VLOOKUP(X81,Table7[[#All],[FIXTURE CODE]:[WATT/ FIXT]], 6, FALSE)</f>
        <v>#N/A</v>
      </c>
      <c r="H81" s="271" t="e">
        <f>VLOOKUP(Y81,Table7[[#All],[FIXTURE CODE]:[WATT/ FIXT]], 6, FALSE)</f>
        <v>#N/A</v>
      </c>
      <c r="I81" s="272">
        <f>SUMIF(Summary_Pre!E:E,"="&amp;F81,Summary_Pre!D:D)</f>
        <v>0</v>
      </c>
      <c r="J81" s="263">
        <f>SUMIF(Summary_Pre!E:E,"="&amp;F81,Summary_Pre!H:H)</f>
        <v>0</v>
      </c>
      <c r="K81" s="262">
        <f>SUMIF(Summary_Pre!E:E,"="&amp; F81,Summary_Pre!I:I)</f>
        <v>0</v>
      </c>
      <c r="L81" s="3">
        <f>SUMIF(Summary_Pre!E:E,"="&amp; F81,Summary_Pre!J:J)</f>
        <v>0</v>
      </c>
      <c r="M81" s="285">
        <f>SUMIF(Summary_Pre!E:E,"="&amp; F81,Summary_Pre!K:K)</f>
        <v>0</v>
      </c>
      <c r="N81" s="285">
        <f>SUMIF(Summary_Pre!E:E,"="&amp;F81,Summary_Pre!C:C)</f>
        <v>0</v>
      </c>
      <c r="O81" s="266">
        <f t="shared" si="8"/>
        <v>0</v>
      </c>
      <c r="P81" s="3"/>
      <c r="Q81" s="3"/>
      <c r="R81" s="3"/>
      <c r="S81" s="3"/>
      <c r="T81" s="3"/>
      <c r="U81" s="3"/>
      <c r="V81" s="3"/>
      <c r="W81" s="2"/>
      <c r="X81" s="281" t="e">
        <f t="shared" si="5"/>
        <v>#N/A</v>
      </c>
      <c r="Y81" s="279" t="e">
        <f t="shared" si="6"/>
        <v>#N/A</v>
      </c>
    </row>
    <row r="82" spans="1:43" s="300" customFormat="1">
      <c r="A82" s="289" t="e">
        <f>IF(D82='Tables &amp; Ranges'!$A$133, 'Tables &amp; Ranges'!$B$133, IF(D82='Tables &amp; Ranges'!$A$134, 'Tables &amp; Ranges'!$B$134, IF(D82='Tables &amp; Ranges'!$A$135, 'Tables &amp; Ranges'!$B$135, IF(D82='Tables &amp; Ranges'!$A$136, 'Tables &amp; Ranges'!$B$136, IF(D82='Tables &amp; Ranges'!$A$99, 'Tables &amp; Ranges'!$B$116, VLOOKUP(X82,'Fixture Table'!$C$3:$M$1785, 10, FALSE))))))</f>
        <v>#N/A</v>
      </c>
      <c r="D82" s="290">
        <f>IFERROR(_xlfn.IFNA(VLOOKUP(F82,Summary_Pre!E:F,2,FALSE),0),0)</f>
        <v>0</v>
      </c>
      <c r="E82" s="249" t="e">
        <f t="shared" si="7"/>
        <v>#N/A</v>
      </c>
      <c r="F82" s="290" t="e">
        <f t="array" ref="F82">INDEX(Summary_Pre!E$4:E$303, MATCH(0, COUNTIF($F$2:F81,Summary_Pre!E$4:E$303), 0))</f>
        <v>#N/A</v>
      </c>
      <c r="G82" s="291" t="e">
        <f>VLOOKUP(X82,Table7[[#All],[FIXTURE CODE]:[WATT/ FIXT]], 6, FALSE)</f>
        <v>#N/A</v>
      </c>
      <c r="H82" s="291" t="e">
        <f>VLOOKUP(Y82,Table7[[#All],[FIXTURE CODE]:[WATT/ FIXT]], 6, FALSE)</f>
        <v>#N/A</v>
      </c>
      <c r="I82" s="292">
        <f>SUMIF(Summary_Pre!E:E,"="&amp;F82,Summary_Pre!D:D)</f>
        <v>0</v>
      </c>
      <c r="J82" s="293">
        <f>SUMIF(Summary_Pre!E:E,"="&amp;F82,Summary_Pre!H:H)</f>
        <v>0</v>
      </c>
      <c r="K82" s="294">
        <f>SUMIF(Summary_Pre!E:E,"="&amp; F82,Summary_Pre!I:I)</f>
        <v>0</v>
      </c>
      <c r="L82" s="295">
        <f>SUMIF(Summary_Pre!E:E,"="&amp; F82,Summary_Pre!J:J)</f>
        <v>0</v>
      </c>
      <c r="M82" s="296">
        <f>SUMIF(Summary_Pre!E:E,"="&amp; F82,Summary_Pre!K:K)</f>
        <v>0</v>
      </c>
      <c r="N82" s="296">
        <f>SUMIF(Summary_Pre!E:E,"="&amp;F82,Summary_Pre!C:C)</f>
        <v>0</v>
      </c>
      <c r="O82" s="297">
        <f t="shared" si="8"/>
        <v>0</v>
      </c>
      <c r="P82" s="295"/>
      <c r="Q82" s="295"/>
      <c r="R82" s="295"/>
      <c r="S82" s="295"/>
      <c r="T82" s="295"/>
      <c r="U82" s="295"/>
      <c r="V82" s="295"/>
      <c r="W82" s="290"/>
      <c r="X82" s="298" t="e">
        <f t="shared" si="5"/>
        <v>#N/A</v>
      </c>
      <c r="Y82" s="298" t="e">
        <f t="shared" si="6"/>
        <v>#N/A</v>
      </c>
      <c r="Z82" s="299"/>
      <c r="AA82" s="299"/>
      <c r="AB82" s="299"/>
      <c r="AC82" s="299"/>
      <c r="AD82" s="299"/>
      <c r="AE82" s="299"/>
      <c r="AF82" s="299"/>
      <c r="AG82" s="299"/>
      <c r="AH82" s="299"/>
      <c r="AI82" s="299"/>
      <c r="AJ82" s="299"/>
      <c r="AK82" s="299"/>
      <c r="AL82" s="299"/>
      <c r="AM82" s="299"/>
      <c r="AN82" s="299"/>
      <c r="AO82" s="299"/>
      <c r="AP82" s="299"/>
      <c r="AQ82" s="299"/>
    </row>
    <row r="83" spans="1:43">
      <c r="A83" s="249" t="e">
        <f>IF(D83='Tables &amp; Ranges'!$A$133, 'Tables &amp; Ranges'!$B$133, IF(D83='Tables &amp; Ranges'!$A$134, 'Tables &amp; Ranges'!$B$134, IF(D83='Tables &amp; Ranges'!$A$135, 'Tables &amp; Ranges'!$B$135, IF(D83='Tables &amp; Ranges'!$A$136, 'Tables &amp; Ranges'!$B$136, IF(D83='Tables &amp; Ranges'!$A$99, 'Tables &amp; Ranges'!$B$116, VLOOKUP(X83,'Fixture Table'!$C$3:$M$1785, 10, FALSE))))))</f>
        <v>#N/A</v>
      </c>
      <c r="D83" s="2">
        <f>IFERROR(_xlfn.IFNA(VLOOKUP(F83,Summary_Pre!E:F,2,FALSE),0),0)</f>
        <v>0</v>
      </c>
      <c r="E83" s="249" t="e">
        <f t="shared" si="7"/>
        <v>#N/A</v>
      </c>
      <c r="F83" s="2" t="e">
        <f t="array" ref="F83">INDEX(Summary_Pre!E$4:E$303, MATCH(0, COUNTIF($F$2:F82,Summary_Pre!E$4:E$303), 0))</f>
        <v>#N/A</v>
      </c>
      <c r="G83" s="271" t="e">
        <f>VLOOKUP(X83,Table7[[#All],[FIXTURE CODE]:[WATT/ FIXT]], 6, FALSE)</f>
        <v>#N/A</v>
      </c>
      <c r="H83" s="271" t="e">
        <f>VLOOKUP(Y83,Table7[[#All],[FIXTURE CODE]:[WATT/ FIXT]], 6, FALSE)</f>
        <v>#N/A</v>
      </c>
      <c r="I83" s="272">
        <f>SUMIF(Summary_Pre!E:E,"="&amp;F83,Summary_Pre!D:D)</f>
        <v>0</v>
      </c>
      <c r="J83" s="263">
        <f>SUMIF(Summary_Pre!E:E,"="&amp;F83,Summary_Pre!H:H)</f>
        <v>0</v>
      </c>
      <c r="K83" s="262">
        <f>SUMIF(Summary_Pre!E:E,"="&amp; F83,Summary_Pre!I:I)</f>
        <v>0</v>
      </c>
      <c r="L83" s="3">
        <f>SUMIF(Summary_Pre!E:E,"="&amp; F83,Summary_Pre!J:J)</f>
        <v>0</v>
      </c>
      <c r="M83" s="285">
        <f>SUMIF(Summary_Pre!E:E,"="&amp; F83,Summary_Pre!K:K)</f>
        <v>0</v>
      </c>
      <c r="N83" s="285">
        <f>SUMIF(Summary_Pre!E:E,"="&amp;F83,Summary_Pre!C:C)</f>
        <v>0</v>
      </c>
      <c r="O83" s="266">
        <f t="shared" si="8"/>
        <v>0</v>
      </c>
      <c r="P83" s="3"/>
      <c r="Q83" s="3"/>
      <c r="R83" s="3"/>
      <c r="S83" s="3"/>
      <c r="T83" s="3"/>
      <c r="U83" s="3"/>
      <c r="V83" s="3"/>
      <c r="W83" s="2"/>
      <c r="X83" s="281" t="e">
        <f t="shared" si="5"/>
        <v>#N/A</v>
      </c>
      <c r="Y83" s="279" t="e">
        <f t="shared" si="6"/>
        <v>#N/A</v>
      </c>
    </row>
    <row r="84" spans="1:43" s="300" customFormat="1">
      <c r="A84" s="289" t="e">
        <f>IF(D84='Tables &amp; Ranges'!$A$133, 'Tables &amp; Ranges'!$B$133, IF(D84='Tables &amp; Ranges'!$A$134, 'Tables &amp; Ranges'!$B$134, IF(D84='Tables &amp; Ranges'!$A$135, 'Tables &amp; Ranges'!$B$135, IF(D84='Tables &amp; Ranges'!$A$136, 'Tables &amp; Ranges'!$B$136, IF(D84='Tables &amp; Ranges'!$A$99, 'Tables &amp; Ranges'!$B$116, VLOOKUP(X84,'Fixture Table'!$C$3:$M$1785, 10, FALSE))))))</f>
        <v>#N/A</v>
      </c>
      <c r="D84" s="290">
        <f>IFERROR(_xlfn.IFNA(VLOOKUP(F84,Summary_Pre!E:F,2,FALSE),0),0)</f>
        <v>0</v>
      </c>
      <c r="E84" s="249" t="e">
        <f t="shared" si="7"/>
        <v>#N/A</v>
      </c>
      <c r="F84" s="290" t="e">
        <f t="array" ref="F84">INDEX(Summary_Pre!E$4:E$303, MATCH(0, COUNTIF($F$2:F83,Summary_Pre!E$4:E$303), 0))</f>
        <v>#N/A</v>
      </c>
      <c r="G84" s="291" t="e">
        <f>VLOOKUP(X84,Table7[[#All],[FIXTURE CODE]:[WATT/ FIXT]], 6, FALSE)</f>
        <v>#N/A</v>
      </c>
      <c r="H84" s="291" t="e">
        <f>VLOOKUP(Y84,Table7[[#All],[FIXTURE CODE]:[WATT/ FIXT]], 6, FALSE)</f>
        <v>#N/A</v>
      </c>
      <c r="I84" s="292">
        <f>SUMIF(Summary_Pre!E:E,"="&amp;F84,Summary_Pre!D:D)</f>
        <v>0</v>
      </c>
      <c r="J84" s="293">
        <f>SUMIF(Summary_Pre!E:E,"="&amp;F84,Summary_Pre!H:H)</f>
        <v>0</v>
      </c>
      <c r="K84" s="294">
        <f>SUMIF(Summary_Pre!E:E,"="&amp; F84,Summary_Pre!I:I)</f>
        <v>0</v>
      </c>
      <c r="L84" s="295">
        <f>SUMIF(Summary_Pre!E:E,"="&amp; F84,Summary_Pre!J:J)</f>
        <v>0</v>
      </c>
      <c r="M84" s="296">
        <f>SUMIF(Summary_Pre!E:E,"="&amp; F84,Summary_Pre!K:K)</f>
        <v>0</v>
      </c>
      <c r="N84" s="296">
        <f>SUMIF(Summary_Pre!E:E,"="&amp;F84,Summary_Pre!C:C)</f>
        <v>0</v>
      </c>
      <c r="O84" s="297">
        <f t="shared" si="8"/>
        <v>0</v>
      </c>
      <c r="P84" s="295"/>
      <c r="Q84" s="295"/>
      <c r="R84" s="295"/>
      <c r="S84" s="295"/>
      <c r="T84" s="295"/>
      <c r="U84" s="295"/>
      <c r="V84" s="295"/>
      <c r="W84" s="290"/>
      <c r="X84" s="298" t="e">
        <f t="shared" si="5"/>
        <v>#N/A</v>
      </c>
      <c r="Y84" s="298" t="e">
        <f t="shared" si="6"/>
        <v>#N/A</v>
      </c>
      <c r="Z84" s="299"/>
      <c r="AA84" s="299"/>
      <c r="AB84" s="299"/>
      <c r="AC84" s="299"/>
      <c r="AD84" s="299"/>
      <c r="AE84" s="299"/>
      <c r="AF84" s="299"/>
      <c r="AG84" s="299"/>
      <c r="AH84" s="299"/>
      <c r="AI84" s="299"/>
      <c r="AJ84" s="299"/>
      <c r="AK84" s="299"/>
      <c r="AL84" s="299"/>
      <c r="AM84" s="299"/>
      <c r="AN84" s="299"/>
      <c r="AO84" s="299"/>
      <c r="AP84" s="299"/>
      <c r="AQ84" s="299"/>
    </row>
    <row r="85" spans="1:43">
      <c r="A85" s="249" t="e">
        <f>IF(D85='Tables &amp; Ranges'!$A$133, 'Tables &amp; Ranges'!$B$133, IF(D85='Tables &amp; Ranges'!$A$134, 'Tables &amp; Ranges'!$B$134, IF(D85='Tables &amp; Ranges'!$A$135, 'Tables &amp; Ranges'!$B$135, IF(D85='Tables &amp; Ranges'!$A$136, 'Tables &amp; Ranges'!$B$136, IF(D85='Tables &amp; Ranges'!$A$99, 'Tables &amp; Ranges'!$B$116, VLOOKUP(X85,'Fixture Table'!$C$3:$M$1785, 10, FALSE))))))</f>
        <v>#N/A</v>
      </c>
      <c r="D85" s="2">
        <f>IFERROR(_xlfn.IFNA(VLOOKUP(F85,Summary_Pre!E:F,2,FALSE),0),0)</f>
        <v>0</v>
      </c>
      <c r="E85" s="249" t="e">
        <f t="shared" si="7"/>
        <v>#N/A</v>
      </c>
      <c r="F85" s="2" t="e">
        <f t="array" ref="F85">INDEX(Summary_Pre!E$4:E$303, MATCH(0, COUNTIF($F$2:F84,Summary_Pre!E$4:E$303), 0))</f>
        <v>#N/A</v>
      </c>
      <c r="G85" s="271" t="e">
        <f>VLOOKUP(X85,Table7[[#All],[FIXTURE CODE]:[WATT/ FIXT]], 6, FALSE)</f>
        <v>#N/A</v>
      </c>
      <c r="H85" s="271" t="e">
        <f>VLOOKUP(Y85,Table7[[#All],[FIXTURE CODE]:[WATT/ FIXT]], 6, FALSE)</f>
        <v>#N/A</v>
      </c>
      <c r="I85" s="272">
        <f>SUMIF(Summary_Pre!E:E,"="&amp;F85,Summary_Pre!D:D)</f>
        <v>0</v>
      </c>
      <c r="J85" s="263">
        <f>SUMIF(Summary_Pre!E:E,"="&amp;F85,Summary_Pre!H:H)</f>
        <v>0</v>
      </c>
      <c r="K85" s="262">
        <f>SUMIF(Summary_Pre!E:E,"="&amp; F85,Summary_Pre!I:I)</f>
        <v>0</v>
      </c>
      <c r="L85" s="3">
        <f>SUMIF(Summary_Pre!E:E,"="&amp; F85,Summary_Pre!J:J)</f>
        <v>0</v>
      </c>
      <c r="M85" s="285">
        <f>SUMIF(Summary_Pre!E:E,"="&amp; F85,Summary_Pre!K:K)</f>
        <v>0</v>
      </c>
      <c r="N85" s="285">
        <f>SUMIF(Summary_Pre!E:E,"="&amp;F85,Summary_Pre!C:C)</f>
        <v>0</v>
      </c>
      <c r="O85" s="266">
        <f t="shared" si="8"/>
        <v>0</v>
      </c>
      <c r="P85" s="3"/>
      <c r="Q85" s="3"/>
      <c r="R85" s="3"/>
      <c r="S85" s="3"/>
      <c r="T85" s="3"/>
      <c r="U85" s="3"/>
      <c r="V85" s="3"/>
      <c r="W85" s="2"/>
      <c r="X85" s="281" t="e">
        <f t="shared" si="5"/>
        <v>#N/A</v>
      </c>
      <c r="Y85" s="279" t="e">
        <f t="shared" si="6"/>
        <v>#N/A</v>
      </c>
    </row>
    <row r="86" spans="1:43" s="300" customFormat="1">
      <c r="A86" s="289" t="e">
        <f>IF(D86='Tables &amp; Ranges'!$A$133, 'Tables &amp; Ranges'!$B$133, IF(D86='Tables &amp; Ranges'!$A$134, 'Tables &amp; Ranges'!$B$134, IF(D86='Tables &amp; Ranges'!$A$135, 'Tables &amp; Ranges'!$B$135, IF(D86='Tables &amp; Ranges'!$A$136, 'Tables &amp; Ranges'!$B$136, IF(D86='Tables &amp; Ranges'!$A$99, 'Tables &amp; Ranges'!$B$116, VLOOKUP(X86,'Fixture Table'!$C$3:$M$1785, 10, FALSE))))))</f>
        <v>#N/A</v>
      </c>
      <c r="D86" s="290">
        <f>IFERROR(_xlfn.IFNA(VLOOKUP(F86,Summary_Pre!E:F,2,FALSE),0),0)</f>
        <v>0</v>
      </c>
      <c r="E86" s="249" t="e">
        <f t="shared" si="7"/>
        <v>#N/A</v>
      </c>
      <c r="F86" s="290" t="e">
        <f t="array" ref="F86">INDEX(Summary_Pre!E$4:E$303, MATCH(0, COUNTIF($F$2:F85,Summary_Pre!E$4:E$303), 0))</f>
        <v>#N/A</v>
      </c>
      <c r="G86" s="291" t="e">
        <f>VLOOKUP(X86,Table7[[#All],[FIXTURE CODE]:[WATT/ FIXT]], 6, FALSE)</f>
        <v>#N/A</v>
      </c>
      <c r="H86" s="291" t="e">
        <f>VLOOKUP(Y86,Table7[[#All],[FIXTURE CODE]:[WATT/ FIXT]], 6, FALSE)</f>
        <v>#N/A</v>
      </c>
      <c r="I86" s="292">
        <f>SUMIF(Summary_Pre!E:E,"="&amp;F86,Summary_Pre!D:D)</f>
        <v>0</v>
      </c>
      <c r="J86" s="293">
        <f>SUMIF(Summary_Pre!E:E,"="&amp;F86,Summary_Pre!H:H)</f>
        <v>0</v>
      </c>
      <c r="K86" s="294">
        <f>SUMIF(Summary_Pre!E:E,"="&amp; F86,Summary_Pre!I:I)</f>
        <v>0</v>
      </c>
      <c r="L86" s="295">
        <f>SUMIF(Summary_Pre!E:E,"="&amp; F86,Summary_Pre!J:J)</f>
        <v>0</v>
      </c>
      <c r="M86" s="296">
        <f>SUMIF(Summary_Pre!E:E,"="&amp; F86,Summary_Pre!K:K)</f>
        <v>0</v>
      </c>
      <c r="N86" s="296">
        <f>SUMIF(Summary_Pre!E:E,"="&amp;F86,Summary_Pre!C:C)</f>
        <v>0</v>
      </c>
      <c r="O86" s="297">
        <f t="shared" si="8"/>
        <v>0</v>
      </c>
      <c r="P86" s="295"/>
      <c r="Q86" s="295"/>
      <c r="R86" s="295"/>
      <c r="S86" s="295"/>
      <c r="T86" s="295"/>
      <c r="U86" s="295"/>
      <c r="V86" s="295"/>
      <c r="W86" s="290"/>
      <c r="X86" s="298" t="e">
        <f t="shared" si="5"/>
        <v>#N/A</v>
      </c>
      <c r="Y86" s="298" t="e">
        <f t="shared" si="6"/>
        <v>#N/A</v>
      </c>
      <c r="Z86" s="299"/>
      <c r="AA86" s="299"/>
      <c r="AB86" s="299"/>
      <c r="AC86" s="299"/>
      <c r="AD86" s="299"/>
      <c r="AE86" s="299"/>
      <c r="AF86" s="299"/>
      <c r="AG86" s="299"/>
      <c r="AH86" s="299"/>
      <c r="AI86" s="299"/>
      <c r="AJ86" s="299"/>
      <c r="AK86" s="299"/>
      <c r="AL86" s="299"/>
      <c r="AM86" s="299"/>
      <c r="AN86" s="299"/>
      <c r="AO86" s="299"/>
      <c r="AP86" s="299"/>
      <c r="AQ86" s="299"/>
    </row>
    <row r="87" spans="1:43">
      <c r="A87" s="249" t="e">
        <f>IF(D87='Tables &amp; Ranges'!$A$133, 'Tables &amp; Ranges'!$B$133, IF(D87='Tables &amp; Ranges'!$A$134, 'Tables &amp; Ranges'!$B$134, IF(D87='Tables &amp; Ranges'!$A$135, 'Tables &amp; Ranges'!$B$135, IF(D87='Tables &amp; Ranges'!$A$136, 'Tables &amp; Ranges'!$B$136, IF(D87='Tables &amp; Ranges'!$A$99, 'Tables &amp; Ranges'!$B$116, VLOOKUP(X87,'Fixture Table'!$C$3:$M$1785, 10, FALSE))))))</f>
        <v>#N/A</v>
      </c>
      <c r="D87" s="2">
        <f>IFERROR(_xlfn.IFNA(VLOOKUP(F87,Summary_Pre!E:F,2,FALSE),0),0)</f>
        <v>0</v>
      </c>
      <c r="E87" s="249" t="e">
        <f t="shared" si="7"/>
        <v>#N/A</v>
      </c>
      <c r="F87" s="2" t="e">
        <f t="array" ref="F87">INDEX(Summary_Pre!E$4:E$303, MATCH(0, COUNTIF($F$2:F86,Summary_Pre!E$4:E$303), 0))</f>
        <v>#N/A</v>
      </c>
      <c r="G87" s="271" t="e">
        <f>VLOOKUP(X87,Table7[[#All],[FIXTURE CODE]:[WATT/ FIXT]], 6, FALSE)</f>
        <v>#N/A</v>
      </c>
      <c r="H87" s="271" t="e">
        <f>VLOOKUP(Y87,Table7[[#All],[FIXTURE CODE]:[WATT/ FIXT]], 6, FALSE)</f>
        <v>#N/A</v>
      </c>
      <c r="I87" s="272">
        <f>SUMIF(Summary_Pre!E:E,"="&amp;F87,Summary_Pre!D:D)</f>
        <v>0</v>
      </c>
      <c r="J87" s="263">
        <f>SUMIF(Summary_Pre!E:E,"="&amp;F87,Summary_Pre!H:H)</f>
        <v>0</v>
      </c>
      <c r="K87" s="262">
        <f>SUMIF(Summary_Pre!E:E,"="&amp; F87,Summary_Pre!I:I)</f>
        <v>0</v>
      </c>
      <c r="L87" s="3">
        <f>SUMIF(Summary_Pre!E:E,"="&amp; F87,Summary_Pre!J:J)</f>
        <v>0</v>
      </c>
      <c r="M87" s="285">
        <f>SUMIF(Summary_Pre!E:E,"="&amp; F87,Summary_Pre!K:K)</f>
        <v>0</v>
      </c>
      <c r="N87" s="285">
        <f>SUMIF(Summary_Pre!E:E,"="&amp;F87,Summary_Pre!C:C)</f>
        <v>0</v>
      </c>
      <c r="O87" s="266">
        <f t="shared" si="8"/>
        <v>0</v>
      </c>
      <c r="P87" s="3"/>
      <c r="Q87" s="3"/>
      <c r="R87" s="3"/>
      <c r="S87" s="3"/>
      <c r="T87" s="3"/>
      <c r="U87" s="3"/>
      <c r="V87" s="3"/>
      <c r="W87" s="2"/>
      <c r="X87" s="281" t="e">
        <f t="shared" si="5"/>
        <v>#N/A</v>
      </c>
      <c r="Y87" s="279" t="e">
        <f t="shared" si="6"/>
        <v>#N/A</v>
      </c>
    </row>
    <row r="88" spans="1:43" s="300" customFormat="1">
      <c r="A88" s="289" t="e">
        <f>IF(D88='Tables &amp; Ranges'!$A$133, 'Tables &amp; Ranges'!$B$133, IF(D88='Tables &amp; Ranges'!$A$134, 'Tables &amp; Ranges'!$B$134, IF(D88='Tables &amp; Ranges'!$A$135, 'Tables &amp; Ranges'!$B$135, IF(D88='Tables &amp; Ranges'!$A$136, 'Tables &amp; Ranges'!$B$136, IF(D88='Tables &amp; Ranges'!$A$99, 'Tables &amp; Ranges'!$B$116, VLOOKUP(X88,'Fixture Table'!$C$3:$M$1785, 10, FALSE))))))</f>
        <v>#N/A</v>
      </c>
      <c r="D88" s="290">
        <f>IFERROR(_xlfn.IFNA(VLOOKUP(F88,Summary_Pre!E:F,2,FALSE),0),0)</f>
        <v>0</v>
      </c>
      <c r="E88" s="249" t="e">
        <f t="shared" si="7"/>
        <v>#N/A</v>
      </c>
      <c r="F88" s="290" t="e">
        <f t="array" ref="F88">INDEX(Summary_Pre!E$4:E$303, MATCH(0, COUNTIF($F$2:F87,Summary_Pre!E$4:E$303), 0))</f>
        <v>#N/A</v>
      </c>
      <c r="G88" s="291" t="e">
        <f>VLOOKUP(X88,Table7[[#All],[FIXTURE CODE]:[WATT/ FIXT]], 6, FALSE)</f>
        <v>#N/A</v>
      </c>
      <c r="H88" s="291" t="e">
        <f>VLOOKUP(Y88,Table7[[#All],[FIXTURE CODE]:[WATT/ FIXT]], 6, FALSE)</f>
        <v>#N/A</v>
      </c>
      <c r="I88" s="292">
        <f>SUMIF(Summary_Pre!E:E,"="&amp;F88,Summary_Pre!D:D)</f>
        <v>0</v>
      </c>
      <c r="J88" s="293">
        <f>SUMIF(Summary_Pre!E:E,"="&amp;F88,Summary_Pre!H:H)</f>
        <v>0</v>
      </c>
      <c r="K88" s="294">
        <f>SUMIF(Summary_Pre!E:E,"="&amp; F88,Summary_Pre!I:I)</f>
        <v>0</v>
      </c>
      <c r="L88" s="295">
        <f>SUMIF(Summary_Pre!E:E,"="&amp; F88,Summary_Pre!J:J)</f>
        <v>0</v>
      </c>
      <c r="M88" s="296">
        <f>SUMIF(Summary_Pre!E:E,"="&amp; F88,Summary_Pre!K:K)</f>
        <v>0</v>
      </c>
      <c r="N88" s="296">
        <f>SUMIF(Summary_Pre!E:E,"="&amp;F88,Summary_Pre!C:C)</f>
        <v>0</v>
      </c>
      <c r="O88" s="297">
        <f t="shared" si="8"/>
        <v>0</v>
      </c>
      <c r="P88" s="295"/>
      <c r="Q88" s="295"/>
      <c r="R88" s="295"/>
      <c r="S88" s="295"/>
      <c r="T88" s="295"/>
      <c r="U88" s="295"/>
      <c r="V88" s="295"/>
      <c r="W88" s="290"/>
      <c r="X88" s="298" t="e">
        <f t="shared" si="5"/>
        <v>#N/A</v>
      </c>
      <c r="Y88" s="298" t="e">
        <f t="shared" si="6"/>
        <v>#N/A</v>
      </c>
      <c r="Z88" s="299"/>
      <c r="AA88" s="299"/>
      <c r="AB88" s="299"/>
      <c r="AC88" s="299"/>
      <c r="AD88" s="299"/>
      <c r="AE88" s="299"/>
      <c r="AF88" s="299"/>
      <c r="AG88" s="299"/>
      <c r="AH88" s="299"/>
      <c r="AI88" s="299"/>
      <c r="AJ88" s="299"/>
      <c r="AK88" s="299"/>
      <c r="AL88" s="299"/>
      <c r="AM88" s="299"/>
      <c r="AN88" s="299"/>
      <c r="AO88" s="299"/>
      <c r="AP88" s="299"/>
      <c r="AQ88" s="299"/>
    </row>
    <row r="89" spans="1:43">
      <c r="A89" s="249" t="e">
        <f>IF(D89='Tables &amp; Ranges'!$A$133, 'Tables &amp; Ranges'!$B$133, IF(D89='Tables &amp; Ranges'!$A$134, 'Tables &amp; Ranges'!$B$134, IF(D89='Tables &amp; Ranges'!$A$135, 'Tables &amp; Ranges'!$B$135, IF(D89='Tables &amp; Ranges'!$A$136, 'Tables &amp; Ranges'!$B$136, IF(D89='Tables &amp; Ranges'!$A$99, 'Tables &amp; Ranges'!$B$116, VLOOKUP(X89,'Fixture Table'!$C$3:$M$1785, 10, FALSE))))))</f>
        <v>#N/A</v>
      </c>
      <c r="D89" s="2">
        <f>IFERROR(_xlfn.IFNA(VLOOKUP(F89,Summary_Pre!E:F,2,FALSE),0),0)</f>
        <v>0</v>
      </c>
      <c r="E89" s="249" t="e">
        <f t="shared" si="7"/>
        <v>#N/A</v>
      </c>
      <c r="F89" s="2" t="e">
        <f t="array" ref="F89">INDEX(Summary_Pre!E$4:E$303, MATCH(0, COUNTIF($F$2:F88,Summary_Pre!E$4:E$303), 0))</f>
        <v>#N/A</v>
      </c>
      <c r="G89" s="271" t="e">
        <f>VLOOKUP(X89,Table7[[#All],[FIXTURE CODE]:[WATT/ FIXT]], 6, FALSE)</f>
        <v>#N/A</v>
      </c>
      <c r="H89" s="271" t="e">
        <f>VLOOKUP(Y89,Table7[[#All],[FIXTURE CODE]:[WATT/ FIXT]], 6, FALSE)</f>
        <v>#N/A</v>
      </c>
      <c r="I89" s="272">
        <f>SUMIF(Summary_Pre!E:E,"="&amp;F89,Summary_Pre!D:D)</f>
        <v>0</v>
      </c>
      <c r="J89" s="263">
        <f>SUMIF(Summary_Pre!E:E,"="&amp;F89,Summary_Pre!H:H)</f>
        <v>0</v>
      </c>
      <c r="K89" s="262">
        <f>SUMIF(Summary_Pre!E:E,"="&amp; F89,Summary_Pre!I:I)</f>
        <v>0</v>
      </c>
      <c r="L89" s="3">
        <f>SUMIF(Summary_Pre!E:E,"="&amp; F89,Summary_Pre!J:J)</f>
        <v>0</v>
      </c>
      <c r="M89" s="285">
        <f>SUMIF(Summary_Pre!E:E,"="&amp; F89,Summary_Pre!K:K)</f>
        <v>0</v>
      </c>
      <c r="N89" s="285">
        <f>SUMIF(Summary_Pre!E:E,"="&amp;F89,Summary_Pre!C:C)</f>
        <v>0</v>
      </c>
      <c r="O89" s="266">
        <f t="shared" si="8"/>
        <v>0</v>
      </c>
      <c r="P89" s="3"/>
      <c r="Q89" s="3"/>
      <c r="R89" s="3"/>
      <c r="S89" s="3"/>
      <c r="T89" s="3"/>
      <c r="U89" s="3"/>
      <c r="V89" s="3"/>
      <c r="W89" s="2"/>
      <c r="X89" s="281" t="e">
        <f t="shared" si="5"/>
        <v>#N/A</v>
      </c>
      <c r="Y89" s="279" t="e">
        <f t="shared" si="6"/>
        <v>#N/A</v>
      </c>
    </row>
    <row r="90" spans="1:43" s="300" customFormat="1">
      <c r="A90" s="289" t="e">
        <f>IF(D90='Tables &amp; Ranges'!$A$133, 'Tables &amp; Ranges'!$B$133, IF(D90='Tables &amp; Ranges'!$A$134, 'Tables &amp; Ranges'!$B$134, IF(D90='Tables &amp; Ranges'!$A$135, 'Tables &amp; Ranges'!$B$135, IF(D90='Tables &amp; Ranges'!$A$136, 'Tables &amp; Ranges'!$B$136, IF(D90='Tables &amp; Ranges'!$A$99, 'Tables &amp; Ranges'!$B$116, VLOOKUP(X90,'Fixture Table'!$C$3:$M$1785, 10, FALSE))))))</f>
        <v>#N/A</v>
      </c>
      <c r="D90" s="290">
        <f>IFERROR(_xlfn.IFNA(VLOOKUP(F90,Summary_Pre!E:F,2,FALSE),0),0)</f>
        <v>0</v>
      </c>
      <c r="E90" s="249" t="e">
        <f t="shared" si="7"/>
        <v>#N/A</v>
      </c>
      <c r="F90" s="290" t="e">
        <f t="array" ref="F90">INDEX(Summary_Pre!E$4:E$303, MATCH(0, COUNTIF($F$2:F89,Summary_Pre!E$4:E$303), 0))</f>
        <v>#N/A</v>
      </c>
      <c r="G90" s="291" t="e">
        <f>VLOOKUP(X90,Table7[[#All],[FIXTURE CODE]:[WATT/ FIXT]], 6, FALSE)</f>
        <v>#N/A</v>
      </c>
      <c r="H90" s="291" t="e">
        <f>VLOOKUP(Y90,Table7[[#All],[FIXTURE CODE]:[WATT/ FIXT]], 6, FALSE)</f>
        <v>#N/A</v>
      </c>
      <c r="I90" s="292">
        <f>SUMIF(Summary_Pre!E:E,"="&amp;F90,Summary_Pre!D:D)</f>
        <v>0</v>
      </c>
      <c r="J90" s="293">
        <f>SUMIF(Summary_Pre!E:E,"="&amp;F90,Summary_Pre!H:H)</f>
        <v>0</v>
      </c>
      <c r="K90" s="294">
        <f>SUMIF(Summary_Pre!E:E,"="&amp; F90,Summary_Pre!I:I)</f>
        <v>0</v>
      </c>
      <c r="L90" s="295">
        <f>SUMIF(Summary_Pre!E:E,"="&amp; F90,Summary_Pre!J:J)</f>
        <v>0</v>
      </c>
      <c r="M90" s="296">
        <f>SUMIF(Summary_Pre!E:E,"="&amp; F90,Summary_Pre!K:K)</f>
        <v>0</v>
      </c>
      <c r="N90" s="296">
        <f>SUMIF(Summary_Pre!E:E,"="&amp;F90,Summary_Pre!C:C)</f>
        <v>0</v>
      </c>
      <c r="O90" s="297">
        <f t="shared" si="8"/>
        <v>0</v>
      </c>
      <c r="P90" s="295"/>
      <c r="Q90" s="295"/>
      <c r="R90" s="295"/>
      <c r="S90" s="295"/>
      <c r="T90" s="295"/>
      <c r="U90" s="295"/>
      <c r="V90" s="295"/>
      <c r="W90" s="290"/>
      <c r="X90" s="298" t="e">
        <f t="shared" si="5"/>
        <v>#N/A</v>
      </c>
      <c r="Y90" s="298" t="e">
        <f t="shared" si="6"/>
        <v>#N/A</v>
      </c>
      <c r="Z90" s="299"/>
      <c r="AA90" s="299"/>
      <c r="AB90" s="299"/>
      <c r="AC90" s="299"/>
      <c r="AD90" s="299"/>
      <c r="AE90" s="299"/>
      <c r="AF90" s="299"/>
      <c r="AG90" s="299"/>
      <c r="AH90" s="299"/>
      <c r="AI90" s="299"/>
      <c r="AJ90" s="299"/>
      <c r="AK90" s="299"/>
      <c r="AL90" s="299"/>
      <c r="AM90" s="299"/>
      <c r="AN90" s="299"/>
      <c r="AO90" s="299"/>
      <c r="AP90" s="299"/>
      <c r="AQ90" s="299"/>
    </row>
    <row r="91" spans="1:43">
      <c r="A91" s="249" t="e">
        <f>IF(D91='Tables &amp; Ranges'!$A$133, 'Tables &amp; Ranges'!$B$133, IF(D91='Tables &amp; Ranges'!$A$134, 'Tables &amp; Ranges'!$B$134, IF(D91='Tables &amp; Ranges'!$A$135, 'Tables &amp; Ranges'!$B$135, IF(D91='Tables &amp; Ranges'!$A$136, 'Tables &amp; Ranges'!$B$136, IF(D91='Tables &amp; Ranges'!$A$99, 'Tables &amp; Ranges'!$B$116, VLOOKUP(X91,'Fixture Table'!$C$3:$M$1785, 10, FALSE))))))</f>
        <v>#N/A</v>
      </c>
      <c r="D91" s="2">
        <f>IFERROR(_xlfn.IFNA(VLOOKUP(F91,Summary_Pre!E:F,2,FALSE),0),0)</f>
        <v>0</v>
      </c>
      <c r="E91" s="249" t="e">
        <f t="shared" si="7"/>
        <v>#N/A</v>
      </c>
      <c r="F91" s="2" t="e">
        <f t="array" ref="F91">INDEX(Summary_Pre!E$4:E$303, MATCH(0, COUNTIF($F$2:F90,Summary_Pre!E$4:E$303), 0))</f>
        <v>#N/A</v>
      </c>
      <c r="G91" s="271" t="e">
        <f>VLOOKUP(X91,Table7[[#All],[FIXTURE CODE]:[WATT/ FIXT]], 6, FALSE)</f>
        <v>#N/A</v>
      </c>
      <c r="H91" s="271" t="e">
        <f>VLOOKUP(Y91,Table7[[#All],[FIXTURE CODE]:[WATT/ FIXT]], 6, FALSE)</f>
        <v>#N/A</v>
      </c>
      <c r="I91" s="272">
        <f>SUMIF(Summary_Pre!E:E,"="&amp;F91,Summary_Pre!D:D)</f>
        <v>0</v>
      </c>
      <c r="J91" s="263">
        <f>SUMIF(Summary_Pre!E:E,"="&amp;F91,Summary_Pre!H:H)</f>
        <v>0</v>
      </c>
      <c r="K91" s="262">
        <f>SUMIF(Summary_Pre!E:E,"="&amp; F91,Summary_Pre!I:I)</f>
        <v>0</v>
      </c>
      <c r="L91" s="3">
        <f>SUMIF(Summary_Pre!E:E,"="&amp; F91,Summary_Pre!J:J)</f>
        <v>0</v>
      </c>
      <c r="M91" s="285">
        <f>SUMIF(Summary_Pre!E:E,"="&amp; F91,Summary_Pre!K:K)</f>
        <v>0</v>
      </c>
      <c r="N91" s="285">
        <f>SUMIF(Summary_Pre!E:E,"="&amp;F91,Summary_Pre!C:C)</f>
        <v>0</v>
      </c>
      <c r="O91" s="266">
        <f t="shared" si="8"/>
        <v>0</v>
      </c>
      <c r="P91" s="3"/>
      <c r="Q91" s="3"/>
      <c r="R91" s="3"/>
      <c r="S91" s="3"/>
      <c r="T91" s="3"/>
      <c r="U91" s="3"/>
      <c r="V91" s="3"/>
      <c r="W91" s="2"/>
      <c r="X91" s="281" t="e">
        <f t="shared" si="5"/>
        <v>#N/A</v>
      </c>
      <c r="Y91" s="279" t="e">
        <f t="shared" si="6"/>
        <v>#N/A</v>
      </c>
    </row>
    <row r="92" spans="1:43" s="300" customFormat="1">
      <c r="A92" s="289" t="e">
        <f>IF(D92='Tables &amp; Ranges'!$A$133, 'Tables &amp; Ranges'!$B$133, IF(D92='Tables &amp; Ranges'!$A$134, 'Tables &amp; Ranges'!$B$134, IF(D92='Tables &amp; Ranges'!$A$135, 'Tables &amp; Ranges'!$B$135, IF(D92='Tables &amp; Ranges'!$A$136, 'Tables &amp; Ranges'!$B$136, IF(D92='Tables &amp; Ranges'!$A$99, 'Tables &amp; Ranges'!$B$116, VLOOKUP(X92,'Fixture Table'!$C$3:$M$1785, 10, FALSE))))))</f>
        <v>#N/A</v>
      </c>
      <c r="D92" s="290">
        <f>IFERROR(_xlfn.IFNA(VLOOKUP(F92,Summary_Pre!E:F,2,FALSE),0),0)</f>
        <v>0</v>
      </c>
      <c r="E92" s="249" t="e">
        <f t="shared" si="7"/>
        <v>#N/A</v>
      </c>
      <c r="F92" s="290" t="e">
        <f t="array" ref="F92">INDEX(Summary_Pre!E$4:E$303, MATCH(0, COUNTIF($F$2:F91,Summary_Pre!E$4:E$303), 0))</f>
        <v>#N/A</v>
      </c>
      <c r="G92" s="291" t="e">
        <f>VLOOKUP(X92,Table7[[#All],[FIXTURE CODE]:[WATT/ FIXT]], 6, FALSE)</f>
        <v>#N/A</v>
      </c>
      <c r="H92" s="291" t="e">
        <f>VLOOKUP(Y92,Table7[[#All],[FIXTURE CODE]:[WATT/ FIXT]], 6, FALSE)</f>
        <v>#N/A</v>
      </c>
      <c r="I92" s="292">
        <f>SUMIF(Summary_Pre!E:E,"="&amp;F92,Summary_Pre!D:D)</f>
        <v>0</v>
      </c>
      <c r="J92" s="293">
        <f>SUMIF(Summary_Pre!E:E,"="&amp;F92,Summary_Pre!H:H)</f>
        <v>0</v>
      </c>
      <c r="K92" s="294">
        <f>SUMIF(Summary_Pre!E:E,"="&amp; F92,Summary_Pre!I:I)</f>
        <v>0</v>
      </c>
      <c r="L92" s="295">
        <f>SUMIF(Summary_Pre!E:E,"="&amp; F92,Summary_Pre!J:J)</f>
        <v>0</v>
      </c>
      <c r="M92" s="296">
        <f>SUMIF(Summary_Pre!E:E,"="&amp; F92,Summary_Pre!K:K)</f>
        <v>0</v>
      </c>
      <c r="N92" s="296">
        <f>SUMIF(Summary_Pre!E:E,"="&amp;F92,Summary_Pre!C:C)</f>
        <v>0</v>
      </c>
      <c r="O92" s="297">
        <f t="shared" si="8"/>
        <v>0</v>
      </c>
      <c r="P92" s="295"/>
      <c r="Q92" s="295"/>
      <c r="R92" s="295"/>
      <c r="S92" s="295"/>
      <c r="T92" s="295"/>
      <c r="U92" s="295"/>
      <c r="V92" s="295"/>
      <c r="W92" s="290"/>
      <c r="X92" s="298" t="e">
        <f t="shared" si="5"/>
        <v>#N/A</v>
      </c>
      <c r="Y92" s="298" t="e">
        <f t="shared" si="6"/>
        <v>#N/A</v>
      </c>
      <c r="Z92" s="299"/>
      <c r="AA92" s="299"/>
      <c r="AB92" s="299"/>
      <c r="AC92" s="299"/>
      <c r="AD92" s="299"/>
      <c r="AE92" s="299"/>
      <c r="AF92" s="299"/>
      <c r="AG92" s="299"/>
      <c r="AH92" s="299"/>
      <c r="AI92" s="299"/>
      <c r="AJ92" s="299"/>
      <c r="AK92" s="299"/>
      <c r="AL92" s="299"/>
      <c r="AM92" s="299"/>
      <c r="AN92" s="299"/>
      <c r="AO92" s="299"/>
      <c r="AP92" s="299"/>
      <c r="AQ92" s="299"/>
    </row>
    <row r="93" spans="1:43">
      <c r="A93" s="249" t="e">
        <f>IF(D93='Tables &amp; Ranges'!$A$133, 'Tables &amp; Ranges'!$B$133, IF(D93='Tables &amp; Ranges'!$A$134, 'Tables &amp; Ranges'!$B$134, IF(D93='Tables &amp; Ranges'!$A$135, 'Tables &amp; Ranges'!$B$135, IF(D93='Tables &amp; Ranges'!$A$136, 'Tables &amp; Ranges'!$B$136, IF(D93='Tables &amp; Ranges'!$A$99, 'Tables &amp; Ranges'!$B$116, VLOOKUP(X93,'Fixture Table'!$C$3:$M$1785, 10, FALSE))))))</f>
        <v>#N/A</v>
      </c>
      <c r="D93" s="2">
        <f>IFERROR(_xlfn.IFNA(VLOOKUP(F93,Summary_Pre!E:F,2,FALSE),0),0)</f>
        <v>0</v>
      </c>
      <c r="E93" s="249" t="e">
        <f t="shared" si="7"/>
        <v>#N/A</v>
      </c>
      <c r="F93" s="2" t="e">
        <f t="array" ref="F93">INDEX(Summary_Pre!E$4:E$303, MATCH(0, COUNTIF($F$2:F92,Summary_Pre!E$4:E$303), 0))</f>
        <v>#N/A</v>
      </c>
      <c r="G93" s="271" t="e">
        <f>VLOOKUP(X93,Table7[[#All],[FIXTURE CODE]:[WATT/ FIXT]], 6, FALSE)</f>
        <v>#N/A</v>
      </c>
      <c r="H93" s="271" t="e">
        <f>VLOOKUP(Y93,Table7[[#All],[FIXTURE CODE]:[WATT/ FIXT]], 6, FALSE)</f>
        <v>#N/A</v>
      </c>
      <c r="I93" s="272">
        <f>SUMIF(Summary_Pre!E:E,"="&amp;F93,Summary_Pre!D:D)</f>
        <v>0</v>
      </c>
      <c r="J93" s="263">
        <f>SUMIF(Summary_Pre!E:E,"="&amp;F93,Summary_Pre!H:H)</f>
        <v>0</v>
      </c>
      <c r="K93" s="262">
        <f>SUMIF(Summary_Pre!E:E,"="&amp; F93,Summary_Pre!I:I)</f>
        <v>0</v>
      </c>
      <c r="L93" s="3">
        <f>SUMIF(Summary_Pre!E:E,"="&amp; F93,Summary_Pre!J:J)</f>
        <v>0</v>
      </c>
      <c r="M93" s="285">
        <f>SUMIF(Summary_Pre!E:E,"="&amp; F93,Summary_Pre!K:K)</f>
        <v>0</v>
      </c>
      <c r="N93" s="285">
        <f>SUMIF(Summary_Pre!E:E,"="&amp;F93,Summary_Pre!C:C)</f>
        <v>0</v>
      </c>
      <c r="O93" s="266">
        <f t="shared" si="8"/>
        <v>0</v>
      </c>
      <c r="P93" s="3"/>
      <c r="Q93" s="3"/>
      <c r="R93" s="3"/>
      <c r="S93" s="3"/>
      <c r="T93" s="3"/>
      <c r="U93" s="3"/>
      <c r="V93" s="3"/>
      <c r="W93" s="2"/>
      <c r="X93" s="281" t="e">
        <f t="shared" si="5"/>
        <v>#N/A</v>
      </c>
      <c r="Y93" s="279" t="e">
        <f t="shared" si="6"/>
        <v>#N/A</v>
      </c>
    </row>
    <row r="94" spans="1:43" s="300" customFormat="1">
      <c r="A94" s="289" t="e">
        <f>IF(D94='Tables &amp; Ranges'!$A$133, 'Tables &amp; Ranges'!$B$133, IF(D94='Tables &amp; Ranges'!$A$134, 'Tables &amp; Ranges'!$B$134, IF(D94='Tables &amp; Ranges'!$A$135, 'Tables &amp; Ranges'!$B$135, IF(D94='Tables &amp; Ranges'!$A$136, 'Tables &amp; Ranges'!$B$136, IF(D94='Tables &amp; Ranges'!$A$99, 'Tables &amp; Ranges'!$B$116, VLOOKUP(X94,'Fixture Table'!$C$3:$M$1785, 10, FALSE))))))</f>
        <v>#N/A</v>
      </c>
      <c r="D94" s="290">
        <f>IFERROR(_xlfn.IFNA(VLOOKUP(F94,Summary_Pre!E:F,2,FALSE),0),0)</f>
        <v>0</v>
      </c>
      <c r="E94" s="249" t="e">
        <f t="shared" si="7"/>
        <v>#N/A</v>
      </c>
      <c r="F94" s="290" t="e">
        <f t="array" ref="F94">INDEX(Summary_Pre!E$4:E$303, MATCH(0, COUNTIF($F$2:F93,Summary_Pre!E$4:E$303), 0))</f>
        <v>#N/A</v>
      </c>
      <c r="G94" s="291" t="e">
        <f>VLOOKUP(X94,Table7[[#All],[FIXTURE CODE]:[WATT/ FIXT]], 6, FALSE)</f>
        <v>#N/A</v>
      </c>
      <c r="H94" s="291" t="e">
        <f>VLOOKUP(Y94,Table7[[#All],[FIXTURE CODE]:[WATT/ FIXT]], 6, FALSE)</f>
        <v>#N/A</v>
      </c>
      <c r="I94" s="292">
        <f>SUMIF(Summary_Pre!E:E,"="&amp;F94,Summary_Pre!D:D)</f>
        <v>0</v>
      </c>
      <c r="J94" s="293">
        <f>SUMIF(Summary_Pre!E:E,"="&amp;F94,Summary_Pre!H:H)</f>
        <v>0</v>
      </c>
      <c r="K94" s="294">
        <f>SUMIF(Summary_Pre!E:E,"="&amp; F94,Summary_Pre!I:I)</f>
        <v>0</v>
      </c>
      <c r="L94" s="295">
        <f>SUMIF(Summary_Pre!E:E,"="&amp; F94,Summary_Pre!J:J)</f>
        <v>0</v>
      </c>
      <c r="M94" s="296">
        <f>SUMIF(Summary_Pre!E:E,"="&amp; F94,Summary_Pre!K:K)</f>
        <v>0</v>
      </c>
      <c r="N94" s="296">
        <f>SUMIF(Summary_Pre!E:E,"="&amp;F94,Summary_Pre!C:C)</f>
        <v>0</v>
      </c>
      <c r="O94" s="297">
        <f t="shared" si="8"/>
        <v>0</v>
      </c>
      <c r="P94" s="295"/>
      <c r="Q94" s="295"/>
      <c r="R94" s="295"/>
      <c r="S94" s="295"/>
      <c r="T94" s="295"/>
      <c r="U94" s="295"/>
      <c r="V94" s="295"/>
      <c r="W94" s="290"/>
      <c r="X94" s="298" t="e">
        <f t="shared" si="5"/>
        <v>#N/A</v>
      </c>
      <c r="Y94" s="298" t="e">
        <f t="shared" si="6"/>
        <v>#N/A</v>
      </c>
      <c r="Z94" s="299"/>
      <c r="AA94" s="299"/>
      <c r="AB94" s="299"/>
      <c r="AC94" s="299"/>
      <c r="AD94" s="299"/>
      <c r="AE94" s="299"/>
      <c r="AF94" s="299"/>
      <c r="AG94" s="299"/>
      <c r="AH94" s="299"/>
      <c r="AI94" s="299"/>
      <c r="AJ94" s="299"/>
      <c r="AK94" s="299"/>
      <c r="AL94" s="299"/>
      <c r="AM94" s="299"/>
      <c r="AN94" s="299"/>
      <c r="AO94" s="299"/>
      <c r="AP94" s="299"/>
      <c r="AQ94" s="299"/>
    </row>
    <row r="95" spans="1:43">
      <c r="A95" s="249" t="e">
        <f>IF(D95='Tables &amp; Ranges'!$A$133, 'Tables &amp; Ranges'!$B$133, IF(D95='Tables &amp; Ranges'!$A$134, 'Tables &amp; Ranges'!$B$134, IF(D95='Tables &amp; Ranges'!$A$135, 'Tables &amp; Ranges'!$B$135, IF(D95='Tables &amp; Ranges'!$A$136, 'Tables &amp; Ranges'!$B$136, IF(D95='Tables &amp; Ranges'!$A$99, 'Tables &amp; Ranges'!$B$116, VLOOKUP(X95,'Fixture Table'!$C$3:$M$1785, 10, FALSE))))))</f>
        <v>#N/A</v>
      </c>
      <c r="D95" s="2">
        <f>IFERROR(_xlfn.IFNA(VLOOKUP(F95,Summary_Pre!E:F,2,FALSE),0),0)</f>
        <v>0</v>
      </c>
      <c r="E95" s="249" t="e">
        <f t="shared" si="7"/>
        <v>#N/A</v>
      </c>
      <c r="F95" s="2" t="e">
        <f t="array" ref="F95">INDEX(Summary_Pre!E$4:E$303, MATCH(0, COUNTIF($F$2:F94,Summary_Pre!E$4:E$303), 0))</f>
        <v>#N/A</v>
      </c>
      <c r="G95" s="271" t="e">
        <f>VLOOKUP(X95,Table7[[#All],[FIXTURE CODE]:[WATT/ FIXT]], 6, FALSE)</f>
        <v>#N/A</v>
      </c>
      <c r="H95" s="271" t="e">
        <f>VLOOKUP(Y95,Table7[[#All],[FIXTURE CODE]:[WATT/ FIXT]], 6, FALSE)</f>
        <v>#N/A</v>
      </c>
      <c r="I95" s="272">
        <f>SUMIF(Summary_Pre!E:E,"="&amp;F95,Summary_Pre!D:D)</f>
        <v>0</v>
      </c>
      <c r="J95" s="263">
        <f>SUMIF(Summary_Pre!E:E,"="&amp;F95,Summary_Pre!H:H)</f>
        <v>0</v>
      </c>
      <c r="K95" s="262">
        <f>SUMIF(Summary_Pre!E:E,"="&amp; F95,Summary_Pre!I:I)</f>
        <v>0</v>
      </c>
      <c r="L95" s="3">
        <f>SUMIF(Summary_Pre!E:E,"="&amp; F95,Summary_Pre!J:J)</f>
        <v>0</v>
      </c>
      <c r="M95" s="285">
        <f>SUMIF(Summary_Pre!E:E,"="&amp; F95,Summary_Pre!K:K)</f>
        <v>0</v>
      </c>
      <c r="N95" s="285">
        <f>SUMIF(Summary_Pre!E:E,"="&amp;F95,Summary_Pre!C:C)</f>
        <v>0</v>
      </c>
      <c r="O95" s="266">
        <f t="shared" si="8"/>
        <v>0</v>
      </c>
      <c r="P95" s="3"/>
      <c r="Q95" s="3"/>
      <c r="R95" s="3"/>
      <c r="S95" s="3"/>
      <c r="T95" s="3"/>
      <c r="U95" s="3"/>
      <c r="V95" s="3"/>
      <c r="W95" s="2"/>
      <c r="X95" s="281" t="e">
        <f t="shared" si="5"/>
        <v>#N/A</v>
      </c>
      <c r="Y95" s="279" t="e">
        <f t="shared" si="6"/>
        <v>#N/A</v>
      </c>
    </row>
    <row r="96" spans="1:43" s="300" customFormat="1">
      <c r="A96" s="289" t="e">
        <f>IF(D96='Tables &amp; Ranges'!$A$133, 'Tables &amp; Ranges'!$B$133, IF(D96='Tables &amp; Ranges'!$A$134, 'Tables &amp; Ranges'!$B$134, IF(D96='Tables &amp; Ranges'!$A$135, 'Tables &amp; Ranges'!$B$135, IF(D96='Tables &amp; Ranges'!$A$136, 'Tables &amp; Ranges'!$B$136, IF(D96='Tables &amp; Ranges'!$A$99, 'Tables &amp; Ranges'!$B$116, VLOOKUP(X96,'Fixture Table'!$C$3:$M$1785, 10, FALSE))))))</f>
        <v>#N/A</v>
      </c>
      <c r="D96" s="290">
        <f>IFERROR(_xlfn.IFNA(VLOOKUP(F96,Summary_Pre!E:F,2,FALSE),0),0)</f>
        <v>0</v>
      </c>
      <c r="E96" s="249" t="e">
        <f t="shared" si="7"/>
        <v>#N/A</v>
      </c>
      <c r="F96" s="290" t="e">
        <f t="array" ref="F96">INDEX(Summary_Pre!E$4:E$303, MATCH(0, COUNTIF($F$2:F95,Summary_Pre!E$4:E$303), 0))</f>
        <v>#N/A</v>
      </c>
      <c r="G96" s="291" t="e">
        <f>VLOOKUP(X96,Table7[[#All],[FIXTURE CODE]:[WATT/ FIXT]], 6, FALSE)</f>
        <v>#N/A</v>
      </c>
      <c r="H96" s="291" t="e">
        <f>VLOOKUP(Y96,Table7[[#All],[FIXTURE CODE]:[WATT/ FIXT]], 6, FALSE)</f>
        <v>#N/A</v>
      </c>
      <c r="I96" s="292">
        <f>SUMIF(Summary_Pre!E:E,"="&amp;F96,Summary_Pre!D:D)</f>
        <v>0</v>
      </c>
      <c r="J96" s="293">
        <f>SUMIF(Summary_Pre!E:E,"="&amp;F96,Summary_Pre!H:H)</f>
        <v>0</v>
      </c>
      <c r="K96" s="294">
        <f>SUMIF(Summary_Pre!E:E,"="&amp; F96,Summary_Pre!I:I)</f>
        <v>0</v>
      </c>
      <c r="L96" s="295">
        <f>SUMIF(Summary_Pre!E:E,"="&amp; F96,Summary_Pre!J:J)</f>
        <v>0</v>
      </c>
      <c r="M96" s="296">
        <f>SUMIF(Summary_Pre!E:E,"="&amp; F96,Summary_Pre!K:K)</f>
        <v>0</v>
      </c>
      <c r="N96" s="296">
        <f>SUMIF(Summary_Pre!E:E,"="&amp;F96,Summary_Pre!C:C)</f>
        <v>0</v>
      </c>
      <c r="O96" s="297">
        <f t="shared" si="8"/>
        <v>0</v>
      </c>
      <c r="P96" s="295"/>
      <c r="Q96" s="295"/>
      <c r="R96" s="295"/>
      <c r="S96" s="295"/>
      <c r="T96" s="295"/>
      <c r="U96" s="295"/>
      <c r="V96" s="295"/>
      <c r="W96" s="290"/>
      <c r="X96" s="298" t="e">
        <f t="shared" si="5"/>
        <v>#N/A</v>
      </c>
      <c r="Y96" s="298" t="e">
        <f t="shared" si="6"/>
        <v>#N/A</v>
      </c>
      <c r="Z96" s="299"/>
      <c r="AA96" s="299"/>
      <c r="AB96" s="299"/>
      <c r="AC96" s="299"/>
      <c r="AD96" s="299"/>
      <c r="AE96" s="299"/>
      <c r="AF96" s="299"/>
      <c r="AG96" s="299"/>
      <c r="AH96" s="299"/>
      <c r="AI96" s="299"/>
      <c r="AJ96" s="299"/>
      <c r="AK96" s="299"/>
      <c r="AL96" s="299"/>
      <c r="AM96" s="299"/>
      <c r="AN96" s="299"/>
      <c r="AO96" s="299"/>
      <c r="AP96" s="299"/>
      <c r="AQ96" s="299"/>
    </row>
    <row r="97" spans="1:43">
      <c r="A97" s="249" t="e">
        <f>IF(D97='Tables &amp; Ranges'!$A$133, 'Tables &amp; Ranges'!$B$133, IF(D97='Tables &amp; Ranges'!$A$134, 'Tables &amp; Ranges'!$B$134, IF(D97='Tables &amp; Ranges'!$A$135, 'Tables &amp; Ranges'!$B$135, IF(D97='Tables &amp; Ranges'!$A$136, 'Tables &amp; Ranges'!$B$136, IF(D97='Tables &amp; Ranges'!$A$99, 'Tables &amp; Ranges'!$B$116, VLOOKUP(X97,'Fixture Table'!$C$3:$M$1785, 10, FALSE))))))</f>
        <v>#N/A</v>
      </c>
      <c r="D97" s="2">
        <f>IFERROR(_xlfn.IFNA(VLOOKUP(F97,Summary_Pre!E:F,2,FALSE),0),0)</f>
        <v>0</v>
      </c>
      <c r="E97" s="249" t="e">
        <f t="shared" si="7"/>
        <v>#N/A</v>
      </c>
      <c r="F97" s="2" t="e">
        <f t="array" ref="F97">INDEX(Summary_Pre!E$4:E$303, MATCH(0, COUNTIF($F$2:F96,Summary_Pre!E$4:E$303), 0))</f>
        <v>#N/A</v>
      </c>
      <c r="G97" s="271" t="e">
        <f>VLOOKUP(X97,Table7[[#All],[FIXTURE CODE]:[WATT/ FIXT]], 6, FALSE)</f>
        <v>#N/A</v>
      </c>
      <c r="H97" s="271" t="e">
        <f>VLOOKUP(Y97,Table7[[#All],[FIXTURE CODE]:[WATT/ FIXT]], 6, FALSE)</f>
        <v>#N/A</v>
      </c>
      <c r="I97" s="272">
        <f>SUMIF(Summary_Pre!E:E,"="&amp;F97,Summary_Pre!D:D)</f>
        <v>0</v>
      </c>
      <c r="J97" s="263">
        <f>SUMIF(Summary_Pre!E:E,"="&amp;F97,Summary_Pre!H:H)</f>
        <v>0</v>
      </c>
      <c r="K97" s="262">
        <f>SUMIF(Summary_Pre!E:E,"="&amp; F97,Summary_Pre!I:I)</f>
        <v>0</v>
      </c>
      <c r="L97" s="3">
        <f>SUMIF(Summary_Pre!E:E,"="&amp; F97,Summary_Pre!J:J)</f>
        <v>0</v>
      </c>
      <c r="M97" s="285">
        <f>SUMIF(Summary_Pre!E:E,"="&amp; F97,Summary_Pre!K:K)</f>
        <v>0</v>
      </c>
      <c r="N97" s="285">
        <f>SUMIF(Summary_Pre!E:E,"="&amp;F97,Summary_Pre!C:C)</f>
        <v>0</v>
      </c>
      <c r="O97" s="266">
        <f t="shared" si="8"/>
        <v>0</v>
      </c>
      <c r="P97" s="3"/>
      <c r="Q97" s="3"/>
      <c r="R97" s="3"/>
      <c r="S97" s="3"/>
      <c r="T97" s="3"/>
      <c r="U97" s="3"/>
      <c r="V97" s="3"/>
      <c r="W97" s="2"/>
      <c r="X97" s="281" t="e">
        <f t="shared" si="5"/>
        <v>#N/A</v>
      </c>
      <c r="Y97" s="279" t="e">
        <f t="shared" si="6"/>
        <v>#N/A</v>
      </c>
    </row>
    <row r="98" spans="1:43" s="300" customFormat="1">
      <c r="A98" s="289" t="e">
        <f>IF(D98='Tables &amp; Ranges'!$A$133, 'Tables &amp; Ranges'!$B$133, IF(D98='Tables &amp; Ranges'!$A$134, 'Tables &amp; Ranges'!$B$134, IF(D98='Tables &amp; Ranges'!$A$135, 'Tables &amp; Ranges'!$B$135, IF(D98='Tables &amp; Ranges'!$A$136, 'Tables &amp; Ranges'!$B$136, IF(D98='Tables &amp; Ranges'!$A$99, 'Tables &amp; Ranges'!$B$116, VLOOKUP(X98,'Fixture Table'!$C$3:$M$1785, 10, FALSE))))))</f>
        <v>#N/A</v>
      </c>
      <c r="D98" s="290">
        <f>IFERROR(_xlfn.IFNA(VLOOKUP(F98,Summary_Pre!E:F,2,FALSE),0),0)</f>
        <v>0</v>
      </c>
      <c r="E98" s="249" t="e">
        <f t="shared" si="7"/>
        <v>#N/A</v>
      </c>
      <c r="F98" s="290" t="e">
        <f t="array" ref="F98">INDEX(Summary_Pre!E$4:E$303, MATCH(0, COUNTIF($F$2:F97,Summary_Pre!E$4:E$303), 0))</f>
        <v>#N/A</v>
      </c>
      <c r="G98" s="291" t="e">
        <f>VLOOKUP(X98,Table7[[#All],[FIXTURE CODE]:[WATT/ FIXT]], 6, FALSE)</f>
        <v>#N/A</v>
      </c>
      <c r="H98" s="291" t="e">
        <f>VLOOKUP(Y98,Table7[[#All],[FIXTURE CODE]:[WATT/ FIXT]], 6, FALSE)</f>
        <v>#N/A</v>
      </c>
      <c r="I98" s="292">
        <f>SUMIF(Summary_Pre!E:E,"="&amp;F98,Summary_Pre!D:D)</f>
        <v>0</v>
      </c>
      <c r="J98" s="293">
        <f>SUMIF(Summary_Pre!E:E,"="&amp;F98,Summary_Pre!H:H)</f>
        <v>0</v>
      </c>
      <c r="K98" s="294">
        <f>SUMIF(Summary_Pre!E:E,"="&amp; F98,Summary_Pre!I:I)</f>
        <v>0</v>
      </c>
      <c r="L98" s="295">
        <f>SUMIF(Summary_Pre!E:E,"="&amp; F98,Summary_Pre!J:J)</f>
        <v>0</v>
      </c>
      <c r="M98" s="296">
        <f>SUMIF(Summary_Pre!E:E,"="&amp; F98,Summary_Pre!K:K)</f>
        <v>0</v>
      </c>
      <c r="N98" s="296">
        <f>SUMIF(Summary_Pre!E:E,"="&amp;F98,Summary_Pre!C:C)</f>
        <v>0</v>
      </c>
      <c r="O98" s="297">
        <f t="shared" si="8"/>
        <v>0</v>
      </c>
      <c r="P98" s="295"/>
      <c r="Q98" s="295"/>
      <c r="R98" s="295"/>
      <c r="S98" s="295"/>
      <c r="T98" s="295"/>
      <c r="U98" s="295"/>
      <c r="V98" s="295"/>
      <c r="W98" s="290"/>
      <c r="X98" s="298" t="e">
        <f t="shared" si="5"/>
        <v>#N/A</v>
      </c>
      <c r="Y98" s="298" t="e">
        <f t="shared" si="6"/>
        <v>#N/A</v>
      </c>
      <c r="Z98" s="299"/>
      <c r="AA98" s="299"/>
      <c r="AB98" s="299"/>
      <c r="AC98" s="299"/>
      <c r="AD98" s="299"/>
      <c r="AE98" s="299"/>
      <c r="AF98" s="299"/>
      <c r="AG98" s="299"/>
      <c r="AH98" s="299"/>
      <c r="AI98" s="299"/>
      <c r="AJ98" s="299"/>
      <c r="AK98" s="299"/>
      <c r="AL98" s="299"/>
      <c r="AM98" s="299"/>
      <c r="AN98" s="299"/>
      <c r="AO98" s="299"/>
      <c r="AP98" s="299"/>
      <c r="AQ98" s="299"/>
    </row>
    <row r="99" spans="1:43">
      <c r="A99" s="249" t="e">
        <f>IF(D99='Tables &amp; Ranges'!$A$133, 'Tables &amp; Ranges'!$B$133, IF(D99='Tables &amp; Ranges'!$A$134, 'Tables &amp; Ranges'!$B$134, IF(D99='Tables &amp; Ranges'!$A$135, 'Tables &amp; Ranges'!$B$135, IF(D99='Tables &amp; Ranges'!$A$136, 'Tables &amp; Ranges'!$B$136, IF(D99='Tables &amp; Ranges'!$A$99, 'Tables &amp; Ranges'!$B$116, VLOOKUP(X99,'Fixture Table'!$C$3:$M$1785, 10, FALSE))))))</f>
        <v>#N/A</v>
      </c>
      <c r="D99" s="2">
        <f>IFERROR(_xlfn.IFNA(VLOOKUP(F99,Summary_Pre!E:F,2,FALSE),0),0)</f>
        <v>0</v>
      </c>
      <c r="E99" s="249" t="e">
        <f t="shared" si="7"/>
        <v>#N/A</v>
      </c>
      <c r="F99" s="2" t="e">
        <f t="array" ref="F99">INDEX(Summary_Pre!E$4:E$303, MATCH(0, COUNTIF($F$2:F98,Summary_Pre!E$4:E$303), 0))</f>
        <v>#N/A</v>
      </c>
      <c r="G99" s="271" t="e">
        <f>VLOOKUP(X99,Table7[[#All],[FIXTURE CODE]:[WATT/ FIXT]], 6, FALSE)</f>
        <v>#N/A</v>
      </c>
      <c r="H99" s="271" t="e">
        <f>VLOOKUP(Y99,Table7[[#All],[FIXTURE CODE]:[WATT/ FIXT]], 6, FALSE)</f>
        <v>#N/A</v>
      </c>
      <c r="I99" s="272">
        <f>SUMIF(Summary_Pre!E:E,"="&amp;F99,Summary_Pre!D:D)</f>
        <v>0</v>
      </c>
      <c r="J99" s="263">
        <f>SUMIF(Summary_Pre!E:E,"="&amp;F99,Summary_Pre!H:H)</f>
        <v>0</v>
      </c>
      <c r="K99" s="262">
        <f>SUMIF(Summary_Pre!E:E,"="&amp; F99,Summary_Pre!I:I)</f>
        <v>0</v>
      </c>
      <c r="L99" s="3">
        <f>SUMIF(Summary_Pre!E:E,"="&amp; F99,Summary_Pre!J:J)</f>
        <v>0</v>
      </c>
      <c r="M99" s="285">
        <f>SUMIF(Summary_Pre!E:E,"="&amp; F99,Summary_Pre!K:K)</f>
        <v>0</v>
      </c>
      <c r="N99" s="285">
        <f>SUMIF(Summary_Pre!E:E,"="&amp;F99,Summary_Pre!C:C)</f>
        <v>0</v>
      </c>
      <c r="O99" s="266">
        <f t="shared" si="8"/>
        <v>0</v>
      </c>
      <c r="P99" s="3"/>
      <c r="Q99" s="3"/>
      <c r="R99" s="3"/>
      <c r="S99" s="3"/>
      <c r="T99" s="3"/>
      <c r="U99" s="3"/>
      <c r="V99" s="3"/>
      <c r="W99" s="2"/>
      <c r="X99" s="281" t="e">
        <f t="shared" si="5"/>
        <v>#N/A</v>
      </c>
      <c r="Y99" s="279" t="e">
        <f t="shared" si="6"/>
        <v>#N/A</v>
      </c>
    </row>
    <row r="100" spans="1:43" s="300" customFormat="1">
      <c r="A100" s="289" t="e">
        <f>IF(D100='Tables &amp; Ranges'!$A$133, 'Tables &amp; Ranges'!$B$133, IF(D100='Tables &amp; Ranges'!$A$134, 'Tables &amp; Ranges'!$B$134, IF(D100='Tables &amp; Ranges'!$A$135, 'Tables &amp; Ranges'!$B$135, IF(D100='Tables &amp; Ranges'!$A$136, 'Tables &amp; Ranges'!$B$136, IF(D100='Tables &amp; Ranges'!$A$99, 'Tables &amp; Ranges'!$B$116, VLOOKUP(X100,'Fixture Table'!$C$3:$M$1785, 10, FALSE))))))</f>
        <v>#N/A</v>
      </c>
      <c r="D100" s="290">
        <f>IFERROR(_xlfn.IFNA(VLOOKUP(F100,Summary_Pre!E:F,2,FALSE),0),0)</f>
        <v>0</v>
      </c>
      <c r="E100" s="249" t="e">
        <f t="shared" si="7"/>
        <v>#N/A</v>
      </c>
      <c r="F100" s="290" t="e">
        <f t="array" ref="F100">INDEX(Summary_Pre!E$4:E$303, MATCH(0, COUNTIF($F$2:F99,Summary_Pre!E$4:E$303), 0))</f>
        <v>#N/A</v>
      </c>
      <c r="G100" s="291" t="e">
        <f>VLOOKUP(X100,Table7[[#All],[FIXTURE CODE]:[WATT/ FIXT]], 6, FALSE)</f>
        <v>#N/A</v>
      </c>
      <c r="H100" s="291" t="e">
        <f>VLOOKUP(Y100,Table7[[#All],[FIXTURE CODE]:[WATT/ FIXT]], 6, FALSE)</f>
        <v>#N/A</v>
      </c>
      <c r="I100" s="292">
        <f>SUMIF(Summary_Pre!E:E,"="&amp;F100,Summary_Pre!D:D)</f>
        <v>0</v>
      </c>
      <c r="J100" s="293">
        <f>SUMIF(Summary_Pre!E:E,"="&amp;F100,Summary_Pre!H:H)</f>
        <v>0</v>
      </c>
      <c r="K100" s="294">
        <f>SUMIF(Summary_Pre!E:E,"="&amp; F100,Summary_Pre!I:I)</f>
        <v>0</v>
      </c>
      <c r="L100" s="295">
        <f>SUMIF(Summary_Pre!E:E,"="&amp; F100,Summary_Pre!J:J)</f>
        <v>0</v>
      </c>
      <c r="M100" s="296">
        <f>SUMIF(Summary_Pre!E:E,"="&amp; F100,Summary_Pre!K:K)</f>
        <v>0</v>
      </c>
      <c r="N100" s="296">
        <f>SUMIF(Summary_Pre!E:E,"="&amp;F100,Summary_Pre!C:C)</f>
        <v>0</v>
      </c>
      <c r="O100" s="297">
        <f t="shared" si="8"/>
        <v>0</v>
      </c>
      <c r="P100" s="295"/>
      <c r="Q100" s="295"/>
      <c r="R100" s="295"/>
      <c r="S100" s="295"/>
      <c r="T100" s="295"/>
      <c r="U100" s="295"/>
      <c r="V100" s="295"/>
      <c r="W100" s="290"/>
      <c r="X100" s="298" t="e">
        <f t="shared" si="5"/>
        <v>#N/A</v>
      </c>
      <c r="Y100" s="298" t="e">
        <f t="shared" si="6"/>
        <v>#N/A</v>
      </c>
      <c r="Z100" s="299"/>
      <c r="AA100" s="299"/>
      <c r="AB100" s="299"/>
      <c r="AC100" s="299"/>
      <c r="AD100" s="299"/>
      <c r="AE100" s="299"/>
      <c r="AF100" s="299"/>
      <c r="AG100" s="299"/>
      <c r="AH100" s="299"/>
      <c r="AI100" s="299"/>
      <c r="AJ100" s="299"/>
      <c r="AK100" s="299"/>
      <c r="AL100" s="299"/>
      <c r="AM100" s="299"/>
      <c r="AN100" s="299"/>
      <c r="AO100" s="299"/>
      <c r="AP100" s="299"/>
      <c r="AQ100" s="299"/>
    </row>
    <row r="101" spans="1:43">
      <c r="A101" s="249" t="e">
        <f>IF(D101='Tables &amp; Ranges'!$A$133, 'Tables &amp; Ranges'!$B$133, IF(D101='Tables &amp; Ranges'!$A$134, 'Tables &amp; Ranges'!$B$134, IF(D101='Tables &amp; Ranges'!$A$135, 'Tables &amp; Ranges'!$B$135, IF(D101='Tables &amp; Ranges'!$A$136, 'Tables &amp; Ranges'!$B$136, IF(D101='Tables &amp; Ranges'!$A$99, 'Tables &amp; Ranges'!$B$116, VLOOKUP(X101,'Fixture Table'!$C$3:$M$1785, 10, FALSE))))))</f>
        <v>#N/A</v>
      </c>
      <c r="D101" s="2">
        <f>IFERROR(_xlfn.IFNA(VLOOKUP(F101,Summary_Pre!E:F,2,FALSE),0),0)</f>
        <v>0</v>
      </c>
      <c r="E101" s="249" t="e">
        <f t="shared" si="7"/>
        <v>#N/A</v>
      </c>
      <c r="F101" s="2" t="e">
        <f t="array" ref="F101">INDEX(Summary_Pre!E$4:E$303, MATCH(0, COUNTIF($F$2:F100,Summary_Pre!E$4:E$303), 0))</f>
        <v>#N/A</v>
      </c>
      <c r="G101" s="271" t="e">
        <f>VLOOKUP(X101,Table7[[#All],[FIXTURE CODE]:[WATT/ FIXT]], 6, FALSE)</f>
        <v>#N/A</v>
      </c>
      <c r="H101" s="271" t="e">
        <f>VLOOKUP(Y101,Table7[[#All],[FIXTURE CODE]:[WATT/ FIXT]], 6, FALSE)</f>
        <v>#N/A</v>
      </c>
      <c r="I101" s="272">
        <f>SUMIF(Summary_Pre!E:E,"="&amp;F101,Summary_Pre!D:D)</f>
        <v>0</v>
      </c>
      <c r="J101" s="263">
        <f>SUMIF(Summary_Pre!E:E,"="&amp;F101,Summary_Pre!H:H)</f>
        <v>0</v>
      </c>
      <c r="K101" s="262">
        <f>SUMIF(Summary_Pre!E:E,"="&amp; F101,Summary_Pre!I:I)</f>
        <v>0</v>
      </c>
      <c r="L101" s="3">
        <f>SUMIF(Summary_Pre!E:E,"="&amp; F101,Summary_Pre!J:J)</f>
        <v>0</v>
      </c>
      <c r="M101" s="285">
        <f>SUMIF(Summary_Pre!E:E,"="&amp; F101,Summary_Pre!K:K)</f>
        <v>0</v>
      </c>
      <c r="N101" s="285">
        <f>SUMIF(Summary_Pre!E:E,"="&amp;F101,Summary_Pre!C:C)</f>
        <v>0</v>
      </c>
      <c r="O101" s="266">
        <f t="shared" si="8"/>
        <v>0</v>
      </c>
      <c r="P101" s="3"/>
      <c r="Q101" s="3"/>
      <c r="R101" s="3"/>
      <c r="S101" s="3"/>
      <c r="T101" s="3"/>
      <c r="U101" s="3"/>
      <c r="V101" s="3"/>
      <c r="W101" s="2"/>
      <c r="X101" s="281" t="e">
        <f t="shared" si="5"/>
        <v>#N/A</v>
      </c>
      <c r="Y101" s="279" t="e">
        <f t="shared" si="6"/>
        <v>#N/A</v>
      </c>
    </row>
    <row r="102" spans="1:43">
      <c r="A102" s="249" t="e">
        <f>IF(D102='Tables &amp; Ranges'!$A$133, 'Tables &amp; Ranges'!$B$133, IF(D102='Tables &amp; Ranges'!$A$134, 'Tables &amp; Ranges'!$B$134, IF(D102='Tables &amp; Ranges'!$A$135, 'Tables &amp; Ranges'!$B$135, IF(D102='Tables &amp; Ranges'!$A$136, 'Tables &amp; Ranges'!$B$136, IF(D102='Tables &amp; Ranges'!$A$99, 'Tables &amp; Ranges'!$B$116, VLOOKUP(X102,'Fixture Table'!$C$3:$M$1785, 10, FALSE))))))</f>
        <v>#N/A</v>
      </c>
      <c r="D102" s="2">
        <f>IFERROR(_xlfn.IFNA(VLOOKUP(F102,Summary_Pre!E:F,2,FALSE),0),0)</f>
        <v>0</v>
      </c>
      <c r="E102" s="249" t="e">
        <f t="shared" si="7"/>
        <v>#N/A</v>
      </c>
      <c r="F102" s="2" t="e">
        <f t="array" ref="F102">INDEX(Summary_Pre!E$4:E$303, MATCH(0, COUNTIF($F$2:F101,Summary_Pre!E$4:E$303), 0))</f>
        <v>#N/A</v>
      </c>
      <c r="G102" s="271" t="e">
        <f>VLOOKUP(X102,Table7[[#All],[FIXTURE CODE]:[WATT/ FIXT]], 6, FALSE)</f>
        <v>#N/A</v>
      </c>
      <c r="H102" s="271" t="e">
        <f>VLOOKUP(Y102,Table7[[#All],[FIXTURE CODE]:[WATT/ FIXT]], 6, FALSE)</f>
        <v>#N/A</v>
      </c>
      <c r="I102" s="272">
        <f>SUMIF(Summary_Pre!E:E,"="&amp;F102,Summary_Pre!D:D)</f>
        <v>0</v>
      </c>
      <c r="J102" s="263">
        <f>SUMIF(Summary_Pre!E:E,"="&amp;F102,Summary_Pre!H:H)</f>
        <v>0</v>
      </c>
      <c r="K102" s="262">
        <f>SUMIF(Summary_Pre!E:E,"="&amp; F102,Summary_Pre!I:I)</f>
        <v>0</v>
      </c>
      <c r="L102" s="3">
        <f>SUMIF(Summary_Pre!E:E,"="&amp; F102,Summary_Pre!J:J)</f>
        <v>0</v>
      </c>
      <c r="M102" s="285">
        <f>SUMIF(Summary_Pre!E:E,"="&amp; F102,Summary_Pre!K:K)</f>
        <v>0</v>
      </c>
      <c r="N102" s="285">
        <f>SUMIF(Summary_Pre!E:E,"="&amp;F102,Summary_Pre!C:C)</f>
        <v>0</v>
      </c>
      <c r="O102" s="266">
        <f t="shared" si="8"/>
        <v>0</v>
      </c>
      <c r="P102" s="3"/>
      <c r="Q102" s="3"/>
      <c r="R102" s="3"/>
      <c r="S102" s="3"/>
      <c r="T102" s="3"/>
      <c r="U102" s="3"/>
      <c r="V102" s="3"/>
      <c r="W102" s="2"/>
      <c r="X102" s="281" t="e">
        <f t="shared" si="5"/>
        <v>#N/A</v>
      </c>
      <c r="Y102" s="279" t="e">
        <f t="shared" si="6"/>
        <v>#N/A</v>
      </c>
    </row>
    <row r="103" spans="1:43">
      <c r="A103" s="249" t="e">
        <f>IF(D103='Tables &amp; Ranges'!$A$133, 'Tables &amp; Ranges'!$B$133, IF(D103='Tables &amp; Ranges'!$A$134, 'Tables &amp; Ranges'!$B$134, IF(D103='Tables &amp; Ranges'!$A$135, 'Tables &amp; Ranges'!$B$135, IF(D103='Tables &amp; Ranges'!$A$136, 'Tables &amp; Ranges'!$B$136, IF(D103='Tables &amp; Ranges'!$A$99, 'Tables &amp; Ranges'!$B$116, VLOOKUP(X103,'Fixture Table'!$C$3:$M$1785, 10, FALSE))))))</f>
        <v>#N/A</v>
      </c>
      <c r="D103" s="2">
        <f>IFERROR(_xlfn.IFNA(VLOOKUP(F103,Summary_Pre!E:F,2,FALSE),0),0)</f>
        <v>0</v>
      </c>
      <c r="E103" s="249" t="e">
        <f t="shared" si="7"/>
        <v>#N/A</v>
      </c>
      <c r="F103" s="2" t="e">
        <f t="array" ref="F103">INDEX(Summary_Pre!E$4:E$303, MATCH(0, COUNTIF($F$2:F102,Summary_Pre!E$4:E$303), 0))</f>
        <v>#N/A</v>
      </c>
      <c r="G103" s="271" t="e">
        <f>VLOOKUP(X103,Table7[[#All],[FIXTURE CODE]:[WATT/ FIXT]], 6, FALSE)</f>
        <v>#N/A</v>
      </c>
      <c r="H103" s="271" t="e">
        <f>VLOOKUP(Y103,Table7[[#All],[FIXTURE CODE]:[WATT/ FIXT]], 6, FALSE)</f>
        <v>#N/A</v>
      </c>
      <c r="I103" s="272">
        <f>SUMIF(Summary_Pre!E:E,"="&amp;F103,Summary_Pre!D:D)</f>
        <v>0</v>
      </c>
      <c r="J103" s="263">
        <f>SUMIF(Summary_Pre!E:E,"="&amp;F103,Summary_Pre!H:H)</f>
        <v>0</v>
      </c>
      <c r="K103" s="262">
        <f>SUMIF(Summary_Pre!E:E,"="&amp; F103,Summary_Pre!I:I)</f>
        <v>0</v>
      </c>
      <c r="L103" s="3">
        <f>SUMIF(Summary_Pre!E:E,"="&amp; F103,Summary_Pre!J:J)</f>
        <v>0</v>
      </c>
      <c r="M103" s="285">
        <f>SUMIF(Summary_Pre!E:E,"="&amp; F103,Summary_Pre!K:K)</f>
        <v>0</v>
      </c>
      <c r="N103" s="285">
        <f>SUMIF(Summary_Pre!E:E,"="&amp;F103,Summary_Pre!C:C)</f>
        <v>0</v>
      </c>
      <c r="O103" s="266">
        <f t="shared" si="8"/>
        <v>0</v>
      </c>
      <c r="P103" s="3"/>
      <c r="Q103" s="3"/>
      <c r="R103" s="3"/>
      <c r="S103" s="3"/>
      <c r="T103" s="3"/>
      <c r="U103" s="3"/>
      <c r="V103" s="3"/>
      <c r="W103" s="2"/>
      <c r="X103" s="281" t="e">
        <f t="shared" si="5"/>
        <v>#N/A</v>
      </c>
      <c r="Y103" s="279" t="e">
        <f t="shared" si="6"/>
        <v>#N/A</v>
      </c>
    </row>
    <row r="104" spans="1:43">
      <c r="A104" s="249" t="e">
        <f>IF(D104='Tables &amp; Ranges'!$A$133, 'Tables &amp; Ranges'!$B$133, IF(D104='Tables &amp; Ranges'!$A$134, 'Tables &amp; Ranges'!$B$134, IF(D104='Tables &amp; Ranges'!$A$135, 'Tables &amp; Ranges'!$B$135, IF(D104='Tables &amp; Ranges'!$A$136, 'Tables &amp; Ranges'!$B$136, IF(D104='Tables &amp; Ranges'!$A$99, 'Tables &amp; Ranges'!$B$116, VLOOKUP(X104,'Fixture Table'!$C$3:$M$1785, 10, FALSE))))))</f>
        <v>#N/A</v>
      </c>
      <c r="D104" s="2">
        <f>IFERROR(_xlfn.IFNA(VLOOKUP(F104,Summary_Pre!E:F,2,FALSE),0),0)</f>
        <v>0</v>
      </c>
      <c r="E104" s="249" t="e">
        <f t="shared" si="7"/>
        <v>#N/A</v>
      </c>
      <c r="F104" s="2" t="e">
        <f t="array" ref="F104">INDEX(Summary_Pre!E$4:E$303, MATCH(0, COUNTIF($F$2:F103,Summary_Pre!E$4:E$303), 0))</f>
        <v>#N/A</v>
      </c>
      <c r="G104" s="271" t="e">
        <f>VLOOKUP(X104,Table7[[#All],[FIXTURE CODE]:[WATT/ FIXT]], 6, FALSE)</f>
        <v>#N/A</v>
      </c>
      <c r="H104" s="271" t="e">
        <f>VLOOKUP(Y104,Table7[[#All],[FIXTURE CODE]:[WATT/ FIXT]], 6, FALSE)</f>
        <v>#N/A</v>
      </c>
      <c r="I104" s="272">
        <f>SUMIF(Summary_Pre!E:E,"="&amp;F104,Summary_Pre!D:D)</f>
        <v>0</v>
      </c>
      <c r="J104" s="263">
        <f>SUMIF(Summary_Pre!E:E,"="&amp;F104,Summary_Pre!H:H)</f>
        <v>0</v>
      </c>
      <c r="K104" s="262">
        <f>SUMIF(Summary_Pre!E:E,"="&amp; F104,Summary_Pre!I:I)</f>
        <v>0</v>
      </c>
      <c r="L104" s="3">
        <f>SUMIF(Summary_Pre!E:E,"="&amp; F104,Summary_Pre!J:J)</f>
        <v>0</v>
      </c>
      <c r="M104" s="285">
        <f>SUMIF(Summary_Pre!E:E,"="&amp; F104,Summary_Pre!K:K)</f>
        <v>0</v>
      </c>
      <c r="N104" s="285">
        <f>SUMIF(Summary_Pre!E:E,"="&amp;F104,Summary_Pre!C:C)</f>
        <v>0</v>
      </c>
      <c r="O104" s="266">
        <f t="shared" si="8"/>
        <v>0</v>
      </c>
      <c r="P104" s="3"/>
      <c r="Q104" s="3"/>
      <c r="R104" s="3"/>
      <c r="S104" s="3"/>
      <c r="T104" s="3"/>
      <c r="U104" s="3"/>
      <c r="V104" s="3"/>
      <c r="W104" s="2"/>
      <c r="X104" s="281" t="e">
        <f t="shared" si="5"/>
        <v>#N/A</v>
      </c>
      <c r="Y104" s="279" t="e">
        <f t="shared" si="6"/>
        <v>#N/A</v>
      </c>
    </row>
    <row r="105" spans="1:43">
      <c r="A105" s="249" t="e">
        <f>IF(D105='Tables &amp; Ranges'!$A$133, 'Tables &amp; Ranges'!$B$133, IF(D105='Tables &amp; Ranges'!$A$134, 'Tables &amp; Ranges'!$B$134, IF(D105='Tables &amp; Ranges'!$A$135, 'Tables &amp; Ranges'!$B$135, IF(D105='Tables &amp; Ranges'!$A$136, 'Tables &amp; Ranges'!$B$136, IF(D105='Tables &amp; Ranges'!$A$99, 'Tables &amp; Ranges'!$B$116, VLOOKUP(X105,'Fixture Table'!$C$3:$M$1785, 10, FALSE))))))</f>
        <v>#N/A</v>
      </c>
      <c r="D105" s="2">
        <f>IFERROR(_xlfn.IFNA(VLOOKUP(F105,Summary_Pre!E:F,2,FALSE),0),0)</f>
        <v>0</v>
      </c>
      <c r="E105" s="249" t="e">
        <f t="shared" si="7"/>
        <v>#N/A</v>
      </c>
      <c r="F105" s="2" t="e">
        <f t="array" ref="F105">INDEX(Summary_Pre!E$4:E$303, MATCH(0, COUNTIF($F$2:F104,Summary_Pre!E$4:E$303), 0))</f>
        <v>#N/A</v>
      </c>
      <c r="G105" s="271" t="e">
        <f>VLOOKUP(X105,Table7[[#All],[FIXTURE CODE]:[WATT/ FIXT]], 6, FALSE)</f>
        <v>#N/A</v>
      </c>
      <c r="H105" s="271" t="e">
        <f>VLOOKUP(Y105,Table7[[#All],[FIXTURE CODE]:[WATT/ FIXT]], 6, FALSE)</f>
        <v>#N/A</v>
      </c>
      <c r="I105" s="272">
        <f>SUMIF(Summary_Pre!E:E,"="&amp;F105,Summary_Pre!D:D)</f>
        <v>0</v>
      </c>
      <c r="J105" s="263">
        <f>SUMIF(Summary_Pre!E:E,"="&amp;F105,Summary_Pre!H:H)</f>
        <v>0</v>
      </c>
      <c r="K105" s="262">
        <f>SUMIF(Summary_Pre!E:E,"="&amp; F105,Summary_Pre!I:I)</f>
        <v>0</v>
      </c>
      <c r="L105" s="3">
        <f>SUMIF(Summary_Pre!E:E,"="&amp; F105,Summary_Pre!J:J)</f>
        <v>0</v>
      </c>
      <c r="M105" s="285">
        <f>SUMIF(Summary_Pre!E:E,"="&amp; F105,Summary_Pre!K:K)</f>
        <v>0</v>
      </c>
      <c r="N105" s="285">
        <f>SUMIF(Summary_Pre!E:E,"="&amp;F105,Summary_Pre!C:C)</f>
        <v>0</v>
      </c>
      <c r="O105" s="266">
        <f t="shared" si="8"/>
        <v>0</v>
      </c>
      <c r="P105" s="3"/>
      <c r="Q105" s="3"/>
      <c r="R105" s="3"/>
      <c r="S105" s="3"/>
      <c r="T105" s="3"/>
      <c r="U105" s="3"/>
      <c r="V105" s="3"/>
      <c r="W105" s="2"/>
      <c r="X105" s="281" t="e">
        <f t="shared" si="5"/>
        <v>#N/A</v>
      </c>
      <c r="Y105" s="279" t="e">
        <f t="shared" si="6"/>
        <v>#N/A</v>
      </c>
    </row>
    <row r="106" spans="1:43">
      <c r="A106" s="249" t="e">
        <f>IF(D106='Tables &amp; Ranges'!$A$133, 'Tables &amp; Ranges'!$B$133, IF(D106='Tables &amp; Ranges'!$A$134, 'Tables &amp; Ranges'!$B$134, IF(D106='Tables &amp; Ranges'!$A$135, 'Tables &amp; Ranges'!$B$135, IF(D106='Tables &amp; Ranges'!$A$136, 'Tables &amp; Ranges'!$B$136, IF(D106='Tables &amp; Ranges'!$A$99, 'Tables &amp; Ranges'!$B$116, VLOOKUP(X106,'Fixture Table'!$C$3:$M$1785, 10, FALSE))))))</f>
        <v>#N/A</v>
      </c>
      <c r="D106" s="2">
        <f>IFERROR(_xlfn.IFNA(VLOOKUP(F106,Summary_Pre!E:F,2,FALSE),0),0)</f>
        <v>0</v>
      </c>
      <c r="E106" s="249" t="e">
        <f t="shared" si="7"/>
        <v>#N/A</v>
      </c>
      <c r="F106" s="2" t="e">
        <f t="array" ref="F106">INDEX(Summary_Pre!E$4:E$303, MATCH(0, COUNTIF($F$2:F105,Summary_Pre!E$4:E$303), 0))</f>
        <v>#N/A</v>
      </c>
      <c r="G106" s="271" t="e">
        <f>VLOOKUP(X106,Table7[[#All],[FIXTURE CODE]:[WATT/ FIXT]], 6, FALSE)</f>
        <v>#N/A</v>
      </c>
      <c r="H106" s="271" t="e">
        <f>VLOOKUP(Y106,Table7[[#All],[FIXTURE CODE]:[WATT/ FIXT]], 6, FALSE)</f>
        <v>#N/A</v>
      </c>
      <c r="I106" s="272">
        <f>SUMIF(Summary_Pre!E:E,"="&amp;F106,Summary_Pre!D:D)</f>
        <v>0</v>
      </c>
      <c r="J106" s="263">
        <f>SUMIF(Summary_Pre!E:E,"="&amp;F106,Summary_Pre!H:H)</f>
        <v>0</v>
      </c>
      <c r="K106" s="262">
        <f>SUMIF(Summary_Pre!E:E,"="&amp; F106,Summary_Pre!I:I)</f>
        <v>0</v>
      </c>
      <c r="L106" s="3">
        <f>SUMIF(Summary_Pre!E:E,"="&amp; F106,Summary_Pre!J:J)</f>
        <v>0</v>
      </c>
      <c r="M106" s="285">
        <f>SUMIF(Summary_Pre!E:E,"="&amp; F106,Summary_Pre!K:K)</f>
        <v>0</v>
      </c>
      <c r="N106" s="285">
        <f>SUMIF(Summary_Pre!E:E,"="&amp;F106,Summary_Pre!C:C)</f>
        <v>0</v>
      </c>
      <c r="O106" s="266">
        <f t="shared" si="8"/>
        <v>0</v>
      </c>
      <c r="P106" s="3"/>
      <c r="Q106" s="3"/>
      <c r="R106" s="3"/>
      <c r="S106" s="3"/>
      <c r="T106" s="3"/>
      <c r="U106" s="3"/>
      <c r="V106" s="3"/>
      <c r="W106" s="2"/>
      <c r="X106" s="281" t="e">
        <f t="shared" si="5"/>
        <v>#N/A</v>
      </c>
      <c r="Y106" s="279" t="e">
        <f t="shared" si="6"/>
        <v>#N/A</v>
      </c>
    </row>
    <row r="107" spans="1:43">
      <c r="A107" s="249" t="e">
        <f>IF(D107='Tables &amp; Ranges'!$A$133, 'Tables &amp; Ranges'!$B$133, IF(D107='Tables &amp; Ranges'!$A$134, 'Tables &amp; Ranges'!$B$134, IF(D107='Tables &amp; Ranges'!$A$135, 'Tables &amp; Ranges'!$B$135, IF(D107='Tables &amp; Ranges'!$A$136, 'Tables &amp; Ranges'!$B$136, IF(D107='Tables &amp; Ranges'!$A$99, 'Tables &amp; Ranges'!$B$116, VLOOKUP(X107,'Fixture Table'!$C$3:$M$1785, 10, FALSE))))))</f>
        <v>#N/A</v>
      </c>
      <c r="D107" s="2">
        <f>IFERROR(_xlfn.IFNA(VLOOKUP(F107,Summary_Pre!E:F,2,FALSE),0),0)</f>
        <v>0</v>
      </c>
      <c r="E107" s="249" t="e">
        <f t="shared" si="7"/>
        <v>#N/A</v>
      </c>
      <c r="F107" s="2" t="e">
        <f t="array" ref="F107">INDEX(Summary_Pre!E$4:E$303, MATCH(0, COUNTIF($F$2:F106,Summary_Pre!E$4:E$303), 0))</f>
        <v>#N/A</v>
      </c>
      <c r="G107" s="271" t="e">
        <f>VLOOKUP(X107,Table7[[#All],[FIXTURE CODE]:[WATT/ FIXT]], 6, FALSE)</f>
        <v>#N/A</v>
      </c>
      <c r="H107" s="271" t="e">
        <f>VLOOKUP(Y107,Table7[[#All],[FIXTURE CODE]:[WATT/ FIXT]], 6, FALSE)</f>
        <v>#N/A</v>
      </c>
      <c r="I107" s="272">
        <f>SUMIF(Summary_Pre!E:E,"="&amp;F107,Summary_Pre!D:D)</f>
        <v>0</v>
      </c>
      <c r="J107" s="263">
        <f>SUMIF(Summary_Pre!E:E,"="&amp;F107,Summary_Pre!H:H)</f>
        <v>0</v>
      </c>
      <c r="K107" s="262">
        <f>SUMIF(Summary_Pre!E:E,"="&amp; F107,Summary_Pre!I:I)</f>
        <v>0</v>
      </c>
      <c r="L107" s="3">
        <f>SUMIF(Summary_Pre!E:E,"="&amp; F107,Summary_Pre!J:J)</f>
        <v>0</v>
      </c>
      <c r="M107" s="285">
        <f>SUMIF(Summary_Pre!E:E,"="&amp; F107,Summary_Pre!K:K)</f>
        <v>0</v>
      </c>
      <c r="N107" s="285">
        <f>SUMIF(Summary_Pre!E:E,"="&amp;F107,Summary_Pre!C:C)</f>
        <v>0</v>
      </c>
      <c r="O107" s="266">
        <f t="shared" si="8"/>
        <v>0</v>
      </c>
      <c r="P107" s="3"/>
      <c r="Q107" s="3"/>
      <c r="R107" s="3"/>
      <c r="S107" s="3"/>
      <c r="T107" s="3"/>
      <c r="U107" s="3"/>
      <c r="V107" s="3"/>
      <c r="W107" s="2"/>
      <c r="X107" s="281" t="e">
        <f t="shared" si="5"/>
        <v>#N/A</v>
      </c>
      <c r="Y107" s="279" t="e">
        <f t="shared" si="6"/>
        <v>#N/A</v>
      </c>
    </row>
    <row r="108" spans="1:43">
      <c r="A108" s="249" t="e">
        <f>IF(D108='Tables &amp; Ranges'!$A$133, 'Tables &amp; Ranges'!$B$133, IF(D108='Tables &amp; Ranges'!$A$134, 'Tables &amp; Ranges'!$B$134, IF(D108='Tables &amp; Ranges'!$A$135, 'Tables &amp; Ranges'!$B$135, IF(D108='Tables &amp; Ranges'!$A$136, 'Tables &amp; Ranges'!$B$136, IF(D108='Tables &amp; Ranges'!$A$99, 'Tables &amp; Ranges'!$B$116, VLOOKUP(X108,'Fixture Table'!$C$3:$M$1785, 10, FALSE))))))</f>
        <v>#N/A</v>
      </c>
      <c r="D108" s="2">
        <f>IFERROR(_xlfn.IFNA(VLOOKUP(F108,Summary_Pre!E:F,2,FALSE),0),0)</f>
        <v>0</v>
      </c>
      <c r="E108" s="249" t="e">
        <f t="shared" si="7"/>
        <v>#N/A</v>
      </c>
      <c r="F108" s="2" t="e">
        <f t="array" ref="F108">INDEX(Summary_Pre!E$4:E$303, MATCH(0, COUNTIF($F$2:F107,Summary_Pre!E$4:E$303), 0))</f>
        <v>#N/A</v>
      </c>
      <c r="G108" s="271" t="e">
        <f>VLOOKUP(X108,Table7[[#All],[FIXTURE CODE]:[WATT/ FIXT]], 6, FALSE)</f>
        <v>#N/A</v>
      </c>
      <c r="H108" s="271" t="e">
        <f>VLOOKUP(Y108,Table7[[#All],[FIXTURE CODE]:[WATT/ FIXT]], 6, FALSE)</f>
        <v>#N/A</v>
      </c>
      <c r="I108" s="272">
        <f>SUMIF(Summary_Pre!E:E,"="&amp;F108,Summary_Pre!D:D)</f>
        <v>0</v>
      </c>
      <c r="J108" s="263">
        <f>SUMIF(Summary_Pre!E:E,"="&amp;F108,Summary_Pre!H:H)</f>
        <v>0</v>
      </c>
      <c r="K108" s="262">
        <f>SUMIF(Summary_Pre!E:E,"="&amp; F108,Summary_Pre!I:I)</f>
        <v>0</v>
      </c>
      <c r="L108" s="3">
        <f>SUMIF(Summary_Pre!E:E,"="&amp; F108,Summary_Pre!J:J)</f>
        <v>0</v>
      </c>
      <c r="M108" s="285">
        <f>SUMIF(Summary_Pre!E:E,"="&amp; F108,Summary_Pre!K:K)</f>
        <v>0</v>
      </c>
      <c r="N108" s="285">
        <f>SUMIF(Summary_Pre!E:E,"="&amp;F108,Summary_Pre!C:C)</f>
        <v>0</v>
      </c>
      <c r="O108" s="266">
        <f t="shared" si="8"/>
        <v>0</v>
      </c>
      <c r="P108" s="3"/>
      <c r="Q108" s="3"/>
      <c r="R108" s="3"/>
      <c r="S108" s="3"/>
      <c r="T108" s="3"/>
      <c r="U108" s="3"/>
      <c r="V108" s="3"/>
      <c r="W108" s="2"/>
      <c r="X108" s="281" t="e">
        <f t="shared" si="5"/>
        <v>#N/A</v>
      </c>
      <c r="Y108" s="279" t="e">
        <f t="shared" si="6"/>
        <v>#N/A</v>
      </c>
    </row>
    <row r="109" spans="1:43">
      <c r="A109" s="249" t="e">
        <f>IF(D109='Tables &amp; Ranges'!$A$133, 'Tables &amp; Ranges'!$B$133, IF(D109='Tables &amp; Ranges'!$A$134, 'Tables &amp; Ranges'!$B$134, IF(D109='Tables &amp; Ranges'!$A$135, 'Tables &amp; Ranges'!$B$135, IF(D109='Tables &amp; Ranges'!$A$136, 'Tables &amp; Ranges'!$B$136, IF(D109='Tables &amp; Ranges'!$A$99, 'Tables &amp; Ranges'!$B$116, VLOOKUP(X109,'Fixture Table'!$C$3:$M$1785, 10, FALSE))))))</f>
        <v>#N/A</v>
      </c>
      <c r="D109" s="2">
        <f>IFERROR(_xlfn.IFNA(VLOOKUP(F109,Summary_Pre!E:F,2,FALSE),0),0)</f>
        <v>0</v>
      </c>
      <c r="E109" s="249" t="e">
        <f t="shared" si="7"/>
        <v>#N/A</v>
      </c>
      <c r="F109" s="2" t="e">
        <f t="array" ref="F109">INDEX(Summary_Pre!E$4:E$303, MATCH(0, COUNTIF($F$2:F108,Summary_Pre!E$4:E$303), 0))</f>
        <v>#N/A</v>
      </c>
      <c r="G109" s="271" t="e">
        <f>VLOOKUP(X109,Table7[[#All],[FIXTURE CODE]:[WATT/ FIXT]], 6, FALSE)</f>
        <v>#N/A</v>
      </c>
      <c r="H109" s="271" t="e">
        <f>VLOOKUP(Y109,Table7[[#All],[FIXTURE CODE]:[WATT/ FIXT]], 6, FALSE)</f>
        <v>#N/A</v>
      </c>
      <c r="I109" s="272">
        <f>SUMIF(Summary_Pre!E:E,"="&amp;F109,Summary_Pre!D:D)</f>
        <v>0</v>
      </c>
      <c r="J109" s="263">
        <f>SUMIF(Summary_Pre!E:E,"="&amp;F109,Summary_Pre!H:H)</f>
        <v>0</v>
      </c>
      <c r="K109" s="262">
        <f>SUMIF(Summary_Pre!E:E,"="&amp; F109,Summary_Pre!I:I)</f>
        <v>0</v>
      </c>
      <c r="L109" s="3">
        <f>SUMIF(Summary_Pre!E:E,"="&amp; F109,Summary_Pre!J:J)</f>
        <v>0</v>
      </c>
      <c r="M109" s="285">
        <f>SUMIF(Summary_Pre!E:E,"="&amp; F109,Summary_Pre!K:K)</f>
        <v>0</v>
      </c>
      <c r="N109" s="285">
        <f>SUMIF(Summary_Pre!E:E,"="&amp;F109,Summary_Pre!C:C)</f>
        <v>0</v>
      </c>
      <c r="O109" s="266">
        <f t="shared" si="8"/>
        <v>0</v>
      </c>
      <c r="P109" s="3"/>
      <c r="Q109" s="3"/>
      <c r="R109" s="3"/>
      <c r="S109" s="3"/>
      <c r="T109" s="3"/>
      <c r="U109" s="3"/>
      <c r="V109" s="3"/>
      <c r="W109" s="2"/>
      <c r="X109" s="281" t="e">
        <f t="shared" si="5"/>
        <v>#N/A</v>
      </c>
      <c r="Y109" s="279" t="e">
        <f t="shared" si="6"/>
        <v>#N/A</v>
      </c>
    </row>
    <row r="110" spans="1:43">
      <c r="A110" s="249" t="e">
        <f>IF(D110='Tables &amp; Ranges'!$A$133, 'Tables &amp; Ranges'!$B$133, IF(D110='Tables &amp; Ranges'!$A$134, 'Tables &amp; Ranges'!$B$134, IF(D110='Tables &amp; Ranges'!$A$135, 'Tables &amp; Ranges'!$B$135, IF(D110='Tables &amp; Ranges'!$A$136, 'Tables &amp; Ranges'!$B$136, IF(D110='Tables &amp; Ranges'!$A$99, 'Tables &amp; Ranges'!$B$116, VLOOKUP(X110,'Fixture Table'!$C$3:$M$1785, 10, FALSE))))))</f>
        <v>#N/A</v>
      </c>
      <c r="D110" s="2">
        <f>IFERROR(_xlfn.IFNA(VLOOKUP(F110,Summary_Pre!E:F,2,FALSE),0),0)</f>
        <v>0</v>
      </c>
      <c r="E110" s="249" t="e">
        <f t="shared" si="7"/>
        <v>#N/A</v>
      </c>
      <c r="F110" s="2" t="e">
        <f t="array" ref="F110">INDEX(Summary_Pre!E$4:E$303, MATCH(0, COUNTIF($F$2:F109,Summary_Pre!E$4:E$303), 0))</f>
        <v>#N/A</v>
      </c>
      <c r="G110" s="271" t="e">
        <f>VLOOKUP(X110,Table7[[#All],[FIXTURE CODE]:[WATT/ FIXT]], 6, FALSE)</f>
        <v>#N/A</v>
      </c>
      <c r="H110" s="271" t="e">
        <f>VLOOKUP(Y110,Table7[[#All],[FIXTURE CODE]:[WATT/ FIXT]], 6, FALSE)</f>
        <v>#N/A</v>
      </c>
      <c r="I110" s="272">
        <f>SUMIF(Summary_Pre!E:E,"="&amp;F110,Summary_Pre!D:D)</f>
        <v>0</v>
      </c>
      <c r="J110" s="263">
        <f>SUMIF(Summary_Pre!E:E,"="&amp;F110,Summary_Pre!H:H)</f>
        <v>0</v>
      </c>
      <c r="K110" s="262">
        <f>SUMIF(Summary_Pre!E:E,"="&amp; F110,Summary_Pre!I:I)</f>
        <v>0</v>
      </c>
      <c r="L110" s="3">
        <f>SUMIF(Summary_Pre!E:E,"="&amp; F110,Summary_Pre!J:J)</f>
        <v>0</v>
      </c>
      <c r="M110" s="285">
        <f>SUMIF(Summary_Pre!E:E,"="&amp; F110,Summary_Pre!K:K)</f>
        <v>0</v>
      </c>
      <c r="N110" s="285">
        <f>SUMIF(Summary_Pre!E:E,"="&amp;F110,Summary_Pre!C:C)</f>
        <v>0</v>
      </c>
      <c r="O110" s="266">
        <f t="shared" si="8"/>
        <v>0</v>
      </c>
      <c r="P110" s="3"/>
      <c r="Q110" s="3"/>
      <c r="R110" s="3"/>
      <c r="S110" s="3"/>
      <c r="T110" s="3"/>
      <c r="U110" s="3"/>
      <c r="V110" s="3"/>
      <c r="W110" s="2"/>
      <c r="X110" s="281" t="e">
        <f t="shared" si="5"/>
        <v>#N/A</v>
      </c>
      <c r="Y110" s="279" t="e">
        <f t="shared" si="6"/>
        <v>#N/A</v>
      </c>
    </row>
    <row r="111" spans="1:43">
      <c r="A111" s="249" t="e">
        <f>IF(D111='Tables &amp; Ranges'!$A$133, 'Tables &amp; Ranges'!$B$133, IF(D111='Tables &amp; Ranges'!$A$134, 'Tables &amp; Ranges'!$B$134, IF(D111='Tables &amp; Ranges'!$A$135, 'Tables &amp; Ranges'!$B$135, IF(D111='Tables &amp; Ranges'!$A$136, 'Tables &amp; Ranges'!$B$136, IF(D111='Tables &amp; Ranges'!$A$99, 'Tables &amp; Ranges'!$B$116, VLOOKUP(X111,'Fixture Table'!$C$3:$M$1785, 10, FALSE))))))</f>
        <v>#N/A</v>
      </c>
      <c r="D111" s="2">
        <f>IFERROR(_xlfn.IFNA(VLOOKUP(F111,Summary_Pre!E:F,2,FALSE),0),0)</f>
        <v>0</v>
      </c>
      <c r="E111" s="249" t="e">
        <f t="shared" si="7"/>
        <v>#N/A</v>
      </c>
      <c r="F111" s="2" t="e">
        <f t="array" ref="F111">INDEX(Summary_Pre!E$4:E$303, MATCH(0, COUNTIF($F$2:F110,Summary_Pre!E$4:E$303), 0))</f>
        <v>#N/A</v>
      </c>
      <c r="G111" s="271" t="e">
        <f>VLOOKUP(X111,Table7[[#All],[FIXTURE CODE]:[WATT/ FIXT]], 6, FALSE)</f>
        <v>#N/A</v>
      </c>
      <c r="H111" s="271" t="e">
        <f>VLOOKUP(Y111,Table7[[#All],[FIXTURE CODE]:[WATT/ FIXT]], 6, FALSE)</f>
        <v>#N/A</v>
      </c>
      <c r="I111" s="272">
        <f>SUMIF(Summary_Pre!E:E,"="&amp;F111,Summary_Pre!D:D)</f>
        <v>0</v>
      </c>
      <c r="J111" s="263">
        <f>SUMIF(Summary_Pre!E:E,"="&amp;F111,Summary_Pre!H:H)</f>
        <v>0</v>
      </c>
      <c r="K111" s="262">
        <f>SUMIF(Summary_Pre!E:E,"="&amp; F111,Summary_Pre!I:I)</f>
        <v>0</v>
      </c>
      <c r="L111" s="3">
        <f>SUMIF(Summary_Pre!E:E,"="&amp; F111,Summary_Pre!J:J)</f>
        <v>0</v>
      </c>
      <c r="M111" s="285">
        <f>SUMIF(Summary_Pre!E:E,"="&amp; F111,Summary_Pre!K:K)</f>
        <v>0</v>
      </c>
      <c r="N111" s="285">
        <f>SUMIF(Summary_Pre!E:E,"="&amp;F111,Summary_Pre!C:C)</f>
        <v>0</v>
      </c>
      <c r="O111" s="266">
        <f t="shared" si="8"/>
        <v>0</v>
      </c>
      <c r="P111" s="3"/>
      <c r="Q111" s="3"/>
      <c r="R111" s="3"/>
      <c r="S111" s="3"/>
      <c r="T111" s="3"/>
      <c r="U111" s="3"/>
      <c r="V111" s="3"/>
      <c r="W111" s="2"/>
      <c r="X111" s="281" t="e">
        <f t="shared" si="5"/>
        <v>#N/A</v>
      </c>
      <c r="Y111" s="279" t="e">
        <f t="shared" si="6"/>
        <v>#N/A</v>
      </c>
    </row>
    <row r="112" spans="1:43">
      <c r="A112" s="249" t="e">
        <f>IF(D112='Tables &amp; Ranges'!$A$133, 'Tables &amp; Ranges'!$B$133, IF(D112='Tables &amp; Ranges'!$A$134, 'Tables &amp; Ranges'!$B$134, IF(D112='Tables &amp; Ranges'!$A$135, 'Tables &amp; Ranges'!$B$135, IF(D112='Tables &amp; Ranges'!$A$136, 'Tables &amp; Ranges'!$B$136, IF(D112='Tables &amp; Ranges'!$A$99, 'Tables &amp; Ranges'!$B$116, VLOOKUP(X112,'Fixture Table'!$C$3:$M$1785, 10, FALSE))))))</f>
        <v>#N/A</v>
      </c>
      <c r="D112" s="2">
        <f>IFERROR(_xlfn.IFNA(VLOOKUP(F112,Summary_Pre!E:F,2,FALSE),0),0)</f>
        <v>0</v>
      </c>
      <c r="E112" s="249" t="e">
        <f t="shared" si="7"/>
        <v>#N/A</v>
      </c>
      <c r="F112" s="2" t="e">
        <f t="array" ref="F112">INDEX(Summary_Pre!E$4:E$303, MATCH(0, COUNTIF($F$2:F111,Summary_Pre!E$4:E$303), 0))</f>
        <v>#N/A</v>
      </c>
      <c r="G112" s="271" t="e">
        <f>VLOOKUP(X112,Table7[[#All],[FIXTURE CODE]:[WATT/ FIXT]], 6, FALSE)</f>
        <v>#N/A</v>
      </c>
      <c r="H112" s="271" t="e">
        <f>VLOOKUP(Y112,Table7[[#All],[FIXTURE CODE]:[WATT/ FIXT]], 6, FALSE)</f>
        <v>#N/A</v>
      </c>
      <c r="I112" s="272">
        <f>SUMIF(Summary_Pre!E:E,"="&amp;F112,Summary_Pre!D:D)</f>
        <v>0</v>
      </c>
      <c r="J112" s="263">
        <f>SUMIF(Summary_Pre!E:E,"="&amp;F112,Summary_Pre!H:H)</f>
        <v>0</v>
      </c>
      <c r="K112" s="262">
        <f>SUMIF(Summary_Pre!E:E,"="&amp; F112,Summary_Pre!I:I)</f>
        <v>0</v>
      </c>
      <c r="L112" s="3">
        <f>SUMIF(Summary_Pre!E:E,"="&amp; F112,Summary_Pre!J:J)</f>
        <v>0</v>
      </c>
      <c r="M112" s="285">
        <f>SUMIF(Summary_Pre!E:E,"="&amp; F112,Summary_Pre!K:K)</f>
        <v>0</v>
      </c>
      <c r="N112" s="285">
        <f>SUMIF(Summary_Pre!E:E,"="&amp;F112,Summary_Pre!C:C)</f>
        <v>0</v>
      </c>
      <c r="O112" s="266">
        <f t="shared" si="8"/>
        <v>0</v>
      </c>
      <c r="P112" s="3"/>
      <c r="Q112" s="3"/>
      <c r="R112" s="3"/>
      <c r="S112" s="3"/>
      <c r="T112" s="3"/>
      <c r="U112" s="3"/>
      <c r="V112" s="3"/>
      <c r="W112" s="2"/>
      <c r="X112" s="281" t="e">
        <f t="shared" si="5"/>
        <v>#N/A</v>
      </c>
      <c r="Y112" s="279" t="e">
        <f t="shared" si="6"/>
        <v>#N/A</v>
      </c>
    </row>
    <row r="113" spans="1:25">
      <c r="A113" s="249" t="e">
        <f>IF(D113='Tables &amp; Ranges'!$A$133, 'Tables &amp; Ranges'!$B$133, IF(D113='Tables &amp; Ranges'!$A$134, 'Tables &amp; Ranges'!$B$134, IF(D113='Tables &amp; Ranges'!$A$135, 'Tables &amp; Ranges'!$B$135, IF(D113='Tables &amp; Ranges'!$A$136, 'Tables &amp; Ranges'!$B$136, IF(D113='Tables &amp; Ranges'!$A$99, 'Tables &amp; Ranges'!$B$116, VLOOKUP(X113,'Fixture Table'!$C$3:$M$1785, 10, FALSE))))))</f>
        <v>#N/A</v>
      </c>
      <c r="D113" s="2">
        <f>IFERROR(_xlfn.IFNA(VLOOKUP(F113,Summary_Pre!E:F,2,FALSE),0),0)</f>
        <v>0</v>
      </c>
      <c r="E113" s="249" t="e">
        <f t="shared" si="7"/>
        <v>#N/A</v>
      </c>
      <c r="F113" s="2" t="e">
        <f t="array" ref="F113">INDEX(Summary_Pre!E$4:E$303, MATCH(0, COUNTIF($F$2:F112,Summary_Pre!E$4:E$303), 0))</f>
        <v>#N/A</v>
      </c>
      <c r="G113" s="271" t="e">
        <f>VLOOKUP(X113,Table7[[#All],[FIXTURE CODE]:[WATT/ FIXT]], 6, FALSE)</f>
        <v>#N/A</v>
      </c>
      <c r="H113" s="271" t="e">
        <f>VLOOKUP(Y113,Table7[[#All],[FIXTURE CODE]:[WATT/ FIXT]], 6, FALSE)</f>
        <v>#N/A</v>
      </c>
      <c r="I113" s="272">
        <f>SUMIF(Summary_Pre!E:E,"="&amp;F113,Summary_Pre!D:D)</f>
        <v>0</v>
      </c>
      <c r="J113" s="263">
        <f>SUMIF(Summary_Pre!E:E,"="&amp;F113,Summary_Pre!H:H)</f>
        <v>0</v>
      </c>
      <c r="K113" s="262">
        <f>SUMIF(Summary_Pre!E:E,"="&amp; F113,Summary_Pre!I:I)</f>
        <v>0</v>
      </c>
      <c r="L113" s="3">
        <f>SUMIF(Summary_Pre!E:E,"="&amp; F113,Summary_Pre!J:J)</f>
        <v>0</v>
      </c>
      <c r="M113" s="285">
        <f>SUMIF(Summary_Pre!E:E,"="&amp; F113,Summary_Pre!K:K)</f>
        <v>0</v>
      </c>
      <c r="N113" s="285">
        <f>SUMIF(Summary_Pre!E:E,"="&amp;F113,Summary_Pre!C:C)</f>
        <v>0</v>
      </c>
      <c r="O113" s="266">
        <f t="shared" si="8"/>
        <v>0</v>
      </c>
      <c r="P113" s="3"/>
      <c r="Q113" s="3"/>
      <c r="R113" s="3"/>
      <c r="S113" s="3"/>
      <c r="T113" s="3"/>
      <c r="U113" s="3"/>
      <c r="V113" s="3"/>
      <c r="W113" s="2"/>
      <c r="X113" s="281" t="e">
        <f t="shared" si="5"/>
        <v>#N/A</v>
      </c>
      <c r="Y113" s="279" t="e">
        <f t="shared" si="6"/>
        <v>#N/A</v>
      </c>
    </row>
    <row r="114" spans="1:25">
      <c r="A114" s="249" t="e">
        <f>IF(D114='Tables &amp; Ranges'!$A$133, 'Tables &amp; Ranges'!$B$133, IF(D114='Tables &amp; Ranges'!$A$134, 'Tables &amp; Ranges'!$B$134, IF(D114='Tables &amp; Ranges'!$A$135, 'Tables &amp; Ranges'!$B$135, IF(D114='Tables &amp; Ranges'!$A$136, 'Tables &amp; Ranges'!$B$136, IF(D114='Tables &amp; Ranges'!$A$99, 'Tables &amp; Ranges'!$B$116, VLOOKUP(X114,'Fixture Table'!$C$3:$M$1785, 10, FALSE))))))</f>
        <v>#N/A</v>
      </c>
      <c r="D114" s="2">
        <f>IFERROR(_xlfn.IFNA(VLOOKUP(F114,Summary_Pre!E:F,2,FALSE),0),0)</f>
        <v>0</v>
      </c>
      <c r="E114" s="249" t="e">
        <f t="shared" si="7"/>
        <v>#N/A</v>
      </c>
      <c r="F114" s="2" t="e">
        <f t="array" ref="F114">INDEX(Summary_Pre!E$4:E$303, MATCH(0, COUNTIF($F$2:F113,Summary_Pre!E$4:E$303), 0))</f>
        <v>#N/A</v>
      </c>
      <c r="G114" s="271" t="e">
        <f>VLOOKUP(X114,Table7[[#All],[FIXTURE CODE]:[WATT/ FIXT]], 6, FALSE)</f>
        <v>#N/A</v>
      </c>
      <c r="H114" s="271" t="e">
        <f>VLOOKUP(Y114,Table7[[#All],[FIXTURE CODE]:[WATT/ FIXT]], 6, FALSE)</f>
        <v>#N/A</v>
      </c>
      <c r="I114" s="272">
        <f>SUMIF(Summary_Pre!E:E,"="&amp;F114,Summary_Pre!D:D)</f>
        <v>0</v>
      </c>
      <c r="J114" s="263">
        <f>SUMIF(Summary_Pre!E:E,"="&amp;F114,Summary_Pre!H:H)</f>
        <v>0</v>
      </c>
      <c r="K114" s="262">
        <f>SUMIF(Summary_Pre!E:E,"="&amp; F114,Summary_Pre!I:I)</f>
        <v>0</v>
      </c>
      <c r="L114" s="3">
        <f>SUMIF(Summary_Pre!E:E,"="&amp; F114,Summary_Pre!J:J)</f>
        <v>0</v>
      </c>
      <c r="M114" s="285">
        <f>SUMIF(Summary_Pre!E:E,"="&amp; F114,Summary_Pre!K:K)</f>
        <v>0</v>
      </c>
      <c r="N114" s="285">
        <f>SUMIF(Summary_Pre!E:E,"="&amp;F114,Summary_Pre!C:C)</f>
        <v>0</v>
      </c>
      <c r="O114" s="266">
        <f t="shared" si="8"/>
        <v>0</v>
      </c>
      <c r="P114" s="3"/>
      <c r="Q114" s="3"/>
      <c r="R114" s="3"/>
      <c r="S114" s="3"/>
      <c r="T114" s="3"/>
      <c r="U114" s="3"/>
      <c r="V114" s="3"/>
      <c r="W114" s="2"/>
      <c r="X114" s="281" t="e">
        <f t="shared" si="5"/>
        <v>#N/A</v>
      </c>
      <c r="Y114" s="279" t="e">
        <f t="shared" si="6"/>
        <v>#N/A</v>
      </c>
    </row>
    <row r="115" spans="1:25">
      <c r="A115" s="249" t="e">
        <f>IF(D115='Tables &amp; Ranges'!$A$133, 'Tables &amp; Ranges'!$B$133, IF(D115='Tables &amp; Ranges'!$A$134, 'Tables &amp; Ranges'!$B$134, IF(D115='Tables &amp; Ranges'!$A$135, 'Tables &amp; Ranges'!$B$135, IF(D115='Tables &amp; Ranges'!$A$136, 'Tables &amp; Ranges'!$B$136, IF(D115='Tables &amp; Ranges'!$A$99, 'Tables &amp; Ranges'!$B$116, VLOOKUP(X115,'Fixture Table'!$C$3:$M$1785, 10, FALSE))))))</f>
        <v>#N/A</v>
      </c>
      <c r="D115" s="2">
        <f>IFERROR(_xlfn.IFNA(VLOOKUP(F115,Summary_Pre!E:F,2,FALSE),0),0)</f>
        <v>0</v>
      </c>
      <c r="E115" s="249" t="e">
        <f t="shared" si="7"/>
        <v>#N/A</v>
      </c>
      <c r="F115" s="2" t="e">
        <f t="array" ref="F115">INDEX(Summary_Pre!E$4:E$303, MATCH(0, COUNTIF($F$2:F114,Summary_Pre!E$4:E$303), 0))</f>
        <v>#N/A</v>
      </c>
      <c r="G115" s="271" t="e">
        <f>VLOOKUP(X115,Table7[[#All],[FIXTURE CODE]:[WATT/ FIXT]], 6, FALSE)</f>
        <v>#N/A</v>
      </c>
      <c r="H115" s="271" t="e">
        <f>VLOOKUP(Y115,Table7[[#All],[FIXTURE CODE]:[WATT/ FIXT]], 6, FALSE)</f>
        <v>#N/A</v>
      </c>
      <c r="I115" s="272">
        <f>SUMIF(Summary_Pre!E:E,"="&amp;F115,Summary_Pre!D:D)</f>
        <v>0</v>
      </c>
      <c r="J115" s="263">
        <f>SUMIF(Summary_Pre!E:E,"="&amp;F115,Summary_Pre!H:H)</f>
        <v>0</v>
      </c>
      <c r="K115" s="262">
        <f>SUMIF(Summary_Pre!E:E,"="&amp; F115,Summary_Pre!I:I)</f>
        <v>0</v>
      </c>
      <c r="L115" s="3">
        <f>SUMIF(Summary_Pre!E:E,"="&amp; F115,Summary_Pre!J:J)</f>
        <v>0</v>
      </c>
      <c r="M115" s="285">
        <f>SUMIF(Summary_Pre!E:E,"="&amp; F115,Summary_Pre!K:K)</f>
        <v>0</v>
      </c>
      <c r="N115" s="285">
        <f>SUMIF(Summary_Pre!E:E,"="&amp;F115,Summary_Pre!C:C)</f>
        <v>0</v>
      </c>
      <c r="O115" s="266">
        <f t="shared" si="8"/>
        <v>0</v>
      </c>
      <c r="P115" s="3"/>
      <c r="Q115" s="3"/>
      <c r="R115" s="3"/>
      <c r="S115" s="3"/>
      <c r="T115" s="3"/>
      <c r="U115" s="3"/>
      <c r="V115" s="3"/>
      <c r="W115" s="2"/>
      <c r="X115" s="281" t="e">
        <f t="shared" si="5"/>
        <v>#N/A</v>
      </c>
      <c r="Y115" s="279" t="e">
        <f t="shared" si="6"/>
        <v>#N/A</v>
      </c>
    </row>
    <row r="116" spans="1:25">
      <c r="A116" s="249" t="e">
        <f>IF(D116='Tables &amp; Ranges'!$A$133, 'Tables &amp; Ranges'!$B$133, IF(D116='Tables &amp; Ranges'!$A$134, 'Tables &amp; Ranges'!$B$134, IF(D116='Tables &amp; Ranges'!$A$135, 'Tables &amp; Ranges'!$B$135, IF(D116='Tables &amp; Ranges'!$A$136, 'Tables &amp; Ranges'!$B$136, IF(D116='Tables &amp; Ranges'!$A$99, 'Tables &amp; Ranges'!$B$116, VLOOKUP(X116,'Fixture Table'!$C$3:$M$1785, 10, FALSE))))))</f>
        <v>#N/A</v>
      </c>
      <c r="D116" s="2">
        <f>IFERROR(_xlfn.IFNA(VLOOKUP(F116,Summary_Pre!E:F,2,FALSE),0),0)</f>
        <v>0</v>
      </c>
      <c r="E116" s="249" t="e">
        <f t="shared" si="7"/>
        <v>#N/A</v>
      </c>
      <c r="F116" s="2" t="e">
        <f t="array" ref="F116">INDEX(Summary_Pre!E$4:E$303, MATCH(0, COUNTIF($F$2:F115,Summary_Pre!E$4:E$303), 0))</f>
        <v>#N/A</v>
      </c>
      <c r="G116" s="271" t="e">
        <f>VLOOKUP(X116,Table7[[#All],[FIXTURE CODE]:[WATT/ FIXT]], 6, FALSE)</f>
        <v>#N/A</v>
      </c>
      <c r="H116" s="271" t="e">
        <f>VLOOKUP(Y116,Table7[[#All],[FIXTURE CODE]:[WATT/ FIXT]], 6, FALSE)</f>
        <v>#N/A</v>
      </c>
      <c r="I116" s="272">
        <f>SUMIF(Summary_Pre!E:E,"="&amp;F116,Summary_Pre!D:D)</f>
        <v>0</v>
      </c>
      <c r="J116" s="263">
        <f>SUMIF(Summary_Pre!E:E,"="&amp;F116,Summary_Pre!H:H)</f>
        <v>0</v>
      </c>
      <c r="K116" s="262">
        <f>SUMIF(Summary_Pre!E:E,"="&amp; F116,Summary_Pre!I:I)</f>
        <v>0</v>
      </c>
      <c r="L116" s="3">
        <f>SUMIF(Summary_Pre!E:E,"="&amp; F116,Summary_Pre!J:J)</f>
        <v>0</v>
      </c>
      <c r="M116" s="285">
        <f>SUMIF(Summary_Pre!E:E,"="&amp; F116,Summary_Pre!K:K)</f>
        <v>0</v>
      </c>
      <c r="N116" s="285">
        <f>SUMIF(Summary_Pre!E:E,"="&amp;F116,Summary_Pre!C:C)</f>
        <v>0</v>
      </c>
      <c r="O116" s="266">
        <f t="shared" si="8"/>
        <v>0</v>
      </c>
      <c r="P116" s="3"/>
      <c r="Q116" s="3"/>
      <c r="R116" s="3"/>
      <c r="S116" s="3"/>
      <c r="T116" s="3"/>
      <c r="U116" s="3"/>
      <c r="V116" s="3"/>
      <c r="W116" s="2"/>
      <c r="X116" s="281" t="e">
        <f t="shared" si="5"/>
        <v>#N/A</v>
      </c>
      <c r="Y116" s="279" t="e">
        <f t="shared" si="6"/>
        <v>#N/A</v>
      </c>
    </row>
    <row r="117" spans="1:25">
      <c r="A117" s="249" t="e">
        <f>IF(D117='Tables &amp; Ranges'!$A$133, 'Tables &amp; Ranges'!$B$133, IF(D117='Tables &amp; Ranges'!$A$134, 'Tables &amp; Ranges'!$B$134, IF(D117='Tables &amp; Ranges'!$A$135, 'Tables &amp; Ranges'!$B$135, IF(D117='Tables &amp; Ranges'!$A$136, 'Tables &amp; Ranges'!$B$136, IF(D117='Tables &amp; Ranges'!$A$99, 'Tables &amp; Ranges'!$B$116, VLOOKUP(X117,'Fixture Table'!$C$3:$M$1785, 10, FALSE))))))</f>
        <v>#N/A</v>
      </c>
      <c r="D117" s="2">
        <f>IFERROR(_xlfn.IFNA(VLOOKUP(F117,Summary_Pre!E:F,2,FALSE),0),0)</f>
        <v>0</v>
      </c>
      <c r="E117" s="249" t="e">
        <f t="shared" si="7"/>
        <v>#N/A</v>
      </c>
      <c r="F117" s="2" t="e">
        <f t="array" ref="F117">INDEX(Summary_Pre!E$4:E$303, MATCH(0, COUNTIF($F$2:F116,Summary_Pre!E$4:E$303), 0))</f>
        <v>#N/A</v>
      </c>
      <c r="G117" s="271" t="e">
        <f>VLOOKUP(X117,Table7[[#All],[FIXTURE CODE]:[WATT/ FIXT]], 6, FALSE)</f>
        <v>#N/A</v>
      </c>
      <c r="H117" s="271" t="e">
        <f>VLOOKUP(Y117,Table7[[#All],[FIXTURE CODE]:[WATT/ FIXT]], 6, FALSE)</f>
        <v>#N/A</v>
      </c>
      <c r="I117" s="272">
        <f>SUMIF(Summary_Pre!E:E,"="&amp;F117,Summary_Pre!D:D)</f>
        <v>0</v>
      </c>
      <c r="J117" s="263">
        <f>SUMIF(Summary_Pre!E:E,"="&amp;F117,Summary_Pre!H:H)</f>
        <v>0</v>
      </c>
      <c r="K117" s="262">
        <f>SUMIF(Summary_Pre!E:E,"="&amp; F117,Summary_Pre!I:I)</f>
        <v>0</v>
      </c>
      <c r="L117" s="3">
        <f>SUMIF(Summary_Pre!E:E,"="&amp; F117,Summary_Pre!J:J)</f>
        <v>0</v>
      </c>
      <c r="M117" s="285">
        <f>SUMIF(Summary_Pre!E:E,"="&amp; F117,Summary_Pre!K:K)</f>
        <v>0</v>
      </c>
      <c r="N117" s="285">
        <f>SUMIF(Summary_Pre!E:E,"="&amp;F117,Summary_Pre!C:C)</f>
        <v>0</v>
      </c>
      <c r="O117" s="266">
        <f t="shared" si="8"/>
        <v>0</v>
      </c>
      <c r="P117" s="3"/>
      <c r="Q117" s="3"/>
      <c r="R117" s="3"/>
      <c r="S117" s="3"/>
      <c r="T117" s="3"/>
      <c r="U117" s="3"/>
      <c r="V117" s="3"/>
      <c r="W117" s="2"/>
      <c r="X117" s="281" t="e">
        <f t="shared" si="5"/>
        <v>#N/A</v>
      </c>
      <c r="Y117" s="279" t="e">
        <f t="shared" si="6"/>
        <v>#N/A</v>
      </c>
    </row>
    <row r="118" spans="1:25">
      <c r="A118" s="249" t="e">
        <f>IF(D118='Tables &amp; Ranges'!$A$133, 'Tables &amp; Ranges'!$B$133, IF(D118='Tables &amp; Ranges'!$A$134, 'Tables &amp; Ranges'!$B$134, IF(D118='Tables &amp; Ranges'!$A$135, 'Tables &amp; Ranges'!$B$135, IF(D118='Tables &amp; Ranges'!$A$136, 'Tables &amp; Ranges'!$B$136, IF(D118='Tables &amp; Ranges'!$A$99, 'Tables &amp; Ranges'!$B$116, VLOOKUP(X118,'Fixture Table'!$C$3:$M$1785, 10, FALSE))))))</f>
        <v>#N/A</v>
      </c>
      <c r="D118" s="2">
        <f>IFERROR(_xlfn.IFNA(VLOOKUP(F118,Summary_Pre!E:F,2,FALSE),0),0)</f>
        <v>0</v>
      </c>
      <c r="E118" s="249" t="e">
        <f t="shared" si="7"/>
        <v>#N/A</v>
      </c>
      <c r="F118" s="2" t="e">
        <f t="array" ref="F118">INDEX(Summary_Pre!E$4:E$303, MATCH(0, COUNTIF($F$2:F117,Summary_Pre!E$4:E$303), 0))</f>
        <v>#N/A</v>
      </c>
      <c r="G118" s="271" t="e">
        <f>VLOOKUP(X118,Table7[[#All],[FIXTURE CODE]:[WATT/ FIXT]], 6, FALSE)</f>
        <v>#N/A</v>
      </c>
      <c r="H118" s="271" t="e">
        <f>VLOOKUP(Y118,Table7[[#All],[FIXTURE CODE]:[WATT/ FIXT]], 6, FALSE)</f>
        <v>#N/A</v>
      </c>
      <c r="I118" s="272">
        <f>SUMIF(Summary_Pre!E:E,"="&amp;F118,Summary_Pre!D:D)</f>
        <v>0</v>
      </c>
      <c r="J118" s="263">
        <f>SUMIF(Summary_Pre!E:E,"="&amp;F118,Summary_Pre!H:H)</f>
        <v>0</v>
      </c>
      <c r="K118" s="262">
        <f>SUMIF(Summary_Pre!E:E,"="&amp; F118,Summary_Pre!I:I)</f>
        <v>0</v>
      </c>
      <c r="L118" s="3">
        <f>SUMIF(Summary_Pre!E:E,"="&amp; F118,Summary_Pre!J:J)</f>
        <v>0</v>
      </c>
      <c r="M118" s="285">
        <f>SUMIF(Summary_Pre!E:E,"="&amp; F118,Summary_Pre!K:K)</f>
        <v>0</v>
      </c>
      <c r="N118" s="285">
        <f>SUMIF(Summary_Pre!E:E,"="&amp;F118,Summary_Pre!C:C)</f>
        <v>0</v>
      </c>
      <c r="O118" s="266">
        <f t="shared" si="8"/>
        <v>0</v>
      </c>
      <c r="P118" s="3"/>
      <c r="Q118" s="3"/>
      <c r="R118" s="3"/>
      <c r="S118" s="3"/>
      <c r="T118" s="3"/>
      <c r="U118" s="3"/>
      <c r="V118" s="3"/>
      <c r="W118" s="2"/>
      <c r="X118" s="281" t="e">
        <f t="shared" si="5"/>
        <v>#N/A</v>
      </c>
      <c r="Y118" s="279" t="e">
        <f t="shared" si="6"/>
        <v>#N/A</v>
      </c>
    </row>
    <row r="119" spans="1:25">
      <c r="A119" s="249" t="e">
        <f>IF(D119='Tables &amp; Ranges'!$A$133, 'Tables &amp; Ranges'!$B$133, IF(D119='Tables &amp; Ranges'!$A$134, 'Tables &amp; Ranges'!$B$134, IF(D119='Tables &amp; Ranges'!$A$135, 'Tables &amp; Ranges'!$B$135, IF(D119='Tables &amp; Ranges'!$A$136, 'Tables &amp; Ranges'!$B$136, IF(D119='Tables &amp; Ranges'!$A$99, 'Tables &amp; Ranges'!$B$116, VLOOKUP(X119,'Fixture Table'!$C$3:$M$1785, 10, FALSE))))))</f>
        <v>#N/A</v>
      </c>
      <c r="D119" s="2">
        <f>IFERROR(_xlfn.IFNA(VLOOKUP(F119,Summary_Pre!E:F,2,FALSE),0),0)</f>
        <v>0</v>
      </c>
      <c r="E119" s="249" t="e">
        <f t="shared" si="7"/>
        <v>#N/A</v>
      </c>
      <c r="F119" s="2" t="e">
        <f t="array" ref="F119">INDEX(Summary_Pre!E$4:E$303, MATCH(0, COUNTIF($F$2:F118,Summary_Pre!E$4:E$303), 0))</f>
        <v>#N/A</v>
      </c>
      <c r="G119" s="271" t="e">
        <f>VLOOKUP(X119,Table7[[#All],[FIXTURE CODE]:[WATT/ FIXT]], 6, FALSE)</f>
        <v>#N/A</v>
      </c>
      <c r="H119" s="271" t="e">
        <f>VLOOKUP(Y119,Table7[[#All],[FIXTURE CODE]:[WATT/ FIXT]], 6, FALSE)</f>
        <v>#N/A</v>
      </c>
      <c r="I119" s="272">
        <f>SUMIF(Summary_Pre!E:E,"="&amp;F119,Summary_Pre!D:D)</f>
        <v>0</v>
      </c>
      <c r="J119" s="263">
        <f>SUMIF(Summary_Pre!E:E,"="&amp;F119,Summary_Pre!H:H)</f>
        <v>0</v>
      </c>
      <c r="K119" s="262">
        <f>SUMIF(Summary_Pre!E:E,"="&amp; F119,Summary_Pre!I:I)</f>
        <v>0</v>
      </c>
      <c r="L119" s="3">
        <f>SUMIF(Summary_Pre!E:E,"="&amp; F119,Summary_Pre!J:J)</f>
        <v>0</v>
      </c>
      <c r="M119" s="285">
        <f>SUMIF(Summary_Pre!E:E,"="&amp; F119,Summary_Pre!K:K)</f>
        <v>0</v>
      </c>
      <c r="N119" s="285">
        <f>SUMIF(Summary_Pre!E:E,"="&amp;F119,Summary_Pre!C:C)</f>
        <v>0</v>
      </c>
      <c r="O119" s="266">
        <f t="shared" si="8"/>
        <v>0</v>
      </c>
      <c r="P119" s="3"/>
      <c r="Q119" s="3"/>
      <c r="R119" s="3"/>
      <c r="S119" s="3"/>
      <c r="T119" s="3"/>
      <c r="U119" s="3"/>
      <c r="V119" s="3"/>
      <c r="W119" s="2"/>
      <c r="X119" s="281" t="e">
        <f t="shared" si="5"/>
        <v>#N/A</v>
      </c>
      <c r="Y119" s="279" t="e">
        <f t="shared" si="6"/>
        <v>#N/A</v>
      </c>
    </row>
    <row r="120" spans="1:25">
      <c r="A120" s="249" t="e">
        <f>IF(D120='Tables &amp; Ranges'!$A$133, 'Tables &amp; Ranges'!$B$133, IF(D120='Tables &amp; Ranges'!$A$134, 'Tables &amp; Ranges'!$B$134, IF(D120='Tables &amp; Ranges'!$A$135, 'Tables &amp; Ranges'!$B$135, IF(D120='Tables &amp; Ranges'!$A$136, 'Tables &amp; Ranges'!$B$136, IF(D120='Tables &amp; Ranges'!$A$99, 'Tables &amp; Ranges'!$B$116, VLOOKUP(X120,'Fixture Table'!$C$3:$M$1785, 10, FALSE))))))</f>
        <v>#N/A</v>
      </c>
      <c r="D120" s="2">
        <f>IFERROR(_xlfn.IFNA(VLOOKUP(F120,Summary_Pre!E:F,2,FALSE),0),0)</f>
        <v>0</v>
      </c>
      <c r="E120" s="249" t="e">
        <f t="shared" si="7"/>
        <v>#N/A</v>
      </c>
      <c r="F120" s="2" t="e">
        <f t="array" ref="F120">INDEX(Summary_Pre!E$4:E$303, MATCH(0, COUNTIF($F$2:F119,Summary_Pre!E$4:E$303), 0))</f>
        <v>#N/A</v>
      </c>
      <c r="G120" s="271" t="e">
        <f>VLOOKUP(X120,Table7[[#All],[FIXTURE CODE]:[WATT/ FIXT]], 6, FALSE)</f>
        <v>#N/A</v>
      </c>
      <c r="H120" s="271" t="e">
        <f>VLOOKUP(Y120,Table7[[#All],[FIXTURE CODE]:[WATT/ FIXT]], 6, FALSE)</f>
        <v>#N/A</v>
      </c>
      <c r="I120" s="272">
        <f>SUMIF(Summary_Pre!E:E,"="&amp;F120,Summary_Pre!D:D)</f>
        <v>0</v>
      </c>
      <c r="J120" s="263">
        <f>SUMIF(Summary_Pre!E:E,"="&amp;F120,Summary_Pre!H:H)</f>
        <v>0</v>
      </c>
      <c r="K120" s="262">
        <f>SUMIF(Summary_Pre!E:E,"="&amp; F120,Summary_Pre!I:I)</f>
        <v>0</v>
      </c>
      <c r="L120" s="3">
        <f>SUMIF(Summary_Pre!E:E,"="&amp; F120,Summary_Pre!J:J)</f>
        <v>0</v>
      </c>
      <c r="M120" s="285">
        <f>SUMIF(Summary_Pre!E:E,"="&amp; F120,Summary_Pre!K:K)</f>
        <v>0</v>
      </c>
      <c r="N120" s="285">
        <f>SUMIF(Summary_Pre!E:E,"="&amp;F120,Summary_Pre!C:C)</f>
        <v>0</v>
      </c>
      <c r="O120" s="266">
        <f t="shared" si="8"/>
        <v>0</v>
      </c>
      <c r="P120" s="3"/>
      <c r="Q120" s="3"/>
      <c r="R120" s="3"/>
      <c r="S120" s="3"/>
      <c r="T120" s="3"/>
      <c r="U120" s="3"/>
      <c r="V120" s="3"/>
      <c r="W120" s="2"/>
      <c r="X120" s="281" t="e">
        <f t="shared" si="5"/>
        <v>#N/A</v>
      </c>
      <c r="Y120" s="279" t="e">
        <f t="shared" si="6"/>
        <v>#N/A</v>
      </c>
    </row>
    <row r="121" spans="1:25">
      <c r="A121" s="249" t="e">
        <f>IF(D121='Tables &amp; Ranges'!$A$133, 'Tables &amp; Ranges'!$B$133, IF(D121='Tables &amp; Ranges'!$A$134, 'Tables &amp; Ranges'!$B$134, IF(D121='Tables &amp; Ranges'!$A$135, 'Tables &amp; Ranges'!$B$135, IF(D121='Tables &amp; Ranges'!$A$136, 'Tables &amp; Ranges'!$B$136, IF(D121='Tables &amp; Ranges'!$A$99, 'Tables &amp; Ranges'!$B$116, VLOOKUP(X121,'Fixture Table'!$C$3:$M$1785, 10, FALSE))))))</f>
        <v>#N/A</v>
      </c>
      <c r="D121" s="2">
        <f>IFERROR(_xlfn.IFNA(VLOOKUP(F121,Summary_Pre!E:F,2,FALSE),0),0)</f>
        <v>0</v>
      </c>
      <c r="E121" s="249" t="e">
        <f t="shared" si="7"/>
        <v>#N/A</v>
      </c>
      <c r="F121" s="2" t="e">
        <f t="array" ref="F121">INDEX(Summary_Pre!E$4:E$303, MATCH(0, COUNTIF($F$2:F120,Summary_Pre!E$4:E$303), 0))</f>
        <v>#N/A</v>
      </c>
      <c r="G121" s="271" t="e">
        <f>VLOOKUP(X121,Table7[[#All],[FIXTURE CODE]:[WATT/ FIXT]], 6, FALSE)</f>
        <v>#N/A</v>
      </c>
      <c r="H121" s="271" t="e">
        <f>VLOOKUP(Y121,Table7[[#All],[FIXTURE CODE]:[WATT/ FIXT]], 6, FALSE)</f>
        <v>#N/A</v>
      </c>
      <c r="I121" s="272">
        <f>SUMIF(Summary_Pre!E:E,"="&amp;F121,Summary_Pre!D:D)</f>
        <v>0</v>
      </c>
      <c r="J121" s="263">
        <f>SUMIF(Summary_Pre!E:E,"="&amp;F121,Summary_Pre!H:H)</f>
        <v>0</v>
      </c>
      <c r="K121" s="262">
        <f>SUMIF(Summary_Pre!E:E,"="&amp; F121,Summary_Pre!I:I)</f>
        <v>0</v>
      </c>
      <c r="L121" s="3">
        <f>SUMIF(Summary_Pre!E:E,"="&amp; F121,Summary_Pre!J:J)</f>
        <v>0</v>
      </c>
      <c r="M121" s="285">
        <f>SUMIF(Summary_Pre!E:E,"="&amp; F121,Summary_Pre!K:K)</f>
        <v>0</v>
      </c>
      <c r="N121" s="285">
        <f>SUMIF(Summary_Pre!E:E,"="&amp;F121,Summary_Pre!C:C)</f>
        <v>0</v>
      </c>
      <c r="O121" s="266">
        <f t="shared" si="8"/>
        <v>0</v>
      </c>
      <c r="P121" s="3"/>
      <c r="Q121" s="3"/>
      <c r="R121" s="3"/>
      <c r="S121" s="3"/>
      <c r="T121" s="3"/>
      <c r="U121" s="3"/>
      <c r="V121" s="3"/>
      <c r="W121" s="2"/>
      <c r="X121" s="281" t="e">
        <f t="shared" si="5"/>
        <v>#N/A</v>
      </c>
      <c r="Y121" s="279" t="e">
        <f t="shared" si="6"/>
        <v>#N/A</v>
      </c>
    </row>
    <row r="122" spans="1:25">
      <c r="A122" s="249" t="e">
        <f>IF(D122='Tables &amp; Ranges'!$A$133, 'Tables &amp; Ranges'!$B$133, IF(D122='Tables &amp; Ranges'!$A$134, 'Tables &amp; Ranges'!$B$134, IF(D122='Tables &amp; Ranges'!$A$135, 'Tables &amp; Ranges'!$B$135, IF(D122='Tables &amp; Ranges'!$A$136, 'Tables &amp; Ranges'!$B$136, IF(D122='Tables &amp; Ranges'!$A$99, 'Tables &amp; Ranges'!$B$116, VLOOKUP(X122,'Fixture Table'!$C$3:$M$1785, 10, FALSE))))))</f>
        <v>#N/A</v>
      </c>
      <c r="D122" s="2">
        <f>IFERROR(_xlfn.IFNA(VLOOKUP(F122,Summary_Pre!E:F,2,FALSE),0),0)</f>
        <v>0</v>
      </c>
      <c r="E122" s="249" t="e">
        <f t="shared" si="7"/>
        <v>#N/A</v>
      </c>
      <c r="F122" s="2" t="e">
        <f t="array" ref="F122">INDEX(Summary_Pre!E$4:E$303, MATCH(0, COUNTIF($F$2:F121,Summary_Pre!E$4:E$303), 0))</f>
        <v>#N/A</v>
      </c>
      <c r="G122" s="271" t="e">
        <f>VLOOKUP(X122,Table7[[#All],[FIXTURE CODE]:[WATT/ FIXT]], 6, FALSE)</f>
        <v>#N/A</v>
      </c>
      <c r="H122" s="271" t="e">
        <f>VLOOKUP(Y122,Table7[[#All],[FIXTURE CODE]:[WATT/ FIXT]], 6, FALSE)</f>
        <v>#N/A</v>
      </c>
      <c r="I122" s="272">
        <f>SUMIF(Summary_Pre!E:E,"="&amp;F122,Summary_Pre!D:D)</f>
        <v>0</v>
      </c>
      <c r="J122" s="263">
        <f>SUMIF(Summary_Pre!E:E,"="&amp;F122,Summary_Pre!H:H)</f>
        <v>0</v>
      </c>
      <c r="K122" s="262">
        <f>SUMIF(Summary_Pre!E:E,"="&amp; F122,Summary_Pre!I:I)</f>
        <v>0</v>
      </c>
      <c r="L122" s="3">
        <f>SUMIF(Summary_Pre!E:E,"="&amp; F122,Summary_Pre!J:J)</f>
        <v>0</v>
      </c>
      <c r="M122" s="285">
        <f>SUMIF(Summary_Pre!E:E,"="&amp; F122,Summary_Pre!K:K)</f>
        <v>0</v>
      </c>
      <c r="N122" s="285">
        <f>SUMIF(Summary_Pre!E:E,"="&amp;F122,Summary_Pre!C:C)</f>
        <v>0</v>
      </c>
      <c r="O122" s="266">
        <f t="shared" si="8"/>
        <v>0</v>
      </c>
      <c r="P122" s="3"/>
      <c r="Q122" s="3"/>
      <c r="R122" s="3"/>
      <c r="S122" s="3"/>
      <c r="T122" s="3"/>
      <c r="U122" s="3"/>
      <c r="V122" s="3"/>
      <c r="W122" s="2"/>
      <c r="X122" s="281" t="e">
        <f t="shared" si="5"/>
        <v>#N/A</v>
      </c>
      <c r="Y122" s="279" t="e">
        <f t="shared" si="6"/>
        <v>#N/A</v>
      </c>
    </row>
    <row r="123" spans="1:25">
      <c r="A123" s="249" t="e">
        <f>IF(D123='Tables &amp; Ranges'!$A$133, 'Tables &amp; Ranges'!$B$133, IF(D123='Tables &amp; Ranges'!$A$134, 'Tables &amp; Ranges'!$B$134, IF(D123='Tables &amp; Ranges'!$A$135, 'Tables &amp; Ranges'!$B$135, IF(D123='Tables &amp; Ranges'!$A$136, 'Tables &amp; Ranges'!$B$136, IF(D123='Tables &amp; Ranges'!$A$99, 'Tables &amp; Ranges'!$B$116, VLOOKUP(X123,'Fixture Table'!$C$3:$M$1785, 10, FALSE))))))</f>
        <v>#N/A</v>
      </c>
      <c r="D123" s="2">
        <f>IFERROR(_xlfn.IFNA(VLOOKUP(F123,Summary_Pre!E:F,2,FALSE),0),0)</f>
        <v>0</v>
      </c>
      <c r="E123" s="249" t="e">
        <f t="shared" si="7"/>
        <v>#N/A</v>
      </c>
      <c r="F123" s="2" t="e">
        <f t="array" ref="F123">INDEX(Summary_Pre!E$4:E$303, MATCH(0, COUNTIF($F$2:F122,Summary_Pre!E$4:E$303), 0))</f>
        <v>#N/A</v>
      </c>
      <c r="G123" s="271" t="e">
        <f>VLOOKUP(X123,Table7[[#All],[FIXTURE CODE]:[WATT/ FIXT]], 6, FALSE)</f>
        <v>#N/A</v>
      </c>
      <c r="H123" s="271" t="e">
        <f>VLOOKUP(Y123,Table7[[#All],[FIXTURE CODE]:[WATT/ FIXT]], 6, FALSE)</f>
        <v>#N/A</v>
      </c>
      <c r="I123" s="272">
        <f>SUMIF(Summary_Pre!E:E,"="&amp;F123,Summary_Pre!D:D)</f>
        <v>0</v>
      </c>
      <c r="J123" s="263">
        <f>SUMIF(Summary_Pre!E:E,"="&amp;F123,Summary_Pre!H:H)</f>
        <v>0</v>
      </c>
      <c r="K123" s="262">
        <f>SUMIF(Summary_Pre!E:E,"="&amp; F123,Summary_Pre!I:I)</f>
        <v>0</v>
      </c>
      <c r="L123" s="3">
        <f>SUMIF(Summary_Pre!E:E,"="&amp; F123,Summary_Pre!J:J)</f>
        <v>0</v>
      </c>
      <c r="M123" s="285">
        <f>SUMIF(Summary_Pre!E:E,"="&amp; F123,Summary_Pre!K:K)</f>
        <v>0</v>
      </c>
      <c r="N123" s="285">
        <f>SUMIF(Summary_Pre!E:E,"="&amp;F123,Summary_Pre!C:C)</f>
        <v>0</v>
      </c>
      <c r="O123" s="266">
        <f t="shared" si="8"/>
        <v>0</v>
      </c>
      <c r="P123" s="3"/>
      <c r="Q123" s="3"/>
      <c r="R123" s="3"/>
      <c r="S123" s="3"/>
      <c r="T123" s="3"/>
      <c r="U123" s="3"/>
      <c r="V123" s="3"/>
      <c r="W123" s="2"/>
      <c r="X123" s="281" t="e">
        <f t="shared" si="5"/>
        <v>#N/A</v>
      </c>
      <c r="Y123" s="279" t="e">
        <f t="shared" si="6"/>
        <v>#N/A</v>
      </c>
    </row>
    <row r="124" spans="1:25">
      <c r="A124" s="249" t="e">
        <f>IF(D124='Tables &amp; Ranges'!$A$133, 'Tables &amp; Ranges'!$B$133, IF(D124='Tables &amp; Ranges'!$A$134, 'Tables &amp; Ranges'!$B$134, IF(D124='Tables &amp; Ranges'!$A$135, 'Tables &amp; Ranges'!$B$135, IF(D124='Tables &amp; Ranges'!$A$136, 'Tables &amp; Ranges'!$B$136, IF(D124='Tables &amp; Ranges'!$A$99, 'Tables &amp; Ranges'!$B$116, VLOOKUP(X124,'Fixture Table'!$C$3:$M$1785, 10, FALSE))))))</f>
        <v>#N/A</v>
      </c>
      <c r="D124" s="2">
        <f>IFERROR(_xlfn.IFNA(VLOOKUP(F124,Summary_Pre!E:F,2,FALSE),0),0)</f>
        <v>0</v>
      </c>
      <c r="E124" s="249" t="e">
        <f t="shared" si="7"/>
        <v>#N/A</v>
      </c>
      <c r="F124" s="2" t="e">
        <f t="array" ref="F124">INDEX(Summary_Pre!E$4:E$303, MATCH(0, COUNTIF($F$2:F123,Summary_Pre!E$4:E$303), 0))</f>
        <v>#N/A</v>
      </c>
      <c r="G124" s="271" t="e">
        <f>VLOOKUP(X124,Table7[[#All],[FIXTURE CODE]:[WATT/ FIXT]], 6, FALSE)</f>
        <v>#N/A</v>
      </c>
      <c r="H124" s="271" t="e">
        <f>VLOOKUP(Y124,Table7[[#All],[FIXTURE CODE]:[WATT/ FIXT]], 6, FALSE)</f>
        <v>#N/A</v>
      </c>
      <c r="I124" s="272">
        <f>SUMIF(Summary_Pre!E:E,"="&amp;F124,Summary_Pre!D:D)</f>
        <v>0</v>
      </c>
      <c r="J124" s="263">
        <f>SUMIF(Summary_Pre!E:E,"="&amp;F124,Summary_Pre!H:H)</f>
        <v>0</v>
      </c>
      <c r="K124" s="262">
        <f>SUMIF(Summary_Pre!E:E,"="&amp; F124,Summary_Pre!I:I)</f>
        <v>0</v>
      </c>
      <c r="L124" s="3">
        <f>SUMIF(Summary_Pre!E:E,"="&amp; F124,Summary_Pre!J:J)</f>
        <v>0</v>
      </c>
      <c r="M124" s="285">
        <f>SUMIF(Summary_Pre!E:E,"="&amp; F124,Summary_Pre!K:K)</f>
        <v>0</v>
      </c>
      <c r="N124" s="285">
        <f>SUMIF(Summary_Pre!E:E,"="&amp;F124,Summary_Pre!C:C)</f>
        <v>0</v>
      </c>
      <c r="O124" s="266">
        <f t="shared" si="8"/>
        <v>0</v>
      </c>
      <c r="P124" s="3"/>
      <c r="Q124" s="3"/>
      <c r="R124" s="3"/>
      <c r="S124" s="3"/>
      <c r="T124" s="3"/>
      <c r="U124" s="3"/>
      <c r="V124" s="3"/>
      <c r="W124" s="2"/>
      <c r="X124" s="281" t="e">
        <f t="shared" si="5"/>
        <v>#N/A</v>
      </c>
      <c r="Y124" s="279" t="e">
        <f t="shared" si="6"/>
        <v>#N/A</v>
      </c>
    </row>
    <row r="125" spans="1:25">
      <c r="A125" s="249" t="e">
        <f>IF(D125='Tables &amp; Ranges'!$A$133, 'Tables &amp; Ranges'!$B$133, IF(D125='Tables &amp; Ranges'!$A$134, 'Tables &amp; Ranges'!$B$134, IF(D125='Tables &amp; Ranges'!$A$135, 'Tables &amp; Ranges'!$B$135, IF(D125='Tables &amp; Ranges'!$A$136, 'Tables &amp; Ranges'!$B$136, IF(D125='Tables &amp; Ranges'!$A$99, 'Tables &amp; Ranges'!$B$116, VLOOKUP(X125,'Fixture Table'!$C$3:$M$1785, 10, FALSE))))))</f>
        <v>#N/A</v>
      </c>
      <c r="D125" s="2">
        <f>IFERROR(_xlfn.IFNA(VLOOKUP(F125,Summary_Pre!E:F,2,FALSE),0),0)</f>
        <v>0</v>
      </c>
      <c r="E125" s="249" t="e">
        <f t="shared" si="7"/>
        <v>#N/A</v>
      </c>
      <c r="F125" s="2" t="e">
        <f t="array" ref="F125">INDEX(Summary_Pre!E$4:E$303, MATCH(0, COUNTIF($F$2:F124,Summary_Pre!E$4:E$303), 0))</f>
        <v>#N/A</v>
      </c>
      <c r="G125" s="271" t="e">
        <f>VLOOKUP(X125,Table7[[#All],[FIXTURE CODE]:[WATT/ FIXT]], 6, FALSE)</f>
        <v>#N/A</v>
      </c>
      <c r="H125" s="271" t="e">
        <f>VLOOKUP(Y125,Table7[[#All],[FIXTURE CODE]:[WATT/ FIXT]], 6, FALSE)</f>
        <v>#N/A</v>
      </c>
      <c r="I125" s="272">
        <f>SUMIF(Summary_Pre!E:E,"="&amp;F125,Summary_Pre!D:D)</f>
        <v>0</v>
      </c>
      <c r="J125" s="263">
        <f>SUMIF(Summary_Pre!E:E,"="&amp;F125,Summary_Pre!H:H)</f>
        <v>0</v>
      </c>
      <c r="K125" s="262">
        <f>SUMIF(Summary_Pre!E:E,"="&amp; F125,Summary_Pre!I:I)</f>
        <v>0</v>
      </c>
      <c r="L125" s="3">
        <f>SUMIF(Summary_Pre!E:E,"="&amp; F125,Summary_Pre!J:J)</f>
        <v>0</v>
      </c>
      <c r="M125" s="285">
        <f>SUMIF(Summary_Pre!E:E,"="&amp; F125,Summary_Pre!K:K)</f>
        <v>0</v>
      </c>
      <c r="N125" s="285">
        <f>SUMIF(Summary_Pre!E:E,"="&amp;F125,Summary_Pre!C:C)</f>
        <v>0</v>
      </c>
      <c r="O125" s="266">
        <f t="shared" si="8"/>
        <v>0</v>
      </c>
      <c r="P125" s="3"/>
      <c r="Q125" s="3"/>
      <c r="R125" s="3"/>
      <c r="S125" s="3"/>
      <c r="T125" s="3"/>
      <c r="U125" s="3"/>
      <c r="V125" s="3"/>
      <c r="W125" s="2"/>
      <c r="X125" s="281" t="e">
        <f t="shared" si="5"/>
        <v>#N/A</v>
      </c>
      <c r="Y125" s="279" t="e">
        <f t="shared" si="6"/>
        <v>#N/A</v>
      </c>
    </row>
    <row r="126" spans="1:25">
      <c r="A126" s="249" t="e">
        <f>IF(D126='Tables &amp; Ranges'!$A$133, 'Tables &amp; Ranges'!$B$133, IF(D126='Tables &amp; Ranges'!$A$134, 'Tables &amp; Ranges'!$B$134, IF(D126='Tables &amp; Ranges'!$A$135, 'Tables &amp; Ranges'!$B$135, IF(D126='Tables &amp; Ranges'!$A$136, 'Tables &amp; Ranges'!$B$136, IF(D126='Tables &amp; Ranges'!$A$99, 'Tables &amp; Ranges'!$B$116, VLOOKUP(X126,'Fixture Table'!$C$3:$M$1785, 10, FALSE))))))</f>
        <v>#N/A</v>
      </c>
      <c r="D126" s="2">
        <f>IFERROR(_xlfn.IFNA(VLOOKUP(F126,Summary_Pre!E:F,2,FALSE),0),0)</f>
        <v>0</v>
      </c>
      <c r="E126" s="249" t="e">
        <f t="shared" si="7"/>
        <v>#N/A</v>
      </c>
      <c r="F126" s="2" t="e">
        <f t="array" ref="F126">INDEX(Summary_Pre!E$4:E$303, MATCH(0, COUNTIF($F$2:F125,Summary_Pre!E$4:E$303), 0))</f>
        <v>#N/A</v>
      </c>
      <c r="G126" s="271" t="e">
        <f>VLOOKUP(X126,Table7[[#All],[FIXTURE CODE]:[WATT/ FIXT]], 6, FALSE)</f>
        <v>#N/A</v>
      </c>
      <c r="H126" s="271" t="e">
        <f>VLOOKUP(Y126,Table7[[#All],[FIXTURE CODE]:[WATT/ FIXT]], 6, FALSE)</f>
        <v>#N/A</v>
      </c>
      <c r="I126" s="272">
        <f>SUMIF(Summary_Pre!E:E,"="&amp;F126,Summary_Pre!D:D)</f>
        <v>0</v>
      </c>
      <c r="J126" s="263">
        <f>SUMIF(Summary_Pre!E:E,"="&amp;F126,Summary_Pre!H:H)</f>
        <v>0</v>
      </c>
      <c r="K126" s="262">
        <f>SUMIF(Summary_Pre!E:E,"="&amp; F126,Summary_Pre!I:I)</f>
        <v>0</v>
      </c>
      <c r="L126" s="3">
        <f>SUMIF(Summary_Pre!E:E,"="&amp; F126,Summary_Pre!J:J)</f>
        <v>0</v>
      </c>
      <c r="M126" s="285">
        <f>SUMIF(Summary_Pre!E:E,"="&amp; F126,Summary_Pre!K:K)</f>
        <v>0</v>
      </c>
      <c r="N126" s="285">
        <f>SUMIF(Summary_Pre!E:E,"="&amp;F126,Summary_Pre!C:C)</f>
        <v>0</v>
      </c>
      <c r="O126" s="266">
        <f t="shared" si="8"/>
        <v>0</v>
      </c>
      <c r="P126" s="3"/>
      <c r="Q126" s="3"/>
      <c r="R126" s="3"/>
      <c r="S126" s="3"/>
      <c r="T126" s="3"/>
      <c r="U126" s="3"/>
      <c r="V126" s="3"/>
      <c r="W126" s="2"/>
      <c r="X126" s="281" t="e">
        <f t="shared" si="5"/>
        <v>#N/A</v>
      </c>
      <c r="Y126" s="279" t="e">
        <f t="shared" si="6"/>
        <v>#N/A</v>
      </c>
    </row>
    <row r="127" spans="1:25">
      <c r="A127" s="249" t="e">
        <f>IF(D127='Tables &amp; Ranges'!$A$133, 'Tables &amp; Ranges'!$B$133, IF(D127='Tables &amp; Ranges'!$A$134, 'Tables &amp; Ranges'!$B$134, IF(D127='Tables &amp; Ranges'!$A$135, 'Tables &amp; Ranges'!$B$135, IF(D127='Tables &amp; Ranges'!$A$136, 'Tables &amp; Ranges'!$B$136, IF(D127='Tables &amp; Ranges'!$A$99, 'Tables &amp; Ranges'!$B$116, VLOOKUP(X127,'Fixture Table'!$C$3:$M$1785, 10, FALSE))))))</f>
        <v>#N/A</v>
      </c>
      <c r="D127" s="2">
        <f>IFERROR(_xlfn.IFNA(VLOOKUP(F127,Summary_Pre!E:F,2,FALSE),0),0)</f>
        <v>0</v>
      </c>
      <c r="E127" s="249" t="e">
        <f t="shared" si="7"/>
        <v>#N/A</v>
      </c>
      <c r="F127" s="2" t="e">
        <f t="array" ref="F127">INDEX(Summary_Pre!E$4:E$303, MATCH(0, COUNTIF($F$2:F126,Summary_Pre!E$4:E$303), 0))</f>
        <v>#N/A</v>
      </c>
      <c r="G127" s="271" t="e">
        <f>VLOOKUP(X127,Table7[[#All],[FIXTURE CODE]:[WATT/ FIXT]], 6, FALSE)</f>
        <v>#N/A</v>
      </c>
      <c r="H127" s="271" t="e">
        <f>VLOOKUP(Y127,Table7[[#All],[FIXTURE CODE]:[WATT/ FIXT]], 6, FALSE)</f>
        <v>#N/A</v>
      </c>
      <c r="I127" s="272">
        <f>SUMIF(Summary_Pre!E:E,"="&amp;F127,Summary_Pre!D:D)</f>
        <v>0</v>
      </c>
      <c r="J127" s="263">
        <f>SUMIF(Summary_Pre!E:E,"="&amp;F127,Summary_Pre!H:H)</f>
        <v>0</v>
      </c>
      <c r="K127" s="262">
        <f>SUMIF(Summary_Pre!E:E,"="&amp; F127,Summary_Pre!I:I)</f>
        <v>0</v>
      </c>
      <c r="L127" s="3">
        <f>SUMIF(Summary_Pre!E:E,"="&amp; F127,Summary_Pre!J:J)</f>
        <v>0</v>
      </c>
      <c r="M127" s="285">
        <f>SUMIF(Summary_Pre!E:E,"="&amp; F127,Summary_Pre!K:K)</f>
        <v>0</v>
      </c>
      <c r="N127" s="285">
        <f>SUMIF(Summary_Pre!E:E,"="&amp;F127,Summary_Pre!C:C)</f>
        <v>0</v>
      </c>
      <c r="O127" s="266">
        <f t="shared" si="8"/>
        <v>0</v>
      </c>
      <c r="P127" s="3"/>
      <c r="Q127" s="3"/>
      <c r="R127" s="3"/>
      <c r="S127" s="3"/>
      <c r="T127" s="3"/>
      <c r="U127" s="3"/>
      <c r="V127" s="3"/>
      <c r="W127" s="2"/>
      <c r="X127" s="281" t="e">
        <f t="shared" si="5"/>
        <v>#N/A</v>
      </c>
      <c r="Y127" s="279" t="e">
        <f t="shared" si="6"/>
        <v>#N/A</v>
      </c>
    </row>
    <row r="128" spans="1:25">
      <c r="A128" s="249" t="e">
        <f>IF(D128='Tables &amp; Ranges'!$A$133, 'Tables &amp; Ranges'!$B$133, IF(D128='Tables &amp; Ranges'!$A$134, 'Tables &amp; Ranges'!$B$134, IF(D128='Tables &amp; Ranges'!$A$135, 'Tables &amp; Ranges'!$B$135, IF(D128='Tables &amp; Ranges'!$A$136, 'Tables &amp; Ranges'!$B$136, IF(D128='Tables &amp; Ranges'!$A$99, 'Tables &amp; Ranges'!$B$116, VLOOKUP(X128,'Fixture Table'!$C$3:$M$1785, 10, FALSE))))))</f>
        <v>#N/A</v>
      </c>
      <c r="D128" s="2">
        <f>IFERROR(_xlfn.IFNA(VLOOKUP(F128,Summary_Pre!E:F,2,FALSE),0),0)</f>
        <v>0</v>
      </c>
      <c r="E128" s="249" t="e">
        <f t="shared" si="7"/>
        <v>#N/A</v>
      </c>
      <c r="F128" s="2" t="e">
        <f t="array" ref="F128">INDEX(Summary_Pre!E$4:E$303, MATCH(0, COUNTIF($F$2:F127,Summary_Pre!E$4:E$303), 0))</f>
        <v>#N/A</v>
      </c>
      <c r="G128" s="271" t="e">
        <f>VLOOKUP(X128,Table7[[#All],[FIXTURE CODE]:[WATT/ FIXT]], 6, FALSE)</f>
        <v>#N/A</v>
      </c>
      <c r="H128" s="271" t="e">
        <f>VLOOKUP(Y128,Table7[[#All],[FIXTURE CODE]:[WATT/ FIXT]], 6, FALSE)</f>
        <v>#N/A</v>
      </c>
      <c r="I128" s="272">
        <f>SUMIF(Summary_Pre!E:E,"="&amp;F128,Summary_Pre!D:D)</f>
        <v>0</v>
      </c>
      <c r="J128" s="263">
        <f>SUMIF(Summary_Pre!E:E,"="&amp;F128,Summary_Pre!H:H)</f>
        <v>0</v>
      </c>
      <c r="K128" s="262">
        <f>SUMIF(Summary_Pre!E:E,"="&amp; F128,Summary_Pre!I:I)</f>
        <v>0</v>
      </c>
      <c r="L128" s="3">
        <f>SUMIF(Summary_Pre!E:E,"="&amp; F128,Summary_Pre!J:J)</f>
        <v>0</v>
      </c>
      <c r="M128" s="285">
        <f>SUMIF(Summary_Pre!E:E,"="&amp; F128,Summary_Pre!K:K)</f>
        <v>0</v>
      </c>
      <c r="N128" s="285">
        <f>SUMIF(Summary_Pre!E:E,"="&amp;F128,Summary_Pre!C:C)</f>
        <v>0</v>
      </c>
      <c r="O128" s="266">
        <f t="shared" si="8"/>
        <v>0</v>
      </c>
      <c r="P128" s="3"/>
      <c r="Q128" s="3"/>
      <c r="R128" s="3"/>
      <c r="S128" s="3"/>
      <c r="T128" s="3"/>
      <c r="U128" s="3"/>
      <c r="V128" s="3"/>
      <c r="W128" s="2"/>
      <c r="X128" s="281" t="e">
        <f t="shared" si="5"/>
        <v>#N/A</v>
      </c>
      <c r="Y128" s="279" t="e">
        <f t="shared" si="6"/>
        <v>#N/A</v>
      </c>
    </row>
    <row r="129" spans="1:25">
      <c r="A129" s="249" t="e">
        <f>IF(D129='Tables &amp; Ranges'!$A$133, 'Tables &amp; Ranges'!$B$133, IF(D129='Tables &amp; Ranges'!$A$134, 'Tables &amp; Ranges'!$B$134, IF(D129='Tables &amp; Ranges'!$A$135, 'Tables &amp; Ranges'!$B$135, IF(D129='Tables &amp; Ranges'!$A$136, 'Tables &amp; Ranges'!$B$136, IF(D129='Tables &amp; Ranges'!$A$99, 'Tables &amp; Ranges'!$B$116, VLOOKUP(X129,'Fixture Table'!$C$3:$M$1785, 10, FALSE))))))</f>
        <v>#N/A</v>
      </c>
      <c r="D129" s="2">
        <f>IFERROR(_xlfn.IFNA(VLOOKUP(F129,Summary_Pre!E:F,2,FALSE),0),0)</f>
        <v>0</v>
      </c>
      <c r="E129" s="249" t="e">
        <f t="shared" si="7"/>
        <v>#N/A</v>
      </c>
      <c r="F129" s="2" t="e">
        <f t="array" ref="F129">INDEX(Summary_Pre!E$4:E$303, MATCH(0, COUNTIF($F$2:F128,Summary_Pre!E$4:E$303), 0))</f>
        <v>#N/A</v>
      </c>
      <c r="G129" s="271" t="e">
        <f>VLOOKUP(X129,Table7[[#All],[FIXTURE CODE]:[WATT/ FIXT]], 6, FALSE)</f>
        <v>#N/A</v>
      </c>
      <c r="H129" s="271" t="e">
        <f>VLOOKUP(Y129,Table7[[#All],[FIXTURE CODE]:[WATT/ FIXT]], 6, FALSE)</f>
        <v>#N/A</v>
      </c>
      <c r="I129" s="272">
        <f>SUMIF(Summary_Pre!E:E,"="&amp;F129,Summary_Pre!D:D)</f>
        <v>0</v>
      </c>
      <c r="J129" s="263">
        <f>SUMIF(Summary_Pre!E:E,"="&amp;F129,Summary_Pre!H:H)</f>
        <v>0</v>
      </c>
      <c r="K129" s="262">
        <f>SUMIF(Summary_Pre!E:E,"="&amp; F129,Summary_Pre!I:I)</f>
        <v>0</v>
      </c>
      <c r="L129" s="3">
        <f>SUMIF(Summary_Pre!E:E,"="&amp; F129,Summary_Pre!J:J)</f>
        <v>0</v>
      </c>
      <c r="M129" s="285">
        <f>SUMIF(Summary_Pre!E:E,"="&amp; F129,Summary_Pre!K:K)</f>
        <v>0</v>
      </c>
      <c r="N129" s="285">
        <f>SUMIF(Summary_Pre!E:E,"="&amp;F129,Summary_Pre!C:C)</f>
        <v>0</v>
      </c>
      <c r="O129" s="266">
        <f t="shared" si="8"/>
        <v>0</v>
      </c>
      <c r="P129" s="3"/>
      <c r="Q129" s="3"/>
      <c r="R129" s="3"/>
      <c r="S129" s="3"/>
      <c r="T129" s="3"/>
      <c r="U129" s="3"/>
      <c r="V129" s="3"/>
      <c r="W129" s="2"/>
      <c r="X129" s="281" t="e">
        <f t="shared" si="5"/>
        <v>#N/A</v>
      </c>
      <c r="Y129" s="279" t="e">
        <f t="shared" si="6"/>
        <v>#N/A</v>
      </c>
    </row>
    <row r="130" spans="1:25">
      <c r="A130" s="249" t="e">
        <f>IF(D130='Tables &amp; Ranges'!$A$133, 'Tables &amp; Ranges'!$B$133, IF(D130='Tables &amp; Ranges'!$A$134, 'Tables &amp; Ranges'!$B$134, IF(D130='Tables &amp; Ranges'!$A$135, 'Tables &amp; Ranges'!$B$135, IF(D130='Tables &amp; Ranges'!$A$136, 'Tables &amp; Ranges'!$B$136, IF(D130='Tables &amp; Ranges'!$A$99, 'Tables &amp; Ranges'!$B$116, VLOOKUP(X130,'Fixture Table'!$C$3:$M$1785, 10, FALSE))))))</f>
        <v>#N/A</v>
      </c>
      <c r="D130" s="2">
        <f>IFERROR(_xlfn.IFNA(VLOOKUP(F130,Summary_Pre!E:F,2,FALSE),0),0)</f>
        <v>0</v>
      </c>
      <c r="E130" s="249" t="e">
        <f t="shared" si="7"/>
        <v>#N/A</v>
      </c>
      <c r="F130" s="2" t="e">
        <f t="array" ref="F130">INDEX(Summary_Pre!E$4:E$303, MATCH(0, COUNTIF($F$2:F129,Summary_Pre!E$4:E$303), 0))</f>
        <v>#N/A</v>
      </c>
      <c r="G130" s="271" t="e">
        <f>VLOOKUP(X130,Table7[[#All],[FIXTURE CODE]:[WATT/ FIXT]], 6, FALSE)</f>
        <v>#N/A</v>
      </c>
      <c r="H130" s="271" t="e">
        <f>VLOOKUP(Y130,Table7[[#All],[FIXTURE CODE]:[WATT/ FIXT]], 6, FALSE)</f>
        <v>#N/A</v>
      </c>
      <c r="I130" s="272">
        <f>SUMIF(Summary_Pre!E:E,"="&amp;F130,Summary_Pre!D:D)</f>
        <v>0</v>
      </c>
      <c r="J130" s="263">
        <f>SUMIF(Summary_Pre!E:E,"="&amp;F130,Summary_Pre!H:H)</f>
        <v>0</v>
      </c>
      <c r="K130" s="262">
        <f>SUMIF(Summary_Pre!E:E,"="&amp; F130,Summary_Pre!I:I)</f>
        <v>0</v>
      </c>
      <c r="L130" s="3">
        <f>SUMIF(Summary_Pre!E:E,"="&amp; F130,Summary_Pre!J:J)</f>
        <v>0</v>
      </c>
      <c r="M130" s="285">
        <f>SUMIF(Summary_Pre!E:E,"="&amp; F130,Summary_Pre!K:K)</f>
        <v>0</v>
      </c>
      <c r="N130" s="285">
        <f>SUMIF(Summary_Pre!E:E,"="&amp;F130,Summary_Pre!C:C)</f>
        <v>0</v>
      </c>
      <c r="O130" s="266">
        <f t="shared" si="8"/>
        <v>0</v>
      </c>
      <c r="P130" s="3"/>
      <c r="Q130" s="3"/>
      <c r="R130" s="3"/>
      <c r="S130" s="3"/>
      <c r="T130" s="3"/>
      <c r="U130" s="3"/>
      <c r="V130" s="3"/>
      <c r="W130" s="2"/>
      <c r="X130" s="281" t="e">
        <f t="shared" si="5"/>
        <v>#N/A</v>
      </c>
      <c r="Y130" s="279" t="e">
        <f t="shared" si="6"/>
        <v>#N/A</v>
      </c>
    </row>
    <row r="131" spans="1:25">
      <c r="A131" s="249" t="e">
        <f>IF(D131='Tables &amp; Ranges'!$A$133, 'Tables &amp; Ranges'!$B$133, IF(D131='Tables &amp; Ranges'!$A$134, 'Tables &amp; Ranges'!$B$134, IF(D131='Tables &amp; Ranges'!$A$135, 'Tables &amp; Ranges'!$B$135, IF(D131='Tables &amp; Ranges'!$A$136, 'Tables &amp; Ranges'!$B$136, IF(D131='Tables &amp; Ranges'!$A$99, 'Tables &amp; Ranges'!$B$116, VLOOKUP(X131,'Fixture Table'!$C$3:$M$1785, 10, FALSE))))))</f>
        <v>#N/A</v>
      </c>
      <c r="D131" s="2">
        <f>IFERROR(_xlfn.IFNA(VLOOKUP(F131,Summary_Pre!E:F,2,FALSE),0),0)</f>
        <v>0</v>
      </c>
      <c r="E131" s="249" t="e">
        <f t="shared" si="7"/>
        <v>#N/A</v>
      </c>
      <c r="F131" s="2" t="e">
        <f t="array" ref="F131">INDEX(Summary_Pre!E$4:E$303, MATCH(0, COUNTIF($F$2:F130,Summary_Pre!E$4:E$303), 0))</f>
        <v>#N/A</v>
      </c>
      <c r="G131" s="271" t="e">
        <f>VLOOKUP(X131,Table7[[#All],[FIXTURE CODE]:[WATT/ FIXT]], 6, FALSE)</f>
        <v>#N/A</v>
      </c>
      <c r="H131" s="271" t="e">
        <f>VLOOKUP(Y131,Table7[[#All],[FIXTURE CODE]:[WATT/ FIXT]], 6, FALSE)</f>
        <v>#N/A</v>
      </c>
      <c r="I131" s="272">
        <f>SUMIF(Summary_Pre!E:E,"="&amp;F131,Summary_Pre!D:D)</f>
        <v>0</v>
      </c>
      <c r="J131" s="263">
        <f>SUMIF(Summary_Pre!E:E,"="&amp;F131,Summary_Pre!H:H)</f>
        <v>0</v>
      </c>
      <c r="K131" s="262">
        <f>SUMIF(Summary_Pre!E:E,"="&amp; F131,Summary_Pre!I:I)</f>
        <v>0</v>
      </c>
      <c r="L131" s="3">
        <f>SUMIF(Summary_Pre!E:E,"="&amp; F131,Summary_Pre!J:J)</f>
        <v>0</v>
      </c>
      <c r="M131" s="285">
        <f>SUMIF(Summary_Pre!E:E,"="&amp; F131,Summary_Pre!K:K)</f>
        <v>0</v>
      </c>
      <c r="N131" s="285">
        <f>SUMIF(Summary_Pre!E:E,"="&amp;F131,Summary_Pre!C:C)</f>
        <v>0</v>
      </c>
      <c r="O131" s="266">
        <f t="shared" si="8"/>
        <v>0</v>
      </c>
      <c r="P131" s="3"/>
      <c r="Q131" s="3"/>
      <c r="R131" s="3"/>
      <c r="S131" s="3"/>
      <c r="T131" s="3"/>
      <c r="U131" s="3"/>
      <c r="V131" s="3"/>
      <c r="W131" s="2"/>
      <c r="X131" s="281" t="e">
        <f t="shared" ref="X131:X194" si="9">TRIM(MID(SUBSTITUTE(F131," ", REPT(" ",LEN(F131))), (2-1)*LEN(F131)+1,LEN(F131)))</f>
        <v>#N/A</v>
      </c>
      <c r="Y131" s="279" t="e">
        <f t="shared" ref="Y131:Y194" si="10">TRIM(MID(SUBSTITUTE(F131," ", REPT(" ",LEN(F131))), (4-1)*LEN(F131)+1,LEN(F131)))</f>
        <v>#N/A</v>
      </c>
    </row>
    <row r="132" spans="1:25">
      <c r="A132" s="249" t="e">
        <f>IF(D132='Tables &amp; Ranges'!$A$133, 'Tables &amp; Ranges'!$B$133, IF(D132='Tables &amp; Ranges'!$A$134, 'Tables &amp; Ranges'!$B$134, IF(D132='Tables &amp; Ranges'!$A$135, 'Tables &amp; Ranges'!$B$135, IF(D132='Tables &amp; Ranges'!$A$136, 'Tables &amp; Ranges'!$B$136, IF(D132='Tables &amp; Ranges'!$A$99, 'Tables &amp; Ranges'!$B$116, VLOOKUP(X132,'Fixture Table'!$C$3:$M$1785, 10, FALSE))))))</f>
        <v>#N/A</v>
      </c>
      <c r="D132" s="2">
        <f>IFERROR(_xlfn.IFNA(VLOOKUP(F132,Summary_Pre!E:F,2,FALSE),0),0)</f>
        <v>0</v>
      </c>
      <c r="E132" s="249" t="e">
        <f t="shared" ref="E132:E195" si="11">REPLACE(F132,1,8,"")</f>
        <v>#N/A</v>
      </c>
      <c r="F132" s="2" t="e">
        <f t="array" ref="F132">INDEX(Summary_Pre!E$4:E$303, MATCH(0, COUNTIF($F$2:F131,Summary_Pre!E$4:E$303), 0))</f>
        <v>#N/A</v>
      </c>
      <c r="G132" s="271" t="e">
        <f>VLOOKUP(X132,Table7[[#All],[FIXTURE CODE]:[WATT/ FIXT]], 6, FALSE)</f>
        <v>#N/A</v>
      </c>
      <c r="H132" s="271" t="e">
        <f>VLOOKUP(Y132,Table7[[#All],[FIXTURE CODE]:[WATT/ FIXT]], 6, FALSE)</f>
        <v>#N/A</v>
      </c>
      <c r="I132" s="272">
        <f>SUMIF(Summary_Pre!E:E,"="&amp;F132,Summary_Pre!D:D)</f>
        <v>0</v>
      </c>
      <c r="J132" s="263">
        <f>SUMIF(Summary_Pre!E:E,"="&amp;F132,Summary_Pre!H:H)</f>
        <v>0</v>
      </c>
      <c r="K132" s="262">
        <f>SUMIF(Summary_Pre!E:E,"="&amp; F132,Summary_Pre!I:I)</f>
        <v>0</v>
      </c>
      <c r="L132" s="3">
        <f>SUMIF(Summary_Pre!E:E,"="&amp; F132,Summary_Pre!J:J)</f>
        <v>0</v>
      </c>
      <c r="M132" s="285">
        <f>SUMIF(Summary_Pre!E:E,"="&amp; F132,Summary_Pre!K:K)</f>
        <v>0</v>
      </c>
      <c r="N132" s="285">
        <f>SUMIF(Summary_Pre!E:E,"="&amp;F132,Summary_Pre!C:C)</f>
        <v>0</v>
      </c>
      <c r="O132" s="266">
        <f t="shared" ref="O132:O195" si="12">IF(L132&lt;&gt;0,(N132-M132)/L132,0)</f>
        <v>0</v>
      </c>
      <c r="P132" s="3"/>
      <c r="Q132" s="3"/>
      <c r="R132" s="3"/>
      <c r="S132" s="3"/>
      <c r="T132" s="3"/>
      <c r="U132" s="3"/>
      <c r="V132" s="3"/>
      <c r="W132" s="2"/>
      <c r="X132" s="281" t="e">
        <f t="shared" si="9"/>
        <v>#N/A</v>
      </c>
      <c r="Y132" s="279" t="e">
        <f t="shared" si="10"/>
        <v>#N/A</v>
      </c>
    </row>
    <row r="133" spans="1:25">
      <c r="A133" s="249" t="e">
        <f>IF(D133='Tables &amp; Ranges'!$A$133, 'Tables &amp; Ranges'!$B$133, IF(D133='Tables &amp; Ranges'!$A$134, 'Tables &amp; Ranges'!$B$134, IF(D133='Tables &amp; Ranges'!$A$135, 'Tables &amp; Ranges'!$B$135, IF(D133='Tables &amp; Ranges'!$A$136, 'Tables &amp; Ranges'!$B$136, IF(D133='Tables &amp; Ranges'!$A$99, 'Tables &amp; Ranges'!$B$116, VLOOKUP(X133,'Fixture Table'!$C$3:$M$1785, 10, FALSE))))))</f>
        <v>#N/A</v>
      </c>
      <c r="D133" s="2">
        <f>IFERROR(_xlfn.IFNA(VLOOKUP(F133,Summary_Pre!E:F,2,FALSE),0),0)</f>
        <v>0</v>
      </c>
      <c r="E133" s="249" t="e">
        <f t="shared" si="11"/>
        <v>#N/A</v>
      </c>
      <c r="F133" s="2" t="e">
        <f t="array" ref="F133">INDEX(Summary_Pre!E$4:E$303, MATCH(0, COUNTIF($F$2:F132,Summary_Pre!E$4:E$303), 0))</f>
        <v>#N/A</v>
      </c>
      <c r="G133" s="271" t="e">
        <f>VLOOKUP(X133,Table7[[#All],[FIXTURE CODE]:[WATT/ FIXT]], 6, FALSE)</f>
        <v>#N/A</v>
      </c>
      <c r="H133" s="271" t="e">
        <f>VLOOKUP(Y133,Table7[[#All],[FIXTURE CODE]:[WATT/ FIXT]], 6, FALSE)</f>
        <v>#N/A</v>
      </c>
      <c r="I133" s="272">
        <f>SUMIF(Summary_Pre!E:E,"="&amp;F133,Summary_Pre!D:D)</f>
        <v>0</v>
      </c>
      <c r="J133" s="263">
        <f>SUMIF(Summary_Pre!E:E,"="&amp;F133,Summary_Pre!H:H)</f>
        <v>0</v>
      </c>
      <c r="K133" s="262">
        <f>SUMIF(Summary_Pre!E:E,"="&amp; F133,Summary_Pre!I:I)</f>
        <v>0</v>
      </c>
      <c r="L133" s="3">
        <f>SUMIF(Summary_Pre!E:E,"="&amp; F133,Summary_Pre!J:J)</f>
        <v>0</v>
      </c>
      <c r="M133" s="285">
        <f>SUMIF(Summary_Pre!E:E,"="&amp; F133,Summary_Pre!K:K)</f>
        <v>0</v>
      </c>
      <c r="N133" s="285">
        <f>SUMIF(Summary_Pre!E:E,"="&amp;F133,Summary_Pre!C:C)</f>
        <v>0</v>
      </c>
      <c r="O133" s="266">
        <f t="shared" si="12"/>
        <v>0</v>
      </c>
      <c r="P133" s="3"/>
      <c r="Q133" s="3"/>
      <c r="R133" s="3"/>
      <c r="S133" s="3"/>
      <c r="T133" s="3"/>
      <c r="U133" s="3"/>
      <c r="V133" s="3"/>
      <c r="W133" s="2"/>
      <c r="X133" s="281" t="e">
        <f t="shared" si="9"/>
        <v>#N/A</v>
      </c>
      <c r="Y133" s="279" t="e">
        <f t="shared" si="10"/>
        <v>#N/A</v>
      </c>
    </row>
    <row r="134" spans="1:25">
      <c r="A134" s="249" t="e">
        <f>IF(D134='Tables &amp; Ranges'!$A$133, 'Tables &amp; Ranges'!$B$133, IF(D134='Tables &amp; Ranges'!$A$134, 'Tables &amp; Ranges'!$B$134, IF(D134='Tables &amp; Ranges'!$A$135, 'Tables &amp; Ranges'!$B$135, IF(D134='Tables &amp; Ranges'!$A$136, 'Tables &amp; Ranges'!$B$136, IF(D134='Tables &amp; Ranges'!$A$99, 'Tables &amp; Ranges'!$B$116, VLOOKUP(X134,'Fixture Table'!$C$3:$M$1785, 10, FALSE))))))</f>
        <v>#N/A</v>
      </c>
      <c r="D134" s="2">
        <f>IFERROR(_xlfn.IFNA(VLOOKUP(F134,Summary_Pre!E:F,2,FALSE),0),0)</f>
        <v>0</v>
      </c>
      <c r="E134" s="249" t="e">
        <f t="shared" si="11"/>
        <v>#N/A</v>
      </c>
      <c r="F134" s="2" t="e">
        <f t="array" ref="F134">INDEX(Summary_Pre!E$4:E$303, MATCH(0, COUNTIF($F$2:F133,Summary_Pre!E$4:E$303), 0))</f>
        <v>#N/A</v>
      </c>
      <c r="G134" s="271" t="e">
        <f>VLOOKUP(X134,Table7[[#All],[FIXTURE CODE]:[WATT/ FIXT]], 6, FALSE)</f>
        <v>#N/A</v>
      </c>
      <c r="H134" s="271" t="e">
        <f>VLOOKUP(Y134,Table7[[#All],[FIXTURE CODE]:[WATT/ FIXT]], 6, FALSE)</f>
        <v>#N/A</v>
      </c>
      <c r="I134" s="272">
        <f>SUMIF(Summary_Pre!E:E,"="&amp;F134,Summary_Pre!D:D)</f>
        <v>0</v>
      </c>
      <c r="J134" s="263">
        <f>SUMIF(Summary_Pre!E:E,"="&amp;F134,Summary_Pre!H:H)</f>
        <v>0</v>
      </c>
      <c r="K134" s="262">
        <f>SUMIF(Summary_Pre!E:E,"="&amp; F134,Summary_Pre!I:I)</f>
        <v>0</v>
      </c>
      <c r="L134" s="3">
        <f>SUMIF(Summary_Pre!E:E,"="&amp; F134,Summary_Pre!J:J)</f>
        <v>0</v>
      </c>
      <c r="M134" s="285">
        <f>SUMIF(Summary_Pre!E:E,"="&amp; F134,Summary_Pre!K:K)</f>
        <v>0</v>
      </c>
      <c r="N134" s="285">
        <f>SUMIF(Summary_Pre!E:E,"="&amp;F134,Summary_Pre!C:C)</f>
        <v>0</v>
      </c>
      <c r="O134" s="266">
        <f t="shared" si="12"/>
        <v>0</v>
      </c>
      <c r="P134" s="3"/>
      <c r="Q134" s="3"/>
      <c r="R134" s="3"/>
      <c r="S134" s="3"/>
      <c r="T134" s="3"/>
      <c r="U134" s="3"/>
      <c r="V134" s="3"/>
      <c r="W134" s="2"/>
      <c r="X134" s="281" t="e">
        <f t="shared" si="9"/>
        <v>#N/A</v>
      </c>
      <c r="Y134" s="279" t="e">
        <f t="shared" si="10"/>
        <v>#N/A</v>
      </c>
    </row>
    <row r="135" spans="1:25">
      <c r="A135" s="249" t="e">
        <f>IF(D135='Tables &amp; Ranges'!$A$133, 'Tables &amp; Ranges'!$B$133, IF(D135='Tables &amp; Ranges'!$A$134, 'Tables &amp; Ranges'!$B$134, IF(D135='Tables &amp; Ranges'!$A$135, 'Tables &amp; Ranges'!$B$135, IF(D135='Tables &amp; Ranges'!$A$136, 'Tables &amp; Ranges'!$B$136, IF(D135='Tables &amp; Ranges'!$A$99, 'Tables &amp; Ranges'!$B$116, VLOOKUP(X135,'Fixture Table'!$C$3:$M$1785, 10, FALSE))))))</f>
        <v>#N/A</v>
      </c>
      <c r="D135" s="2">
        <f>IFERROR(_xlfn.IFNA(VLOOKUP(F135,Summary_Pre!E:F,2,FALSE),0),0)</f>
        <v>0</v>
      </c>
      <c r="E135" s="249" t="e">
        <f t="shared" si="11"/>
        <v>#N/A</v>
      </c>
      <c r="F135" s="2" t="e">
        <f t="array" ref="F135">INDEX(Summary_Pre!E$4:E$303, MATCH(0, COUNTIF($F$2:F134,Summary_Pre!E$4:E$303), 0))</f>
        <v>#N/A</v>
      </c>
      <c r="G135" s="271" t="e">
        <f>VLOOKUP(X135,Table7[[#All],[FIXTURE CODE]:[WATT/ FIXT]], 6, FALSE)</f>
        <v>#N/A</v>
      </c>
      <c r="H135" s="271" t="e">
        <f>VLOOKUP(Y135,Table7[[#All],[FIXTURE CODE]:[WATT/ FIXT]], 6, FALSE)</f>
        <v>#N/A</v>
      </c>
      <c r="I135" s="272">
        <f>SUMIF(Summary_Pre!E:E,"="&amp;F135,Summary_Pre!D:D)</f>
        <v>0</v>
      </c>
      <c r="J135" s="263">
        <f>SUMIF(Summary_Pre!E:E,"="&amp;F135,Summary_Pre!H:H)</f>
        <v>0</v>
      </c>
      <c r="K135" s="262">
        <f>SUMIF(Summary_Pre!E:E,"="&amp; F135,Summary_Pre!I:I)</f>
        <v>0</v>
      </c>
      <c r="L135" s="3">
        <f>SUMIF(Summary_Pre!E:E,"="&amp; F135,Summary_Pre!J:J)</f>
        <v>0</v>
      </c>
      <c r="M135" s="285">
        <f>SUMIF(Summary_Pre!E:E,"="&amp; F135,Summary_Pre!K:K)</f>
        <v>0</v>
      </c>
      <c r="N135" s="285">
        <f>SUMIF(Summary_Pre!E:E,"="&amp;F135,Summary_Pre!C:C)</f>
        <v>0</v>
      </c>
      <c r="O135" s="266">
        <f t="shared" si="12"/>
        <v>0</v>
      </c>
      <c r="P135" s="3"/>
      <c r="Q135" s="3"/>
      <c r="R135" s="3"/>
      <c r="S135" s="3"/>
      <c r="T135" s="3"/>
      <c r="U135" s="3"/>
      <c r="V135" s="3"/>
      <c r="W135" s="2"/>
      <c r="X135" s="281" t="e">
        <f t="shared" si="9"/>
        <v>#N/A</v>
      </c>
      <c r="Y135" s="279" t="e">
        <f t="shared" si="10"/>
        <v>#N/A</v>
      </c>
    </row>
    <row r="136" spans="1:25">
      <c r="A136" s="249" t="e">
        <f>IF(D136='Tables &amp; Ranges'!$A$133, 'Tables &amp; Ranges'!$B$133, IF(D136='Tables &amp; Ranges'!$A$134, 'Tables &amp; Ranges'!$B$134, IF(D136='Tables &amp; Ranges'!$A$135, 'Tables &amp; Ranges'!$B$135, IF(D136='Tables &amp; Ranges'!$A$136, 'Tables &amp; Ranges'!$B$136, IF(D136='Tables &amp; Ranges'!$A$99, 'Tables &amp; Ranges'!$B$116, VLOOKUP(X136,'Fixture Table'!$C$3:$M$1785, 10, FALSE))))))</f>
        <v>#N/A</v>
      </c>
      <c r="D136" s="2">
        <f>IFERROR(_xlfn.IFNA(VLOOKUP(F136,Summary_Pre!E:F,2,FALSE),0),0)</f>
        <v>0</v>
      </c>
      <c r="E136" s="249" t="e">
        <f t="shared" si="11"/>
        <v>#N/A</v>
      </c>
      <c r="F136" s="2" t="e">
        <f t="array" ref="F136">INDEX(Summary_Pre!E$4:E$303, MATCH(0, COUNTIF($F$2:F135,Summary_Pre!E$4:E$303), 0))</f>
        <v>#N/A</v>
      </c>
      <c r="G136" s="271" t="e">
        <f>VLOOKUP(X136,Table7[[#All],[FIXTURE CODE]:[WATT/ FIXT]], 6, FALSE)</f>
        <v>#N/A</v>
      </c>
      <c r="H136" s="271" t="e">
        <f>VLOOKUP(Y136,Table7[[#All],[FIXTURE CODE]:[WATT/ FIXT]], 6, FALSE)</f>
        <v>#N/A</v>
      </c>
      <c r="I136" s="272">
        <f>SUMIF(Summary_Pre!E:E,"="&amp;F136,Summary_Pre!D:D)</f>
        <v>0</v>
      </c>
      <c r="J136" s="263">
        <f>SUMIF(Summary_Pre!E:E,"="&amp;F136,Summary_Pre!H:H)</f>
        <v>0</v>
      </c>
      <c r="K136" s="262">
        <f>SUMIF(Summary_Pre!E:E,"="&amp; F136,Summary_Pre!I:I)</f>
        <v>0</v>
      </c>
      <c r="L136" s="3">
        <f>SUMIF(Summary_Pre!E:E,"="&amp; F136,Summary_Pre!J:J)</f>
        <v>0</v>
      </c>
      <c r="M136" s="285">
        <f>SUMIF(Summary_Pre!E:E,"="&amp; F136,Summary_Pre!K:K)</f>
        <v>0</v>
      </c>
      <c r="N136" s="285">
        <f>SUMIF(Summary_Pre!E:E,"="&amp;F136,Summary_Pre!C:C)</f>
        <v>0</v>
      </c>
      <c r="O136" s="266">
        <f t="shared" si="12"/>
        <v>0</v>
      </c>
      <c r="P136" s="3"/>
      <c r="Q136" s="3"/>
      <c r="R136" s="3"/>
      <c r="S136" s="3"/>
      <c r="T136" s="3"/>
      <c r="U136" s="3"/>
      <c r="V136" s="3"/>
      <c r="W136" s="2"/>
      <c r="X136" s="281" t="e">
        <f t="shared" si="9"/>
        <v>#N/A</v>
      </c>
      <c r="Y136" s="279" t="e">
        <f t="shared" si="10"/>
        <v>#N/A</v>
      </c>
    </row>
    <row r="137" spans="1:25">
      <c r="A137" s="249" t="e">
        <f>IF(D137='Tables &amp; Ranges'!$A$133, 'Tables &amp; Ranges'!$B$133, IF(D137='Tables &amp; Ranges'!$A$134, 'Tables &amp; Ranges'!$B$134, IF(D137='Tables &amp; Ranges'!$A$135, 'Tables &amp; Ranges'!$B$135, IF(D137='Tables &amp; Ranges'!$A$136, 'Tables &amp; Ranges'!$B$136, IF(D137='Tables &amp; Ranges'!$A$99, 'Tables &amp; Ranges'!$B$116, VLOOKUP(X137,'Fixture Table'!$C$3:$M$1785, 10, FALSE))))))</f>
        <v>#N/A</v>
      </c>
      <c r="D137" s="2">
        <f>IFERROR(_xlfn.IFNA(VLOOKUP(F137,Summary_Pre!E:F,2,FALSE),0),0)</f>
        <v>0</v>
      </c>
      <c r="E137" s="249" t="e">
        <f t="shared" si="11"/>
        <v>#N/A</v>
      </c>
      <c r="F137" s="2" t="e">
        <f t="array" ref="F137">INDEX(Summary_Pre!E$4:E$303, MATCH(0, COUNTIF($F$2:F136,Summary_Pre!E$4:E$303), 0))</f>
        <v>#N/A</v>
      </c>
      <c r="G137" s="271" t="e">
        <f>VLOOKUP(X137,Table7[[#All],[FIXTURE CODE]:[WATT/ FIXT]], 6, FALSE)</f>
        <v>#N/A</v>
      </c>
      <c r="H137" s="271" t="e">
        <f>VLOOKUP(Y137,Table7[[#All],[FIXTURE CODE]:[WATT/ FIXT]], 6, FALSE)</f>
        <v>#N/A</v>
      </c>
      <c r="I137" s="272">
        <f>SUMIF(Summary_Pre!E:E,"="&amp;F137,Summary_Pre!D:D)</f>
        <v>0</v>
      </c>
      <c r="J137" s="263">
        <f>SUMIF(Summary_Pre!E:E,"="&amp;F137,Summary_Pre!H:H)</f>
        <v>0</v>
      </c>
      <c r="K137" s="262">
        <f>SUMIF(Summary_Pre!E:E,"="&amp; F137,Summary_Pre!I:I)</f>
        <v>0</v>
      </c>
      <c r="L137" s="3">
        <f>SUMIF(Summary_Pre!E:E,"="&amp; F137,Summary_Pre!J:J)</f>
        <v>0</v>
      </c>
      <c r="M137" s="285">
        <f>SUMIF(Summary_Pre!E:E,"="&amp; F137,Summary_Pre!K:K)</f>
        <v>0</v>
      </c>
      <c r="N137" s="285">
        <f>SUMIF(Summary_Pre!E:E,"="&amp;F137,Summary_Pre!C:C)</f>
        <v>0</v>
      </c>
      <c r="O137" s="266">
        <f t="shared" si="12"/>
        <v>0</v>
      </c>
      <c r="P137" s="3"/>
      <c r="Q137" s="3"/>
      <c r="R137" s="3"/>
      <c r="S137" s="3"/>
      <c r="T137" s="3"/>
      <c r="U137" s="3"/>
      <c r="V137" s="3"/>
      <c r="W137" s="2"/>
      <c r="X137" s="281" t="e">
        <f t="shared" si="9"/>
        <v>#N/A</v>
      </c>
      <c r="Y137" s="279" t="e">
        <f t="shared" si="10"/>
        <v>#N/A</v>
      </c>
    </row>
    <row r="138" spans="1:25">
      <c r="A138" s="249" t="e">
        <f>IF(D138='Tables &amp; Ranges'!$A$133, 'Tables &amp; Ranges'!$B$133, IF(D138='Tables &amp; Ranges'!$A$134, 'Tables &amp; Ranges'!$B$134, IF(D138='Tables &amp; Ranges'!$A$135, 'Tables &amp; Ranges'!$B$135, IF(D138='Tables &amp; Ranges'!$A$136, 'Tables &amp; Ranges'!$B$136, IF(D138='Tables &amp; Ranges'!$A$99, 'Tables &amp; Ranges'!$B$116, VLOOKUP(X138,'Fixture Table'!$C$3:$M$1785, 10, FALSE))))))</f>
        <v>#N/A</v>
      </c>
      <c r="D138" s="2">
        <f>IFERROR(_xlfn.IFNA(VLOOKUP(F138,Summary_Pre!E:F,2,FALSE),0),0)</f>
        <v>0</v>
      </c>
      <c r="E138" s="249" t="e">
        <f t="shared" si="11"/>
        <v>#N/A</v>
      </c>
      <c r="F138" s="2" t="e">
        <f t="array" ref="F138">INDEX(Summary_Pre!E$4:E$303, MATCH(0, COUNTIF($F$2:F137,Summary_Pre!E$4:E$303), 0))</f>
        <v>#N/A</v>
      </c>
      <c r="G138" s="271" t="e">
        <f>VLOOKUP(X138,Table7[[#All],[FIXTURE CODE]:[WATT/ FIXT]], 6, FALSE)</f>
        <v>#N/A</v>
      </c>
      <c r="H138" s="271" t="e">
        <f>VLOOKUP(Y138,Table7[[#All],[FIXTURE CODE]:[WATT/ FIXT]], 6, FALSE)</f>
        <v>#N/A</v>
      </c>
      <c r="I138" s="272">
        <f>SUMIF(Summary_Pre!E:E,"="&amp;F138,Summary_Pre!D:D)</f>
        <v>0</v>
      </c>
      <c r="J138" s="263">
        <f>SUMIF(Summary_Pre!E:E,"="&amp;F138,Summary_Pre!H:H)</f>
        <v>0</v>
      </c>
      <c r="K138" s="262">
        <f>SUMIF(Summary_Pre!E:E,"="&amp; F138,Summary_Pre!I:I)</f>
        <v>0</v>
      </c>
      <c r="L138" s="3">
        <f>SUMIF(Summary_Pre!E:E,"="&amp; F138,Summary_Pre!J:J)</f>
        <v>0</v>
      </c>
      <c r="M138" s="285">
        <f>SUMIF(Summary_Pre!E:E,"="&amp; F138,Summary_Pre!K:K)</f>
        <v>0</v>
      </c>
      <c r="N138" s="285">
        <f>SUMIF(Summary_Pre!E:E,"="&amp;F138,Summary_Pre!C:C)</f>
        <v>0</v>
      </c>
      <c r="O138" s="266">
        <f t="shared" si="12"/>
        <v>0</v>
      </c>
      <c r="P138" s="3"/>
      <c r="Q138" s="3"/>
      <c r="R138" s="3"/>
      <c r="S138" s="3"/>
      <c r="T138" s="3"/>
      <c r="U138" s="3"/>
      <c r="V138" s="3"/>
      <c r="W138" s="2"/>
      <c r="X138" s="281" t="e">
        <f t="shared" si="9"/>
        <v>#N/A</v>
      </c>
      <c r="Y138" s="279" t="e">
        <f t="shared" si="10"/>
        <v>#N/A</v>
      </c>
    </row>
    <row r="139" spans="1:25">
      <c r="A139" s="249" t="e">
        <f>IF(D139='Tables &amp; Ranges'!$A$133, 'Tables &amp; Ranges'!$B$133, IF(D139='Tables &amp; Ranges'!$A$134, 'Tables &amp; Ranges'!$B$134, IF(D139='Tables &amp; Ranges'!$A$135, 'Tables &amp; Ranges'!$B$135, IF(D139='Tables &amp; Ranges'!$A$136, 'Tables &amp; Ranges'!$B$136, IF(D139='Tables &amp; Ranges'!$A$99, 'Tables &amp; Ranges'!$B$116, VLOOKUP(X139,'Fixture Table'!$C$3:$M$1785, 10, FALSE))))))</f>
        <v>#N/A</v>
      </c>
      <c r="D139" s="2">
        <f>IFERROR(_xlfn.IFNA(VLOOKUP(F139,Summary_Pre!E:F,2,FALSE),0),0)</f>
        <v>0</v>
      </c>
      <c r="E139" s="249" t="e">
        <f t="shared" si="11"/>
        <v>#N/A</v>
      </c>
      <c r="F139" s="2" t="e">
        <f t="array" ref="F139">INDEX(Summary_Pre!E$4:E$303, MATCH(0, COUNTIF($F$2:F138,Summary_Pre!E$4:E$303), 0))</f>
        <v>#N/A</v>
      </c>
      <c r="G139" s="271" t="e">
        <f>VLOOKUP(X139,Table7[[#All],[FIXTURE CODE]:[WATT/ FIXT]], 6, FALSE)</f>
        <v>#N/A</v>
      </c>
      <c r="H139" s="271" t="e">
        <f>VLOOKUP(Y139,Table7[[#All],[FIXTURE CODE]:[WATT/ FIXT]], 6, FALSE)</f>
        <v>#N/A</v>
      </c>
      <c r="I139" s="272">
        <f>SUMIF(Summary_Pre!E:E,"="&amp;F139,Summary_Pre!D:D)</f>
        <v>0</v>
      </c>
      <c r="J139" s="263">
        <f>SUMIF(Summary_Pre!E:E,"="&amp;F139,Summary_Pre!H:H)</f>
        <v>0</v>
      </c>
      <c r="K139" s="262">
        <f>SUMIF(Summary_Pre!E:E,"="&amp; F139,Summary_Pre!I:I)</f>
        <v>0</v>
      </c>
      <c r="L139" s="3">
        <f>SUMIF(Summary_Pre!E:E,"="&amp; F139,Summary_Pre!J:J)</f>
        <v>0</v>
      </c>
      <c r="M139" s="285">
        <f>SUMIF(Summary_Pre!E:E,"="&amp; F139,Summary_Pre!K:K)</f>
        <v>0</v>
      </c>
      <c r="N139" s="285">
        <f>SUMIF(Summary_Pre!E:E,"="&amp;F139,Summary_Pre!C:C)</f>
        <v>0</v>
      </c>
      <c r="O139" s="266">
        <f t="shared" si="12"/>
        <v>0</v>
      </c>
      <c r="P139" s="3"/>
      <c r="Q139" s="3"/>
      <c r="R139" s="3"/>
      <c r="S139" s="3"/>
      <c r="T139" s="3"/>
      <c r="U139" s="3"/>
      <c r="V139" s="3"/>
      <c r="W139" s="2"/>
      <c r="X139" s="281" t="e">
        <f t="shared" si="9"/>
        <v>#N/A</v>
      </c>
      <c r="Y139" s="279" t="e">
        <f t="shared" si="10"/>
        <v>#N/A</v>
      </c>
    </row>
    <row r="140" spans="1:25">
      <c r="A140" s="249" t="e">
        <f>IF(D140='Tables &amp; Ranges'!$A$133, 'Tables &amp; Ranges'!$B$133, IF(D140='Tables &amp; Ranges'!$A$134, 'Tables &amp; Ranges'!$B$134, IF(D140='Tables &amp; Ranges'!$A$135, 'Tables &amp; Ranges'!$B$135, IF(D140='Tables &amp; Ranges'!$A$136, 'Tables &amp; Ranges'!$B$136, IF(D140='Tables &amp; Ranges'!$A$99, 'Tables &amp; Ranges'!$B$116, VLOOKUP(X140,'Fixture Table'!$C$3:$M$1785, 10, FALSE))))))</f>
        <v>#N/A</v>
      </c>
      <c r="D140" s="2">
        <f>IFERROR(_xlfn.IFNA(VLOOKUP(F140,Summary_Pre!E:F,2,FALSE),0),0)</f>
        <v>0</v>
      </c>
      <c r="E140" s="249" t="e">
        <f t="shared" si="11"/>
        <v>#N/A</v>
      </c>
      <c r="F140" s="2" t="e">
        <f t="array" ref="F140">INDEX(Summary_Pre!E$4:E$303, MATCH(0, COUNTIF($F$2:F139,Summary_Pre!E$4:E$303), 0))</f>
        <v>#N/A</v>
      </c>
      <c r="G140" s="271" t="e">
        <f>VLOOKUP(X140,Table7[[#All],[FIXTURE CODE]:[WATT/ FIXT]], 6, FALSE)</f>
        <v>#N/A</v>
      </c>
      <c r="H140" s="271" t="e">
        <f>VLOOKUP(Y140,Table7[[#All],[FIXTURE CODE]:[WATT/ FIXT]], 6, FALSE)</f>
        <v>#N/A</v>
      </c>
      <c r="I140" s="272">
        <f>SUMIF(Summary_Pre!E:E,"="&amp;F140,Summary_Pre!D:D)</f>
        <v>0</v>
      </c>
      <c r="J140" s="263">
        <f>SUMIF(Summary_Pre!E:E,"="&amp;F140,Summary_Pre!H:H)</f>
        <v>0</v>
      </c>
      <c r="K140" s="262">
        <f>SUMIF(Summary_Pre!E:E,"="&amp; F140,Summary_Pre!I:I)</f>
        <v>0</v>
      </c>
      <c r="L140" s="3">
        <f>SUMIF(Summary_Pre!E:E,"="&amp; F140,Summary_Pre!J:J)</f>
        <v>0</v>
      </c>
      <c r="M140" s="285">
        <f>SUMIF(Summary_Pre!E:E,"="&amp; F140,Summary_Pre!K:K)</f>
        <v>0</v>
      </c>
      <c r="N140" s="285">
        <f>SUMIF(Summary_Pre!E:E,"="&amp;F140,Summary_Pre!C:C)</f>
        <v>0</v>
      </c>
      <c r="O140" s="266">
        <f t="shared" si="12"/>
        <v>0</v>
      </c>
      <c r="P140" s="3"/>
      <c r="Q140" s="3"/>
      <c r="R140" s="3"/>
      <c r="S140" s="3"/>
      <c r="T140" s="3"/>
      <c r="U140" s="3"/>
      <c r="V140" s="3"/>
      <c r="W140" s="2"/>
      <c r="X140" s="281" t="e">
        <f t="shared" si="9"/>
        <v>#N/A</v>
      </c>
      <c r="Y140" s="279" t="e">
        <f t="shared" si="10"/>
        <v>#N/A</v>
      </c>
    </row>
    <row r="141" spans="1:25">
      <c r="A141" s="249" t="e">
        <f>IF(D141='Tables &amp; Ranges'!$A$133, 'Tables &amp; Ranges'!$B$133, IF(D141='Tables &amp; Ranges'!$A$134, 'Tables &amp; Ranges'!$B$134, IF(D141='Tables &amp; Ranges'!$A$135, 'Tables &amp; Ranges'!$B$135, IF(D141='Tables &amp; Ranges'!$A$136, 'Tables &amp; Ranges'!$B$136, IF(D141='Tables &amp; Ranges'!$A$99, 'Tables &amp; Ranges'!$B$116, VLOOKUP(X141,'Fixture Table'!$C$3:$M$1785, 10, FALSE))))))</f>
        <v>#N/A</v>
      </c>
      <c r="D141" s="2">
        <f>IFERROR(_xlfn.IFNA(VLOOKUP(F141,Summary_Pre!E:F,2,FALSE),0),0)</f>
        <v>0</v>
      </c>
      <c r="E141" s="249" t="e">
        <f t="shared" si="11"/>
        <v>#N/A</v>
      </c>
      <c r="F141" s="2" t="e">
        <f t="array" ref="F141">INDEX(Summary_Pre!E$4:E$303, MATCH(0, COUNTIF($F$2:F140,Summary_Pre!E$4:E$303), 0))</f>
        <v>#N/A</v>
      </c>
      <c r="G141" s="271" t="e">
        <f>VLOOKUP(X141,Table7[[#All],[FIXTURE CODE]:[WATT/ FIXT]], 6, FALSE)</f>
        <v>#N/A</v>
      </c>
      <c r="H141" s="271" t="e">
        <f>VLOOKUP(Y141,Table7[[#All],[FIXTURE CODE]:[WATT/ FIXT]], 6, FALSE)</f>
        <v>#N/A</v>
      </c>
      <c r="I141" s="272">
        <f>SUMIF(Summary_Pre!E:E,"="&amp;F141,Summary_Pre!D:D)</f>
        <v>0</v>
      </c>
      <c r="J141" s="263">
        <f>SUMIF(Summary_Pre!E:E,"="&amp;F141,Summary_Pre!H:H)</f>
        <v>0</v>
      </c>
      <c r="K141" s="262">
        <f>SUMIF(Summary_Pre!E:E,"="&amp; F141,Summary_Pre!I:I)</f>
        <v>0</v>
      </c>
      <c r="L141" s="3">
        <f>SUMIF(Summary_Pre!E:E,"="&amp; F141,Summary_Pre!J:J)</f>
        <v>0</v>
      </c>
      <c r="M141" s="285">
        <f>SUMIF(Summary_Pre!E:E,"="&amp; F141,Summary_Pre!K:K)</f>
        <v>0</v>
      </c>
      <c r="N141" s="285">
        <f>SUMIF(Summary_Pre!E:E,"="&amp;F141,Summary_Pre!C:C)</f>
        <v>0</v>
      </c>
      <c r="O141" s="266">
        <f t="shared" si="12"/>
        <v>0</v>
      </c>
      <c r="P141" s="3"/>
      <c r="Q141" s="3"/>
      <c r="R141" s="3"/>
      <c r="S141" s="3"/>
      <c r="T141" s="3"/>
      <c r="U141" s="3"/>
      <c r="V141" s="3"/>
      <c r="W141" s="2"/>
      <c r="X141" s="281" t="e">
        <f t="shared" si="9"/>
        <v>#N/A</v>
      </c>
      <c r="Y141" s="279" t="e">
        <f t="shared" si="10"/>
        <v>#N/A</v>
      </c>
    </row>
    <row r="142" spans="1:25">
      <c r="A142" s="249" t="e">
        <f>IF(D142='Tables &amp; Ranges'!$A$133, 'Tables &amp; Ranges'!$B$133, IF(D142='Tables &amp; Ranges'!$A$134, 'Tables &amp; Ranges'!$B$134, IF(D142='Tables &amp; Ranges'!$A$135, 'Tables &amp; Ranges'!$B$135, IF(D142='Tables &amp; Ranges'!$A$136, 'Tables &amp; Ranges'!$B$136, IF(D142='Tables &amp; Ranges'!$A$99, 'Tables &amp; Ranges'!$B$116, VLOOKUP(X142,'Fixture Table'!$C$3:$M$1785, 10, FALSE))))))</f>
        <v>#N/A</v>
      </c>
      <c r="D142" s="2">
        <f>IFERROR(_xlfn.IFNA(VLOOKUP(F142,Summary_Pre!E:F,2,FALSE),0),0)</f>
        <v>0</v>
      </c>
      <c r="E142" s="249" t="e">
        <f t="shared" si="11"/>
        <v>#N/A</v>
      </c>
      <c r="F142" s="2" t="e">
        <f t="array" ref="F142">INDEX(Summary_Pre!E$4:E$303, MATCH(0, COUNTIF($F$2:F141,Summary_Pre!E$4:E$303), 0))</f>
        <v>#N/A</v>
      </c>
      <c r="G142" s="271" t="e">
        <f>VLOOKUP(X142,Table7[[#All],[FIXTURE CODE]:[WATT/ FIXT]], 6, FALSE)</f>
        <v>#N/A</v>
      </c>
      <c r="H142" s="271" t="e">
        <f>VLOOKUP(Y142,Table7[[#All],[FIXTURE CODE]:[WATT/ FIXT]], 6, FALSE)</f>
        <v>#N/A</v>
      </c>
      <c r="I142" s="272">
        <f>SUMIF(Summary_Pre!E:E,"="&amp;F142,Summary_Pre!D:D)</f>
        <v>0</v>
      </c>
      <c r="J142" s="263">
        <f>SUMIF(Summary_Pre!E:E,"="&amp;F142,Summary_Pre!H:H)</f>
        <v>0</v>
      </c>
      <c r="K142" s="262">
        <f>SUMIF(Summary_Pre!E:E,"="&amp; F142,Summary_Pre!I:I)</f>
        <v>0</v>
      </c>
      <c r="L142" s="3">
        <f>SUMIF(Summary_Pre!E:E,"="&amp; F142,Summary_Pre!J:J)</f>
        <v>0</v>
      </c>
      <c r="M142" s="285">
        <f>SUMIF(Summary_Pre!E:E,"="&amp; F142,Summary_Pre!K:K)</f>
        <v>0</v>
      </c>
      <c r="N142" s="285">
        <f>SUMIF(Summary_Pre!E:E,"="&amp;F142,Summary_Pre!C:C)</f>
        <v>0</v>
      </c>
      <c r="O142" s="266">
        <f t="shared" si="12"/>
        <v>0</v>
      </c>
      <c r="P142" s="3"/>
      <c r="Q142" s="3"/>
      <c r="R142" s="3"/>
      <c r="S142" s="3"/>
      <c r="T142" s="3"/>
      <c r="U142" s="3"/>
      <c r="V142" s="3"/>
      <c r="W142" s="2"/>
      <c r="X142" s="281" t="e">
        <f t="shared" si="9"/>
        <v>#N/A</v>
      </c>
      <c r="Y142" s="279" t="e">
        <f t="shared" si="10"/>
        <v>#N/A</v>
      </c>
    </row>
    <row r="143" spans="1:25">
      <c r="A143" s="249" t="e">
        <f>IF(D143='Tables &amp; Ranges'!$A$133, 'Tables &amp; Ranges'!$B$133, IF(D143='Tables &amp; Ranges'!$A$134, 'Tables &amp; Ranges'!$B$134, IF(D143='Tables &amp; Ranges'!$A$135, 'Tables &amp; Ranges'!$B$135, IF(D143='Tables &amp; Ranges'!$A$136, 'Tables &amp; Ranges'!$B$136, IF(D143='Tables &amp; Ranges'!$A$99, 'Tables &amp; Ranges'!$B$116, VLOOKUP(X143,'Fixture Table'!$C$3:$M$1785, 10, FALSE))))))</f>
        <v>#N/A</v>
      </c>
      <c r="D143" s="2">
        <f>IFERROR(_xlfn.IFNA(VLOOKUP(F143,Summary_Pre!E:F,2,FALSE),0),0)</f>
        <v>0</v>
      </c>
      <c r="E143" s="249" t="e">
        <f t="shared" si="11"/>
        <v>#N/A</v>
      </c>
      <c r="F143" s="2" t="e">
        <f t="array" ref="F143">INDEX(Summary_Pre!E$4:E$303, MATCH(0, COUNTIF($F$2:F142,Summary_Pre!E$4:E$303), 0))</f>
        <v>#N/A</v>
      </c>
      <c r="G143" s="271" t="e">
        <f>VLOOKUP(X143,Table7[[#All],[FIXTURE CODE]:[WATT/ FIXT]], 6, FALSE)</f>
        <v>#N/A</v>
      </c>
      <c r="H143" s="271" t="e">
        <f>VLOOKUP(Y143,Table7[[#All],[FIXTURE CODE]:[WATT/ FIXT]], 6, FALSE)</f>
        <v>#N/A</v>
      </c>
      <c r="I143" s="272">
        <f>SUMIF(Summary_Pre!E:E,"="&amp;F143,Summary_Pre!D:D)</f>
        <v>0</v>
      </c>
      <c r="J143" s="263">
        <f>SUMIF(Summary_Pre!E:E,"="&amp;F143,Summary_Pre!H:H)</f>
        <v>0</v>
      </c>
      <c r="K143" s="262">
        <f>SUMIF(Summary_Pre!E:E,"="&amp; F143,Summary_Pre!I:I)</f>
        <v>0</v>
      </c>
      <c r="L143" s="3">
        <f>SUMIF(Summary_Pre!E:E,"="&amp; F143,Summary_Pre!J:J)</f>
        <v>0</v>
      </c>
      <c r="M143" s="285">
        <f>SUMIF(Summary_Pre!E:E,"="&amp; F143,Summary_Pre!K:K)</f>
        <v>0</v>
      </c>
      <c r="N143" s="285">
        <f>SUMIF(Summary_Pre!E:E,"="&amp;F143,Summary_Pre!C:C)</f>
        <v>0</v>
      </c>
      <c r="O143" s="266">
        <f t="shared" si="12"/>
        <v>0</v>
      </c>
      <c r="P143" s="3"/>
      <c r="Q143" s="3"/>
      <c r="R143" s="3"/>
      <c r="S143" s="3"/>
      <c r="T143" s="3"/>
      <c r="U143" s="3"/>
      <c r="V143" s="3"/>
      <c r="W143" s="2"/>
      <c r="X143" s="281" t="e">
        <f t="shared" si="9"/>
        <v>#N/A</v>
      </c>
      <c r="Y143" s="279" t="e">
        <f t="shared" si="10"/>
        <v>#N/A</v>
      </c>
    </row>
    <row r="144" spans="1:25">
      <c r="A144" s="249" t="e">
        <f>IF(D144='Tables &amp; Ranges'!$A$133, 'Tables &amp; Ranges'!$B$133, IF(D144='Tables &amp; Ranges'!$A$134, 'Tables &amp; Ranges'!$B$134, IF(D144='Tables &amp; Ranges'!$A$135, 'Tables &amp; Ranges'!$B$135, IF(D144='Tables &amp; Ranges'!$A$136, 'Tables &amp; Ranges'!$B$136, IF(D144='Tables &amp; Ranges'!$A$99, 'Tables &amp; Ranges'!$B$116, VLOOKUP(X144,'Fixture Table'!$C$3:$M$1785, 10, FALSE))))))</f>
        <v>#N/A</v>
      </c>
      <c r="D144" s="2">
        <f>IFERROR(_xlfn.IFNA(VLOOKUP(F144,Summary_Pre!E:F,2,FALSE),0),0)</f>
        <v>0</v>
      </c>
      <c r="E144" s="249" t="e">
        <f t="shared" si="11"/>
        <v>#N/A</v>
      </c>
      <c r="F144" s="2" t="e">
        <f t="array" ref="F144">INDEX(Summary_Pre!E$4:E$303, MATCH(0, COUNTIF($F$2:F143,Summary_Pre!E$4:E$303), 0))</f>
        <v>#N/A</v>
      </c>
      <c r="G144" s="271" t="e">
        <f>VLOOKUP(X144,Table7[[#All],[FIXTURE CODE]:[WATT/ FIXT]], 6, FALSE)</f>
        <v>#N/A</v>
      </c>
      <c r="H144" s="271" t="e">
        <f>VLOOKUP(Y144,Table7[[#All],[FIXTURE CODE]:[WATT/ FIXT]], 6, FALSE)</f>
        <v>#N/A</v>
      </c>
      <c r="I144" s="272">
        <f>SUMIF(Summary_Pre!E:E,"="&amp;F144,Summary_Pre!D:D)</f>
        <v>0</v>
      </c>
      <c r="J144" s="263">
        <f>SUMIF(Summary_Pre!E:E,"="&amp;F144,Summary_Pre!H:H)</f>
        <v>0</v>
      </c>
      <c r="K144" s="262">
        <f>SUMIF(Summary_Pre!E:E,"="&amp; F144,Summary_Pre!I:I)</f>
        <v>0</v>
      </c>
      <c r="L144" s="3">
        <f>SUMIF(Summary_Pre!E:E,"="&amp; F144,Summary_Pre!J:J)</f>
        <v>0</v>
      </c>
      <c r="M144" s="285">
        <f>SUMIF(Summary_Pre!E:E,"="&amp; F144,Summary_Pre!K:K)</f>
        <v>0</v>
      </c>
      <c r="N144" s="285">
        <f>SUMIF(Summary_Pre!E:E,"="&amp;F144,Summary_Pre!C:C)</f>
        <v>0</v>
      </c>
      <c r="O144" s="266">
        <f t="shared" si="12"/>
        <v>0</v>
      </c>
      <c r="P144" s="3"/>
      <c r="Q144" s="3"/>
      <c r="R144" s="3"/>
      <c r="S144" s="3"/>
      <c r="T144" s="3"/>
      <c r="U144" s="3"/>
      <c r="V144" s="3"/>
      <c r="W144" s="2"/>
      <c r="X144" s="281" t="e">
        <f t="shared" si="9"/>
        <v>#N/A</v>
      </c>
      <c r="Y144" s="279" t="e">
        <f t="shared" si="10"/>
        <v>#N/A</v>
      </c>
    </row>
    <row r="145" spans="1:25">
      <c r="A145" s="249" t="e">
        <f>IF(D145='Tables &amp; Ranges'!$A$133, 'Tables &amp; Ranges'!$B$133, IF(D145='Tables &amp; Ranges'!$A$134, 'Tables &amp; Ranges'!$B$134, IF(D145='Tables &amp; Ranges'!$A$135, 'Tables &amp; Ranges'!$B$135, IF(D145='Tables &amp; Ranges'!$A$136, 'Tables &amp; Ranges'!$B$136, IF(D145='Tables &amp; Ranges'!$A$99, 'Tables &amp; Ranges'!$B$116, VLOOKUP(X145,'Fixture Table'!$C$3:$M$1785, 10, FALSE))))))</f>
        <v>#N/A</v>
      </c>
      <c r="D145" s="2">
        <f>IFERROR(_xlfn.IFNA(VLOOKUP(F145,Summary_Pre!E:F,2,FALSE),0),0)</f>
        <v>0</v>
      </c>
      <c r="E145" s="249" t="e">
        <f t="shared" si="11"/>
        <v>#N/A</v>
      </c>
      <c r="F145" s="2" t="e">
        <f t="array" ref="F145">INDEX(Summary_Pre!E$4:E$303, MATCH(0, COUNTIF($F$2:F144,Summary_Pre!E$4:E$303), 0))</f>
        <v>#N/A</v>
      </c>
      <c r="G145" s="271" t="e">
        <f>VLOOKUP(X145,Table7[[#All],[FIXTURE CODE]:[WATT/ FIXT]], 6, FALSE)</f>
        <v>#N/A</v>
      </c>
      <c r="H145" s="271" t="e">
        <f>VLOOKUP(Y145,Table7[[#All],[FIXTURE CODE]:[WATT/ FIXT]], 6, FALSE)</f>
        <v>#N/A</v>
      </c>
      <c r="I145" s="272">
        <f>SUMIF(Summary_Pre!E:E,"="&amp;F145,Summary_Pre!D:D)</f>
        <v>0</v>
      </c>
      <c r="J145" s="263">
        <f>SUMIF(Summary_Pre!E:E,"="&amp;F145,Summary_Pre!H:H)</f>
        <v>0</v>
      </c>
      <c r="K145" s="262">
        <f>SUMIF(Summary_Pre!E:E,"="&amp; F145,Summary_Pre!I:I)</f>
        <v>0</v>
      </c>
      <c r="L145" s="3">
        <f>SUMIF(Summary_Pre!E:E,"="&amp; F145,Summary_Pre!J:J)</f>
        <v>0</v>
      </c>
      <c r="M145" s="285">
        <f>SUMIF(Summary_Pre!E:E,"="&amp; F145,Summary_Pre!K:K)</f>
        <v>0</v>
      </c>
      <c r="N145" s="285">
        <f>SUMIF(Summary_Pre!E:E,"="&amp;F145,Summary_Pre!C:C)</f>
        <v>0</v>
      </c>
      <c r="O145" s="266">
        <f t="shared" si="12"/>
        <v>0</v>
      </c>
      <c r="P145" s="3"/>
      <c r="Q145" s="3"/>
      <c r="R145" s="3"/>
      <c r="S145" s="3"/>
      <c r="T145" s="3"/>
      <c r="U145" s="3"/>
      <c r="V145" s="3"/>
      <c r="W145" s="2"/>
      <c r="X145" s="281" t="e">
        <f t="shared" si="9"/>
        <v>#N/A</v>
      </c>
      <c r="Y145" s="279" t="e">
        <f t="shared" si="10"/>
        <v>#N/A</v>
      </c>
    </row>
    <row r="146" spans="1:25">
      <c r="A146" s="249" t="e">
        <f>IF(D146='Tables &amp; Ranges'!$A$133, 'Tables &amp; Ranges'!$B$133, IF(D146='Tables &amp; Ranges'!$A$134, 'Tables &amp; Ranges'!$B$134, IF(D146='Tables &amp; Ranges'!$A$135, 'Tables &amp; Ranges'!$B$135, IF(D146='Tables &amp; Ranges'!$A$136, 'Tables &amp; Ranges'!$B$136, IF(D146='Tables &amp; Ranges'!$A$99, 'Tables &amp; Ranges'!$B$116, VLOOKUP(X146,'Fixture Table'!$C$3:$M$1785, 10, FALSE))))))</f>
        <v>#N/A</v>
      </c>
      <c r="D146" s="2">
        <f>IFERROR(_xlfn.IFNA(VLOOKUP(F146,Summary_Pre!E:F,2,FALSE),0),0)</f>
        <v>0</v>
      </c>
      <c r="E146" s="249" t="e">
        <f t="shared" si="11"/>
        <v>#N/A</v>
      </c>
      <c r="F146" s="2" t="e">
        <f t="array" ref="F146">INDEX(Summary_Pre!E$4:E$303, MATCH(0, COUNTIF($F$2:F145,Summary_Pre!E$4:E$303), 0))</f>
        <v>#N/A</v>
      </c>
      <c r="G146" s="271" t="e">
        <f>VLOOKUP(X146,Table7[[#All],[FIXTURE CODE]:[WATT/ FIXT]], 6, FALSE)</f>
        <v>#N/A</v>
      </c>
      <c r="H146" s="271" t="e">
        <f>VLOOKUP(Y146,Table7[[#All],[FIXTURE CODE]:[WATT/ FIXT]], 6, FALSE)</f>
        <v>#N/A</v>
      </c>
      <c r="I146" s="272">
        <f>SUMIF(Summary_Pre!E:E,"="&amp;F146,Summary_Pre!D:D)</f>
        <v>0</v>
      </c>
      <c r="J146" s="263">
        <f>SUMIF(Summary_Pre!E:E,"="&amp;F146,Summary_Pre!H:H)</f>
        <v>0</v>
      </c>
      <c r="K146" s="262">
        <f>SUMIF(Summary_Pre!E:E,"="&amp; F146,Summary_Pre!I:I)</f>
        <v>0</v>
      </c>
      <c r="L146" s="3">
        <f>SUMIF(Summary_Pre!E:E,"="&amp; F146,Summary_Pre!J:J)</f>
        <v>0</v>
      </c>
      <c r="M146" s="285">
        <f>SUMIF(Summary_Pre!E:E,"="&amp; F146,Summary_Pre!K:K)</f>
        <v>0</v>
      </c>
      <c r="N146" s="285">
        <f>SUMIF(Summary_Pre!E:E,"="&amp;F146,Summary_Pre!C:C)</f>
        <v>0</v>
      </c>
      <c r="O146" s="266">
        <f t="shared" si="12"/>
        <v>0</v>
      </c>
      <c r="P146" s="3"/>
      <c r="Q146" s="3"/>
      <c r="R146" s="3"/>
      <c r="S146" s="3"/>
      <c r="T146" s="3"/>
      <c r="U146" s="3"/>
      <c r="V146" s="3"/>
      <c r="W146" s="2"/>
      <c r="X146" s="281" t="e">
        <f t="shared" si="9"/>
        <v>#N/A</v>
      </c>
      <c r="Y146" s="279" t="e">
        <f t="shared" si="10"/>
        <v>#N/A</v>
      </c>
    </row>
    <row r="147" spans="1:25">
      <c r="A147" s="249" t="e">
        <f>IF(D147='Tables &amp; Ranges'!$A$133, 'Tables &amp; Ranges'!$B$133, IF(D147='Tables &amp; Ranges'!$A$134, 'Tables &amp; Ranges'!$B$134, IF(D147='Tables &amp; Ranges'!$A$135, 'Tables &amp; Ranges'!$B$135, IF(D147='Tables &amp; Ranges'!$A$136, 'Tables &amp; Ranges'!$B$136, IF(D147='Tables &amp; Ranges'!$A$99, 'Tables &amp; Ranges'!$B$116, VLOOKUP(X147,'Fixture Table'!$C$3:$M$1785, 10, FALSE))))))</f>
        <v>#N/A</v>
      </c>
      <c r="D147" s="2">
        <f>IFERROR(_xlfn.IFNA(VLOOKUP(F147,Summary_Pre!E:F,2,FALSE),0),0)</f>
        <v>0</v>
      </c>
      <c r="E147" s="249" t="e">
        <f t="shared" si="11"/>
        <v>#N/A</v>
      </c>
      <c r="F147" s="2" t="e">
        <f t="array" ref="F147">INDEX(Summary_Pre!E$4:E$303, MATCH(0, COUNTIF($F$2:F146,Summary_Pre!E$4:E$303), 0))</f>
        <v>#N/A</v>
      </c>
      <c r="G147" s="271" t="e">
        <f>VLOOKUP(X147,Table7[[#All],[FIXTURE CODE]:[WATT/ FIXT]], 6, FALSE)</f>
        <v>#N/A</v>
      </c>
      <c r="H147" s="271" t="e">
        <f>VLOOKUP(Y147,Table7[[#All],[FIXTURE CODE]:[WATT/ FIXT]], 6, FALSE)</f>
        <v>#N/A</v>
      </c>
      <c r="I147" s="272">
        <f>SUMIF(Summary_Pre!E:E,"="&amp;F147,Summary_Pre!D:D)</f>
        <v>0</v>
      </c>
      <c r="J147" s="263">
        <f>SUMIF(Summary_Pre!E:E,"="&amp;F147,Summary_Pre!H:H)</f>
        <v>0</v>
      </c>
      <c r="K147" s="262">
        <f>SUMIF(Summary_Pre!E:E,"="&amp; F147,Summary_Pre!I:I)</f>
        <v>0</v>
      </c>
      <c r="L147" s="3">
        <f>SUMIF(Summary_Pre!E:E,"="&amp; F147,Summary_Pre!J:J)</f>
        <v>0</v>
      </c>
      <c r="M147" s="285">
        <f>SUMIF(Summary_Pre!E:E,"="&amp; F147,Summary_Pre!K:K)</f>
        <v>0</v>
      </c>
      <c r="N147" s="285">
        <f>SUMIF(Summary_Pre!E:E,"="&amp;F147,Summary_Pre!C:C)</f>
        <v>0</v>
      </c>
      <c r="O147" s="266">
        <f t="shared" si="12"/>
        <v>0</v>
      </c>
      <c r="P147" s="3"/>
      <c r="Q147" s="3"/>
      <c r="R147" s="3"/>
      <c r="S147" s="3"/>
      <c r="T147" s="3"/>
      <c r="U147" s="3"/>
      <c r="V147" s="3"/>
      <c r="W147" s="2"/>
      <c r="X147" s="281" t="e">
        <f t="shared" si="9"/>
        <v>#N/A</v>
      </c>
      <c r="Y147" s="279" t="e">
        <f t="shared" si="10"/>
        <v>#N/A</v>
      </c>
    </row>
    <row r="148" spans="1:25">
      <c r="A148" s="249" t="e">
        <f>IF(D148='Tables &amp; Ranges'!$A$133, 'Tables &amp; Ranges'!$B$133, IF(D148='Tables &amp; Ranges'!$A$134, 'Tables &amp; Ranges'!$B$134, IF(D148='Tables &amp; Ranges'!$A$135, 'Tables &amp; Ranges'!$B$135, IF(D148='Tables &amp; Ranges'!$A$136, 'Tables &amp; Ranges'!$B$136, IF(D148='Tables &amp; Ranges'!$A$99, 'Tables &amp; Ranges'!$B$116, VLOOKUP(X148,'Fixture Table'!$C$3:$M$1785, 10, FALSE))))))</f>
        <v>#N/A</v>
      </c>
      <c r="D148" s="2">
        <f>IFERROR(_xlfn.IFNA(VLOOKUP(F148,Summary_Pre!E:F,2,FALSE),0),0)</f>
        <v>0</v>
      </c>
      <c r="E148" s="249" t="e">
        <f t="shared" si="11"/>
        <v>#N/A</v>
      </c>
      <c r="F148" s="2" t="e">
        <f t="array" ref="F148">INDEX(Summary_Pre!E$4:E$303, MATCH(0, COUNTIF($F$2:F147,Summary_Pre!E$4:E$303), 0))</f>
        <v>#N/A</v>
      </c>
      <c r="G148" s="271" t="e">
        <f>VLOOKUP(X148,Table7[[#All],[FIXTURE CODE]:[WATT/ FIXT]], 6, FALSE)</f>
        <v>#N/A</v>
      </c>
      <c r="H148" s="271" t="e">
        <f>VLOOKUP(Y148,Table7[[#All],[FIXTURE CODE]:[WATT/ FIXT]], 6, FALSE)</f>
        <v>#N/A</v>
      </c>
      <c r="I148" s="272">
        <f>SUMIF(Summary_Pre!E:E,"="&amp;F148,Summary_Pre!D:D)</f>
        <v>0</v>
      </c>
      <c r="J148" s="263">
        <f>SUMIF(Summary_Pre!E:E,"="&amp;F148,Summary_Pre!H:H)</f>
        <v>0</v>
      </c>
      <c r="K148" s="262">
        <f>SUMIF(Summary_Pre!E:E,"="&amp; F148,Summary_Pre!I:I)</f>
        <v>0</v>
      </c>
      <c r="L148" s="3">
        <f>SUMIF(Summary_Pre!E:E,"="&amp; F148,Summary_Pre!J:J)</f>
        <v>0</v>
      </c>
      <c r="M148" s="285">
        <f>SUMIF(Summary_Pre!E:E,"="&amp; F148,Summary_Pre!K:K)</f>
        <v>0</v>
      </c>
      <c r="N148" s="285">
        <f>SUMIF(Summary_Pre!E:E,"="&amp;F148,Summary_Pre!C:C)</f>
        <v>0</v>
      </c>
      <c r="O148" s="266">
        <f t="shared" si="12"/>
        <v>0</v>
      </c>
      <c r="P148" s="3"/>
      <c r="Q148" s="3"/>
      <c r="R148" s="3"/>
      <c r="S148" s="3"/>
      <c r="T148" s="3"/>
      <c r="U148" s="3"/>
      <c r="V148" s="3"/>
      <c r="W148" s="2"/>
      <c r="X148" s="281" t="e">
        <f t="shared" si="9"/>
        <v>#N/A</v>
      </c>
      <c r="Y148" s="279" t="e">
        <f t="shared" si="10"/>
        <v>#N/A</v>
      </c>
    </row>
    <row r="149" spans="1:25">
      <c r="A149" s="249" t="e">
        <f>IF(D149='Tables &amp; Ranges'!$A$133, 'Tables &amp; Ranges'!$B$133, IF(D149='Tables &amp; Ranges'!$A$134, 'Tables &amp; Ranges'!$B$134, IF(D149='Tables &amp; Ranges'!$A$135, 'Tables &amp; Ranges'!$B$135, IF(D149='Tables &amp; Ranges'!$A$136, 'Tables &amp; Ranges'!$B$136, IF(D149='Tables &amp; Ranges'!$A$99, 'Tables &amp; Ranges'!$B$116, VLOOKUP(X149,'Fixture Table'!$C$3:$M$1785, 10, FALSE))))))</f>
        <v>#N/A</v>
      </c>
      <c r="D149" s="2">
        <f>IFERROR(_xlfn.IFNA(VLOOKUP(F149,Summary_Pre!E:F,2,FALSE),0),0)</f>
        <v>0</v>
      </c>
      <c r="E149" s="249" t="e">
        <f t="shared" si="11"/>
        <v>#N/A</v>
      </c>
      <c r="F149" s="2" t="e">
        <f t="array" ref="F149">INDEX(Summary_Pre!E$4:E$303, MATCH(0, COUNTIF($F$2:F148,Summary_Pre!E$4:E$303), 0))</f>
        <v>#N/A</v>
      </c>
      <c r="G149" s="271" t="e">
        <f>VLOOKUP(X149,Table7[[#All],[FIXTURE CODE]:[WATT/ FIXT]], 6, FALSE)</f>
        <v>#N/A</v>
      </c>
      <c r="H149" s="271" t="e">
        <f>VLOOKUP(Y149,Table7[[#All],[FIXTURE CODE]:[WATT/ FIXT]], 6, FALSE)</f>
        <v>#N/A</v>
      </c>
      <c r="I149" s="272">
        <f>SUMIF(Summary_Pre!E:E,"="&amp;F149,Summary_Pre!D:D)</f>
        <v>0</v>
      </c>
      <c r="J149" s="263">
        <f>SUMIF(Summary_Pre!E:E,"="&amp;F149,Summary_Pre!H:H)</f>
        <v>0</v>
      </c>
      <c r="K149" s="262">
        <f>SUMIF(Summary_Pre!E:E,"="&amp; F149,Summary_Pre!I:I)</f>
        <v>0</v>
      </c>
      <c r="L149" s="3">
        <f>SUMIF(Summary_Pre!E:E,"="&amp; F149,Summary_Pre!J:J)</f>
        <v>0</v>
      </c>
      <c r="M149" s="285">
        <f>SUMIF(Summary_Pre!E:E,"="&amp; F149,Summary_Pre!K:K)</f>
        <v>0</v>
      </c>
      <c r="N149" s="285">
        <f>SUMIF(Summary_Pre!E:E,"="&amp;F149,Summary_Pre!C:C)</f>
        <v>0</v>
      </c>
      <c r="O149" s="266">
        <f t="shared" si="12"/>
        <v>0</v>
      </c>
      <c r="P149" s="3"/>
      <c r="Q149" s="3"/>
      <c r="R149" s="3"/>
      <c r="S149" s="3"/>
      <c r="T149" s="3"/>
      <c r="U149" s="3"/>
      <c r="V149" s="3"/>
      <c r="W149" s="2"/>
      <c r="X149" s="281" t="e">
        <f t="shared" si="9"/>
        <v>#N/A</v>
      </c>
      <c r="Y149" s="279" t="e">
        <f t="shared" si="10"/>
        <v>#N/A</v>
      </c>
    </row>
    <row r="150" spans="1:25">
      <c r="A150" s="249" t="e">
        <f>IF(D150='Tables &amp; Ranges'!$A$133, 'Tables &amp; Ranges'!$B$133, IF(D150='Tables &amp; Ranges'!$A$134, 'Tables &amp; Ranges'!$B$134, IF(D150='Tables &amp; Ranges'!$A$135, 'Tables &amp; Ranges'!$B$135, IF(D150='Tables &amp; Ranges'!$A$136, 'Tables &amp; Ranges'!$B$136, IF(D150='Tables &amp; Ranges'!$A$99, 'Tables &amp; Ranges'!$B$116, VLOOKUP(X150,'Fixture Table'!$C$3:$M$1785, 10, FALSE))))))</f>
        <v>#N/A</v>
      </c>
      <c r="D150" s="2">
        <f>IFERROR(_xlfn.IFNA(VLOOKUP(F150,Summary_Pre!E:F,2,FALSE),0),0)</f>
        <v>0</v>
      </c>
      <c r="E150" s="249" t="e">
        <f t="shared" si="11"/>
        <v>#N/A</v>
      </c>
      <c r="F150" s="2" t="e">
        <f t="array" ref="F150">INDEX(Summary_Pre!E$4:E$303, MATCH(0, COUNTIF($F$2:F149,Summary_Pre!E$4:E$303), 0))</f>
        <v>#N/A</v>
      </c>
      <c r="G150" s="271" t="e">
        <f>VLOOKUP(X150,Table7[[#All],[FIXTURE CODE]:[WATT/ FIXT]], 6, FALSE)</f>
        <v>#N/A</v>
      </c>
      <c r="H150" s="271" t="e">
        <f>VLOOKUP(Y150,Table7[[#All],[FIXTURE CODE]:[WATT/ FIXT]], 6, FALSE)</f>
        <v>#N/A</v>
      </c>
      <c r="I150" s="272">
        <f>SUMIF(Summary_Pre!E:E,"="&amp;F150,Summary_Pre!D:D)</f>
        <v>0</v>
      </c>
      <c r="J150" s="263">
        <f>SUMIF(Summary_Pre!E:E,"="&amp;F150,Summary_Pre!H:H)</f>
        <v>0</v>
      </c>
      <c r="K150" s="262">
        <f>SUMIF(Summary_Pre!E:E,"="&amp; F150,Summary_Pre!I:I)</f>
        <v>0</v>
      </c>
      <c r="L150" s="3">
        <f>SUMIF(Summary_Pre!E:E,"="&amp; F150,Summary_Pre!J:J)</f>
        <v>0</v>
      </c>
      <c r="M150" s="285">
        <f>SUMIF(Summary_Pre!E:E,"="&amp; F150,Summary_Pre!K:K)</f>
        <v>0</v>
      </c>
      <c r="N150" s="285">
        <f>SUMIF(Summary_Pre!E:E,"="&amp;F150,Summary_Pre!C:C)</f>
        <v>0</v>
      </c>
      <c r="O150" s="266">
        <f t="shared" si="12"/>
        <v>0</v>
      </c>
      <c r="P150" s="3"/>
      <c r="Q150" s="3"/>
      <c r="R150" s="3"/>
      <c r="S150" s="3"/>
      <c r="T150" s="3"/>
      <c r="U150" s="3"/>
      <c r="V150" s="3"/>
      <c r="W150" s="2"/>
      <c r="X150" s="281" t="e">
        <f t="shared" si="9"/>
        <v>#N/A</v>
      </c>
      <c r="Y150" s="279" t="e">
        <f t="shared" si="10"/>
        <v>#N/A</v>
      </c>
    </row>
    <row r="151" spans="1:25">
      <c r="A151" s="249" t="e">
        <f>IF(D151='Tables &amp; Ranges'!$A$133, 'Tables &amp; Ranges'!$B$133, IF(D151='Tables &amp; Ranges'!$A$134, 'Tables &amp; Ranges'!$B$134, IF(D151='Tables &amp; Ranges'!$A$135, 'Tables &amp; Ranges'!$B$135, IF(D151='Tables &amp; Ranges'!$A$136, 'Tables &amp; Ranges'!$B$136, IF(D151='Tables &amp; Ranges'!$A$99, 'Tables &amp; Ranges'!$B$116, VLOOKUP(X151,'Fixture Table'!$C$3:$M$1785, 10, FALSE))))))</f>
        <v>#N/A</v>
      </c>
      <c r="D151" s="2">
        <f>IFERROR(_xlfn.IFNA(VLOOKUP(F151,Summary_Pre!E:F,2,FALSE),0),0)</f>
        <v>0</v>
      </c>
      <c r="E151" s="249" t="e">
        <f t="shared" si="11"/>
        <v>#N/A</v>
      </c>
      <c r="F151" s="2" t="e">
        <f t="array" ref="F151">INDEX(Summary_Pre!E$4:E$303, MATCH(0, COUNTIF($F$2:F150,Summary_Pre!E$4:E$303), 0))</f>
        <v>#N/A</v>
      </c>
      <c r="G151" s="271" t="e">
        <f>VLOOKUP(X151,Table7[[#All],[FIXTURE CODE]:[WATT/ FIXT]], 6, FALSE)</f>
        <v>#N/A</v>
      </c>
      <c r="H151" s="271" t="e">
        <f>VLOOKUP(Y151,Table7[[#All],[FIXTURE CODE]:[WATT/ FIXT]], 6, FALSE)</f>
        <v>#N/A</v>
      </c>
      <c r="I151" s="272">
        <f>SUMIF(Summary_Pre!E:E,"="&amp;F151,Summary_Pre!D:D)</f>
        <v>0</v>
      </c>
      <c r="J151" s="263">
        <f>SUMIF(Summary_Pre!E:E,"="&amp;F151,Summary_Pre!H:H)</f>
        <v>0</v>
      </c>
      <c r="K151" s="262">
        <f>SUMIF(Summary_Pre!E:E,"="&amp; F151,Summary_Pre!I:I)</f>
        <v>0</v>
      </c>
      <c r="L151" s="3">
        <f>SUMIF(Summary_Pre!E:E,"="&amp; F151,Summary_Pre!J:J)</f>
        <v>0</v>
      </c>
      <c r="M151" s="285">
        <f>SUMIF(Summary_Pre!E:E,"="&amp; F151,Summary_Pre!K:K)</f>
        <v>0</v>
      </c>
      <c r="N151" s="285">
        <f>SUMIF(Summary_Pre!E:E,"="&amp;F151,Summary_Pre!C:C)</f>
        <v>0</v>
      </c>
      <c r="O151" s="266">
        <f t="shared" si="12"/>
        <v>0</v>
      </c>
      <c r="P151" s="3"/>
      <c r="Q151" s="3"/>
      <c r="R151" s="3"/>
      <c r="S151" s="3"/>
      <c r="T151" s="3"/>
      <c r="U151" s="3"/>
      <c r="V151" s="3"/>
      <c r="W151" s="2"/>
      <c r="X151" s="281" t="e">
        <f t="shared" si="9"/>
        <v>#N/A</v>
      </c>
      <c r="Y151" s="279" t="e">
        <f t="shared" si="10"/>
        <v>#N/A</v>
      </c>
    </row>
    <row r="152" spans="1:25">
      <c r="A152" s="249" t="e">
        <f>IF(D152='Tables &amp; Ranges'!$A$133, 'Tables &amp; Ranges'!$B$133, IF(D152='Tables &amp; Ranges'!$A$134, 'Tables &amp; Ranges'!$B$134, IF(D152='Tables &amp; Ranges'!$A$135, 'Tables &amp; Ranges'!$B$135, IF(D152='Tables &amp; Ranges'!$A$136, 'Tables &amp; Ranges'!$B$136, IF(D152='Tables &amp; Ranges'!$A$99, 'Tables &amp; Ranges'!$B$116, VLOOKUP(X152,'Fixture Table'!$C$3:$M$1785, 10, FALSE))))))</f>
        <v>#N/A</v>
      </c>
      <c r="D152" s="2">
        <f>IFERROR(_xlfn.IFNA(VLOOKUP(F152,Summary_Pre!E:F,2,FALSE),0),0)</f>
        <v>0</v>
      </c>
      <c r="E152" s="249" t="e">
        <f t="shared" si="11"/>
        <v>#N/A</v>
      </c>
      <c r="F152" s="2" t="e">
        <f t="array" ref="F152">INDEX(Summary_Pre!E$4:E$303, MATCH(0, COUNTIF($F$2:F151,Summary_Pre!E$4:E$303), 0))</f>
        <v>#N/A</v>
      </c>
      <c r="G152" s="271" t="e">
        <f>VLOOKUP(X152,Table7[[#All],[FIXTURE CODE]:[WATT/ FIXT]], 6, FALSE)</f>
        <v>#N/A</v>
      </c>
      <c r="H152" s="271" t="e">
        <f>VLOOKUP(Y152,Table7[[#All],[FIXTURE CODE]:[WATT/ FIXT]], 6, FALSE)</f>
        <v>#N/A</v>
      </c>
      <c r="I152" s="272">
        <f>SUMIF(Summary_Pre!E:E,"="&amp;F152,Summary_Pre!D:D)</f>
        <v>0</v>
      </c>
      <c r="J152" s="263">
        <f>SUMIF(Summary_Pre!E:E,"="&amp;F152,Summary_Pre!H:H)</f>
        <v>0</v>
      </c>
      <c r="K152" s="262">
        <f>SUMIF(Summary_Pre!E:E,"="&amp; F152,Summary_Pre!I:I)</f>
        <v>0</v>
      </c>
      <c r="L152" s="3">
        <f>SUMIF(Summary_Pre!E:E,"="&amp; F152,Summary_Pre!J:J)</f>
        <v>0</v>
      </c>
      <c r="M152" s="285">
        <f>SUMIF(Summary_Pre!E:E,"="&amp; F152,Summary_Pre!K:K)</f>
        <v>0</v>
      </c>
      <c r="N152" s="285">
        <f>SUMIF(Summary_Pre!E:E,"="&amp;F152,Summary_Pre!C:C)</f>
        <v>0</v>
      </c>
      <c r="O152" s="266">
        <f t="shared" si="12"/>
        <v>0</v>
      </c>
      <c r="P152" s="3"/>
      <c r="Q152" s="3"/>
      <c r="R152" s="3"/>
      <c r="S152" s="3"/>
      <c r="T152" s="3"/>
      <c r="U152" s="3"/>
      <c r="V152" s="3"/>
      <c r="W152" s="2"/>
      <c r="X152" s="281" t="e">
        <f t="shared" si="9"/>
        <v>#N/A</v>
      </c>
      <c r="Y152" s="279" t="e">
        <f t="shared" si="10"/>
        <v>#N/A</v>
      </c>
    </row>
    <row r="153" spans="1:25">
      <c r="A153" s="249" t="e">
        <f>IF(D153='Tables &amp; Ranges'!$A$133, 'Tables &amp; Ranges'!$B$133, IF(D153='Tables &amp; Ranges'!$A$134, 'Tables &amp; Ranges'!$B$134, IF(D153='Tables &amp; Ranges'!$A$135, 'Tables &amp; Ranges'!$B$135, IF(D153='Tables &amp; Ranges'!$A$136, 'Tables &amp; Ranges'!$B$136, IF(D153='Tables &amp; Ranges'!$A$99, 'Tables &amp; Ranges'!$B$116, VLOOKUP(X153,'Fixture Table'!$C$3:$M$1785, 10, FALSE))))))</f>
        <v>#N/A</v>
      </c>
      <c r="D153" s="2">
        <f>IFERROR(_xlfn.IFNA(VLOOKUP(F153,Summary_Pre!E:F,2,FALSE),0),0)</f>
        <v>0</v>
      </c>
      <c r="E153" s="249" t="e">
        <f t="shared" si="11"/>
        <v>#N/A</v>
      </c>
      <c r="F153" s="2" t="e">
        <f t="array" ref="F153">INDEX(Summary_Pre!E$4:E$303, MATCH(0, COUNTIF($F$2:F152,Summary_Pre!E$4:E$303), 0))</f>
        <v>#N/A</v>
      </c>
      <c r="G153" s="271" t="e">
        <f>VLOOKUP(X153,Table7[[#All],[FIXTURE CODE]:[WATT/ FIXT]], 6, FALSE)</f>
        <v>#N/A</v>
      </c>
      <c r="H153" s="271" t="e">
        <f>VLOOKUP(Y153,Table7[[#All],[FIXTURE CODE]:[WATT/ FIXT]], 6, FALSE)</f>
        <v>#N/A</v>
      </c>
      <c r="I153" s="272">
        <f>SUMIF(Summary_Pre!E:E,"="&amp;F153,Summary_Pre!D:D)</f>
        <v>0</v>
      </c>
      <c r="J153" s="263">
        <f>SUMIF(Summary_Pre!E:E,"="&amp;F153,Summary_Pre!H:H)</f>
        <v>0</v>
      </c>
      <c r="K153" s="262">
        <f>SUMIF(Summary_Pre!E:E,"="&amp; F153,Summary_Pre!I:I)</f>
        <v>0</v>
      </c>
      <c r="L153" s="3">
        <f>SUMIF(Summary_Pre!E:E,"="&amp; F153,Summary_Pre!J:J)</f>
        <v>0</v>
      </c>
      <c r="M153" s="285">
        <f>SUMIF(Summary_Pre!E:E,"="&amp; F153,Summary_Pre!K:K)</f>
        <v>0</v>
      </c>
      <c r="N153" s="285">
        <f>SUMIF(Summary_Pre!E:E,"="&amp;F153,Summary_Pre!C:C)</f>
        <v>0</v>
      </c>
      <c r="O153" s="266">
        <f t="shared" si="12"/>
        <v>0</v>
      </c>
      <c r="P153" s="3"/>
      <c r="Q153" s="3"/>
      <c r="R153" s="3"/>
      <c r="S153" s="3"/>
      <c r="T153" s="3"/>
      <c r="U153" s="3"/>
      <c r="V153" s="3"/>
      <c r="W153" s="2"/>
      <c r="X153" s="281" t="e">
        <f t="shared" si="9"/>
        <v>#N/A</v>
      </c>
      <c r="Y153" s="279" t="e">
        <f t="shared" si="10"/>
        <v>#N/A</v>
      </c>
    </row>
    <row r="154" spans="1:25">
      <c r="A154" s="249" t="e">
        <f>IF(D154='Tables &amp; Ranges'!$A$133, 'Tables &amp; Ranges'!$B$133, IF(D154='Tables &amp; Ranges'!$A$134, 'Tables &amp; Ranges'!$B$134, IF(D154='Tables &amp; Ranges'!$A$135, 'Tables &amp; Ranges'!$B$135, IF(D154='Tables &amp; Ranges'!$A$136, 'Tables &amp; Ranges'!$B$136, IF(D154='Tables &amp; Ranges'!$A$99, 'Tables &amp; Ranges'!$B$116, VLOOKUP(X154,'Fixture Table'!$C$3:$M$1785, 10, FALSE))))))</f>
        <v>#N/A</v>
      </c>
      <c r="D154" s="2">
        <f>IFERROR(_xlfn.IFNA(VLOOKUP(F154,Summary_Pre!E:F,2,FALSE),0),0)</f>
        <v>0</v>
      </c>
      <c r="E154" s="249" t="e">
        <f t="shared" si="11"/>
        <v>#N/A</v>
      </c>
      <c r="F154" s="2" t="e">
        <f t="array" ref="F154">INDEX(Summary_Pre!E$4:E$303, MATCH(0, COUNTIF($F$2:F153,Summary_Pre!E$4:E$303), 0))</f>
        <v>#N/A</v>
      </c>
      <c r="G154" s="271" t="e">
        <f>VLOOKUP(X154,Table7[[#All],[FIXTURE CODE]:[WATT/ FIXT]], 6, FALSE)</f>
        <v>#N/A</v>
      </c>
      <c r="H154" s="271" t="e">
        <f>VLOOKUP(Y154,Table7[[#All],[FIXTURE CODE]:[WATT/ FIXT]], 6, FALSE)</f>
        <v>#N/A</v>
      </c>
      <c r="I154" s="272">
        <f>SUMIF(Summary_Pre!E:E,"="&amp;F154,Summary_Pre!D:D)</f>
        <v>0</v>
      </c>
      <c r="J154" s="263">
        <f>SUMIF(Summary_Pre!E:E,"="&amp;F154,Summary_Pre!H:H)</f>
        <v>0</v>
      </c>
      <c r="K154" s="262">
        <f>SUMIF(Summary_Pre!E:E,"="&amp; F154,Summary_Pre!I:I)</f>
        <v>0</v>
      </c>
      <c r="L154" s="3">
        <f>SUMIF(Summary_Pre!E:E,"="&amp; F154,Summary_Pre!J:J)</f>
        <v>0</v>
      </c>
      <c r="M154" s="285">
        <f>SUMIF(Summary_Pre!E:E,"="&amp; F154,Summary_Pre!K:K)</f>
        <v>0</v>
      </c>
      <c r="N154" s="285">
        <f>SUMIF(Summary_Pre!E:E,"="&amp;F154,Summary_Pre!C:C)</f>
        <v>0</v>
      </c>
      <c r="O154" s="266">
        <f t="shared" si="12"/>
        <v>0</v>
      </c>
      <c r="P154" s="3"/>
      <c r="Q154" s="3"/>
      <c r="R154" s="3"/>
      <c r="S154" s="3"/>
      <c r="T154" s="3"/>
      <c r="U154" s="3"/>
      <c r="V154" s="3"/>
      <c r="W154" s="2"/>
      <c r="X154" s="281" t="e">
        <f t="shared" si="9"/>
        <v>#N/A</v>
      </c>
      <c r="Y154" s="279" t="e">
        <f t="shared" si="10"/>
        <v>#N/A</v>
      </c>
    </row>
    <row r="155" spans="1:25">
      <c r="A155" s="249" t="e">
        <f>IF(D155='Tables &amp; Ranges'!$A$133, 'Tables &amp; Ranges'!$B$133, IF(D155='Tables &amp; Ranges'!$A$134, 'Tables &amp; Ranges'!$B$134, IF(D155='Tables &amp; Ranges'!$A$135, 'Tables &amp; Ranges'!$B$135, IF(D155='Tables &amp; Ranges'!$A$136, 'Tables &amp; Ranges'!$B$136, IF(D155='Tables &amp; Ranges'!$A$99, 'Tables &amp; Ranges'!$B$116, VLOOKUP(X155,'Fixture Table'!$C$3:$M$1785, 10, FALSE))))))</f>
        <v>#N/A</v>
      </c>
      <c r="D155" s="2">
        <f>IFERROR(_xlfn.IFNA(VLOOKUP(F155,Summary_Pre!E:F,2,FALSE),0),0)</f>
        <v>0</v>
      </c>
      <c r="E155" s="249" t="e">
        <f t="shared" si="11"/>
        <v>#N/A</v>
      </c>
      <c r="F155" s="2" t="e">
        <f t="array" ref="F155">INDEX(Summary_Pre!E$4:E$303, MATCH(0, COUNTIF($F$2:F154,Summary_Pre!E$4:E$303), 0))</f>
        <v>#N/A</v>
      </c>
      <c r="G155" s="271" t="e">
        <f>VLOOKUP(X155,Table7[[#All],[FIXTURE CODE]:[WATT/ FIXT]], 6, FALSE)</f>
        <v>#N/A</v>
      </c>
      <c r="H155" s="271" t="e">
        <f>VLOOKUP(Y155,Table7[[#All],[FIXTURE CODE]:[WATT/ FIXT]], 6, FALSE)</f>
        <v>#N/A</v>
      </c>
      <c r="I155" s="272">
        <f>SUMIF(Summary_Pre!E:E,"="&amp;F155,Summary_Pre!D:D)</f>
        <v>0</v>
      </c>
      <c r="J155" s="263">
        <f>SUMIF(Summary_Pre!E:E,"="&amp;F155,Summary_Pre!H:H)</f>
        <v>0</v>
      </c>
      <c r="K155" s="262">
        <f>SUMIF(Summary_Pre!E:E,"="&amp; F155,Summary_Pre!I:I)</f>
        <v>0</v>
      </c>
      <c r="L155" s="3">
        <f>SUMIF(Summary_Pre!E:E,"="&amp; F155,Summary_Pre!J:J)</f>
        <v>0</v>
      </c>
      <c r="M155" s="285">
        <f>SUMIF(Summary_Pre!E:E,"="&amp; F155,Summary_Pre!K:K)</f>
        <v>0</v>
      </c>
      <c r="N155" s="285">
        <f>SUMIF(Summary_Pre!E:E,"="&amp;F155,Summary_Pre!C:C)</f>
        <v>0</v>
      </c>
      <c r="O155" s="266">
        <f t="shared" si="12"/>
        <v>0</v>
      </c>
      <c r="P155" s="3"/>
      <c r="Q155" s="3"/>
      <c r="R155" s="3"/>
      <c r="S155" s="3"/>
      <c r="T155" s="3"/>
      <c r="U155" s="3"/>
      <c r="V155" s="3"/>
      <c r="W155" s="2"/>
      <c r="X155" s="281" t="e">
        <f t="shared" si="9"/>
        <v>#N/A</v>
      </c>
      <c r="Y155" s="279" t="e">
        <f t="shared" si="10"/>
        <v>#N/A</v>
      </c>
    </row>
    <row r="156" spans="1:25">
      <c r="A156" s="249" t="e">
        <f>IF(D156='Tables &amp; Ranges'!$A$133, 'Tables &amp; Ranges'!$B$133, IF(D156='Tables &amp; Ranges'!$A$134, 'Tables &amp; Ranges'!$B$134, IF(D156='Tables &amp; Ranges'!$A$135, 'Tables &amp; Ranges'!$B$135, IF(D156='Tables &amp; Ranges'!$A$136, 'Tables &amp; Ranges'!$B$136, IF(D156='Tables &amp; Ranges'!$A$99, 'Tables &amp; Ranges'!$B$116, VLOOKUP(X156,'Fixture Table'!$C$3:$M$1785, 10, FALSE))))))</f>
        <v>#N/A</v>
      </c>
      <c r="D156" s="2">
        <f>IFERROR(_xlfn.IFNA(VLOOKUP(F156,Summary_Pre!E:F,2,FALSE),0),0)</f>
        <v>0</v>
      </c>
      <c r="E156" s="249" t="e">
        <f t="shared" si="11"/>
        <v>#N/A</v>
      </c>
      <c r="F156" s="2" t="e">
        <f t="array" ref="F156">INDEX(Summary_Pre!E$4:E$303, MATCH(0, COUNTIF($F$2:F155,Summary_Pre!E$4:E$303), 0))</f>
        <v>#N/A</v>
      </c>
      <c r="G156" s="271" t="e">
        <f>VLOOKUP(X156,Table7[[#All],[FIXTURE CODE]:[WATT/ FIXT]], 6, FALSE)</f>
        <v>#N/A</v>
      </c>
      <c r="H156" s="271" t="e">
        <f>VLOOKUP(Y156,Table7[[#All],[FIXTURE CODE]:[WATT/ FIXT]], 6, FALSE)</f>
        <v>#N/A</v>
      </c>
      <c r="I156" s="272">
        <f>SUMIF(Summary_Pre!E:E,"="&amp;F156,Summary_Pre!D:D)</f>
        <v>0</v>
      </c>
      <c r="J156" s="263">
        <f>SUMIF(Summary_Pre!E:E,"="&amp;F156,Summary_Pre!H:H)</f>
        <v>0</v>
      </c>
      <c r="K156" s="262">
        <f>SUMIF(Summary_Pre!E:E,"="&amp; F156,Summary_Pre!I:I)</f>
        <v>0</v>
      </c>
      <c r="L156" s="3">
        <f>SUMIF(Summary_Pre!E:E,"="&amp; F156,Summary_Pre!J:J)</f>
        <v>0</v>
      </c>
      <c r="M156" s="285">
        <f>SUMIF(Summary_Pre!E:E,"="&amp; F156,Summary_Pre!K:K)</f>
        <v>0</v>
      </c>
      <c r="N156" s="285">
        <f>SUMIF(Summary_Pre!E:E,"="&amp;F156,Summary_Pre!C:C)</f>
        <v>0</v>
      </c>
      <c r="O156" s="266">
        <f t="shared" si="12"/>
        <v>0</v>
      </c>
      <c r="P156" s="3"/>
      <c r="Q156" s="3"/>
      <c r="R156" s="3"/>
      <c r="S156" s="3"/>
      <c r="T156" s="3"/>
      <c r="U156" s="3"/>
      <c r="V156" s="3"/>
      <c r="W156" s="2"/>
      <c r="X156" s="281" t="e">
        <f t="shared" si="9"/>
        <v>#N/A</v>
      </c>
      <c r="Y156" s="279" t="e">
        <f t="shared" si="10"/>
        <v>#N/A</v>
      </c>
    </row>
    <row r="157" spans="1:25">
      <c r="A157" s="249" t="e">
        <f>IF(D157='Tables &amp; Ranges'!$A$133, 'Tables &amp; Ranges'!$B$133, IF(D157='Tables &amp; Ranges'!$A$134, 'Tables &amp; Ranges'!$B$134, IF(D157='Tables &amp; Ranges'!$A$135, 'Tables &amp; Ranges'!$B$135, IF(D157='Tables &amp; Ranges'!$A$136, 'Tables &amp; Ranges'!$B$136, IF(D157='Tables &amp; Ranges'!$A$99, 'Tables &amp; Ranges'!$B$116, VLOOKUP(X157,'Fixture Table'!$C$3:$M$1785, 10, FALSE))))))</f>
        <v>#N/A</v>
      </c>
      <c r="D157" s="2">
        <f>IFERROR(_xlfn.IFNA(VLOOKUP(F157,Summary_Pre!E:F,2,FALSE),0),0)</f>
        <v>0</v>
      </c>
      <c r="E157" s="249" t="e">
        <f t="shared" si="11"/>
        <v>#N/A</v>
      </c>
      <c r="F157" s="2" t="e">
        <f t="array" ref="F157">INDEX(Summary_Pre!E$4:E$303, MATCH(0, COUNTIF($F$2:F156,Summary_Pre!E$4:E$303), 0))</f>
        <v>#N/A</v>
      </c>
      <c r="G157" s="271" t="e">
        <f>VLOOKUP(X157,Table7[[#All],[FIXTURE CODE]:[WATT/ FIXT]], 6, FALSE)</f>
        <v>#N/A</v>
      </c>
      <c r="H157" s="271" t="e">
        <f>VLOOKUP(Y157,Table7[[#All],[FIXTURE CODE]:[WATT/ FIXT]], 6, FALSE)</f>
        <v>#N/A</v>
      </c>
      <c r="I157" s="272">
        <f>SUMIF(Summary_Pre!E:E,"="&amp;F157,Summary_Pre!D:D)</f>
        <v>0</v>
      </c>
      <c r="J157" s="263">
        <f>SUMIF(Summary_Pre!E:E,"="&amp;F157,Summary_Pre!H:H)</f>
        <v>0</v>
      </c>
      <c r="K157" s="262">
        <f>SUMIF(Summary_Pre!E:E,"="&amp; F157,Summary_Pre!I:I)</f>
        <v>0</v>
      </c>
      <c r="L157" s="3">
        <f>SUMIF(Summary_Pre!E:E,"="&amp; F157,Summary_Pre!J:J)</f>
        <v>0</v>
      </c>
      <c r="M157" s="285">
        <f>SUMIF(Summary_Pre!E:E,"="&amp; F157,Summary_Pre!K:K)</f>
        <v>0</v>
      </c>
      <c r="N157" s="285">
        <f>SUMIF(Summary_Pre!E:E,"="&amp;F157,Summary_Pre!C:C)</f>
        <v>0</v>
      </c>
      <c r="O157" s="266">
        <f t="shared" si="12"/>
        <v>0</v>
      </c>
      <c r="P157" s="3"/>
      <c r="Q157" s="3"/>
      <c r="R157" s="3"/>
      <c r="S157" s="3"/>
      <c r="T157" s="3"/>
      <c r="U157" s="3"/>
      <c r="V157" s="3"/>
      <c r="W157" s="2"/>
      <c r="X157" s="281" t="e">
        <f t="shared" si="9"/>
        <v>#N/A</v>
      </c>
      <c r="Y157" s="279" t="e">
        <f t="shared" si="10"/>
        <v>#N/A</v>
      </c>
    </row>
    <row r="158" spans="1:25">
      <c r="A158" s="249" t="e">
        <f>IF(D158='Tables &amp; Ranges'!$A$133, 'Tables &amp; Ranges'!$B$133, IF(D158='Tables &amp; Ranges'!$A$134, 'Tables &amp; Ranges'!$B$134, IF(D158='Tables &amp; Ranges'!$A$135, 'Tables &amp; Ranges'!$B$135, IF(D158='Tables &amp; Ranges'!$A$136, 'Tables &amp; Ranges'!$B$136, IF(D158='Tables &amp; Ranges'!$A$99, 'Tables &amp; Ranges'!$B$116, VLOOKUP(X158,'Fixture Table'!$C$3:$M$1785, 10, FALSE))))))</f>
        <v>#N/A</v>
      </c>
      <c r="D158" s="2">
        <f>IFERROR(_xlfn.IFNA(VLOOKUP(F158,Summary_Pre!E:F,2,FALSE),0),0)</f>
        <v>0</v>
      </c>
      <c r="E158" s="249" t="e">
        <f t="shared" si="11"/>
        <v>#N/A</v>
      </c>
      <c r="F158" s="2" t="e">
        <f t="array" ref="F158">INDEX(Summary_Pre!E$4:E$303, MATCH(0, COUNTIF($F$2:F157,Summary_Pre!E$4:E$303), 0))</f>
        <v>#N/A</v>
      </c>
      <c r="G158" s="271" t="e">
        <f>VLOOKUP(X158,Table7[[#All],[FIXTURE CODE]:[WATT/ FIXT]], 6, FALSE)</f>
        <v>#N/A</v>
      </c>
      <c r="H158" s="271" t="e">
        <f>VLOOKUP(Y158,Table7[[#All],[FIXTURE CODE]:[WATT/ FIXT]], 6, FALSE)</f>
        <v>#N/A</v>
      </c>
      <c r="I158" s="272">
        <f>SUMIF(Summary_Pre!E:E,"="&amp;F158,Summary_Pre!D:D)</f>
        <v>0</v>
      </c>
      <c r="J158" s="263">
        <f>SUMIF(Summary_Pre!E:E,"="&amp;F158,Summary_Pre!H:H)</f>
        <v>0</v>
      </c>
      <c r="K158" s="262">
        <f>SUMIF(Summary_Pre!E:E,"="&amp; F158,Summary_Pre!I:I)</f>
        <v>0</v>
      </c>
      <c r="L158" s="3">
        <f>SUMIF(Summary_Pre!E:E,"="&amp; F158,Summary_Pre!J:J)</f>
        <v>0</v>
      </c>
      <c r="M158" s="285">
        <f>SUMIF(Summary_Pre!E:E,"="&amp; F158,Summary_Pre!K:K)</f>
        <v>0</v>
      </c>
      <c r="N158" s="285">
        <f>SUMIF(Summary_Pre!E:E,"="&amp;F158,Summary_Pre!C:C)</f>
        <v>0</v>
      </c>
      <c r="O158" s="266">
        <f t="shared" si="12"/>
        <v>0</v>
      </c>
      <c r="P158" s="3"/>
      <c r="Q158" s="3"/>
      <c r="R158" s="3"/>
      <c r="S158" s="3"/>
      <c r="T158" s="3"/>
      <c r="U158" s="3"/>
      <c r="V158" s="3"/>
      <c r="W158" s="2"/>
      <c r="X158" s="281" t="e">
        <f t="shared" si="9"/>
        <v>#N/A</v>
      </c>
      <c r="Y158" s="279" t="e">
        <f t="shared" si="10"/>
        <v>#N/A</v>
      </c>
    </row>
    <row r="159" spans="1:25">
      <c r="A159" s="249" t="e">
        <f>IF(D159='Tables &amp; Ranges'!$A$133, 'Tables &amp; Ranges'!$B$133, IF(D159='Tables &amp; Ranges'!$A$134, 'Tables &amp; Ranges'!$B$134, IF(D159='Tables &amp; Ranges'!$A$135, 'Tables &amp; Ranges'!$B$135, IF(D159='Tables &amp; Ranges'!$A$136, 'Tables &amp; Ranges'!$B$136, IF(D159='Tables &amp; Ranges'!$A$99, 'Tables &amp; Ranges'!$B$116, VLOOKUP(X159,'Fixture Table'!$C$3:$M$1785, 10, FALSE))))))</f>
        <v>#N/A</v>
      </c>
      <c r="D159" s="2">
        <f>IFERROR(_xlfn.IFNA(VLOOKUP(F159,Summary_Pre!E:F,2,FALSE),0),0)</f>
        <v>0</v>
      </c>
      <c r="E159" s="249" t="e">
        <f t="shared" si="11"/>
        <v>#N/A</v>
      </c>
      <c r="F159" s="2" t="e">
        <f t="array" ref="F159">INDEX(Summary_Pre!E$4:E$303, MATCH(0, COUNTIF($F$2:F158,Summary_Pre!E$4:E$303), 0))</f>
        <v>#N/A</v>
      </c>
      <c r="G159" s="271" t="e">
        <f>VLOOKUP(X159,Table7[[#All],[FIXTURE CODE]:[WATT/ FIXT]], 6, FALSE)</f>
        <v>#N/A</v>
      </c>
      <c r="H159" s="271" t="e">
        <f>VLOOKUP(Y159,Table7[[#All],[FIXTURE CODE]:[WATT/ FIXT]], 6, FALSE)</f>
        <v>#N/A</v>
      </c>
      <c r="I159" s="272">
        <f>SUMIF(Summary_Pre!E:E,"="&amp;F159,Summary_Pre!D:D)</f>
        <v>0</v>
      </c>
      <c r="J159" s="263">
        <f>SUMIF(Summary_Pre!E:E,"="&amp;F159,Summary_Pre!H:H)</f>
        <v>0</v>
      </c>
      <c r="K159" s="262">
        <f>SUMIF(Summary_Pre!E:E,"="&amp; F159,Summary_Pre!I:I)</f>
        <v>0</v>
      </c>
      <c r="L159" s="3">
        <f>SUMIF(Summary_Pre!E:E,"="&amp; F159,Summary_Pre!J:J)</f>
        <v>0</v>
      </c>
      <c r="M159" s="285">
        <f>SUMIF(Summary_Pre!E:E,"="&amp; F159,Summary_Pre!K:K)</f>
        <v>0</v>
      </c>
      <c r="N159" s="285">
        <f>SUMIF(Summary_Pre!E:E,"="&amp;F159,Summary_Pre!C:C)</f>
        <v>0</v>
      </c>
      <c r="O159" s="266">
        <f t="shared" si="12"/>
        <v>0</v>
      </c>
      <c r="P159" s="3"/>
      <c r="Q159" s="3"/>
      <c r="R159" s="3"/>
      <c r="S159" s="3"/>
      <c r="T159" s="3"/>
      <c r="U159" s="3"/>
      <c r="V159" s="3"/>
      <c r="W159" s="2"/>
      <c r="X159" s="281" t="e">
        <f t="shared" si="9"/>
        <v>#N/A</v>
      </c>
      <c r="Y159" s="279" t="e">
        <f t="shared" si="10"/>
        <v>#N/A</v>
      </c>
    </row>
    <row r="160" spans="1:25">
      <c r="A160" s="249" t="e">
        <f>IF(D160='Tables &amp; Ranges'!$A$133, 'Tables &amp; Ranges'!$B$133, IF(D160='Tables &amp; Ranges'!$A$134, 'Tables &amp; Ranges'!$B$134, IF(D160='Tables &amp; Ranges'!$A$135, 'Tables &amp; Ranges'!$B$135, IF(D160='Tables &amp; Ranges'!$A$136, 'Tables &amp; Ranges'!$B$136, IF(D160='Tables &amp; Ranges'!$A$99, 'Tables &amp; Ranges'!$B$116, VLOOKUP(X160,'Fixture Table'!$C$3:$M$1785, 10, FALSE))))))</f>
        <v>#N/A</v>
      </c>
      <c r="D160" s="2">
        <f>IFERROR(_xlfn.IFNA(VLOOKUP(F160,Summary_Pre!E:F,2,FALSE),0),0)</f>
        <v>0</v>
      </c>
      <c r="E160" s="249" t="e">
        <f t="shared" si="11"/>
        <v>#N/A</v>
      </c>
      <c r="F160" s="2" t="e">
        <f t="array" ref="F160">INDEX(Summary_Pre!E$4:E$303, MATCH(0, COUNTIF($F$2:F159,Summary_Pre!E$4:E$303), 0))</f>
        <v>#N/A</v>
      </c>
      <c r="G160" s="271" t="e">
        <f>VLOOKUP(X160,Table7[[#All],[FIXTURE CODE]:[WATT/ FIXT]], 6, FALSE)</f>
        <v>#N/A</v>
      </c>
      <c r="H160" s="271" t="e">
        <f>VLOOKUP(Y160,Table7[[#All],[FIXTURE CODE]:[WATT/ FIXT]], 6, FALSE)</f>
        <v>#N/A</v>
      </c>
      <c r="I160" s="272">
        <f>SUMIF(Summary_Pre!E:E,"="&amp;F160,Summary_Pre!D:D)</f>
        <v>0</v>
      </c>
      <c r="J160" s="263">
        <f>SUMIF(Summary_Pre!E:E,"="&amp;F160,Summary_Pre!H:H)</f>
        <v>0</v>
      </c>
      <c r="K160" s="262">
        <f>SUMIF(Summary_Pre!E:E,"="&amp; F160,Summary_Pre!I:I)</f>
        <v>0</v>
      </c>
      <c r="L160" s="3">
        <f>SUMIF(Summary_Pre!E:E,"="&amp; F160,Summary_Pre!J:J)</f>
        <v>0</v>
      </c>
      <c r="M160" s="285">
        <f>SUMIF(Summary_Pre!E:E,"="&amp; F160,Summary_Pre!K:K)</f>
        <v>0</v>
      </c>
      <c r="N160" s="285">
        <f>SUMIF(Summary_Pre!E:E,"="&amp;F160,Summary_Pre!C:C)</f>
        <v>0</v>
      </c>
      <c r="O160" s="266">
        <f t="shared" si="12"/>
        <v>0</v>
      </c>
      <c r="P160" s="3"/>
      <c r="Q160" s="3"/>
      <c r="R160" s="3"/>
      <c r="S160" s="3"/>
      <c r="T160" s="3"/>
      <c r="U160" s="3"/>
      <c r="V160" s="3"/>
      <c r="W160" s="2"/>
      <c r="X160" s="281" t="e">
        <f t="shared" si="9"/>
        <v>#N/A</v>
      </c>
      <c r="Y160" s="279" t="e">
        <f t="shared" si="10"/>
        <v>#N/A</v>
      </c>
    </row>
    <row r="161" spans="1:25">
      <c r="A161" s="249" t="e">
        <f>IF(D161='Tables &amp; Ranges'!$A$133, 'Tables &amp; Ranges'!$B$133, IF(D161='Tables &amp; Ranges'!$A$134, 'Tables &amp; Ranges'!$B$134, IF(D161='Tables &amp; Ranges'!$A$135, 'Tables &amp; Ranges'!$B$135, IF(D161='Tables &amp; Ranges'!$A$136, 'Tables &amp; Ranges'!$B$136, IF(D161='Tables &amp; Ranges'!$A$99, 'Tables &amp; Ranges'!$B$116, VLOOKUP(X161,'Fixture Table'!$C$3:$M$1785, 10, FALSE))))))</f>
        <v>#N/A</v>
      </c>
      <c r="D161" s="2">
        <f>IFERROR(_xlfn.IFNA(VLOOKUP(F161,Summary_Pre!E:F,2,FALSE),0),0)</f>
        <v>0</v>
      </c>
      <c r="E161" s="249" t="e">
        <f t="shared" si="11"/>
        <v>#N/A</v>
      </c>
      <c r="F161" s="2" t="e">
        <f t="array" ref="F161">INDEX(Summary_Pre!E$4:E$303, MATCH(0, COUNTIF($F$2:F160,Summary_Pre!E$4:E$303), 0))</f>
        <v>#N/A</v>
      </c>
      <c r="G161" s="271" t="e">
        <f>VLOOKUP(X161,Table7[[#All],[FIXTURE CODE]:[WATT/ FIXT]], 6, FALSE)</f>
        <v>#N/A</v>
      </c>
      <c r="H161" s="271" t="e">
        <f>VLOOKUP(Y161,Table7[[#All],[FIXTURE CODE]:[WATT/ FIXT]], 6, FALSE)</f>
        <v>#N/A</v>
      </c>
      <c r="I161" s="272">
        <f>SUMIF(Summary_Pre!E:E,"="&amp;F161,Summary_Pre!D:D)</f>
        <v>0</v>
      </c>
      <c r="J161" s="263">
        <f>SUMIF(Summary_Pre!E:E,"="&amp;F161,Summary_Pre!H:H)</f>
        <v>0</v>
      </c>
      <c r="K161" s="262">
        <f>SUMIF(Summary_Pre!E:E,"="&amp; F161,Summary_Pre!I:I)</f>
        <v>0</v>
      </c>
      <c r="L161" s="3">
        <f>SUMIF(Summary_Pre!E:E,"="&amp; F161,Summary_Pre!J:J)</f>
        <v>0</v>
      </c>
      <c r="M161" s="285">
        <f>SUMIF(Summary_Pre!E:E,"="&amp; F161,Summary_Pre!K:K)</f>
        <v>0</v>
      </c>
      <c r="N161" s="285">
        <f>SUMIF(Summary_Pre!E:E,"="&amp;F161,Summary_Pre!C:C)</f>
        <v>0</v>
      </c>
      <c r="O161" s="266">
        <f t="shared" si="12"/>
        <v>0</v>
      </c>
      <c r="P161" s="3"/>
      <c r="Q161" s="3"/>
      <c r="R161" s="3"/>
      <c r="S161" s="3"/>
      <c r="T161" s="3"/>
      <c r="U161" s="3"/>
      <c r="V161" s="3"/>
      <c r="W161" s="2"/>
      <c r="X161" s="281" t="e">
        <f t="shared" si="9"/>
        <v>#N/A</v>
      </c>
      <c r="Y161" s="279" t="e">
        <f t="shared" si="10"/>
        <v>#N/A</v>
      </c>
    </row>
    <row r="162" spans="1:25">
      <c r="A162" s="249" t="e">
        <f>IF(D162='Tables &amp; Ranges'!$A$133, 'Tables &amp; Ranges'!$B$133, IF(D162='Tables &amp; Ranges'!$A$134, 'Tables &amp; Ranges'!$B$134, IF(D162='Tables &amp; Ranges'!$A$135, 'Tables &amp; Ranges'!$B$135, IF(D162='Tables &amp; Ranges'!$A$136, 'Tables &amp; Ranges'!$B$136, IF(D162='Tables &amp; Ranges'!$A$99, 'Tables &amp; Ranges'!$B$116, VLOOKUP(X162,'Fixture Table'!$C$3:$M$1785, 10, FALSE))))))</f>
        <v>#N/A</v>
      </c>
      <c r="D162" s="2">
        <f>IFERROR(_xlfn.IFNA(VLOOKUP(F162,Summary_Pre!E:F,2,FALSE),0),0)</f>
        <v>0</v>
      </c>
      <c r="E162" s="249" t="e">
        <f t="shared" si="11"/>
        <v>#N/A</v>
      </c>
      <c r="F162" s="2" t="e">
        <f t="array" ref="F162">INDEX(Summary_Pre!E$4:E$303, MATCH(0, COUNTIF($F$2:F161,Summary_Pre!E$4:E$303), 0))</f>
        <v>#N/A</v>
      </c>
      <c r="G162" s="271" t="e">
        <f>VLOOKUP(X162,Table7[[#All],[FIXTURE CODE]:[WATT/ FIXT]], 6, FALSE)</f>
        <v>#N/A</v>
      </c>
      <c r="H162" s="271" t="e">
        <f>VLOOKUP(Y162,Table7[[#All],[FIXTURE CODE]:[WATT/ FIXT]], 6, FALSE)</f>
        <v>#N/A</v>
      </c>
      <c r="I162" s="272">
        <f>SUMIF(Summary_Pre!E:E,"="&amp;F162,Summary_Pre!D:D)</f>
        <v>0</v>
      </c>
      <c r="J162" s="263">
        <f>SUMIF(Summary_Pre!E:E,"="&amp;F162,Summary_Pre!H:H)</f>
        <v>0</v>
      </c>
      <c r="K162" s="262">
        <f>SUMIF(Summary_Pre!E:E,"="&amp; F162,Summary_Pre!I:I)</f>
        <v>0</v>
      </c>
      <c r="L162" s="3">
        <f>SUMIF(Summary_Pre!E:E,"="&amp; F162,Summary_Pre!J:J)</f>
        <v>0</v>
      </c>
      <c r="M162" s="285">
        <f>SUMIF(Summary_Pre!E:E,"="&amp; F162,Summary_Pre!K:K)</f>
        <v>0</v>
      </c>
      <c r="N162" s="285">
        <f>SUMIF(Summary_Pre!E:E,"="&amp;F162,Summary_Pre!C:C)</f>
        <v>0</v>
      </c>
      <c r="O162" s="266">
        <f t="shared" si="12"/>
        <v>0</v>
      </c>
      <c r="P162" s="3"/>
      <c r="Q162" s="3"/>
      <c r="R162" s="3"/>
      <c r="S162" s="3"/>
      <c r="T162" s="3"/>
      <c r="U162" s="3"/>
      <c r="V162" s="3"/>
      <c r="W162" s="2"/>
      <c r="X162" s="281" t="e">
        <f t="shared" si="9"/>
        <v>#N/A</v>
      </c>
      <c r="Y162" s="279" t="e">
        <f t="shared" si="10"/>
        <v>#N/A</v>
      </c>
    </row>
    <row r="163" spans="1:25">
      <c r="A163" s="249" t="e">
        <f>IF(D163='Tables &amp; Ranges'!$A$133, 'Tables &amp; Ranges'!$B$133, IF(D163='Tables &amp; Ranges'!$A$134, 'Tables &amp; Ranges'!$B$134, IF(D163='Tables &amp; Ranges'!$A$135, 'Tables &amp; Ranges'!$B$135, IF(D163='Tables &amp; Ranges'!$A$136, 'Tables &amp; Ranges'!$B$136, IF(D163='Tables &amp; Ranges'!$A$99, 'Tables &amp; Ranges'!$B$116, VLOOKUP(X163,'Fixture Table'!$C$3:$M$1785, 10, FALSE))))))</f>
        <v>#N/A</v>
      </c>
      <c r="D163" s="2">
        <f>IFERROR(_xlfn.IFNA(VLOOKUP(F163,Summary_Pre!E:F,2,FALSE),0),0)</f>
        <v>0</v>
      </c>
      <c r="E163" s="249" t="e">
        <f t="shared" si="11"/>
        <v>#N/A</v>
      </c>
      <c r="F163" s="2" t="e">
        <f t="array" ref="F163">INDEX(Summary_Pre!E$4:E$303, MATCH(0, COUNTIF($F$2:F162,Summary_Pre!E$4:E$303), 0))</f>
        <v>#N/A</v>
      </c>
      <c r="G163" s="271" t="e">
        <f>VLOOKUP(X163,Table7[[#All],[FIXTURE CODE]:[WATT/ FIXT]], 6, FALSE)</f>
        <v>#N/A</v>
      </c>
      <c r="H163" s="271" t="e">
        <f>VLOOKUP(Y163,Table7[[#All],[FIXTURE CODE]:[WATT/ FIXT]], 6, FALSE)</f>
        <v>#N/A</v>
      </c>
      <c r="I163" s="272">
        <f>SUMIF(Summary_Pre!E:E,"="&amp;F163,Summary_Pre!D:D)</f>
        <v>0</v>
      </c>
      <c r="J163" s="263">
        <f>SUMIF(Summary_Pre!E:E,"="&amp;F163,Summary_Pre!H:H)</f>
        <v>0</v>
      </c>
      <c r="K163" s="262">
        <f>SUMIF(Summary_Pre!E:E,"="&amp; F163,Summary_Pre!I:I)</f>
        <v>0</v>
      </c>
      <c r="L163" s="3">
        <f>SUMIF(Summary_Pre!E:E,"="&amp; F163,Summary_Pre!J:J)</f>
        <v>0</v>
      </c>
      <c r="M163" s="285">
        <f>SUMIF(Summary_Pre!E:E,"="&amp; F163,Summary_Pre!K:K)</f>
        <v>0</v>
      </c>
      <c r="N163" s="285">
        <f>SUMIF(Summary_Pre!E:E,"="&amp;F163,Summary_Pre!C:C)</f>
        <v>0</v>
      </c>
      <c r="O163" s="266">
        <f t="shared" si="12"/>
        <v>0</v>
      </c>
      <c r="P163" s="3"/>
      <c r="Q163" s="3"/>
      <c r="R163" s="3"/>
      <c r="S163" s="3"/>
      <c r="T163" s="3"/>
      <c r="U163" s="3"/>
      <c r="V163" s="3"/>
      <c r="W163" s="2"/>
      <c r="X163" s="281" t="e">
        <f t="shared" si="9"/>
        <v>#N/A</v>
      </c>
      <c r="Y163" s="279" t="e">
        <f t="shared" si="10"/>
        <v>#N/A</v>
      </c>
    </row>
    <row r="164" spans="1:25">
      <c r="A164" s="249" t="e">
        <f>IF(D164='Tables &amp; Ranges'!$A$133, 'Tables &amp; Ranges'!$B$133, IF(D164='Tables &amp; Ranges'!$A$134, 'Tables &amp; Ranges'!$B$134, IF(D164='Tables &amp; Ranges'!$A$135, 'Tables &amp; Ranges'!$B$135, IF(D164='Tables &amp; Ranges'!$A$136, 'Tables &amp; Ranges'!$B$136, IF(D164='Tables &amp; Ranges'!$A$99, 'Tables &amp; Ranges'!$B$116, VLOOKUP(X164,'Fixture Table'!$C$3:$M$1785, 10, FALSE))))))</f>
        <v>#N/A</v>
      </c>
      <c r="D164" s="2">
        <f>IFERROR(_xlfn.IFNA(VLOOKUP(F164,Summary_Pre!E:F,2,FALSE),0),0)</f>
        <v>0</v>
      </c>
      <c r="E164" s="249" t="e">
        <f t="shared" si="11"/>
        <v>#N/A</v>
      </c>
      <c r="F164" s="2" t="e">
        <f t="array" ref="F164">INDEX(Summary_Pre!E$4:E$303, MATCH(0, COUNTIF($F$2:F163,Summary_Pre!E$4:E$303), 0))</f>
        <v>#N/A</v>
      </c>
      <c r="G164" s="271" t="e">
        <f>VLOOKUP(X164,Table7[[#All],[FIXTURE CODE]:[WATT/ FIXT]], 6, FALSE)</f>
        <v>#N/A</v>
      </c>
      <c r="H164" s="271" t="e">
        <f>VLOOKUP(Y164,Table7[[#All],[FIXTURE CODE]:[WATT/ FIXT]], 6, FALSE)</f>
        <v>#N/A</v>
      </c>
      <c r="I164" s="272">
        <f>SUMIF(Summary_Pre!E:E,"="&amp;F164,Summary_Pre!D:D)</f>
        <v>0</v>
      </c>
      <c r="J164" s="263">
        <f>SUMIF(Summary_Pre!E:E,"="&amp;F164,Summary_Pre!H:H)</f>
        <v>0</v>
      </c>
      <c r="K164" s="262">
        <f>SUMIF(Summary_Pre!E:E,"="&amp; F164,Summary_Pre!I:I)</f>
        <v>0</v>
      </c>
      <c r="L164" s="3">
        <f>SUMIF(Summary_Pre!E:E,"="&amp; F164,Summary_Pre!J:J)</f>
        <v>0</v>
      </c>
      <c r="M164" s="285">
        <f>SUMIF(Summary_Pre!E:E,"="&amp; F164,Summary_Pre!K:K)</f>
        <v>0</v>
      </c>
      <c r="N164" s="285">
        <f>SUMIF(Summary_Pre!E:E,"="&amp;F164,Summary_Pre!C:C)</f>
        <v>0</v>
      </c>
      <c r="O164" s="266">
        <f t="shared" si="12"/>
        <v>0</v>
      </c>
      <c r="P164" s="3"/>
      <c r="Q164" s="3"/>
      <c r="R164" s="3"/>
      <c r="S164" s="3"/>
      <c r="T164" s="3"/>
      <c r="U164" s="3"/>
      <c r="V164" s="3"/>
      <c r="W164" s="2"/>
      <c r="X164" s="281" t="e">
        <f t="shared" si="9"/>
        <v>#N/A</v>
      </c>
      <c r="Y164" s="279" t="e">
        <f t="shared" si="10"/>
        <v>#N/A</v>
      </c>
    </row>
    <row r="165" spans="1:25">
      <c r="A165" s="249" t="e">
        <f>IF(D165='Tables &amp; Ranges'!$A$133, 'Tables &amp; Ranges'!$B$133, IF(D165='Tables &amp; Ranges'!$A$134, 'Tables &amp; Ranges'!$B$134, IF(D165='Tables &amp; Ranges'!$A$135, 'Tables &amp; Ranges'!$B$135, IF(D165='Tables &amp; Ranges'!$A$136, 'Tables &amp; Ranges'!$B$136, IF(D165='Tables &amp; Ranges'!$A$99, 'Tables &amp; Ranges'!$B$116, VLOOKUP(X165,'Fixture Table'!$C$3:$M$1785, 10, FALSE))))))</f>
        <v>#N/A</v>
      </c>
      <c r="D165" s="2">
        <f>IFERROR(_xlfn.IFNA(VLOOKUP(F165,Summary_Pre!E:F,2,FALSE),0),0)</f>
        <v>0</v>
      </c>
      <c r="E165" s="249" t="e">
        <f t="shared" si="11"/>
        <v>#N/A</v>
      </c>
      <c r="F165" s="2" t="e">
        <f t="array" ref="F165">INDEX(Summary_Pre!E$4:E$303, MATCH(0, COUNTIF($F$2:F164,Summary_Pre!E$4:E$303), 0))</f>
        <v>#N/A</v>
      </c>
      <c r="G165" s="271" t="e">
        <f>VLOOKUP(X165,Table7[[#All],[FIXTURE CODE]:[WATT/ FIXT]], 6, FALSE)</f>
        <v>#N/A</v>
      </c>
      <c r="H165" s="271" t="e">
        <f>VLOOKUP(Y165,Table7[[#All],[FIXTURE CODE]:[WATT/ FIXT]], 6, FALSE)</f>
        <v>#N/A</v>
      </c>
      <c r="I165" s="272">
        <f>SUMIF(Summary_Pre!E:E,"="&amp;F165,Summary_Pre!D:D)</f>
        <v>0</v>
      </c>
      <c r="J165" s="263">
        <f>SUMIF(Summary_Pre!E:E,"="&amp;F165,Summary_Pre!H:H)</f>
        <v>0</v>
      </c>
      <c r="K165" s="262">
        <f>SUMIF(Summary_Pre!E:E,"="&amp; F165,Summary_Pre!I:I)</f>
        <v>0</v>
      </c>
      <c r="L165" s="3">
        <f>SUMIF(Summary_Pre!E:E,"="&amp; F165,Summary_Pre!J:J)</f>
        <v>0</v>
      </c>
      <c r="M165" s="285">
        <f>SUMIF(Summary_Pre!E:E,"="&amp; F165,Summary_Pre!K:K)</f>
        <v>0</v>
      </c>
      <c r="N165" s="285">
        <f>SUMIF(Summary_Pre!E:E,"="&amp;F165,Summary_Pre!C:C)</f>
        <v>0</v>
      </c>
      <c r="O165" s="266">
        <f t="shared" si="12"/>
        <v>0</v>
      </c>
      <c r="P165" s="3"/>
      <c r="Q165" s="3"/>
      <c r="R165" s="3"/>
      <c r="S165" s="3"/>
      <c r="T165" s="3"/>
      <c r="U165" s="3"/>
      <c r="V165" s="3"/>
      <c r="W165" s="2"/>
      <c r="X165" s="281" t="e">
        <f t="shared" si="9"/>
        <v>#N/A</v>
      </c>
      <c r="Y165" s="279" t="e">
        <f t="shared" si="10"/>
        <v>#N/A</v>
      </c>
    </row>
    <row r="166" spans="1:25">
      <c r="A166" s="249" t="e">
        <f>IF(D166='Tables &amp; Ranges'!$A$133, 'Tables &amp; Ranges'!$B$133, IF(D166='Tables &amp; Ranges'!$A$134, 'Tables &amp; Ranges'!$B$134, IF(D166='Tables &amp; Ranges'!$A$135, 'Tables &amp; Ranges'!$B$135, IF(D166='Tables &amp; Ranges'!$A$136, 'Tables &amp; Ranges'!$B$136, IF(D166='Tables &amp; Ranges'!$A$99, 'Tables &amp; Ranges'!$B$116, VLOOKUP(X166,'Fixture Table'!$C$3:$M$1785, 10, FALSE))))))</f>
        <v>#N/A</v>
      </c>
      <c r="D166" s="2">
        <f>IFERROR(_xlfn.IFNA(VLOOKUP(F166,Summary_Pre!E:F,2,FALSE),0),0)</f>
        <v>0</v>
      </c>
      <c r="E166" s="249" t="e">
        <f t="shared" si="11"/>
        <v>#N/A</v>
      </c>
      <c r="F166" s="2" t="e">
        <f t="array" ref="F166">INDEX(Summary_Pre!E$4:E$303, MATCH(0, COUNTIF($F$2:F165,Summary_Pre!E$4:E$303), 0))</f>
        <v>#N/A</v>
      </c>
      <c r="G166" s="271" t="e">
        <f>VLOOKUP(X166,Table7[[#All],[FIXTURE CODE]:[WATT/ FIXT]], 6, FALSE)</f>
        <v>#N/A</v>
      </c>
      <c r="H166" s="271" t="e">
        <f>VLOOKUP(Y166,Table7[[#All],[FIXTURE CODE]:[WATT/ FIXT]], 6, FALSE)</f>
        <v>#N/A</v>
      </c>
      <c r="I166" s="272">
        <f>SUMIF(Summary_Pre!E:E,"="&amp;F166,Summary_Pre!D:D)</f>
        <v>0</v>
      </c>
      <c r="J166" s="263">
        <f>SUMIF(Summary_Pre!E:E,"="&amp;F166,Summary_Pre!H:H)</f>
        <v>0</v>
      </c>
      <c r="K166" s="262">
        <f>SUMIF(Summary_Pre!E:E,"="&amp; F166,Summary_Pre!I:I)</f>
        <v>0</v>
      </c>
      <c r="L166" s="3">
        <f>SUMIF(Summary_Pre!E:E,"="&amp; F166,Summary_Pre!J:J)</f>
        <v>0</v>
      </c>
      <c r="M166" s="285">
        <f>SUMIF(Summary_Pre!E:E,"="&amp; F166,Summary_Pre!K:K)</f>
        <v>0</v>
      </c>
      <c r="N166" s="285">
        <f>SUMIF(Summary_Pre!E:E,"="&amp;F166,Summary_Pre!C:C)</f>
        <v>0</v>
      </c>
      <c r="O166" s="266">
        <f t="shared" si="12"/>
        <v>0</v>
      </c>
      <c r="P166" s="3"/>
      <c r="Q166" s="3"/>
      <c r="R166" s="3"/>
      <c r="S166" s="3"/>
      <c r="T166" s="3"/>
      <c r="U166" s="3"/>
      <c r="V166" s="3"/>
      <c r="W166" s="2"/>
      <c r="X166" s="281" t="e">
        <f t="shared" si="9"/>
        <v>#N/A</v>
      </c>
      <c r="Y166" s="279" t="e">
        <f t="shared" si="10"/>
        <v>#N/A</v>
      </c>
    </row>
    <row r="167" spans="1:25">
      <c r="A167" s="249" t="e">
        <f>IF(D167='Tables &amp; Ranges'!$A$133, 'Tables &amp; Ranges'!$B$133, IF(D167='Tables &amp; Ranges'!$A$134, 'Tables &amp; Ranges'!$B$134, IF(D167='Tables &amp; Ranges'!$A$135, 'Tables &amp; Ranges'!$B$135, IF(D167='Tables &amp; Ranges'!$A$136, 'Tables &amp; Ranges'!$B$136, IF(D167='Tables &amp; Ranges'!$A$99, 'Tables &amp; Ranges'!$B$116, VLOOKUP(X167,'Fixture Table'!$C$3:$M$1785, 10, FALSE))))))</f>
        <v>#N/A</v>
      </c>
      <c r="D167" s="2">
        <f>IFERROR(_xlfn.IFNA(VLOOKUP(F167,Summary_Pre!E:F,2,FALSE),0),0)</f>
        <v>0</v>
      </c>
      <c r="E167" s="249" t="e">
        <f t="shared" si="11"/>
        <v>#N/A</v>
      </c>
      <c r="F167" s="2" t="e">
        <f t="array" ref="F167">INDEX(Summary_Pre!E$4:E$303, MATCH(0, COUNTIF($F$2:F166,Summary_Pre!E$4:E$303), 0))</f>
        <v>#N/A</v>
      </c>
      <c r="G167" s="271" t="e">
        <f>VLOOKUP(X167,Table7[[#All],[FIXTURE CODE]:[WATT/ FIXT]], 6, FALSE)</f>
        <v>#N/A</v>
      </c>
      <c r="H167" s="271" t="e">
        <f>VLOOKUP(Y167,Table7[[#All],[FIXTURE CODE]:[WATT/ FIXT]], 6, FALSE)</f>
        <v>#N/A</v>
      </c>
      <c r="I167" s="272">
        <f>SUMIF(Summary_Pre!E:E,"="&amp;F167,Summary_Pre!D:D)</f>
        <v>0</v>
      </c>
      <c r="J167" s="263">
        <f>SUMIF(Summary_Pre!E:E,"="&amp;F167,Summary_Pre!H:H)</f>
        <v>0</v>
      </c>
      <c r="K167" s="262">
        <f>SUMIF(Summary_Pre!E:E,"="&amp; F167,Summary_Pre!I:I)</f>
        <v>0</v>
      </c>
      <c r="L167" s="3">
        <f>SUMIF(Summary_Pre!E:E,"="&amp; F167,Summary_Pre!J:J)</f>
        <v>0</v>
      </c>
      <c r="M167" s="285">
        <f>SUMIF(Summary_Pre!E:E,"="&amp; F167,Summary_Pre!K:K)</f>
        <v>0</v>
      </c>
      <c r="N167" s="285">
        <f>SUMIF(Summary_Pre!E:E,"="&amp;F167,Summary_Pre!C:C)</f>
        <v>0</v>
      </c>
      <c r="O167" s="266">
        <f t="shared" si="12"/>
        <v>0</v>
      </c>
      <c r="P167" s="3"/>
      <c r="Q167" s="3"/>
      <c r="R167" s="3"/>
      <c r="S167" s="3"/>
      <c r="T167" s="3"/>
      <c r="U167" s="3"/>
      <c r="V167" s="3"/>
      <c r="W167" s="2"/>
      <c r="X167" s="281" t="e">
        <f t="shared" si="9"/>
        <v>#N/A</v>
      </c>
      <c r="Y167" s="279" t="e">
        <f t="shared" si="10"/>
        <v>#N/A</v>
      </c>
    </row>
    <row r="168" spans="1:25">
      <c r="A168" s="249" t="e">
        <f>IF(D168='Tables &amp; Ranges'!$A$133, 'Tables &amp; Ranges'!$B$133, IF(D168='Tables &amp; Ranges'!$A$134, 'Tables &amp; Ranges'!$B$134, IF(D168='Tables &amp; Ranges'!$A$135, 'Tables &amp; Ranges'!$B$135, IF(D168='Tables &amp; Ranges'!$A$136, 'Tables &amp; Ranges'!$B$136, IF(D168='Tables &amp; Ranges'!$A$99, 'Tables &amp; Ranges'!$B$116, VLOOKUP(X168,'Fixture Table'!$C$3:$M$1785, 10, FALSE))))))</f>
        <v>#N/A</v>
      </c>
      <c r="D168" s="2">
        <f>IFERROR(_xlfn.IFNA(VLOOKUP(F168,Summary_Pre!E:F,2,FALSE),0),0)</f>
        <v>0</v>
      </c>
      <c r="E168" s="249" t="e">
        <f t="shared" si="11"/>
        <v>#N/A</v>
      </c>
      <c r="F168" s="2" t="e">
        <f t="array" ref="F168">INDEX(Summary_Pre!E$4:E$303, MATCH(0, COUNTIF($F$2:F167,Summary_Pre!E$4:E$303), 0))</f>
        <v>#N/A</v>
      </c>
      <c r="G168" s="271" t="e">
        <f>VLOOKUP(X168,Table7[[#All],[FIXTURE CODE]:[WATT/ FIXT]], 6, FALSE)</f>
        <v>#N/A</v>
      </c>
      <c r="H168" s="271" t="e">
        <f>VLOOKUP(Y168,Table7[[#All],[FIXTURE CODE]:[WATT/ FIXT]], 6, FALSE)</f>
        <v>#N/A</v>
      </c>
      <c r="I168" s="272">
        <f>SUMIF(Summary_Pre!E:E,"="&amp;F168,Summary_Pre!D:D)</f>
        <v>0</v>
      </c>
      <c r="J168" s="263">
        <f>SUMIF(Summary_Pre!E:E,"="&amp;F168,Summary_Pre!H:H)</f>
        <v>0</v>
      </c>
      <c r="K168" s="262">
        <f>SUMIF(Summary_Pre!E:E,"="&amp; F168,Summary_Pre!I:I)</f>
        <v>0</v>
      </c>
      <c r="L168" s="3">
        <f>SUMIF(Summary_Pre!E:E,"="&amp; F168,Summary_Pre!J:J)</f>
        <v>0</v>
      </c>
      <c r="M168" s="285">
        <f>SUMIF(Summary_Pre!E:E,"="&amp; F168,Summary_Pre!K:K)</f>
        <v>0</v>
      </c>
      <c r="N168" s="285">
        <f>SUMIF(Summary_Pre!E:E,"="&amp;F168,Summary_Pre!C:C)</f>
        <v>0</v>
      </c>
      <c r="O168" s="266">
        <f t="shared" si="12"/>
        <v>0</v>
      </c>
      <c r="P168" s="3"/>
      <c r="Q168" s="3"/>
      <c r="R168" s="3"/>
      <c r="S168" s="3"/>
      <c r="T168" s="3"/>
      <c r="U168" s="3"/>
      <c r="V168" s="3"/>
      <c r="W168" s="2"/>
      <c r="X168" s="281" t="e">
        <f t="shared" si="9"/>
        <v>#N/A</v>
      </c>
      <c r="Y168" s="279" t="e">
        <f t="shared" si="10"/>
        <v>#N/A</v>
      </c>
    </row>
    <row r="169" spans="1:25">
      <c r="A169" s="249" t="e">
        <f>IF(D169='Tables &amp; Ranges'!$A$133, 'Tables &amp; Ranges'!$B$133, IF(D169='Tables &amp; Ranges'!$A$134, 'Tables &amp; Ranges'!$B$134, IF(D169='Tables &amp; Ranges'!$A$135, 'Tables &amp; Ranges'!$B$135, IF(D169='Tables &amp; Ranges'!$A$136, 'Tables &amp; Ranges'!$B$136, IF(D169='Tables &amp; Ranges'!$A$99, 'Tables &amp; Ranges'!$B$116, VLOOKUP(X169,'Fixture Table'!$C$3:$M$1785, 10, FALSE))))))</f>
        <v>#N/A</v>
      </c>
      <c r="D169" s="2">
        <f>IFERROR(_xlfn.IFNA(VLOOKUP(F169,Summary_Pre!E:F,2,FALSE),0),0)</f>
        <v>0</v>
      </c>
      <c r="E169" s="249" t="e">
        <f t="shared" si="11"/>
        <v>#N/A</v>
      </c>
      <c r="F169" s="2" t="e">
        <f t="array" ref="F169">INDEX(Summary_Pre!E$4:E$303, MATCH(0, COUNTIF($F$2:F168,Summary_Pre!E$4:E$303), 0))</f>
        <v>#N/A</v>
      </c>
      <c r="G169" s="271" t="e">
        <f>VLOOKUP(X169,Table7[[#All],[FIXTURE CODE]:[WATT/ FIXT]], 6, FALSE)</f>
        <v>#N/A</v>
      </c>
      <c r="H169" s="271" t="e">
        <f>VLOOKUP(Y169,Table7[[#All],[FIXTURE CODE]:[WATT/ FIXT]], 6, FALSE)</f>
        <v>#N/A</v>
      </c>
      <c r="I169" s="272">
        <f>SUMIF(Summary_Pre!E:E,"="&amp;F169,Summary_Pre!D:D)</f>
        <v>0</v>
      </c>
      <c r="J169" s="263">
        <f>SUMIF(Summary_Pre!E:E,"="&amp;F169,Summary_Pre!H:H)</f>
        <v>0</v>
      </c>
      <c r="K169" s="262">
        <f>SUMIF(Summary_Pre!E:E,"="&amp; F169,Summary_Pre!I:I)</f>
        <v>0</v>
      </c>
      <c r="L169" s="3">
        <f>SUMIF(Summary_Pre!E:E,"="&amp; F169,Summary_Pre!J:J)</f>
        <v>0</v>
      </c>
      <c r="M169" s="285">
        <f>SUMIF(Summary_Pre!E:E,"="&amp; F169,Summary_Pre!K:K)</f>
        <v>0</v>
      </c>
      <c r="N169" s="285">
        <f>SUMIF(Summary_Pre!E:E,"="&amp;F169,Summary_Pre!C:C)</f>
        <v>0</v>
      </c>
      <c r="O169" s="266">
        <f t="shared" si="12"/>
        <v>0</v>
      </c>
      <c r="P169" s="3"/>
      <c r="Q169" s="3"/>
      <c r="R169" s="3"/>
      <c r="S169" s="3"/>
      <c r="T169" s="3"/>
      <c r="U169" s="3"/>
      <c r="V169" s="3"/>
      <c r="W169" s="2"/>
      <c r="X169" s="281" t="e">
        <f t="shared" si="9"/>
        <v>#N/A</v>
      </c>
      <c r="Y169" s="279" t="e">
        <f t="shared" si="10"/>
        <v>#N/A</v>
      </c>
    </row>
    <row r="170" spans="1:25">
      <c r="A170" s="249" t="e">
        <f>IF(D170='Tables &amp; Ranges'!$A$133, 'Tables &amp; Ranges'!$B$133, IF(D170='Tables &amp; Ranges'!$A$134, 'Tables &amp; Ranges'!$B$134, IF(D170='Tables &amp; Ranges'!$A$135, 'Tables &amp; Ranges'!$B$135, IF(D170='Tables &amp; Ranges'!$A$136, 'Tables &amp; Ranges'!$B$136, IF(D170='Tables &amp; Ranges'!$A$99, 'Tables &amp; Ranges'!$B$116, VLOOKUP(X170,'Fixture Table'!$C$3:$M$1785, 10, FALSE))))))</f>
        <v>#N/A</v>
      </c>
      <c r="D170" s="2">
        <f>IFERROR(_xlfn.IFNA(VLOOKUP(F170,Summary_Pre!E:F,2,FALSE),0),0)</f>
        <v>0</v>
      </c>
      <c r="E170" s="249" t="e">
        <f t="shared" si="11"/>
        <v>#N/A</v>
      </c>
      <c r="F170" s="2" t="e">
        <f t="array" ref="F170">INDEX(Summary_Pre!E$4:E$303, MATCH(0, COUNTIF($F$2:F169,Summary_Pre!E$4:E$303), 0))</f>
        <v>#N/A</v>
      </c>
      <c r="G170" s="271" t="e">
        <f>VLOOKUP(X170,Table7[[#All],[FIXTURE CODE]:[WATT/ FIXT]], 6, FALSE)</f>
        <v>#N/A</v>
      </c>
      <c r="H170" s="271" t="e">
        <f>VLOOKUP(Y170,Table7[[#All],[FIXTURE CODE]:[WATT/ FIXT]], 6, FALSE)</f>
        <v>#N/A</v>
      </c>
      <c r="I170" s="272">
        <f>SUMIF(Summary_Pre!E:E,"="&amp;F170,Summary_Pre!D:D)</f>
        <v>0</v>
      </c>
      <c r="J170" s="263">
        <f>SUMIF(Summary_Pre!E:E,"="&amp;F170,Summary_Pre!H:H)</f>
        <v>0</v>
      </c>
      <c r="K170" s="262">
        <f>SUMIF(Summary_Pre!E:E,"="&amp; F170,Summary_Pre!I:I)</f>
        <v>0</v>
      </c>
      <c r="L170" s="3">
        <f>SUMIF(Summary_Pre!E:E,"="&amp; F170,Summary_Pre!J:J)</f>
        <v>0</v>
      </c>
      <c r="M170" s="285">
        <f>SUMIF(Summary_Pre!E:E,"="&amp; F170,Summary_Pre!K:K)</f>
        <v>0</v>
      </c>
      <c r="N170" s="285">
        <f>SUMIF(Summary_Pre!E:E,"="&amp;F170,Summary_Pre!C:C)</f>
        <v>0</v>
      </c>
      <c r="O170" s="266">
        <f t="shared" si="12"/>
        <v>0</v>
      </c>
      <c r="P170" s="3"/>
      <c r="Q170" s="3"/>
      <c r="R170" s="3"/>
      <c r="S170" s="3"/>
      <c r="T170" s="3"/>
      <c r="U170" s="3"/>
      <c r="V170" s="3"/>
      <c r="W170" s="2"/>
      <c r="X170" s="281" t="e">
        <f t="shared" si="9"/>
        <v>#N/A</v>
      </c>
      <c r="Y170" s="279" t="e">
        <f t="shared" si="10"/>
        <v>#N/A</v>
      </c>
    </row>
    <row r="171" spans="1:25">
      <c r="A171" s="249" t="e">
        <f>IF(D171='Tables &amp; Ranges'!$A$133, 'Tables &amp; Ranges'!$B$133, IF(D171='Tables &amp; Ranges'!$A$134, 'Tables &amp; Ranges'!$B$134, IF(D171='Tables &amp; Ranges'!$A$135, 'Tables &amp; Ranges'!$B$135, IF(D171='Tables &amp; Ranges'!$A$136, 'Tables &amp; Ranges'!$B$136, IF(D171='Tables &amp; Ranges'!$A$99, 'Tables &amp; Ranges'!$B$116, VLOOKUP(X171,'Fixture Table'!$C$3:$M$1785, 10, FALSE))))))</f>
        <v>#N/A</v>
      </c>
      <c r="D171" s="2">
        <f>IFERROR(_xlfn.IFNA(VLOOKUP(F171,Summary_Pre!E:F,2,FALSE),0),0)</f>
        <v>0</v>
      </c>
      <c r="E171" s="249" t="e">
        <f t="shared" si="11"/>
        <v>#N/A</v>
      </c>
      <c r="F171" s="2" t="e">
        <f t="array" ref="F171">INDEX(Summary_Pre!E$4:E$303, MATCH(0, COUNTIF($F$2:F170,Summary_Pre!E$4:E$303), 0))</f>
        <v>#N/A</v>
      </c>
      <c r="G171" s="271" t="e">
        <f>VLOOKUP(X171,Table7[[#All],[FIXTURE CODE]:[WATT/ FIXT]], 6, FALSE)</f>
        <v>#N/A</v>
      </c>
      <c r="H171" s="271" t="e">
        <f>VLOOKUP(Y171,Table7[[#All],[FIXTURE CODE]:[WATT/ FIXT]], 6, FALSE)</f>
        <v>#N/A</v>
      </c>
      <c r="I171" s="272">
        <f>SUMIF(Summary_Pre!E:E,"="&amp;F171,Summary_Pre!D:D)</f>
        <v>0</v>
      </c>
      <c r="J171" s="263">
        <f>SUMIF(Summary_Pre!E:E,"="&amp;F171,Summary_Pre!H:H)</f>
        <v>0</v>
      </c>
      <c r="K171" s="262">
        <f>SUMIF(Summary_Pre!E:E,"="&amp; F171,Summary_Pre!I:I)</f>
        <v>0</v>
      </c>
      <c r="L171" s="3">
        <f>SUMIF(Summary_Pre!E:E,"="&amp; F171,Summary_Pre!J:J)</f>
        <v>0</v>
      </c>
      <c r="M171" s="285">
        <f>SUMIF(Summary_Pre!E:E,"="&amp; F171,Summary_Pre!K:K)</f>
        <v>0</v>
      </c>
      <c r="N171" s="285">
        <f>SUMIF(Summary_Pre!E:E,"="&amp;F171,Summary_Pre!C:C)</f>
        <v>0</v>
      </c>
      <c r="O171" s="266">
        <f t="shared" si="12"/>
        <v>0</v>
      </c>
      <c r="P171" s="3"/>
      <c r="Q171" s="3"/>
      <c r="R171" s="3"/>
      <c r="S171" s="3"/>
      <c r="T171" s="3"/>
      <c r="U171" s="3"/>
      <c r="V171" s="3"/>
      <c r="W171" s="2"/>
      <c r="X171" s="281" t="e">
        <f t="shared" si="9"/>
        <v>#N/A</v>
      </c>
      <c r="Y171" s="279" t="e">
        <f t="shared" si="10"/>
        <v>#N/A</v>
      </c>
    </row>
    <row r="172" spans="1:25">
      <c r="A172" s="249" t="e">
        <f>IF(D172='Tables &amp; Ranges'!$A$133, 'Tables &amp; Ranges'!$B$133, IF(D172='Tables &amp; Ranges'!$A$134, 'Tables &amp; Ranges'!$B$134, IF(D172='Tables &amp; Ranges'!$A$135, 'Tables &amp; Ranges'!$B$135, IF(D172='Tables &amp; Ranges'!$A$136, 'Tables &amp; Ranges'!$B$136, IF(D172='Tables &amp; Ranges'!$A$99, 'Tables &amp; Ranges'!$B$116, VLOOKUP(X172,'Fixture Table'!$C$3:$M$1785, 10, FALSE))))))</f>
        <v>#N/A</v>
      </c>
      <c r="D172" s="2">
        <f>IFERROR(_xlfn.IFNA(VLOOKUP(F172,Summary_Pre!E:F,2,FALSE),0),0)</f>
        <v>0</v>
      </c>
      <c r="E172" s="249" t="e">
        <f t="shared" si="11"/>
        <v>#N/A</v>
      </c>
      <c r="F172" s="2" t="e">
        <f t="array" ref="F172">INDEX(Summary_Pre!E$4:E$303, MATCH(0, COUNTIF($F$2:F171,Summary_Pre!E$4:E$303), 0))</f>
        <v>#N/A</v>
      </c>
      <c r="G172" s="271" t="e">
        <f>VLOOKUP(X172,Table7[[#All],[FIXTURE CODE]:[WATT/ FIXT]], 6, FALSE)</f>
        <v>#N/A</v>
      </c>
      <c r="H172" s="271" t="e">
        <f>VLOOKUP(Y172,Table7[[#All],[FIXTURE CODE]:[WATT/ FIXT]], 6, FALSE)</f>
        <v>#N/A</v>
      </c>
      <c r="I172" s="272">
        <f>SUMIF(Summary_Pre!E:E,"="&amp;F172,Summary_Pre!D:D)</f>
        <v>0</v>
      </c>
      <c r="J172" s="263">
        <f>SUMIF(Summary_Pre!E:E,"="&amp;F172,Summary_Pre!H:H)</f>
        <v>0</v>
      </c>
      <c r="K172" s="262">
        <f>SUMIF(Summary_Pre!E:E,"="&amp; F172,Summary_Pre!I:I)</f>
        <v>0</v>
      </c>
      <c r="L172" s="3">
        <f>SUMIF(Summary_Pre!E:E,"="&amp; F172,Summary_Pre!J:J)</f>
        <v>0</v>
      </c>
      <c r="M172" s="285">
        <f>SUMIF(Summary_Pre!E:E,"="&amp; F172,Summary_Pre!K:K)</f>
        <v>0</v>
      </c>
      <c r="N172" s="285">
        <f>SUMIF(Summary_Pre!E:E,"="&amp;F172,Summary_Pre!C:C)</f>
        <v>0</v>
      </c>
      <c r="O172" s="266">
        <f t="shared" si="12"/>
        <v>0</v>
      </c>
      <c r="P172" s="3"/>
      <c r="Q172" s="3"/>
      <c r="R172" s="3"/>
      <c r="S172" s="3"/>
      <c r="T172" s="3"/>
      <c r="U172" s="3"/>
      <c r="V172" s="3"/>
      <c r="W172" s="2"/>
      <c r="X172" s="281" t="e">
        <f t="shared" si="9"/>
        <v>#N/A</v>
      </c>
      <c r="Y172" s="279" t="e">
        <f t="shared" si="10"/>
        <v>#N/A</v>
      </c>
    </row>
    <row r="173" spans="1:25">
      <c r="A173" s="249" t="e">
        <f>IF(D173='Tables &amp; Ranges'!$A$133, 'Tables &amp; Ranges'!$B$133, IF(D173='Tables &amp; Ranges'!$A$134, 'Tables &amp; Ranges'!$B$134, IF(D173='Tables &amp; Ranges'!$A$135, 'Tables &amp; Ranges'!$B$135, IF(D173='Tables &amp; Ranges'!$A$136, 'Tables &amp; Ranges'!$B$136, IF(D173='Tables &amp; Ranges'!$A$99, 'Tables &amp; Ranges'!$B$116, VLOOKUP(X173,'Fixture Table'!$C$3:$M$1785, 10, FALSE))))))</f>
        <v>#N/A</v>
      </c>
      <c r="D173" s="2">
        <f>IFERROR(_xlfn.IFNA(VLOOKUP(F173,Summary_Pre!E:F,2,FALSE),0),0)</f>
        <v>0</v>
      </c>
      <c r="E173" s="249" t="e">
        <f t="shared" si="11"/>
        <v>#N/A</v>
      </c>
      <c r="F173" s="2" t="e">
        <f t="array" ref="F173">INDEX(Summary_Pre!E$4:E$303, MATCH(0, COUNTIF($F$2:F172,Summary_Pre!E$4:E$303), 0))</f>
        <v>#N/A</v>
      </c>
      <c r="G173" s="271" t="e">
        <f>VLOOKUP(X173,Table7[[#All],[FIXTURE CODE]:[WATT/ FIXT]], 6, FALSE)</f>
        <v>#N/A</v>
      </c>
      <c r="H173" s="271" t="e">
        <f>VLOOKUP(Y173,Table7[[#All],[FIXTURE CODE]:[WATT/ FIXT]], 6, FALSE)</f>
        <v>#N/A</v>
      </c>
      <c r="I173" s="272">
        <f>SUMIF(Summary_Pre!E:E,"="&amp;F173,Summary_Pre!D:D)</f>
        <v>0</v>
      </c>
      <c r="J173" s="263">
        <f>SUMIF(Summary_Pre!E:E,"="&amp;F173,Summary_Pre!H:H)</f>
        <v>0</v>
      </c>
      <c r="K173" s="262">
        <f>SUMIF(Summary_Pre!E:E,"="&amp; F173,Summary_Pre!I:I)</f>
        <v>0</v>
      </c>
      <c r="L173" s="3">
        <f>SUMIF(Summary_Pre!E:E,"="&amp; F173,Summary_Pre!J:J)</f>
        <v>0</v>
      </c>
      <c r="M173" s="285">
        <f>SUMIF(Summary_Pre!E:E,"="&amp; F173,Summary_Pre!K:K)</f>
        <v>0</v>
      </c>
      <c r="N173" s="285">
        <f>SUMIF(Summary_Pre!E:E,"="&amp;F173,Summary_Pre!C:C)</f>
        <v>0</v>
      </c>
      <c r="O173" s="266">
        <f t="shared" si="12"/>
        <v>0</v>
      </c>
      <c r="P173" s="3"/>
      <c r="Q173" s="3"/>
      <c r="R173" s="3"/>
      <c r="S173" s="3"/>
      <c r="T173" s="3"/>
      <c r="U173" s="3"/>
      <c r="V173" s="3"/>
      <c r="W173" s="2"/>
      <c r="X173" s="281" t="e">
        <f t="shared" si="9"/>
        <v>#N/A</v>
      </c>
      <c r="Y173" s="279" t="e">
        <f t="shared" si="10"/>
        <v>#N/A</v>
      </c>
    </row>
    <row r="174" spans="1:25">
      <c r="A174" s="249" t="e">
        <f>IF(D174='Tables &amp; Ranges'!$A$133, 'Tables &amp; Ranges'!$B$133, IF(D174='Tables &amp; Ranges'!$A$134, 'Tables &amp; Ranges'!$B$134, IF(D174='Tables &amp; Ranges'!$A$135, 'Tables &amp; Ranges'!$B$135, IF(D174='Tables &amp; Ranges'!$A$136, 'Tables &amp; Ranges'!$B$136, IF(D174='Tables &amp; Ranges'!$A$99, 'Tables &amp; Ranges'!$B$116, VLOOKUP(X174,'Fixture Table'!$C$3:$M$1785, 10, FALSE))))))</f>
        <v>#N/A</v>
      </c>
      <c r="D174" s="2">
        <f>IFERROR(_xlfn.IFNA(VLOOKUP(F174,Summary_Pre!E:F,2,FALSE),0),0)</f>
        <v>0</v>
      </c>
      <c r="E174" s="249" t="e">
        <f t="shared" si="11"/>
        <v>#N/A</v>
      </c>
      <c r="F174" s="2" t="e">
        <f t="array" ref="F174">INDEX(Summary_Pre!E$4:E$303, MATCH(0, COUNTIF($F$2:F173,Summary_Pre!E$4:E$303), 0))</f>
        <v>#N/A</v>
      </c>
      <c r="G174" s="271" t="e">
        <f>VLOOKUP(X174,Table7[[#All],[FIXTURE CODE]:[WATT/ FIXT]], 6, FALSE)</f>
        <v>#N/A</v>
      </c>
      <c r="H174" s="271" t="e">
        <f>VLOOKUP(Y174,Table7[[#All],[FIXTURE CODE]:[WATT/ FIXT]], 6, FALSE)</f>
        <v>#N/A</v>
      </c>
      <c r="I174" s="272">
        <f>SUMIF(Summary_Pre!E:E,"="&amp;F174,Summary_Pre!D:D)</f>
        <v>0</v>
      </c>
      <c r="J174" s="263">
        <f>SUMIF(Summary_Pre!E:E,"="&amp;F174,Summary_Pre!H:H)</f>
        <v>0</v>
      </c>
      <c r="K174" s="262">
        <f>SUMIF(Summary_Pre!E:E,"="&amp; F174,Summary_Pre!I:I)</f>
        <v>0</v>
      </c>
      <c r="L174" s="3">
        <f>SUMIF(Summary_Pre!E:E,"="&amp; F174,Summary_Pre!J:J)</f>
        <v>0</v>
      </c>
      <c r="M174" s="285">
        <f>SUMIF(Summary_Pre!E:E,"="&amp; F174,Summary_Pre!K:K)</f>
        <v>0</v>
      </c>
      <c r="N174" s="285">
        <f>SUMIF(Summary_Pre!E:E,"="&amp;F174,Summary_Pre!C:C)</f>
        <v>0</v>
      </c>
      <c r="O174" s="266">
        <f t="shared" si="12"/>
        <v>0</v>
      </c>
      <c r="P174" s="3"/>
      <c r="Q174" s="3"/>
      <c r="R174" s="3"/>
      <c r="S174" s="3"/>
      <c r="T174" s="3"/>
      <c r="U174" s="3"/>
      <c r="V174" s="3"/>
      <c r="W174" s="2"/>
      <c r="X174" s="281" t="e">
        <f t="shared" si="9"/>
        <v>#N/A</v>
      </c>
      <c r="Y174" s="279" t="e">
        <f t="shared" si="10"/>
        <v>#N/A</v>
      </c>
    </row>
    <row r="175" spans="1:25">
      <c r="A175" s="249" t="e">
        <f>IF(D175='Tables &amp; Ranges'!$A$133, 'Tables &amp; Ranges'!$B$133, IF(D175='Tables &amp; Ranges'!$A$134, 'Tables &amp; Ranges'!$B$134, IF(D175='Tables &amp; Ranges'!$A$135, 'Tables &amp; Ranges'!$B$135, IF(D175='Tables &amp; Ranges'!$A$136, 'Tables &amp; Ranges'!$B$136, IF(D175='Tables &amp; Ranges'!$A$99, 'Tables &amp; Ranges'!$B$116, VLOOKUP(X175,'Fixture Table'!$C$3:$M$1785, 10, FALSE))))))</f>
        <v>#N/A</v>
      </c>
      <c r="D175" s="2">
        <f>IFERROR(_xlfn.IFNA(VLOOKUP(F175,Summary_Pre!E:F,2,FALSE),0),0)</f>
        <v>0</v>
      </c>
      <c r="E175" s="249" t="e">
        <f t="shared" si="11"/>
        <v>#N/A</v>
      </c>
      <c r="F175" s="2" t="e">
        <f t="array" ref="F175">INDEX(Summary_Pre!E$4:E$303, MATCH(0, COUNTIF($F$2:F174,Summary_Pre!E$4:E$303), 0))</f>
        <v>#N/A</v>
      </c>
      <c r="G175" s="271" t="e">
        <f>VLOOKUP(X175,Table7[[#All],[FIXTURE CODE]:[WATT/ FIXT]], 6, FALSE)</f>
        <v>#N/A</v>
      </c>
      <c r="H175" s="271" t="e">
        <f>VLOOKUP(Y175,Table7[[#All],[FIXTURE CODE]:[WATT/ FIXT]], 6, FALSE)</f>
        <v>#N/A</v>
      </c>
      <c r="I175" s="272">
        <f>SUMIF(Summary_Pre!E:E,"="&amp;F175,Summary_Pre!D:D)</f>
        <v>0</v>
      </c>
      <c r="J175" s="263">
        <f>SUMIF(Summary_Pre!E:E,"="&amp;F175,Summary_Pre!H:H)</f>
        <v>0</v>
      </c>
      <c r="K175" s="262">
        <f>SUMIF(Summary_Pre!E:E,"="&amp; F175,Summary_Pre!I:I)</f>
        <v>0</v>
      </c>
      <c r="L175" s="3">
        <f>SUMIF(Summary_Pre!E:E,"="&amp; F175,Summary_Pre!J:J)</f>
        <v>0</v>
      </c>
      <c r="M175" s="285">
        <f>SUMIF(Summary_Pre!E:E,"="&amp; F175,Summary_Pre!K:K)</f>
        <v>0</v>
      </c>
      <c r="N175" s="285">
        <f>SUMIF(Summary_Pre!E:E,"="&amp;F175,Summary_Pre!C:C)</f>
        <v>0</v>
      </c>
      <c r="O175" s="266">
        <f t="shared" si="12"/>
        <v>0</v>
      </c>
      <c r="P175" s="3"/>
      <c r="Q175" s="3"/>
      <c r="R175" s="3"/>
      <c r="S175" s="3"/>
      <c r="T175" s="3"/>
      <c r="U175" s="3"/>
      <c r="V175" s="3"/>
      <c r="W175" s="2"/>
      <c r="X175" s="281" t="e">
        <f t="shared" si="9"/>
        <v>#N/A</v>
      </c>
      <c r="Y175" s="279" t="e">
        <f t="shared" si="10"/>
        <v>#N/A</v>
      </c>
    </row>
    <row r="176" spans="1:25">
      <c r="A176" s="249" t="e">
        <f>IF(D176='Tables &amp; Ranges'!$A$133, 'Tables &amp; Ranges'!$B$133, IF(D176='Tables &amp; Ranges'!$A$134, 'Tables &amp; Ranges'!$B$134, IF(D176='Tables &amp; Ranges'!$A$135, 'Tables &amp; Ranges'!$B$135, IF(D176='Tables &amp; Ranges'!$A$136, 'Tables &amp; Ranges'!$B$136, IF(D176='Tables &amp; Ranges'!$A$99, 'Tables &amp; Ranges'!$B$116, VLOOKUP(X176,'Fixture Table'!$C$3:$M$1785, 10, FALSE))))))</f>
        <v>#N/A</v>
      </c>
      <c r="D176" s="2">
        <f>IFERROR(_xlfn.IFNA(VLOOKUP(F176,Summary_Pre!E:F,2,FALSE),0),0)</f>
        <v>0</v>
      </c>
      <c r="E176" s="249" t="e">
        <f t="shared" si="11"/>
        <v>#N/A</v>
      </c>
      <c r="F176" s="2" t="e">
        <f t="array" ref="F176">INDEX(Summary_Pre!E$4:E$303, MATCH(0, COUNTIF($F$2:F175,Summary_Pre!E$4:E$303), 0))</f>
        <v>#N/A</v>
      </c>
      <c r="G176" s="271" t="e">
        <f>VLOOKUP(X176,Table7[[#All],[FIXTURE CODE]:[WATT/ FIXT]], 6, FALSE)</f>
        <v>#N/A</v>
      </c>
      <c r="H176" s="271" t="e">
        <f>VLOOKUP(Y176,Table7[[#All],[FIXTURE CODE]:[WATT/ FIXT]], 6, FALSE)</f>
        <v>#N/A</v>
      </c>
      <c r="I176" s="272">
        <f>SUMIF(Summary_Pre!E:E,"="&amp;F176,Summary_Pre!D:D)</f>
        <v>0</v>
      </c>
      <c r="J176" s="263">
        <f>SUMIF(Summary_Pre!E:E,"="&amp;F176,Summary_Pre!H:H)</f>
        <v>0</v>
      </c>
      <c r="K176" s="262">
        <f>SUMIF(Summary_Pre!E:E,"="&amp; F176,Summary_Pre!I:I)</f>
        <v>0</v>
      </c>
      <c r="L176" s="3">
        <f>SUMIF(Summary_Pre!E:E,"="&amp; F176,Summary_Pre!J:J)</f>
        <v>0</v>
      </c>
      <c r="M176" s="285">
        <f>SUMIF(Summary_Pre!E:E,"="&amp; F176,Summary_Pre!K:K)</f>
        <v>0</v>
      </c>
      <c r="N176" s="285">
        <f>SUMIF(Summary_Pre!E:E,"="&amp;F176,Summary_Pre!C:C)</f>
        <v>0</v>
      </c>
      <c r="O176" s="266">
        <f t="shared" si="12"/>
        <v>0</v>
      </c>
      <c r="P176" s="3"/>
      <c r="Q176" s="3"/>
      <c r="R176" s="3"/>
      <c r="S176" s="3"/>
      <c r="T176" s="3"/>
      <c r="U176" s="3"/>
      <c r="V176" s="3"/>
      <c r="W176" s="2"/>
      <c r="X176" s="281" t="e">
        <f t="shared" si="9"/>
        <v>#N/A</v>
      </c>
      <c r="Y176" s="279" t="e">
        <f t="shared" si="10"/>
        <v>#N/A</v>
      </c>
    </row>
    <row r="177" spans="1:25">
      <c r="A177" s="249" t="e">
        <f>IF(D177='Tables &amp; Ranges'!$A$133, 'Tables &amp; Ranges'!$B$133, IF(D177='Tables &amp; Ranges'!$A$134, 'Tables &amp; Ranges'!$B$134, IF(D177='Tables &amp; Ranges'!$A$135, 'Tables &amp; Ranges'!$B$135, IF(D177='Tables &amp; Ranges'!$A$136, 'Tables &amp; Ranges'!$B$136, IF(D177='Tables &amp; Ranges'!$A$99, 'Tables &amp; Ranges'!$B$116, VLOOKUP(X177,'Fixture Table'!$C$3:$M$1785, 10, FALSE))))))</f>
        <v>#N/A</v>
      </c>
      <c r="D177" s="2">
        <f>IFERROR(_xlfn.IFNA(VLOOKUP(F177,Summary_Pre!E:F,2,FALSE),0),0)</f>
        <v>0</v>
      </c>
      <c r="E177" s="249" t="e">
        <f t="shared" si="11"/>
        <v>#N/A</v>
      </c>
      <c r="F177" s="2" t="e">
        <f t="array" ref="F177">INDEX(Summary_Pre!E$4:E$303, MATCH(0, COUNTIF($F$2:F176,Summary_Pre!E$4:E$303), 0))</f>
        <v>#N/A</v>
      </c>
      <c r="G177" s="271" t="e">
        <f>VLOOKUP(X177,Table7[[#All],[FIXTURE CODE]:[WATT/ FIXT]], 6, FALSE)</f>
        <v>#N/A</v>
      </c>
      <c r="H177" s="271" t="e">
        <f>VLOOKUP(Y177,Table7[[#All],[FIXTURE CODE]:[WATT/ FIXT]], 6, FALSE)</f>
        <v>#N/A</v>
      </c>
      <c r="I177" s="272">
        <f>SUMIF(Summary_Pre!E:E,"="&amp;F177,Summary_Pre!D:D)</f>
        <v>0</v>
      </c>
      <c r="J177" s="263">
        <f>SUMIF(Summary_Pre!E:E,"="&amp;F177,Summary_Pre!H:H)</f>
        <v>0</v>
      </c>
      <c r="K177" s="262">
        <f>SUMIF(Summary_Pre!E:E,"="&amp; F177,Summary_Pre!I:I)</f>
        <v>0</v>
      </c>
      <c r="L177" s="3">
        <f>SUMIF(Summary_Pre!E:E,"="&amp; F177,Summary_Pre!J:J)</f>
        <v>0</v>
      </c>
      <c r="M177" s="285">
        <f>SUMIF(Summary_Pre!E:E,"="&amp; F177,Summary_Pre!K:K)</f>
        <v>0</v>
      </c>
      <c r="N177" s="285">
        <f>SUMIF(Summary_Pre!E:E,"="&amp;F177,Summary_Pre!C:C)</f>
        <v>0</v>
      </c>
      <c r="O177" s="266">
        <f t="shared" si="12"/>
        <v>0</v>
      </c>
      <c r="P177" s="3"/>
      <c r="Q177" s="3"/>
      <c r="R177" s="3"/>
      <c r="S177" s="3"/>
      <c r="T177" s="3"/>
      <c r="U177" s="3"/>
      <c r="V177" s="3"/>
      <c r="W177" s="2"/>
      <c r="X177" s="281" t="e">
        <f t="shared" si="9"/>
        <v>#N/A</v>
      </c>
      <c r="Y177" s="279" t="e">
        <f t="shared" si="10"/>
        <v>#N/A</v>
      </c>
    </row>
    <row r="178" spans="1:25">
      <c r="A178" s="249" t="e">
        <f>IF(D178='Tables &amp; Ranges'!$A$133, 'Tables &amp; Ranges'!$B$133, IF(D178='Tables &amp; Ranges'!$A$134, 'Tables &amp; Ranges'!$B$134, IF(D178='Tables &amp; Ranges'!$A$135, 'Tables &amp; Ranges'!$B$135, IF(D178='Tables &amp; Ranges'!$A$136, 'Tables &amp; Ranges'!$B$136, IF(D178='Tables &amp; Ranges'!$A$99, 'Tables &amp; Ranges'!$B$116, VLOOKUP(X178,'Fixture Table'!$C$3:$M$1785, 10, FALSE))))))</f>
        <v>#N/A</v>
      </c>
      <c r="D178" s="2">
        <f>IFERROR(_xlfn.IFNA(VLOOKUP(F178,Summary_Pre!E:F,2,FALSE),0),0)</f>
        <v>0</v>
      </c>
      <c r="E178" s="249" t="e">
        <f t="shared" si="11"/>
        <v>#N/A</v>
      </c>
      <c r="F178" s="2" t="e">
        <f t="array" ref="F178">INDEX(Summary_Pre!E$4:E$303, MATCH(0, COUNTIF($F$2:F177,Summary_Pre!E$4:E$303), 0))</f>
        <v>#N/A</v>
      </c>
      <c r="G178" s="271" t="e">
        <f>VLOOKUP(X178,Table7[[#All],[FIXTURE CODE]:[WATT/ FIXT]], 6, FALSE)</f>
        <v>#N/A</v>
      </c>
      <c r="H178" s="271" t="e">
        <f>VLOOKUP(Y178,Table7[[#All],[FIXTURE CODE]:[WATT/ FIXT]], 6, FALSE)</f>
        <v>#N/A</v>
      </c>
      <c r="I178" s="272">
        <f>SUMIF(Summary_Pre!E:E,"="&amp;F178,Summary_Pre!D:D)</f>
        <v>0</v>
      </c>
      <c r="J178" s="263">
        <f>SUMIF(Summary_Pre!E:E,"="&amp;F178,Summary_Pre!H:H)</f>
        <v>0</v>
      </c>
      <c r="K178" s="262">
        <f>SUMIF(Summary_Pre!E:E,"="&amp; F178,Summary_Pre!I:I)</f>
        <v>0</v>
      </c>
      <c r="L178" s="3">
        <f>SUMIF(Summary_Pre!E:E,"="&amp; F178,Summary_Pre!J:J)</f>
        <v>0</v>
      </c>
      <c r="M178" s="285">
        <f>SUMIF(Summary_Pre!E:E,"="&amp; F178,Summary_Pre!K:K)</f>
        <v>0</v>
      </c>
      <c r="N178" s="285">
        <f>SUMIF(Summary_Pre!E:E,"="&amp;F178,Summary_Pre!C:C)</f>
        <v>0</v>
      </c>
      <c r="O178" s="266">
        <f t="shared" si="12"/>
        <v>0</v>
      </c>
      <c r="P178" s="3"/>
      <c r="Q178" s="3"/>
      <c r="R178" s="3"/>
      <c r="S178" s="3"/>
      <c r="T178" s="3"/>
      <c r="U178" s="3"/>
      <c r="V178" s="3"/>
      <c r="W178" s="2"/>
      <c r="X178" s="281" t="e">
        <f t="shared" si="9"/>
        <v>#N/A</v>
      </c>
      <c r="Y178" s="279" t="e">
        <f t="shared" si="10"/>
        <v>#N/A</v>
      </c>
    </row>
    <row r="179" spans="1:25">
      <c r="A179" s="249" t="e">
        <f>IF(D179='Tables &amp; Ranges'!$A$133, 'Tables &amp; Ranges'!$B$133, IF(D179='Tables &amp; Ranges'!$A$134, 'Tables &amp; Ranges'!$B$134, IF(D179='Tables &amp; Ranges'!$A$135, 'Tables &amp; Ranges'!$B$135, IF(D179='Tables &amp; Ranges'!$A$136, 'Tables &amp; Ranges'!$B$136, IF(D179='Tables &amp; Ranges'!$A$99, 'Tables &amp; Ranges'!$B$116, VLOOKUP(X179,'Fixture Table'!$C$3:$M$1785, 10, FALSE))))))</f>
        <v>#N/A</v>
      </c>
      <c r="D179" s="2">
        <f>IFERROR(_xlfn.IFNA(VLOOKUP(F179,Summary_Pre!E:F,2,FALSE),0),0)</f>
        <v>0</v>
      </c>
      <c r="E179" s="249" t="e">
        <f t="shared" si="11"/>
        <v>#N/A</v>
      </c>
      <c r="F179" s="2" t="e">
        <f t="array" ref="F179">INDEX(Summary_Pre!E$4:E$303, MATCH(0, COUNTIF($F$2:F178,Summary_Pre!E$4:E$303), 0))</f>
        <v>#N/A</v>
      </c>
      <c r="G179" s="271" t="e">
        <f>VLOOKUP(X179,Table7[[#All],[FIXTURE CODE]:[WATT/ FIXT]], 6, FALSE)</f>
        <v>#N/A</v>
      </c>
      <c r="H179" s="271" t="e">
        <f>VLOOKUP(Y179,Table7[[#All],[FIXTURE CODE]:[WATT/ FIXT]], 6, FALSE)</f>
        <v>#N/A</v>
      </c>
      <c r="I179" s="272">
        <f>SUMIF(Summary_Pre!E:E,"="&amp;F179,Summary_Pre!D:D)</f>
        <v>0</v>
      </c>
      <c r="J179" s="263">
        <f>SUMIF(Summary_Pre!E:E,"="&amp;F179,Summary_Pre!H:H)</f>
        <v>0</v>
      </c>
      <c r="K179" s="262">
        <f>SUMIF(Summary_Pre!E:E,"="&amp; F179,Summary_Pre!I:I)</f>
        <v>0</v>
      </c>
      <c r="L179" s="3">
        <f>SUMIF(Summary_Pre!E:E,"="&amp; F179,Summary_Pre!J:J)</f>
        <v>0</v>
      </c>
      <c r="M179" s="285">
        <f>SUMIF(Summary_Pre!E:E,"="&amp; F179,Summary_Pre!K:K)</f>
        <v>0</v>
      </c>
      <c r="N179" s="285">
        <f>SUMIF(Summary_Pre!E:E,"="&amp;F179,Summary_Pre!C:C)</f>
        <v>0</v>
      </c>
      <c r="O179" s="266">
        <f t="shared" si="12"/>
        <v>0</v>
      </c>
      <c r="P179" s="3"/>
      <c r="Q179" s="3"/>
      <c r="R179" s="3"/>
      <c r="S179" s="3"/>
      <c r="T179" s="3"/>
      <c r="U179" s="3"/>
      <c r="V179" s="3"/>
      <c r="W179" s="2"/>
      <c r="X179" s="281" t="e">
        <f t="shared" si="9"/>
        <v>#N/A</v>
      </c>
      <c r="Y179" s="279" t="e">
        <f t="shared" si="10"/>
        <v>#N/A</v>
      </c>
    </row>
    <row r="180" spans="1:25">
      <c r="A180" s="249" t="e">
        <f>IF(D180='Tables &amp; Ranges'!$A$133, 'Tables &amp; Ranges'!$B$133, IF(D180='Tables &amp; Ranges'!$A$134, 'Tables &amp; Ranges'!$B$134, IF(D180='Tables &amp; Ranges'!$A$135, 'Tables &amp; Ranges'!$B$135, IF(D180='Tables &amp; Ranges'!$A$136, 'Tables &amp; Ranges'!$B$136, IF(D180='Tables &amp; Ranges'!$A$99, 'Tables &amp; Ranges'!$B$116, VLOOKUP(X180,'Fixture Table'!$C$3:$M$1785, 10, FALSE))))))</f>
        <v>#N/A</v>
      </c>
      <c r="D180" s="2">
        <f>IFERROR(_xlfn.IFNA(VLOOKUP(F180,Summary_Pre!E:F,2,FALSE),0),0)</f>
        <v>0</v>
      </c>
      <c r="E180" s="249" t="e">
        <f t="shared" si="11"/>
        <v>#N/A</v>
      </c>
      <c r="F180" s="2" t="e">
        <f t="array" ref="F180">INDEX(Summary_Pre!E$4:E$303, MATCH(0, COUNTIF($F$2:F179,Summary_Pre!E$4:E$303), 0))</f>
        <v>#N/A</v>
      </c>
      <c r="G180" s="271" t="e">
        <f>VLOOKUP(X180,Table7[[#All],[FIXTURE CODE]:[WATT/ FIXT]], 6, FALSE)</f>
        <v>#N/A</v>
      </c>
      <c r="H180" s="271" t="e">
        <f>VLOOKUP(Y180,Table7[[#All],[FIXTURE CODE]:[WATT/ FIXT]], 6, FALSE)</f>
        <v>#N/A</v>
      </c>
      <c r="I180" s="272">
        <f>SUMIF(Summary_Pre!E:E,"="&amp;F180,Summary_Pre!D:D)</f>
        <v>0</v>
      </c>
      <c r="J180" s="263">
        <f>SUMIF(Summary_Pre!E:E,"="&amp;F180,Summary_Pre!H:H)</f>
        <v>0</v>
      </c>
      <c r="K180" s="262">
        <f>SUMIF(Summary_Pre!E:E,"="&amp; F180,Summary_Pre!I:I)</f>
        <v>0</v>
      </c>
      <c r="L180" s="3">
        <f>SUMIF(Summary_Pre!E:E,"="&amp; F180,Summary_Pre!J:J)</f>
        <v>0</v>
      </c>
      <c r="M180" s="285">
        <f>SUMIF(Summary_Pre!E:E,"="&amp; F180,Summary_Pre!K:K)</f>
        <v>0</v>
      </c>
      <c r="N180" s="285">
        <f>SUMIF(Summary_Pre!E:E,"="&amp;F180,Summary_Pre!C:C)</f>
        <v>0</v>
      </c>
      <c r="O180" s="266">
        <f t="shared" si="12"/>
        <v>0</v>
      </c>
      <c r="P180" s="3"/>
      <c r="Q180" s="3"/>
      <c r="R180" s="3"/>
      <c r="S180" s="3"/>
      <c r="T180" s="3"/>
      <c r="U180" s="3"/>
      <c r="V180" s="3"/>
      <c r="W180" s="2"/>
      <c r="X180" s="281" t="e">
        <f t="shared" si="9"/>
        <v>#N/A</v>
      </c>
      <c r="Y180" s="279" t="e">
        <f t="shared" si="10"/>
        <v>#N/A</v>
      </c>
    </row>
    <row r="181" spans="1:25">
      <c r="A181" s="249" t="e">
        <f>IF(D181='Tables &amp; Ranges'!$A$133, 'Tables &amp; Ranges'!$B$133, IF(D181='Tables &amp; Ranges'!$A$134, 'Tables &amp; Ranges'!$B$134, IF(D181='Tables &amp; Ranges'!$A$135, 'Tables &amp; Ranges'!$B$135, IF(D181='Tables &amp; Ranges'!$A$136, 'Tables &amp; Ranges'!$B$136, IF(D181='Tables &amp; Ranges'!$A$99, 'Tables &amp; Ranges'!$B$116, VLOOKUP(X181,'Fixture Table'!$C$3:$M$1785, 10, FALSE))))))</f>
        <v>#N/A</v>
      </c>
      <c r="D181" s="2">
        <f>IFERROR(_xlfn.IFNA(VLOOKUP(F181,Summary_Pre!E:F,2,FALSE),0),0)</f>
        <v>0</v>
      </c>
      <c r="E181" s="249" t="e">
        <f t="shared" si="11"/>
        <v>#N/A</v>
      </c>
      <c r="F181" s="2" t="e">
        <f t="array" ref="F181">INDEX(Summary_Pre!E$4:E$303, MATCH(0, COUNTIF($F$2:F180,Summary_Pre!E$4:E$303), 0))</f>
        <v>#N/A</v>
      </c>
      <c r="G181" s="271" t="e">
        <f>VLOOKUP(X181,Table7[[#All],[FIXTURE CODE]:[WATT/ FIXT]], 6, FALSE)</f>
        <v>#N/A</v>
      </c>
      <c r="H181" s="271" t="e">
        <f>VLOOKUP(Y181,Table7[[#All],[FIXTURE CODE]:[WATT/ FIXT]], 6, FALSE)</f>
        <v>#N/A</v>
      </c>
      <c r="I181" s="272">
        <f>SUMIF(Summary_Pre!E:E,"="&amp;F181,Summary_Pre!D:D)</f>
        <v>0</v>
      </c>
      <c r="J181" s="263">
        <f>SUMIF(Summary_Pre!E:E,"="&amp;F181,Summary_Pre!H:H)</f>
        <v>0</v>
      </c>
      <c r="K181" s="262">
        <f>SUMIF(Summary_Pre!E:E,"="&amp; F181,Summary_Pre!I:I)</f>
        <v>0</v>
      </c>
      <c r="L181" s="3">
        <f>SUMIF(Summary_Pre!E:E,"="&amp; F181,Summary_Pre!J:J)</f>
        <v>0</v>
      </c>
      <c r="M181" s="285">
        <f>SUMIF(Summary_Pre!E:E,"="&amp; F181,Summary_Pre!K:K)</f>
        <v>0</v>
      </c>
      <c r="N181" s="285">
        <f>SUMIF(Summary_Pre!E:E,"="&amp;F181,Summary_Pre!C:C)</f>
        <v>0</v>
      </c>
      <c r="O181" s="266">
        <f t="shared" si="12"/>
        <v>0</v>
      </c>
      <c r="P181" s="3"/>
      <c r="Q181" s="3"/>
      <c r="R181" s="3"/>
      <c r="S181" s="3"/>
      <c r="T181" s="3"/>
      <c r="U181" s="3"/>
      <c r="V181" s="3"/>
      <c r="W181" s="2"/>
      <c r="X181" s="281" t="e">
        <f t="shared" si="9"/>
        <v>#N/A</v>
      </c>
      <c r="Y181" s="279" t="e">
        <f t="shared" si="10"/>
        <v>#N/A</v>
      </c>
    </row>
    <row r="182" spans="1:25">
      <c r="A182" s="249" t="e">
        <f>IF(D182='Tables &amp; Ranges'!$A$133, 'Tables &amp; Ranges'!$B$133, IF(D182='Tables &amp; Ranges'!$A$134, 'Tables &amp; Ranges'!$B$134, IF(D182='Tables &amp; Ranges'!$A$135, 'Tables &amp; Ranges'!$B$135, IF(D182='Tables &amp; Ranges'!$A$136, 'Tables &amp; Ranges'!$B$136, IF(D182='Tables &amp; Ranges'!$A$99, 'Tables &amp; Ranges'!$B$116, VLOOKUP(X182,'Fixture Table'!$C$3:$M$1785, 10, FALSE))))))</f>
        <v>#N/A</v>
      </c>
      <c r="D182" s="2">
        <f>IFERROR(_xlfn.IFNA(VLOOKUP(F182,Summary_Pre!E:F,2,FALSE),0),0)</f>
        <v>0</v>
      </c>
      <c r="E182" s="249" t="e">
        <f t="shared" si="11"/>
        <v>#N/A</v>
      </c>
      <c r="F182" s="2" t="e">
        <f t="array" ref="F182">INDEX(Summary_Pre!E$4:E$303, MATCH(0, COUNTIF($F$2:F181,Summary_Pre!E$4:E$303), 0))</f>
        <v>#N/A</v>
      </c>
      <c r="G182" s="271" t="e">
        <f>VLOOKUP(X182,Table7[[#All],[FIXTURE CODE]:[WATT/ FIXT]], 6, FALSE)</f>
        <v>#N/A</v>
      </c>
      <c r="H182" s="271" t="e">
        <f>VLOOKUP(Y182,Table7[[#All],[FIXTURE CODE]:[WATT/ FIXT]], 6, FALSE)</f>
        <v>#N/A</v>
      </c>
      <c r="I182" s="272">
        <f>SUMIF(Summary_Pre!E:E,"="&amp;F182,Summary_Pre!D:D)</f>
        <v>0</v>
      </c>
      <c r="J182" s="263">
        <f>SUMIF(Summary_Pre!E:E,"="&amp;F182,Summary_Pre!H:H)</f>
        <v>0</v>
      </c>
      <c r="K182" s="262">
        <f>SUMIF(Summary_Pre!E:E,"="&amp; F182,Summary_Pre!I:I)</f>
        <v>0</v>
      </c>
      <c r="L182" s="3">
        <f>SUMIF(Summary_Pre!E:E,"="&amp; F182,Summary_Pre!J:J)</f>
        <v>0</v>
      </c>
      <c r="M182" s="285">
        <f>SUMIF(Summary_Pre!E:E,"="&amp; F182,Summary_Pre!K:K)</f>
        <v>0</v>
      </c>
      <c r="N182" s="285">
        <f>SUMIF(Summary_Pre!E:E,"="&amp;F182,Summary_Pre!C:C)</f>
        <v>0</v>
      </c>
      <c r="O182" s="266">
        <f t="shared" si="12"/>
        <v>0</v>
      </c>
      <c r="P182" s="3"/>
      <c r="Q182" s="3"/>
      <c r="R182" s="3"/>
      <c r="S182" s="3"/>
      <c r="T182" s="3"/>
      <c r="U182" s="3"/>
      <c r="V182" s="3"/>
      <c r="W182" s="2"/>
      <c r="X182" s="281" t="e">
        <f t="shared" si="9"/>
        <v>#N/A</v>
      </c>
      <c r="Y182" s="279" t="e">
        <f t="shared" si="10"/>
        <v>#N/A</v>
      </c>
    </row>
    <row r="183" spans="1:25">
      <c r="A183" s="249" t="e">
        <f>IF(D183='Tables &amp; Ranges'!$A$133, 'Tables &amp; Ranges'!$B$133, IF(D183='Tables &amp; Ranges'!$A$134, 'Tables &amp; Ranges'!$B$134, IF(D183='Tables &amp; Ranges'!$A$135, 'Tables &amp; Ranges'!$B$135, IF(D183='Tables &amp; Ranges'!$A$136, 'Tables &amp; Ranges'!$B$136, IF(D183='Tables &amp; Ranges'!$A$99, 'Tables &amp; Ranges'!$B$116, VLOOKUP(X183,'Fixture Table'!$C$3:$M$1785, 10, FALSE))))))</f>
        <v>#N/A</v>
      </c>
      <c r="D183" s="2">
        <f>IFERROR(_xlfn.IFNA(VLOOKUP(F183,Summary_Pre!E:F,2,FALSE),0),0)</f>
        <v>0</v>
      </c>
      <c r="E183" s="249" t="e">
        <f t="shared" si="11"/>
        <v>#N/A</v>
      </c>
      <c r="F183" s="2" t="e">
        <f t="array" ref="F183">INDEX(Summary_Pre!E$4:E$303, MATCH(0, COUNTIF($F$2:F182,Summary_Pre!E$4:E$303), 0))</f>
        <v>#N/A</v>
      </c>
      <c r="G183" s="271" t="e">
        <f>VLOOKUP(X183,Table7[[#All],[FIXTURE CODE]:[WATT/ FIXT]], 6, FALSE)</f>
        <v>#N/A</v>
      </c>
      <c r="H183" s="271" t="e">
        <f>VLOOKUP(Y183,Table7[[#All],[FIXTURE CODE]:[WATT/ FIXT]], 6, FALSE)</f>
        <v>#N/A</v>
      </c>
      <c r="I183" s="272">
        <f>SUMIF(Summary_Pre!E:E,"="&amp;F183,Summary_Pre!D:D)</f>
        <v>0</v>
      </c>
      <c r="J183" s="263">
        <f>SUMIF(Summary_Pre!E:E,"="&amp;F183,Summary_Pre!H:H)</f>
        <v>0</v>
      </c>
      <c r="K183" s="262">
        <f>SUMIF(Summary_Pre!E:E,"="&amp; F183,Summary_Pre!I:I)</f>
        <v>0</v>
      </c>
      <c r="L183" s="3">
        <f>SUMIF(Summary_Pre!E:E,"="&amp; F183,Summary_Pre!J:J)</f>
        <v>0</v>
      </c>
      <c r="M183" s="285">
        <f>SUMIF(Summary_Pre!E:E,"="&amp; F183,Summary_Pre!K:K)</f>
        <v>0</v>
      </c>
      <c r="N183" s="285">
        <f>SUMIF(Summary_Pre!E:E,"="&amp;F183,Summary_Pre!C:C)</f>
        <v>0</v>
      </c>
      <c r="O183" s="266">
        <f t="shared" si="12"/>
        <v>0</v>
      </c>
      <c r="P183" s="3"/>
      <c r="Q183" s="3"/>
      <c r="R183" s="3"/>
      <c r="S183" s="3"/>
      <c r="T183" s="3"/>
      <c r="U183" s="3"/>
      <c r="V183" s="3"/>
      <c r="W183" s="2"/>
      <c r="X183" s="281" t="e">
        <f t="shared" si="9"/>
        <v>#N/A</v>
      </c>
      <c r="Y183" s="279" t="e">
        <f t="shared" si="10"/>
        <v>#N/A</v>
      </c>
    </row>
    <row r="184" spans="1:25">
      <c r="A184" s="249" t="e">
        <f>IF(D184='Tables &amp; Ranges'!$A$133, 'Tables &amp; Ranges'!$B$133, IF(D184='Tables &amp; Ranges'!$A$134, 'Tables &amp; Ranges'!$B$134, IF(D184='Tables &amp; Ranges'!$A$135, 'Tables &amp; Ranges'!$B$135, IF(D184='Tables &amp; Ranges'!$A$136, 'Tables &amp; Ranges'!$B$136, IF(D184='Tables &amp; Ranges'!$A$99, 'Tables &amp; Ranges'!$B$116, VLOOKUP(X184,'Fixture Table'!$C$3:$M$1785, 10, FALSE))))))</f>
        <v>#N/A</v>
      </c>
      <c r="D184" s="2">
        <f>IFERROR(_xlfn.IFNA(VLOOKUP(F184,Summary_Pre!E:F,2,FALSE),0),0)</f>
        <v>0</v>
      </c>
      <c r="E184" s="249" t="e">
        <f t="shared" si="11"/>
        <v>#N/A</v>
      </c>
      <c r="F184" s="2" t="e">
        <f t="array" ref="F184">INDEX(Summary_Pre!E$4:E$303, MATCH(0, COUNTIF($F$2:F183,Summary_Pre!E$4:E$303), 0))</f>
        <v>#N/A</v>
      </c>
      <c r="G184" s="271" t="e">
        <f>VLOOKUP(X184,Table7[[#All],[FIXTURE CODE]:[WATT/ FIXT]], 6, FALSE)</f>
        <v>#N/A</v>
      </c>
      <c r="H184" s="271" t="e">
        <f>VLOOKUP(Y184,Table7[[#All],[FIXTURE CODE]:[WATT/ FIXT]], 6, FALSE)</f>
        <v>#N/A</v>
      </c>
      <c r="I184" s="272">
        <f>SUMIF(Summary_Pre!E:E,"="&amp;F184,Summary_Pre!D:D)</f>
        <v>0</v>
      </c>
      <c r="J184" s="263">
        <f>SUMIF(Summary_Pre!E:E,"="&amp;F184,Summary_Pre!H:H)</f>
        <v>0</v>
      </c>
      <c r="K184" s="262">
        <f>SUMIF(Summary_Pre!E:E,"="&amp; F184,Summary_Pre!I:I)</f>
        <v>0</v>
      </c>
      <c r="L184" s="3">
        <f>SUMIF(Summary_Pre!E:E,"="&amp; F184,Summary_Pre!J:J)</f>
        <v>0</v>
      </c>
      <c r="M184" s="285">
        <f>SUMIF(Summary_Pre!E:E,"="&amp; F184,Summary_Pre!K:K)</f>
        <v>0</v>
      </c>
      <c r="N184" s="285">
        <f>SUMIF(Summary_Pre!E:E,"="&amp;F184,Summary_Pre!C:C)</f>
        <v>0</v>
      </c>
      <c r="O184" s="266">
        <f t="shared" si="12"/>
        <v>0</v>
      </c>
      <c r="P184" s="3"/>
      <c r="Q184" s="3"/>
      <c r="R184" s="3"/>
      <c r="S184" s="3"/>
      <c r="T184" s="3"/>
      <c r="U184" s="3"/>
      <c r="V184" s="3"/>
      <c r="W184" s="2"/>
      <c r="X184" s="281" t="e">
        <f t="shared" si="9"/>
        <v>#N/A</v>
      </c>
      <c r="Y184" s="279" t="e">
        <f t="shared" si="10"/>
        <v>#N/A</v>
      </c>
    </row>
    <row r="185" spans="1:25">
      <c r="A185" s="249" t="e">
        <f>IF(D185='Tables &amp; Ranges'!$A$133, 'Tables &amp; Ranges'!$B$133, IF(D185='Tables &amp; Ranges'!$A$134, 'Tables &amp; Ranges'!$B$134, IF(D185='Tables &amp; Ranges'!$A$135, 'Tables &amp; Ranges'!$B$135, IF(D185='Tables &amp; Ranges'!$A$136, 'Tables &amp; Ranges'!$B$136, IF(D185='Tables &amp; Ranges'!$A$99, 'Tables &amp; Ranges'!$B$116, VLOOKUP(X185,'Fixture Table'!$C$3:$M$1785, 10, FALSE))))))</f>
        <v>#N/A</v>
      </c>
      <c r="D185" s="2">
        <f>IFERROR(_xlfn.IFNA(VLOOKUP(F185,Summary_Pre!E:F,2,FALSE),0),0)</f>
        <v>0</v>
      </c>
      <c r="E185" s="249" t="e">
        <f t="shared" si="11"/>
        <v>#N/A</v>
      </c>
      <c r="F185" s="2" t="e">
        <f t="array" ref="F185">INDEX(Summary_Pre!E$4:E$303, MATCH(0, COUNTIF($F$2:F184,Summary_Pre!E$4:E$303), 0))</f>
        <v>#N/A</v>
      </c>
      <c r="G185" s="271" t="e">
        <f>VLOOKUP(X185,Table7[[#All],[FIXTURE CODE]:[WATT/ FIXT]], 6, FALSE)</f>
        <v>#N/A</v>
      </c>
      <c r="H185" s="271" t="e">
        <f>VLOOKUP(Y185,Table7[[#All],[FIXTURE CODE]:[WATT/ FIXT]], 6, FALSE)</f>
        <v>#N/A</v>
      </c>
      <c r="I185" s="272">
        <f>SUMIF(Summary_Pre!E:E,"="&amp;F185,Summary_Pre!D:D)</f>
        <v>0</v>
      </c>
      <c r="J185" s="263">
        <f>SUMIF(Summary_Pre!E:E,"="&amp;F185,Summary_Pre!H:H)</f>
        <v>0</v>
      </c>
      <c r="K185" s="262">
        <f>SUMIF(Summary_Pre!E:E,"="&amp; F185,Summary_Pre!I:I)</f>
        <v>0</v>
      </c>
      <c r="L185" s="3">
        <f>SUMIF(Summary_Pre!E:E,"="&amp; F185,Summary_Pre!J:J)</f>
        <v>0</v>
      </c>
      <c r="M185" s="285">
        <f>SUMIF(Summary_Pre!E:E,"="&amp; F185,Summary_Pre!K:K)</f>
        <v>0</v>
      </c>
      <c r="N185" s="285">
        <f>SUMIF(Summary_Pre!E:E,"="&amp;F185,Summary_Pre!C:C)</f>
        <v>0</v>
      </c>
      <c r="O185" s="266">
        <f t="shared" si="12"/>
        <v>0</v>
      </c>
      <c r="P185" s="3"/>
      <c r="Q185" s="3"/>
      <c r="R185" s="3"/>
      <c r="S185" s="3"/>
      <c r="T185" s="3"/>
      <c r="U185" s="3"/>
      <c r="V185" s="3"/>
      <c r="W185" s="2"/>
      <c r="X185" s="281" t="e">
        <f t="shared" si="9"/>
        <v>#N/A</v>
      </c>
      <c r="Y185" s="279" t="e">
        <f t="shared" si="10"/>
        <v>#N/A</v>
      </c>
    </row>
    <row r="186" spans="1:25">
      <c r="A186" s="249" t="e">
        <f>IF(D186='Tables &amp; Ranges'!$A$133, 'Tables &amp; Ranges'!$B$133, IF(D186='Tables &amp; Ranges'!$A$134, 'Tables &amp; Ranges'!$B$134, IF(D186='Tables &amp; Ranges'!$A$135, 'Tables &amp; Ranges'!$B$135, IF(D186='Tables &amp; Ranges'!$A$136, 'Tables &amp; Ranges'!$B$136, IF(D186='Tables &amp; Ranges'!$A$99, 'Tables &amp; Ranges'!$B$116, VLOOKUP(X186,'Fixture Table'!$C$3:$M$1785, 10, FALSE))))))</f>
        <v>#N/A</v>
      </c>
      <c r="D186" s="2">
        <f>IFERROR(_xlfn.IFNA(VLOOKUP(F186,Summary_Pre!E:F,2,FALSE),0),0)</f>
        <v>0</v>
      </c>
      <c r="E186" s="249" t="e">
        <f t="shared" si="11"/>
        <v>#N/A</v>
      </c>
      <c r="F186" s="2" t="e">
        <f t="array" ref="F186">INDEX(Summary_Pre!E$4:E$303, MATCH(0, COUNTIF($F$2:F185,Summary_Pre!E$4:E$303), 0))</f>
        <v>#N/A</v>
      </c>
      <c r="G186" s="271" t="e">
        <f>VLOOKUP(X186,Table7[[#All],[FIXTURE CODE]:[WATT/ FIXT]], 6, FALSE)</f>
        <v>#N/A</v>
      </c>
      <c r="H186" s="271" t="e">
        <f>VLOOKUP(Y186,Table7[[#All],[FIXTURE CODE]:[WATT/ FIXT]], 6, FALSE)</f>
        <v>#N/A</v>
      </c>
      <c r="I186" s="272">
        <f>SUMIF(Summary_Pre!E:E,"="&amp;F186,Summary_Pre!D:D)</f>
        <v>0</v>
      </c>
      <c r="J186" s="263">
        <f>SUMIF(Summary_Pre!E:E,"="&amp;F186,Summary_Pre!H:H)</f>
        <v>0</v>
      </c>
      <c r="K186" s="262">
        <f>SUMIF(Summary_Pre!E:E,"="&amp; F186,Summary_Pre!I:I)</f>
        <v>0</v>
      </c>
      <c r="L186" s="3">
        <f>SUMIF(Summary_Pre!E:E,"="&amp; F186,Summary_Pre!J:J)</f>
        <v>0</v>
      </c>
      <c r="M186" s="285">
        <f>SUMIF(Summary_Pre!E:E,"="&amp; F186,Summary_Pre!K:K)</f>
        <v>0</v>
      </c>
      <c r="N186" s="285">
        <f>SUMIF(Summary_Pre!E:E,"="&amp;F186,Summary_Pre!C:C)</f>
        <v>0</v>
      </c>
      <c r="O186" s="266">
        <f t="shared" si="12"/>
        <v>0</v>
      </c>
      <c r="P186" s="3"/>
      <c r="Q186" s="3"/>
      <c r="R186" s="3"/>
      <c r="S186" s="3"/>
      <c r="T186" s="3"/>
      <c r="U186" s="3"/>
      <c r="V186" s="3"/>
      <c r="W186" s="2"/>
      <c r="X186" s="281" t="e">
        <f t="shared" si="9"/>
        <v>#N/A</v>
      </c>
      <c r="Y186" s="279" t="e">
        <f t="shared" si="10"/>
        <v>#N/A</v>
      </c>
    </row>
    <row r="187" spans="1:25">
      <c r="A187" s="249" t="e">
        <f>IF(D187='Tables &amp; Ranges'!$A$133, 'Tables &amp; Ranges'!$B$133, IF(D187='Tables &amp; Ranges'!$A$134, 'Tables &amp; Ranges'!$B$134, IF(D187='Tables &amp; Ranges'!$A$135, 'Tables &amp; Ranges'!$B$135, IF(D187='Tables &amp; Ranges'!$A$136, 'Tables &amp; Ranges'!$B$136, IF(D187='Tables &amp; Ranges'!$A$99, 'Tables &amp; Ranges'!$B$116, VLOOKUP(X187,'Fixture Table'!$C$3:$M$1785, 10, FALSE))))))</f>
        <v>#N/A</v>
      </c>
      <c r="D187" s="2">
        <f>IFERROR(_xlfn.IFNA(VLOOKUP(F187,Summary_Pre!E:F,2,FALSE),0),0)</f>
        <v>0</v>
      </c>
      <c r="E187" s="249" t="e">
        <f t="shared" si="11"/>
        <v>#N/A</v>
      </c>
      <c r="F187" s="2" t="e">
        <f t="array" ref="F187">INDEX(Summary_Pre!E$4:E$303, MATCH(0, COUNTIF($F$2:F186,Summary_Pre!E$4:E$303), 0))</f>
        <v>#N/A</v>
      </c>
      <c r="G187" s="271" t="e">
        <f>VLOOKUP(X187,Table7[[#All],[FIXTURE CODE]:[WATT/ FIXT]], 6, FALSE)</f>
        <v>#N/A</v>
      </c>
      <c r="H187" s="271" t="e">
        <f>VLOOKUP(Y187,Table7[[#All],[FIXTURE CODE]:[WATT/ FIXT]], 6, FALSE)</f>
        <v>#N/A</v>
      </c>
      <c r="I187" s="272">
        <f>SUMIF(Summary_Pre!E:E,"="&amp;F187,Summary_Pre!D:D)</f>
        <v>0</v>
      </c>
      <c r="J187" s="263">
        <f>SUMIF(Summary_Pre!E:E,"="&amp;F187,Summary_Pre!H:H)</f>
        <v>0</v>
      </c>
      <c r="K187" s="262">
        <f>SUMIF(Summary_Pre!E:E,"="&amp; F187,Summary_Pre!I:I)</f>
        <v>0</v>
      </c>
      <c r="L187" s="3">
        <f>SUMIF(Summary_Pre!E:E,"="&amp; F187,Summary_Pre!J:J)</f>
        <v>0</v>
      </c>
      <c r="M187" s="285">
        <f>SUMIF(Summary_Pre!E:E,"="&amp; F187,Summary_Pre!K:K)</f>
        <v>0</v>
      </c>
      <c r="N187" s="285">
        <f>SUMIF(Summary_Pre!E:E,"="&amp;F187,Summary_Pre!C:C)</f>
        <v>0</v>
      </c>
      <c r="O187" s="266">
        <f t="shared" si="12"/>
        <v>0</v>
      </c>
      <c r="P187" s="3"/>
      <c r="Q187" s="3"/>
      <c r="R187" s="3"/>
      <c r="S187" s="3"/>
      <c r="T187" s="3"/>
      <c r="U187" s="3"/>
      <c r="V187" s="3"/>
      <c r="W187" s="2"/>
      <c r="X187" s="281" t="e">
        <f t="shared" si="9"/>
        <v>#N/A</v>
      </c>
      <c r="Y187" s="279" t="e">
        <f t="shared" si="10"/>
        <v>#N/A</v>
      </c>
    </row>
    <row r="188" spans="1:25">
      <c r="A188" s="249" t="e">
        <f>IF(D188='Tables &amp; Ranges'!$A$133, 'Tables &amp; Ranges'!$B$133, IF(D188='Tables &amp; Ranges'!$A$134, 'Tables &amp; Ranges'!$B$134, IF(D188='Tables &amp; Ranges'!$A$135, 'Tables &amp; Ranges'!$B$135, IF(D188='Tables &amp; Ranges'!$A$136, 'Tables &amp; Ranges'!$B$136, IF(D188='Tables &amp; Ranges'!$A$99, 'Tables &amp; Ranges'!$B$116, VLOOKUP(X188,'Fixture Table'!$C$3:$M$1785, 10, FALSE))))))</f>
        <v>#N/A</v>
      </c>
      <c r="D188" s="2">
        <f>IFERROR(_xlfn.IFNA(VLOOKUP(F188,Summary_Pre!E:F,2,FALSE),0),0)</f>
        <v>0</v>
      </c>
      <c r="E188" s="249" t="e">
        <f t="shared" si="11"/>
        <v>#N/A</v>
      </c>
      <c r="F188" s="2" t="e">
        <f t="array" ref="F188">INDEX(Summary_Pre!E$4:E$303, MATCH(0, COUNTIF($F$2:F187,Summary_Pre!E$4:E$303), 0))</f>
        <v>#N/A</v>
      </c>
      <c r="G188" s="271" t="e">
        <f>VLOOKUP(X188,Table7[[#All],[FIXTURE CODE]:[WATT/ FIXT]], 6, FALSE)</f>
        <v>#N/A</v>
      </c>
      <c r="H188" s="271" t="e">
        <f>VLOOKUP(Y188,Table7[[#All],[FIXTURE CODE]:[WATT/ FIXT]], 6, FALSE)</f>
        <v>#N/A</v>
      </c>
      <c r="I188" s="272">
        <f>SUMIF(Summary_Pre!E:E,"="&amp;F188,Summary_Pre!D:D)</f>
        <v>0</v>
      </c>
      <c r="J188" s="263">
        <f>SUMIF(Summary_Pre!E:E,"="&amp;F188,Summary_Pre!H:H)</f>
        <v>0</v>
      </c>
      <c r="K188" s="262">
        <f>SUMIF(Summary_Pre!E:E,"="&amp; F188,Summary_Pre!I:I)</f>
        <v>0</v>
      </c>
      <c r="L188" s="3">
        <f>SUMIF(Summary_Pre!E:E,"="&amp; F188,Summary_Pre!J:J)</f>
        <v>0</v>
      </c>
      <c r="M188" s="285">
        <f>SUMIF(Summary_Pre!E:E,"="&amp; F188,Summary_Pre!K:K)</f>
        <v>0</v>
      </c>
      <c r="N188" s="285">
        <f>SUMIF(Summary_Pre!E:E,"="&amp;F188,Summary_Pre!C:C)</f>
        <v>0</v>
      </c>
      <c r="O188" s="266">
        <f t="shared" si="12"/>
        <v>0</v>
      </c>
      <c r="P188" s="3"/>
      <c r="Q188" s="3"/>
      <c r="R188" s="3"/>
      <c r="S188" s="3"/>
      <c r="T188" s="3"/>
      <c r="U188" s="3"/>
      <c r="V188" s="3"/>
      <c r="W188" s="2"/>
      <c r="X188" s="281" t="e">
        <f t="shared" si="9"/>
        <v>#N/A</v>
      </c>
      <c r="Y188" s="279" t="e">
        <f t="shared" si="10"/>
        <v>#N/A</v>
      </c>
    </row>
    <row r="189" spans="1:25">
      <c r="A189" s="249" t="e">
        <f>IF(D189='Tables &amp; Ranges'!$A$133, 'Tables &amp; Ranges'!$B$133, IF(D189='Tables &amp; Ranges'!$A$134, 'Tables &amp; Ranges'!$B$134, IF(D189='Tables &amp; Ranges'!$A$135, 'Tables &amp; Ranges'!$B$135, IF(D189='Tables &amp; Ranges'!$A$136, 'Tables &amp; Ranges'!$B$136, IF(D189='Tables &amp; Ranges'!$A$99, 'Tables &amp; Ranges'!$B$116, VLOOKUP(X189,'Fixture Table'!$C$3:$M$1785, 10, FALSE))))))</f>
        <v>#N/A</v>
      </c>
      <c r="D189" s="2">
        <f>IFERROR(_xlfn.IFNA(VLOOKUP(F189,Summary_Pre!E:F,2,FALSE),0),0)</f>
        <v>0</v>
      </c>
      <c r="E189" s="249" t="e">
        <f t="shared" si="11"/>
        <v>#N/A</v>
      </c>
      <c r="F189" s="2" t="e">
        <f t="array" ref="F189">INDEX(Summary_Pre!E$4:E$303, MATCH(0, COUNTIF($F$2:F188,Summary_Pre!E$4:E$303), 0))</f>
        <v>#N/A</v>
      </c>
      <c r="G189" s="271" t="e">
        <f>VLOOKUP(X189,Table7[[#All],[FIXTURE CODE]:[WATT/ FIXT]], 6, FALSE)</f>
        <v>#N/A</v>
      </c>
      <c r="H189" s="271" t="e">
        <f>VLOOKUP(Y189,Table7[[#All],[FIXTURE CODE]:[WATT/ FIXT]], 6, FALSE)</f>
        <v>#N/A</v>
      </c>
      <c r="I189" s="272">
        <f>SUMIF(Summary_Pre!E:E,"="&amp;F189,Summary_Pre!D:D)</f>
        <v>0</v>
      </c>
      <c r="J189" s="263">
        <f>SUMIF(Summary_Pre!E:E,"="&amp;F189,Summary_Pre!H:H)</f>
        <v>0</v>
      </c>
      <c r="K189" s="262">
        <f>SUMIF(Summary_Pre!E:E,"="&amp; F189,Summary_Pre!I:I)</f>
        <v>0</v>
      </c>
      <c r="L189" s="3">
        <f>SUMIF(Summary_Pre!E:E,"="&amp; F189,Summary_Pre!J:J)</f>
        <v>0</v>
      </c>
      <c r="M189" s="285">
        <f>SUMIF(Summary_Pre!E:E,"="&amp; F189,Summary_Pre!K:K)</f>
        <v>0</v>
      </c>
      <c r="N189" s="285">
        <f>SUMIF(Summary_Pre!E:E,"="&amp;F189,Summary_Pre!C:C)</f>
        <v>0</v>
      </c>
      <c r="O189" s="266">
        <f t="shared" si="12"/>
        <v>0</v>
      </c>
      <c r="P189" s="3"/>
      <c r="Q189" s="3"/>
      <c r="R189" s="3"/>
      <c r="S189" s="3"/>
      <c r="T189" s="3"/>
      <c r="U189" s="3"/>
      <c r="V189" s="3"/>
      <c r="W189" s="2"/>
      <c r="X189" s="281" t="e">
        <f t="shared" si="9"/>
        <v>#N/A</v>
      </c>
      <c r="Y189" s="279" t="e">
        <f t="shared" si="10"/>
        <v>#N/A</v>
      </c>
    </row>
    <row r="190" spans="1:25">
      <c r="A190" s="249" t="e">
        <f>IF(D190='Tables &amp; Ranges'!$A$133, 'Tables &amp; Ranges'!$B$133, IF(D190='Tables &amp; Ranges'!$A$134, 'Tables &amp; Ranges'!$B$134, IF(D190='Tables &amp; Ranges'!$A$135, 'Tables &amp; Ranges'!$B$135, IF(D190='Tables &amp; Ranges'!$A$136, 'Tables &amp; Ranges'!$B$136, IF(D190='Tables &amp; Ranges'!$A$99, 'Tables &amp; Ranges'!$B$116, VLOOKUP(X190,'Fixture Table'!$C$3:$M$1785, 10, FALSE))))))</f>
        <v>#N/A</v>
      </c>
      <c r="D190" s="2">
        <f>IFERROR(_xlfn.IFNA(VLOOKUP(F190,Summary_Pre!E:F,2,FALSE),0),0)</f>
        <v>0</v>
      </c>
      <c r="E190" s="249" t="e">
        <f t="shared" si="11"/>
        <v>#N/A</v>
      </c>
      <c r="F190" s="2" t="e">
        <f t="array" ref="F190">INDEX(Summary_Pre!E$4:E$303, MATCH(0, COUNTIF($F$2:F189,Summary_Pre!E$4:E$303), 0))</f>
        <v>#N/A</v>
      </c>
      <c r="G190" s="271" t="e">
        <f>VLOOKUP(X190,Table7[[#All],[FIXTURE CODE]:[WATT/ FIXT]], 6, FALSE)</f>
        <v>#N/A</v>
      </c>
      <c r="H190" s="271" t="e">
        <f>VLOOKUP(Y190,Table7[[#All],[FIXTURE CODE]:[WATT/ FIXT]], 6, FALSE)</f>
        <v>#N/A</v>
      </c>
      <c r="I190" s="272">
        <f>SUMIF(Summary_Pre!E:E,"="&amp;F190,Summary_Pre!D:D)</f>
        <v>0</v>
      </c>
      <c r="J190" s="263">
        <f>SUMIF(Summary_Pre!E:E,"="&amp;F190,Summary_Pre!H:H)</f>
        <v>0</v>
      </c>
      <c r="K190" s="262">
        <f>SUMIF(Summary_Pre!E:E,"="&amp; F190,Summary_Pre!I:I)</f>
        <v>0</v>
      </c>
      <c r="L190" s="3">
        <f>SUMIF(Summary_Pre!E:E,"="&amp; F190,Summary_Pre!J:J)</f>
        <v>0</v>
      </c>
      <c r="M190" s="285">
        <f>SUMIF(Summary_Pre!E:E,"="&amp; F190,Summary_Pre!K:K)</f>
        <v>0</v>
      </c>
      <c r="N190" s="285">
        <f>SUMIF(Summary_Pre!E:E,"="&amp;F190,Summary_Pre!C:C)</f>
        <v>0</v>
      </c>
      <c r="O190" s="266">
        <f t="shared" si="12"/>
        <v>0</v>
      </c>
      <c r="P190" s="3"/>
      <c r="Q190" s="3"/>
      <c r="R190" s="3"/>
      <c r="S190" s="3"/>
      <c r="T190" s="3"/>
      <c r="U190" s="3"/>
      <c r="V190" s="3"/>
      <c r="W190" s="2"/>
      <c r="X190" s="281" t="e">
        <f t="shared" si="9"/>
        <v>#N/A</v>
      </c>
      <c r="Y190" s="279" t="e">
        <f t="shared" si="10"/>
        <v>#N/A</v>
      </c>
    </row>
    <row r="191" spans="1:25">
      <c r="A191" s="249" t="e">
        <f>IF(D191='Tables &amp; Ranges'!$A$133, 'Tables &amp; Ranges'!$B$133, IF(D191='Tables &amp; Ranges'!$A$134, 'Tables &amp; Ranges'!$B$134, IF(D191='Tables &amp; Ranges'!$A$135, 'Tables &amp; Ranges'!$B$135, IF(D191='Tables &amp; Ranges'!$A$136, 'Tables &amp; Ranges'!$B$136, IF(D191='Tables &amp; Ranges'!$A$99, 'Tables &amp; Ranges'!$B$116, VLOOKUP(X191,'Fixture Table'!$C$3:$M$1785, 10, FALSE))))))</f>
        <v>#N/A</v>
      </c>
      <c r="D191" s="2">
        <f>IFERROR(_xlfn.IFNA(VLOOKUP(F191,Summary_Pre!E:F,2,FALSE),0),0)</f>
        <v>0</v>
      </c>
      <c r="E191" s="249" t="e">
        <f t="shared" si="11"/>
        <v>#N/A</v>
      </c>
      <c r="F191" s="2" t="e">
        <f t="array" ref="F191">INDEX(Summary_Pre!E$4:E$303, MATCH(0, COUNTIF($F$2:F190,Summary_Pre!E$4:E$303), 0))</f>
        <v>#N/A</v>
      </c>
      <c r="G191" s="271" t="e">
        <f>VLOOKUP(X191,Table7[[#All],[FIXTURE CODE]:[WATT/ FIXT]], 6, FALSE)</f>
        <v>#N/A</v>
      </c>
      <c r="H191" s="271" t="e">
        <f>VLOOKUP(Y191,Table7[[#All],[FIXTURE CODE]:[WATT/ FIXT]], 6, FALSE)</f>
        <v>#N/A</v>
      </c>
      <c r="I191" s="272">
        <f>SUMIF(Summary_Pre!E:E,"="&amp;F191,Summary_Pre!D:D)</f>
        <v>0</v>
      </c>
      <c r="J191" s="263">
        <f>SUMIF(Summary_Pre!E:E,"="&amp;F191,Summary_Pre!H:H)</f>
        <v>0</v>
      </c>
      <c r="K191" s="262">
        <f>SUMIF(Summary_Pre!E:E,"="&amp; F191,Summary_Pre!I:I)</f>
        <v>0</v>
      </c>
      <c r="L191" s="3">
        <f>SUMIF(Summary_Pre!E:E,"="&amp; F191,Summary_Pre!J:J)</f>
        <v>0</v>
      </c>
      <c r="M191" s="285">
        <f>SUMIF(Summary_Pre!E:E,"="&amp; F191,Summary_Pre!K:K)</f>
        <v>0</v>
      </c>
      <c r="N191" s="285">
        <f>SUMIF(Summary_Pre!E:E,"="&amp;F191,Summary_Pre!C:C)</f>
        <v>0</v>
      </c>
      <c r="O191" s="266">
        <f t="shared" si="12"/>
        <v>0</v>
      </c>
      <c r="P191" s="3"/>
      <c r="Q191" s="3"/>
      <c r="R191" s="3"/>
      <c r="S191" s="3"/>
      <c r="T191" s="3"/>
      <c r="U191" s="3"/>
      <c r="V191" s="3"/>
      <c r="W191" s="2"/>
      <c r="X191" s="281" t="e">
        <f t="shared" si="9"/>
        <v>#N/A</v>
      </c>
      <c r="Y191" s="279" t="e">
        <f t="shared" si="10"/>
        <v>#N/A</v>
      </c>
    </row>
    <row r="192" spans="1:25">
      <c r="A192" s="249" t="e">
        <f>IF(D192='Tables &amp; Ranges'!$A$133, 'Tables &amp; Ranges'!$B$133, IF(D192='Tables &amp; Ranges'!$A$134, 'Tables &amp; Ranges'!$B$134, IF(D192='Tables &amp; Ranges'!$A$135, 'Tables &amp; Ranges'!$B$135, IF(D192='Tables &amp; Ranges'!$A$136, 'Tables &amp; Ranges'!$B$136, IF(D192='Tables &amp; Ranges'!$A$99, 'Tables &amp; Ranges'!$B$116, VLOOKUP(X192,'Fixture Table'!$C$3:$M$1785, 10, FALSE))))))</f>
        <v>#N/A</v>
      </c>
      <c r="D192" s="2">
        <f>IFERROR(_xlfn.IFNA(VLOOKUP(F192,Summary_Pre!E:F,2,FALSE),0),0)</f>
        <v>0</v>
      </c>
      <c r="E192" s="249" t="e">
        <f t="shared" si="11"/>
        <v>#N/A</v>
      </c>
      <c r="F192" s="2" t="e">
        <f t="array" ref="F192">INDEX(Summary_Pre!E$4:E$303, MATCH(0, COUNTIF($F$2:F191,Summary_Pre!E$4:E$303), 0))</f>
        <v>#N/A</v>
      </c>
      <c r="G192" s="271" t="e">
        <f>VLOOKUP(X192,Table7[[#All],[FIXTURE CODE]:[WATT/ FIXT]], 6, FALSE)</f>
        <v>#N/A</v>
      </c>
      <c r="H192" s="271" t="e">
        <f>VLOOKUP(Y192,Table7[[#All],[FIXTURE CODE]:[WATT/ FIXT]], 6, FALSE)</f>
        <v>#N/A</v>
      </c>
      <c r="I192" s="272">
        <f>SUMIF(Summary_Pre!E:E,"="&amp;F192,Summary_Pre!D:D)</f>
        <v>0</v>
      </c>
      <c r="J192" s="263">
        <f>SUMIF(Summary_Pre!E:E,"="&amp;F192,Summary_Pre!H:H)</f>
        <v>0</v>
      </c>
      <c r="K192" s="262">
        <f>SUMIF(Summary_Pre!E:E,"="&amp; F192,Summary_Pre!I:I)</f>
        <v>0</v>
      </c>
      <c r="L192" s="3">
        <f>SUMIF(Summary_Pre!E:E,"="&amp; F192,Summary_Pre!J:J)</f>
        <v>0</v>
      </c>
      <c r="M192" s="285">
        <f>SUMIF(Summary_Pre!E:E,"="&amp; F192,Summary_Pre!K:K)</f>
        <v>0</v>
      </c>
      <c r="N192" s="285">
        <f>SUMIF(Summary_Pre!E:E,"="&amp;F192,Summary_Pre!C:C)</f>
        <v>0</v>
      </c>
      <c r="O192" s="266">
        <f t="shared" si="12"/>
        <v>0</v>
      </c>
      <c r="P192" s="3"/>
      <c r="Q192" s="3"/>
      <c r="R192" s="3"/>
      <c r="S192" s="3"/>
      <c r="T192" s="3"/>
      <c r="U192" s="3"/>
      <c r="V192" s="3"/>
      <c r="W192" s="2"/>
      <c r="X192" s="281" t="e">
        <f t="shared" si="9"/>
        <v>#N/A</v>
      </c>
      <c r="Y192" s="279" t="e">
        <f t="shared" si="10"/>
        <v>#N/A</v>
      </c>
    </row>
    <row r="193" spans="1:25">
      <c r="A193" s="249" t="e">
        <f>IF(D193='Tables &amp; Ranges'!$A$133, 'Tables &amp; Ranges'!$B$133, IF(D193='Tables &amp; Ranges'!$A$134, 'Tables &amp; Ranges'!$B$134, IF(D193='Tables &amp; Ranges'!$A$135, 'Tables &amp; Ranges'!$B$135, IF(D193='Tables &amp; Ranges'!$A$136, 'Tables &amp; Ranges'!$B$136, IF(D193='Tables &amp; Ranges'!$A$99, 'Tables &amp; Ranges'!$B$116, VLOOKUP(X193,'Fixture Table'!$C$3:$M$1785, 10, FALSE))))))</f>
        <v>#N/A</v>
      </c>
      <c r="D193" s="2">
        <f>IFERROR(_xlfn.IFNA(VLOOKUP(F193,Summary_Pre!E:F,2,FALSE),0),0)</f>
        <v>0</v>
      </c>
      <c r="E193" s="249" t="e">
        <f t="shared" si="11"/>
        <v>#N/A</v>
      </c>
      <c r="F193" s="2" t="e">
        <f t="array" ref="F193">INDEX(Summary_Pre!E$4:E$303, MATCH(0, COUNTIF($F$2:F192,Summary_Pre!E$4:E$303), 0))</f>
        <v>#N/A</v>
      </c>
      <c r="G193" s="271" t="e">
        <f>VLOOKUP(X193,Table7[[#All],[FIXTURE CODE]:[WATT/ FIXT]], 6, FALSE)</f>
        <v>#N/A</v>
      </c>
      <c r="H193" s="271" t="e">
        <f>VLOOKUP(Y193,Table7[[#All],[FIXTURE CODE]:[WATT/ FIXT]], 6, FALSE)</f>
        <v>#N/A</v>
      </c>
      <c r="I193" s="272">
        <f>SUMIF(Summary_Pre!E:E,"="&amp;F193,Summary_Pre!D:D)</f>
        <v>0</v>
      </c>
      <c r="J193" s="263">
        <f>SUMIF(Summary_Pre!E:E,"="&amp;F193,Summary_Pre!H:H)</f>
        <v>0</v>
      </c>
      <c r="K193" s="262">
        <f>SUMIF(Summary_Pre!E:E,"="&amp; F193,Summary_Pre!I:I)</f>
        <v>0</v>
      </c>
      <c r="L193" s="3">
        <f>SUMIF(Summary_Pre!E:E,"="&amp; F193,Summary_Pre!J:J)</f>
        <v>0</v>
      </c>
      <c r="M193" s="285">
        <f>SUMIF(Summary_Pre!E:E,"="&amp; F193,Summary_Pre!K:K)</f>
        <v>0</v>
      </c>
      <c r="N193" s="285">
        <f>SUMIF(Summary_Pre!E:E,"="&amp;F193,Summary_Pre!C:C)</f>
        <v>0</v>
      </c>
      <c r="O193" s="266">
        <f t="shared" si="12"/>
        <v>0</v>
      </c>
      <c r="P193" s="3"/>
      <c r="Q193" s="3"/>
      <c r="R193" s="3"/>
      <c r="S193" s="3"/>
      <c r="T193" s="3"/>
      <c r="U193" s="3"/>
      <c r="V193" s="3"/>
      <c r="W193" s="2"/>
      <c r="X193" s="281" t="e">
        <f t="shared" si="9"/>
        <v>#N/A</v>
      </c>
      <c r="Y193" s="279" t="e">
        <f t="shared" si="10"/>
        <v>#N/A</v>
      </c>
    </row>
    <row r="194" spans="1:25">
      <c r="A194" s="249" t="e">
        <f>IF(D194='Tables &amp; Ranges'!$A$133, 'Tables &amp; Ranges'!$B$133, IF(D194='Tables &amp; Ranges'!$A$134, 'Tables &amp; Ranges'!$B$134, IF(D194='Tables &amp; Ranges'!$A$135, 'Tables &amp; Ranges'!$B$135, IF(D194='Tables &amp; Ranges'!$A$136, 'Tables &amp; Ranges'!$B$136, IF(D194='Tables &amp; Ranges'!$A$99, 'Tables &amp; Ranges'!$B$116, VLOOKUP(X194,'Fixture Table'!$C$3:$M$1785, 10, FALSE))))))</f>
        <v>#N/A</v>
      </c>
      <c r="D194" s="2">
        <f>IFERROR(_xlfn.IFNA(VLOOKUP(F194,Summary_Pre!E:F,2,FALSE),0),0)</f>
        <v>0</v>
      </c>
      <c r="E194" s="249" t="e">
        <f t="shared" si="11"/>
        <v>#N/A</v>
      </c>
      <c r="F194" s="2" t="e">
        <f t="array" ref="F194">INDEX(Summary_Pre!E$4:E$303, MATCH(0, COUNTIF($F$2:F193,Summary_Pre!E$4:E$303), 0))</f>
        <v>#N/A</v>
      </c>
      <c r="G194" s="271" t="e">
        <f>VLOOKUP(X194,Table7[[#All],[FIXTURE CODE]:[WATT/ FIXT]], 6, FALSE)</f>
        <v>#N/A</v>
      </c>
      <c r="H194" s="271" t="e">
        <f>VLOOKUP(Y194,Table7[[#All],[FIXTURE CODE]:[WATT/ FIXT]], 6, FALSE)</f>
        <v>#N/A</v>
      </c>
      <c r="I194" s="272">
        <f>SUMIF(Summary_Pre!E:E,"="&amp;F194,Summary_Pre!D:D)</f>
        <v>0</v>
      </c>
      <c r="J194" s="263">
        <f>SUMIF(Summary_Pre!E:E,"="&amp;F194,Summary_Pre!H:H)</f>
        <v>0</v>
      </c>
      <c r="K194" s="262">
        <f>SUMIF(Summary_Pre!E:E,"="&amp; F194,Summary_Pre!I:I)</f>
        <v>0</v>
      </c>
      <c r="L194" s="3">
        <f>SUMIF(Summary_Pre!E:E,"="&amp; F194,Summary_Pre!J:J)</f>
        <v>0</v>
      </c>
      <c r="M194" s="285">
        <f>SUMIF(Summary_Pre!E:E,"="&amp; F194,Summary_Pre!K:K)</f>
        <v>0</v>
      </c>
      <c r="N194" s="285">
        <f>SUMIF(Summary_Pre!E:E,"="&amp;F194,Summary_Pre!C:C)</f>
        <v>0</v>
      </c>
      <c r="O194" s="266">
        <f t="shared" si="12"/>
        <v>0</v>
      </c>
      <c r="P194" s="3"/>
      <c r="Q194" s="3"/>
      <c r="R194" s="3"/>
      <c r="S194" s="3"/>
      <c r="T194" s="3"/>
      <c r="U194" s="3"/>
      <c r="V194" s="3"/>
      <c r="W194" s="2"/>
      <c r="X194" s="281" t="e">
        <f t="shared" si="9"/>
        <v>#N/A</v>
      </c>
      <c r="Y194" s="279" t="e">
        <f t="shared" si="10"/>
        <v>#N/A</v>
      </c>
    </row>
    <row r="195" spans="1:25">
      <c r="A195" s="249" t="e">
        <f>IF(D195='Tables &amp; Ranges'!$A$133, 'Tables &amp; Ranges'!$B$133, IF(D195='Tables &amp; Ranges'!$A$134, 'Tables &amp; Ranges'!$B$134, IF(D195='Tables &amp; Ranges'!$A$135, 'Tables &amp; Ranges'!$B$135, IF(D195='Tables &amp; Ranges'!$A$136, 'Tables &amp; Ranges'!$B$136, IF(D195='Tables &amp; Ranges'!$A$99, 'Tables &amp; Ranges'!$B$116, VLOOKUP(X195,'Fixture Table'!$C$3:$M$1785, 10, FALSE))))))</f>
        <v>#N/A</v>
      </c>
      <c r="D195" s="2">
        <f>IFERROR(_xlfn.IFNA(VLOOKUP(F195,Summary_Pre!E:F,2,FALSE),0),0)</f>
        <v>0</v>
      </c>
      <c r="E195" s="249" t="e">
        <f t="shared" si="11"/>
        <v>#N/A</v>
      </c>
      <c r="F195" s="2" t="e">
        <f t="array" ref="F195">INDEX(Summary_Pre!E$4:E$303, MATCH(0, COUNTIF($F$2:F194,Summary_Pre!E$4:E$303), 0))</f>
        <v>#N/A</v>
      </c>
      <c r="G195" s="271" t="e">
        <f>VLOOKUP(X195,Table7[[#All],[FIXTURE CODE]:[WATT/ FIXT]], 6, FALSE)</f>
        <v>#N/A</v>
      </c>
      <c r="H195" s="271" t="e">
        <f>VLOOKUP(Y195,Table7[[#All],[FIXTURE CODE]:[WATT/ FIXT]], 6, FALSE)</f>
        <v>#N/A</v>
      </c>
      <c r="I195" s="272">
        <f>SUMIF(Summary_Pre!E:E,"="&amp;F195,Summary_Pre!D:D)</f>
        <v>0</v>
      </c>
      <c r="J195" s="263">
        <f>SUMIF(Summary_Pre!E:E,"="&amp;F195,Summary_Pre!H:H)</f>
        <v>0</v>
      </c>
      <c r="K195" s="262">
        <f>SUMIF(Summary_Pre!E:E,"="&amp; F195,Summary_Pre!I:I)</f>
        <v>0</v>
      </c>
      <c r="L195" s="3">
        <f>SUMIF(Summary_Pre!E:E,"="&amp; F195,Summary_Pre!J:J)</f>
        <v>0</v>
      </c>
      <c r="M195" s="285">
        <f>SUMIF(Summary_Pre!E:E,"="&amp; F195,Summary_Pre!K:K)</f>
        <v>0</v>
      </c>
      <c r="N195" s="285">
        <f>SUMIF(Summary_Pre!E:E,"="&amp;F195,Summary_Pre!C:C)</f>
        <v>0</v>
      </c>
      <c r="O195" s="266">
        <f t="shared" si="12"/>
        <v>0</v>
      </c>
      <c r="P195" s="3"/>
      <c r="Q195" s="3"/>
      <c r="R195" s="3"/>
      <c r="S195" s="3"/>
      <c r="T195" s="3"/>
      <c r="U195" s="3"/>
      <c r="V195" s="3"/>
      <c r="W195" s="2"/>
      <c r="X195" s="281" t="e">
        <f t="shared" ref="X195:X258" si="13">TRIM(MID(SUBSTITUTE(F195," ", REPT(" ",LEN(F195))), (2-1)*LEN(F195)+1,LEN(F195)))</f>
        <v>#N/A</v>
      </c>
      <c r="Y195" s="279" t="e">
        <f t="shared" ref="Y195:Y258" si="14">TRIM(MID(SUBSTITUTE(F195," ", REPT(" ",LEN(F195))), (4-1)*LEN(F195)+1,LEN(F195)))</f>
        <v>#N/A</v>
      </c>
    </row>
    <row r="196" spans="1:25">
      <c r="A196" s="249" t="e">
        <f>IF(D196='Tables &amp; Ranges'!$A$133, 'Tables &amp; Ranges'!$B$133, IF(D196='Tables &amp; Ranges'!$A$134, 'Tables &amp; Ranges'!$B$134, IF(D196='Tables &amp; Ranges'!$A$135, 'Tables &amp; Ranges'!$B$135, IF(D196='Tables &amp; Ranges'!$A$136, 'Tables &amp; Ranges'!$B$136, IF(D196='Tables &amp; Ranges'!$A$99, 'Tables &amp; Ranges'!$B$116, VLOOKUP(X196,'Fixture Table'!$C$3:$M$1785, 10, FALSE))))))</f>
        <v>#N/A</v>
      </c>
      <c r="D196" s="2">
        <f>IFERROR(_xlfn.IFNA(VLOOKUP(F196,Summary_Pre!E:F,2,FALSE),0),0)</f>
        <v>0</v>
      </c>
      <c r="E196" s="249" t="e">
        <f t="shared" ref="E196:E259" si="15">REPLACE(F196,1,8,"")</f>
        <v>#N/A</v>
      </c>
      <c r="F196" s="2" t="e">
        <f t="array" ref="F196">INDEX(Summary_Pre!E$4:E$303, MATCH(0, COUNTIF($F$2:F195,Summary_Pre!E$4:E$303), 0))</f>
        <v>#N/A</v>
      </c>
      <c r="G196" s="271" t="e">
        <f>VLOOKUP(X196,Table7[[#All],[FIXTURE CODE]:[WATT/ FIXT]], 6, FALSE)</f>
        <v>#N/A</v>
      </c>
      <c r="H196" s="271" t="e">
        <f>VLOOKUP(Y196,Table7[[#All],[FIXTURE CODE]:[WATT/ FIXT]], 6, FALSE)</f>
        <v>#N/A</v>
      </c>
      <c r="I196" s="272">
        <f>SUMIF(Summary_Pre!E:E,"="&amp;F196,Summary_Pre!D:D)</f>
        <v>0</v>
      </c>
      <c r="J196" s="263">
        <f>SUMIF(Summary_Pre!E:E,"="&amp;F196,Summary_Pre!H:H)</f>
        <v>0</v>
      </c>
      <c r="K196" s="262">
        <f>SUMIF(Summary_Pre!E:E,"="&amp; F196,Summary_Pre!I:I)</f>
        <v>0</v>
      </c>
      <c r="L196" s="3">
        <f>SUMIF(Summary_Pre!E:E,"="&amp; F196,Summary_Pre!J:J)</f>
        <v>0</v>
      </c>
      <c r="M196" s="285">
        <f>SUMIF(Summary_Pre!E:E,"="&amp; F196,Summary_Pre!K:K)</f>
        <v>0</v>
      </c>
      <c r="N196" s="285">
        <f>SUMIF(Summary_Pre!E:E,"="&amp;F196,Summary_Pre!C:C)</f>
        <v>0</v>
      </c>
      <c r="O196" s="266">
        <f t="shared" ref="O196:O259" si="16">IF(L196&lt;&gt;0,(N196-M196)/L196,0)</f>
        <v>0</v>
      </c>
      <c r="P196" s="3"/>
      <c r="Q196" s="3"/>
      <c r="R196" s="3"/>
      <c r="S196" s="3"/>
      <c r="T196" s="3"/>
      <c r="U196" s="3"/>
      <c r="V196" s="3"/>
      <c r="W196" s="2"/>
      <c r="X196" s="281" t="e">
        <f t="shared" si="13"/>
        <v>#N/A</v>
      </c>
      <c r="Y196" s="279" t="e">
        <f t="shared" si="14"/>
        <v>#N/A</v>
      </c>
    </row>
    <row r="197" spans="1:25">
      <c r="A197" s="249" t="e">
        <f>IF(D197='Tables &amp; Ranges'!$A$133, 'Tables &amp; Ranges'!$B$133, IF(D197='Tables &amp; Ranges'!$A$134, 'Tables &amp; Ranges'!$B$134, IF(D197='Tables &amp; Ranges'!$A$135, 'Tables &amp; Ranges'!$B$135, IF(D197='Tables &amp; Ranges'!$A$136, 'Tables &amp; Ranges'!$B$136, IF(D197='Tables &amp; Ranges'!$A$99, 'Tables &amp; Ranges'!$B$116, VLOOKUP(X197,'Fixture Table'!$C$3:$M$1785, 10, FALSE))))))</f>
        <v>#N/A</v>
      </c>
      <c r="D197" s="2">
        <f>IFERROR(_xlfn.IFNA(VLOOKUP(F197,Summary_Pre!E:F,2,FALSE),0),0)</f>
        <v>0</v>
      </c>
      <c r="E197" s="249" t="e">
        <f t="shared" si="15"/>
        <v>#N/A</v>
      </c>
      <c r="F197" s="2" t="e">
        <f t="array" ref="F197">INDEX(Summary_Pre!E$4:E$303, MATCH(0, COUNTIF($F$2:F196,Summary_Pre!E$4:E$303), 0))</f>
        <v>#N/A</v>
      </c>
      <c r="G197" s="271" t="e">
        <f>VLOOKUP(X197,Table7[[#All],[FIXTURE CODE]:[WATT/ FIXT]], 6, FALSE)</f>
        <v>#N/A</v>
      </c>
      <c r="H197" s="271" t="e">
        <f>VLOOKUP(Y197,Table7[[#All],[FIXTURE CODE]:[WATT/ FIXT]], 6, FALSE)</f>
        <v>#N/A</v>
      </c>
      <c r="I197" s="272">
        <f>SUMIF(Summary_Pre!E:E,"="&amp;F197,Summary_Pre!D:D)</f>
        <v>0</v>
      </c>
      <c r="J197" s="263">
        <f>SUMIF(Summary_Pre!E:E,"="&amp;F197,Summary_Pre!H:H)</f>
        <v>0</v>
      </c>
      <c r="K197" s="262">
        <f>SUMIF(Summary_Pre!E:E,"="&amp; F197,Summary_Pre!I:I)</f>
        <v>0</v>
      </c>
      <c r="L197" s="3">
        <f>SUMIF(Summary_Pre!E:E,"="&amp; F197,Summary_Pre!J:J)</f>
        <v>0</v>
      </c>
      <c r="M197" s="285">
        <f>SUMIF(Summary_Pre!E:E,"="&amp; F197,Summary_Pre!K:K)</f>
        <v>0</v>
      </c>
      <c r="N197" s="285">
        <f>SUMIF(Summary_Pre!E:E,"="&amp;F197,Summary_Pre!C:C)</f>
        <v>0</v>
      </c>
      <c r="O197" s="266">
        <f t="shared" si="16"/>
        <v>0</v>
      </c>
      <c r="P197" s="3"/>
      <c r="Q197" s="3"/>
      <c r="R197" s="3"/>
      <c r="S197" s="3"/>
      <c r="T197" s="3"/>
      <c r="U197" s="3"/>
      <c r="V197" s="3"/>
      <c r="W197" s="2"/>
      <c r="X197" s="281" t="e">
        <f t="shared" si="13"/>
        <v>#N/A</v>
      </c>
      <c r="Y197" s="279" t="e">
        <f t="shared" si="14"/>
        <v>#N/A</v>
      </c>
    </row>
    <row r="198" spans="1:25">
      <c r="A198" s="249" t="e">
        <f>IF(D198='Tables &amp; Ranges'!$A$133, 'Tables &amp; Ranges'!$B$133, IF(D198='Tables &amp; Ranges'!$A$134, 'Tables &amp; Ranges'!$B$134, IF(D198='Tables &amp; Ranges'!$A$135, 'Tables &amp; Ranges'!$B$135, IF(D198='Tables &amp; Ranges'!$A$136, 'Tables &amp; Ranges'!$B$136, IF(D198='Tables &amp; Ranges'!$A$99, 'Tables &amp; Ranges'!$B$116, VLOOKUP(X198,'Fixture Table'!$C$3:$M$1785, 10, FALSE))))))</f>
        <v>#N/A</v>
      </c>
      <c r="D198" s="2">
        <f>IFERROR(_xlfn.IFNA(VLOOKUP(F198,Summary_Pre!E:F,2,FALSE),0),0)</f>
        <v>0</v>
      </c>
      <c r="E198" s="249" t="e">
        <f t="shared" si="15"/>
        <v>#N/A</v>
      </c>
      <c r="F198" s="2" t="e">
        <f t="array" ref="F198">INDEX(Summary_Pre!E$4:E$303, MATCH(0, COUNTIF($F$2:F197,Summary_Pre!E$4:E$303), 0))</f>
        <v>#N/A</v>
      </c>
      <c r="G198" s="271" t="e">
        <f>VLOOKUP(X198,Table7[[#All],[FIXTURE CODE]:[WATT/ FIXT]], 6, FALSE)</f>
        <v>#N/A</v>
      </c>
      <c r="H198" s="271" t="e">
        <f>VLOOKUP(Y198,Table7[[#All],[FIXTURE CODE]:[WATT/ FIXT]], 6, FALSE)</f>
        <v>#N/A</v>
      </c>
      <c r="I198" s="272">
        <f>SUMIF(Summary_Pre!E:E,"="&amp;F198,Summary_Pre!D:D)</f>
        <v>0</v>
      </c>
      <c r="J198" s="263">
        <f>SUMIF(Summary_Pre!E:E,"="&amp;F198,Summary_Pre!H:H)</f>
        <v>0</v>
      </c>
      <c r="K198" s="262">
        <f>SUMIF(Summary_Pre!E:E,"="&amp; F198,Summary_Pre!I:I)</f>
        <v>0</v>
      </c>
      <c r="L198" s="3">
        <f>SUMIF(Summary_Pre!E:E,"="&amp; F198,Summary_Pre!J:J)</f>
        <v>0</v>
      </c>
      <c r="M198" s="285">
        <f>SUMIF(Summary_Pre!E:E,"="&amp; F198,Summary_Pre!K:K)</f>
        <v>0</v>
      </c>
      <c r="N198" s="285">
        <f>SUMIF(Summary_Pre!E:E,"="&amp;F198,Summary_Pre!C:C)</f>
        <v>0</v>
      </c>
      <c r="O198" s="266">
        <f t="shared" si="16"/>
        <v>0</v>
      </c>
      <c r="P198" s="3"/>
      <c r="Q198" s="3"/>
      <c r="R198" s="3"/>
      <c r="S198" s="3"/>
      <c r="T198" s="3"/>
      <c r="U198" s="3"/>
      <c r="V198" s="3"/>
      <c r="W198" s="2"/>
      <c r="X198" s="281" t="e">
        <f t="shared" si="13"/>
        <v>#N/A</v>
      </c>
      <c r="Y198" s="279" t="e">
        <f t="shared" si="14"/>
        <v>#N/A</v>
      </c>
    </row>
    <row r="199" spans="1:25">
      <c r="A199" s="249" t="e">
        <f>IF(D199='Tables &amp; Ranges'!$A$133, 'Tables &amp; Ranges'!$B$133, IF(D199='Tables &amp; Ranges'!$A$134, 'Tables &amp; Ranges'!$B$134, IF(D199='Tables &amp; Ranges'!$A$135, 'Tables &amp; Ranges'!$B$135, IF(D199='Tables &amp; Ranges'!$A$136, 'Tables &amp; Ranges'!$B$136, IF(D199='Tables &amp; Ranges'!$A$99, 'Tables &amp; Ranges'!$B$116, VLOOKUP(X199,'Fixture Table'!$C$3:$M$1785, 10, FALSE))))))</f>
        <v>#N/A</v>
      </c>
      <c r="D199" s="2">
        <f>IFERROR(_xlfn.IFNA(VLOOKUP(F199,Summary_Pre!E:F,2,FALSE),0),0)</f>
        <v>0</v>
      </c>
      <c r="E199" s="249" t="e">
        <f t="shared" si="15"/>
        <v>#N/A</v>
      </c>
      <c r="F199" s="2" t="e">
        <f t="array" ref="F199">INDEX(Summary_Pre!E$4:E$303, MATCH(0, COUNTIF($F$2:F198,Summary_Pre!E$4:E$303), 0))</f>
        <v>#N/A</v>
      </c>
      <c r="G199" s="271" t="e">
        <f>VLOOKUP(X199,Table7[[#All],[FIXTURE CODE]:[WATT/ FIXT]], 6, FALSE)</f>
        <v>#N/A</v>
      </c>
      <c r="H199" s="271" t="e">
        <f>VLOOKUP(Y199,Table7[[#All],[FIXTURE CODE]:[WATT/ FIXT]], 6, FALSE)</f>
        <v>#N/A</v>
      </c>
      <c r="I199" s="272">
        <f>SUMIF(Summary_Pre!E:E,"="&amp;F199,Summary_Pre!D:D)</f>
        <v>0</v>
      </c>
      <c r="J199" s="263">
        <f>SUMIF(Summary_Pre!E:E,"="&amp;F199,Summary_Pre!H:H)</f>
        <v>0</v>
      </c>
      <c r="K199" s="262">
        <f>SUMIF(Summary_Pre!E:E,"="&amp; F199,Summary_Pre!I:I)</f>
        <v>0</v>
      </c>
      <c r="L199" s="3">
        <f>SUMIF(Summary_Pre!E:E,"="&amp; F199,Summary_Pre!J:J)</f>
        <v>0</v>
      </c>
      <c r="M199" s="285">
        <f>SUMIF(Summary_Pre!E:E,"="&amp; F199,Summary_Pre!K:K)</f>
        <v>0</v>
      </c>
      <c r="N199" s="285">
        <f>SUMIF(Summary_Pre!E:E,"="&amp;F199,Summary_Pre!C:C)</f>
        <v>0</v>
      </c>
      <c r="O199" s="266">
        <f t="shared" si="16"/>
        <v>0</v>
      </c>
      <c r="P199" s="3"/>
      <c r="Q199" s="3"/>
      <c r="R199" s="3"/>
      <c r="S199" s="3"/>
      <c r="T199" s="3"/>
      <c r="U199" s="3"/>
      <c r="V199" s="3"/>
      <c r="W199" s="2"/>
      <c r="X199" s="281" t="e">
        <f t="shared" si="13"/>
        <v>#N/A</v>
      </c>
      <c r="Y199" s="279" t="e">
        <f t="shared" si="14"/>
        <v>#N/A</v>
      </c>
    </row>
    <row r="200" spans="1:25">
      <c r="A200" s="249" t="e">
        <f>IF(D200='Tables &amp; Ranges'!$A$133, 'Tables &amp; Ranges'!$B$133, IF(D200='Tables &amp; Ranges'!$A$134, 'Tables &amp; Ranges'!$B$134, IF(D200='Tables &amp; Ranges'!$A$135, 'Tables &amp; Ranges'!$B$135, IF(D200='Tables &amp; Ranges'!$A$136, 'Tables &amp; Ranges'!$B$136, IF(D200='Tables &amp; Ranges'!$A$99, 'Tables &amp; Ranges'!$B$116, VLOOKUP(X200,'Fixture Table'!$C$3:$M$1785, 10, FALSE))))))</f>
        <v>#N/A</v>
      </c>
      <c r="D200" s="2">
        <f>IFERROR(_xlfn.IFNA(VLOOKUP(F200,Summary_Pre!E:F,2,FALSE),0),0)</f>
        <v>0</v>
      </c>
      <c r="E200" s="249" t="e">
        <f t="shared" si="15"/>
        <v>#N/A</v>
      </c>
      <c r="F200" s="2" t="e">
        <f t="array" ref="F200">INDEX(Summary_Pre!E$4:E$303, MATCH(0, COUNTIF($F$2:F199,Summary_Pre!E$4:E$303), 0))</f>
        <v>#N/A</v>
      </c>
      <c r="G200" s="271" t="e">
        <f>VLOOKUP(X200,Table7[[#All],[FIXTURE CODE]:[WATT/ FIXT]], 6, FALSE)</f>
        <v>#N/A</v>
      </c>
      <c r="H200" s="271" t="e">
        <f>VLOOKUP(Y200,Table7[[#All],[FIXTURE CODE]:[WATT/ FIXT]], 6, FALSE)</f>
        <v>#N/A</v>
      </c>
      <c r="I200" s="272">
        <f>SUMIF(Summary_Pre!E:E,"="&amp;F200,Summary_Pre!D:D)</f>
        <v>0</v>
      </c>
      <c r="J200" s="263">
        <f>SUMIF(Summary_Pre!E:E,"="&amp;F200,Summary_Pre!H:H)</f>
        <v>0</v>
      </c>
      <c r="K200" s="262">
        <f>SUMIF(Summary_Pre!E:E,"="&amp; F200,Summary_Pre!I:I)</f>
        <v>0</v>
      </c>
      <c r="L200" s="3">
        <f>SUMIF(Summary_Pre!E:E,"="&amp; F200,Summary_Pre!J:J)</f>
        <v>0</v>
      </c>
      <c r="M200" s="285">
        <f>SUMIF(Summary_Pre!E:E,"="&amp; F200,Summary_Pre!K:K)</f>
        <v>0</v>
      </c>
      <c r="N200" s="285">
        <f>SUMIF(Summary_Pre!E:E,"="&amp;F200,Summary_Pre!C:C)</f>
        <v>0</v>
      </c>
      <c r="O200" s="266">
        <f t="shared" si="16"/>
        <v>0</v>
      </c>
      <c r="P200" s="3"/>
      <c r="Q200" s="3"/>
      <c r="R200" s="3"/>
      <c r="S200" s="3"/>
      <c r="T200" s="3"/>
      <c r="U200" s="3"/>
      <c r="V200" s="3"/>
      <c r="W200" s="2"/>
      <c r="X200" s="281" t="e">
        <f t="shared" si="13"/>
        <v>#N/A</v>
      </c>
      <c r="Y200" s="279" t="e">
        <f t="shared" si="14"/>
        <v>#N/A</v>
      </c>
    </row>
    <row r="201" spans="1:25">
      <c r="A201" s="249" t="e">
        <f>IF(D201='Tables &amp; Ranges'!$A$133, 'Tables &amp; Ranges'!$B$133, IF(D201='Tables &amp; Ranges'!$A$134, 'Tables &amp; Ranges'!$B$134, IF(D201='Tables &amp; Ranges'!$A$135, 'Tables &amp; Ranges'!$B$135, IF(D201='Tables &amp; Ranges'!$A$136, 'Tables &amp; Ranges'!$B$136, IF(D201='Tables &amp; Ranges'!$A$99, 'Tables &amp; Ranges'!$B$116, VLOOKUP(X201,'Fixture Table'!$C$3:$M$1785, 10, FALSE))))))</f>
        <v>#N/A</v>
      </c>
      <c r="D201" s="2">
        <f>IFERROR(_xlfn.IFNA(VLOOKUP(F201,Summary_Pre!E:F,2,FALSE),0),0)</f>
        <v>0</v>
      </c>
      <c r="E201" s="249" t="e">
        <f t="shared" si="15"/>
        <v>#N/A</v>
      </c>
      <c r="F201" s="2" t="e">
        <f t="array" ref="F201">INDEX(Summary_Pre!E$4:E$303, MATCH(0, COUNTIF($F$2:F200,Summary_Pre!E$4:E$303), 0))</f>
        <v>#N/A</v>
      </c>
      <c r="G201" s="271" t="e">
        <f>VLOOKUP(X201,Table7[[#All],[FIXTURE CODE]:[WATT/ FIXT]], 6, FALSE)</f>
        <v>#N/A</v>
      </c>
      <c r="H201" s="271" t="e">
        <f>VLOOKUP(Y201,Table7[[#All],[FIXTURE CODE]:[WATT/ FIXT]], 6, FALSE)</f>
        <v>#N/A</v>
      </c>
      <c r="I201" s="272">
        <f>SUMIF(Summary_Pre!E:E,"="&amp;F201,Summary_Pre!D:D)</f>
        <v>0</v>
      </c>
      <c r="J201" s="263">
        <f>SUMIF(Summary_Pre!E:E,"="&amp;F201,Summary_Pre!H:H)</f>
        <v>0</v>
      </c>
      <c r="K201" s="262">
        <f>SUMIF(Summary_Pre!E:E,"="&amp; F201,Summary_Pre!I:I)</f>
        <v>0</v>
      </c>
      <c r="L201" s="3">
        <f>SUMIF(Summary_Pre!E:E,"="&amp; F201,Summary_Pre!J:J)</f>
        <v>0</v>
      </c>
      <c r="M201" s="285">
        <f>SUMIF(Summary_Pre!E:E,"="&amp; F201,Summary_Pre!K:K)</f>
        <v>0</v>
      </c>
      <c r="N201" s="285">
        <f>SUMIF(Summary_Pre!E:E,"="&amp;F201,Summary_Pre!C:C)</f>
        <v>0</v>
      </c>
      <c r="O201" s="266">
        <f t="shared" si="16"/>
        <v>0</v>
      </c>
      <c r="P201" s="3"/>
      <c r="Q201" s="3"/>
      <c r="R201" s="3"/>
      <c r="S201" s="3"/>
      <c r="T201" s="3"/>
      <c r="U201" s="3"/>
      <c r="V201" s="3"/>
      <c r="W201" s="2"/>
      <c r="X201" s="281" t="e">
        <f t="shared" si="13"/>
        <v>#N/A</v>
      </c>
      <c r="Y201" s="279" t="e">
        <f t="shared" si="14"/>
        <v>#N/A</v>
      </c>
    </row>
    <row r="202" spans="1:25">
      <c r="A202" s="249" t="e">
        <f>IF(D202='Tables &amp; Ranges'!$A$133, 'Tables &amp; Ranges'!$B$133, IF(D202='Tables &amp; Ranges'!$A$134, 'Tables &amp; Ranges'!$B$134, IF(D202='Tables &amp; Ranges'!$A$135, 'Tables &amp; Ranges'!$B$135, IF(D202='Tables &amp; Ranges'!$A$136, 'Tables &amp; Ranges'!$B$136, IF(D202='Tables &amp; Ranges'!$A$99, 'Tables &amp; Ranges'!$B$116, VLOOKUP(X202,'Fixture Table'!$C$3:$M$1785, 10, FALSE))))))</f>
        <v>#N/A</v>
      </c>
      <c r="D202" s="2">
        <f>IFERROR(_xlfn.IFNA(VLOOKUP(F202,Summary_Pre!E:F,2,FALSE),0),0)</f>
        <v>0</v>
      </c>
      <c r="E202" s="249" t="e">
        <f t="shared" si="15"/>
        <v>#N/A</v>
      </c>
      <c r="F202" s="2" t="e">
        <f t="array" ref="F202">INDEX(Summary_Pre!E$4:E$303, MATCH(0, COUNTIF($F$2:F201,Summary_Pre!E$4:E$303), 0))</f>
        <v>#N/A</v>
      </c>
      <c r="G202" s="271" t="e">
        <f>VLOOKUP(X202,Table7[[#All],[FIXTURE CODE]:[WATT/ FIXT]], 6, FALSE)</f>
        <v>#N/A</v>
      </c>
      <c r="H202" s="271" t="e">
        <f>VLOOKUP(Y202,Table7[[#All],[FIXTURE CODE]:[WATT/ FIXT]], 6, FALSE)</f>
        <v>#N/A</v>
      </c>
      <c r="I202" s="272">
        <f>SUMIF(Summary_Pre!E:E,"="&amp;F202,Summary_Pre!D:D)</f>
        <v>0</v>
      </c>
      <c r="J202" s="263">
        <f>SUMIF(Summary_Pre!E:E,"="&amp;F202,Summary_Pre!H:H)</f>
        <v>0</v>
      </c>
      <c r="K202" s="262">
        <f>SUMIF(Summary_Pre!E:E,"="&amp; F202,Summary_Pre!I:I)</f>
        <v>0</v>
      </c>
      <c r="L202" s="3">
        <f>SUMIF(Summary_Pre!E:E,"="&amp; F202,Summary_Pre!J:J)</f>
        <v>0</v>
      </c>
      <c r="M202" s="285">
        <f>SUMIF(Summary_Pre!E:E,"="&amp; F202,Summary_Pre!K:K)</f>
        <v>0</v>
      </c>
      <c r="N202" s="285">
        <f>SUMIF(Summary_Pre!E:E,"="&amp;F202,Summary_Pre!C:C)</f>
        <v>0</v>
      </c>
      <c r="O202" s="266">
        <f t="shared" si="16"/>
        <v>0</v>
      </c>
      <c r="P202" s="3"/>
      <c r="Q202" s="3"/>
      <c r="R202" s="3"/>
      <c r="S202" s="3"/>
      <c r="T202" s="3"/>
      <c r="U202" s="3"/>
      <c r="V202" s="3"/>
      <c r="W202" s="2"/>
      <c r="X202" s="281" t="e">
        <f t="shared" si="13"/>
        <v>#N/A</v>
      </c>
      <c r="Y202" s="279" t="e">
        <f t="shared" si="14"/>
        <v>#N/A</v>
      </c>
    </row>
    <row r="203" spans="1:25">
      <c r="A203" s="249" t="e">
        <f>IF(D203='Tables &amp; Ranges'!$A$133, 'Tables &amp; Ranges'!$B$133, IF(D203='Tables &amp; Ranges'!$A$134, 'Tables &amp; Ranges'!$B$134, IF(D203='Tables &amp; Ranges'!$A$135, 'Tables &amp; Ranges'!$B$135, IF(D203='Tables &amp; Ranges'!$A$136, 'Tables &amp; Ranges'!$B$136, IF(D203='Tables &amp; Ranges'!$A$99, 'Tables &amp; Ranges'!$B$116, VLOOKUP(X203,'Fixture Table'!$C$3:$M$1785, 10, FALSE))))))</f>
        <v>#N/A</v>
      </c>
      <c r="D203" s="2">
        <f>IFERROR(_xlfn.IFNA(VLOOKUP(F203,Summary_Pre!E:F,2,FALSE),0),0)</f>
        <v>0</v>
      </c>
      <c r="E203" s="249" t="e">
        <f t="shared" si="15"/>
        <v>#N/A</v>
      </c>
      <c r="F203" s="2" t="e">
        <f t="array" ref="F203">INDEX(Summary_Pre!E$4:E$303, MATCH(0, COUNTIF($F$2:F202,Summary_Pre!E$4:E$303), 0))</f>
        <v>#N/A</v>
      </c>
      <c r="G203" s="271" t="e">
        <f>VLOOKUP(X203,Table7[[#All],[FIXTURE CODE]:[WATT/ FIXT]], 6, FALSE)</f>
        <v>#N/A</v>
      </c>
      <c r="H203" s="271" t="e">
        <f>VLOOKUP(Y203,Table7[[#All],[FIXTURE CODE]:[WATT/ FIXT]], 6, FALSE)</f>
        <v>#N/A</v>
      </c>
      <c r="I203" s="272">
        <f>SUMIF(Summary_Pre!E:E,"="&amp;F203,Summary_Pre!D:D)</f>
        <v>0</v>
      </c>
      <c r="J203" s="263">
        <f>SUMIF(Summary_Pre!E:E,"="&amp;F203,Summary_Pre!H:H)</f>
        <v>0</v>
      </c>
      <c r="K203" s="262">
        <f>SUMIF(Summary_Pre!E:E,"="&amp; F203,Summary_Pre!I:I)</f>
        <v>0</v>
      </c>
      <c r="L203" s="3">
        <f>SUMIF(Summary_Pre!E:E,"="&amp; F203,Summary_Pre!J:J)</f>
        <v>0</v>
      </c>
      <c r="M203" s="285">
        <f>SUMIF(Summary_Pre!E:E,"="&amp; F203,Summary_Pre!K:K)</f>
        <v>0</v>
      </c>
      <c r="N203" s="285">
        <f>SUMIF(Summary_Pre!E:E,"="&amp;F203,Summary_Pre!C:C)</f>
        <v>0</v>
      </c>
      <c r="O203" s="266">
        <f t="shared" si="16"/>
        <v>0</v>
      </c>
      <c r="P203" s="3"/>
      <c r="Q203" s="3"/>
      <c r="R203" s="3"/>
      <c r="S203" s="3"/>
      <c r="T203" s="3"/>
      <c r="U203" s="3"/>
      <c r="V203" s="3"/>
      <c r="W203" s="2"/>
      <c r="X203" s="281" t="e">
        <f t="shared" si="13"/>
        <v>#N/A</v>
      </c>
      <c r="Y203" s="279" t="e">
        <f t="shared" si="14"/>
        <v>#N/A</v>
      </c>
    </row>
    <row r="204" spans="1:25">
      <c r="A204" s="249" t="e">
        <f>IF(D204='Tables &amp; Ranges'!$A$133, 'Tables &amp; Ranges'!$B$133, IF(D204='Tables &amp; Ranges'!$A$134, 'Tables &amp; Ranges'!$B$134, IF(D204='Tables &amp; Ranges'!$A$135, 'Tables &amp; Ranges'!$B$135, IF(D204='Tables &amp; Ranges'!$A$136, 'Tables &amp; Ranges'!$B$136, IF(D204='Tables &amp; Ranges'!$A$99, 'Tables &amp; Ranges'!$B$116, VLOOKUP(X204,'Fixture Table'!$C$3:$M$1785, 10, FALSE))))))</f>
        <v>#N/A</v>
      </c>
      <c r="D204" s="2">
        <f>IFERROR(_xlfn.IFNA(VLOOKUP(F204,Summary_Pre!E:F,2,FALSE),0),0)</f>
        <v>0</v>
      </c>
      <c r="E204" s="249" t="e">
        <f t="shared" si="15"/>
        <v>#N/A</v>
      </c>
      <c r="F204" s="2" t="e">
        <f t="array" ref="F204">INDEX(Summary_Pre!E$4:E$303, MATCH(0, COUNTIF($F$2:F203,Summary_Pre!E$4:E$303), 0))</f>
        <v>#N/A</v>
      </c>
      <c r="G204" s="271" t="e">
        <f>VLOOKUP(X204,Table7[[#All],[FIXTURE CODE]:[WATT/ FIXT]], 6, FALSE)</f>
        <v>#N/A</v>
      </c>
      <c r="H204" s="271" t="e">
        <f>VLOOKUP(Y204,Table7[[#All],[FIXTURE CODE]:[WATT/ FIXT]], 6, FALSE)</f>
        <v>#N/A</v>
      </c>
      <c r="I204" s="272">
        <f>SUMIF(Summary_Pre!E:E,"="&amp;F204,Summary_Pre!D:D)</f>
        <v>0</v>
      </c>
      <c r="J204" s="263">
        <f>SUMIF(Summary_Pre!E:E,"="&amp;F204,Summary_Pre!H:H)</f>
        <v>0</v>
      </c>
      <c r="K204" s="262">
        <f>SUMIF(Summary_Pre!E:E,"="&amp; F204,Summary_Pre!I:I)</f>
        <v>0</v>
      </c>
      <c r="L204" s="3">
        <f>SUMIF(Summary_Pre!E:E,"="&amp; F204,Summary_Pre!J:J)</f>
        <v>0</v>
      </c>
      <c r="M204" s="285">
        <f>SUMIF(Summary_Pre!E:E,"="&amp; F204,Summary_Pre!K:K)</f>
        <v>0</v>
      </c>
      <c r="N204" s="285">
        <f>SUMIF(Summary_Pre!E:E,"="&amp;F204,Summary_Pre!C:C)</f>
        <v>0</v>
      </c>
      <c r="O204" s="266">
        <f t="shared" si="16"/>
        <v>0</v>
      </c>
      <c r="P204" s="3"/>
      <c r="Q204" s="3"/>
      <c r="R204" s="3"/>
      <c r="S204" s="3"/>
      <c r="T204" s="3"/>
      <c r="U204" s="3"/>
      <c r="V204" s="3"/>
      <c r="W204" s="2"/>
      <c r="X204" s="281" t="e">
        <f t="shared" si="13"/>
        <v>#N/A</v>
      </c>
      <c r="Y204" s="279" t="e">
        <f t="shared" si="14"/>
        <v>#N/A</v>
      </c>
    </row>
    <row r="205" spans="1:25">
      <c r="A205" s="249" t="e">
        <f>IF(D205='Tables &amp; Ranges'!$A$133, 'Tables &amp; Ranges'!$B$133, IF(D205='Tables &amp; Ranges'!$A$134, 'Tables &amp; Ranges'!$B$134, IF(D205='Tables &amp; Ranges'!$A$135, 'Tables &amp; Ranges'!$B$135, IF(D205='Tables &amp; Ranges'!$A$136, 'Tables &amp; Ranges'!$B$136, IF(D205='Tables &amp; Ranges'!$A$99, 'Tables &amp; Ranges'!$B$116, VLOOKUP(X205,'Fixture Table'!$C$3:$M$1785, 10, FALSE))))))</f>
        <v>#N/A</v>
      </c>
      <c r="D205" s="2">
        <f>IFERROR(_xlfn.IFNA(VLOOKUP(F205,Summary_Pre!E:F,2,FALSE),0),0)</f>
        <v>0</v>
      </c>
      <c r="E205" s="249" t="e">
        <f t="shared" si="15"/>
        <v>#N/A</v>
      </c>
      <c r="F205" s="2" t="e">
        <f t="array" ref="F205">INDEX(Summary_Pre!E$4:E$303, MATCH(0, COUNTIF($F$2:F204,Summary_Pre!E$4:E$303), 0))</f>
        <v>#N/A</v>
      </c>
      <c r="G205" s="271" t="e">
        <f>VLOOKUP(X205,Table7[[#All],[FIXTURE CODE]:[WATT/ FIXT]], 6, FALSE)</f>
        <v>#N/A</v>
      </c>
      <c r="H205" s="271" t="e">
        <f>VLOOKUP(Y205,Table7[[#All],[FIXTURE CODE]:[WATT/ FIXT]], 6, FALSE)</f>
        <v>#N/A</v>
      </c>
      <c r="I205" s="272">
        <f>SUMIF(Summary_Pre!E:E,"="&amp;F205,Summary_Pre!D:D)</f>
        <v>0</v>
      </c>
      <c r="J205" s="263">
        <f>SUMIF(Summary_Pre!E:E,"="&amp;F205,Summary_Pre!H:H)</f>
        <v>0</v>
      </c>
      <c r="K205" s="262">
        <f>SUMIF(Summary_Pre!E:E,"="&amp; F205,Summary_Pre!I:I)</f>
        <v>0</v>
      </c>
      <c r="L205" s="3">
        <f>SUMIF(Summary_Pre!E:E,"="&amp; F205,Summary_Pre!J:J)</f>
        <v>0</v>
      </c>
      <c r="M205" s="285">
        <f>SUMIF(Summary_Pre!E:E,"="&amp; F205,Summary_Pre!K:K)</f>
        <v>0</v>
      </c>
      <c r="N205" s="285">
        <f>SUMIF(Summary_Pre!E:E,"="&amp;F205,Summary_Pre!C:C)</f>
        <v>0</v>
      </c>
      <c r="O205" s="266">
        <f t="shared" si="16"/>
        <v>0</v>
      </c>
      <c r="P205" s="3"/>
      <c r="Q205" s="3"/>
      <c r="R205" s="3"/>
      <c r="S205" s="3"/>
      <c r="T205" s="3"/>
      <c r="U205" s="3"/>
      <c r="V205" s="3"/>
      <c r="W205" s="2"/>
      <c r="X205" s="281" t="e">
        <f t="shared" si="13"/>
        <v>#N/A</v>
      </c>
      <c r="Y205" s="279" t="e">
        <f t="shared" si="14"/>
        <v>#N/A</v>
      </c>
    </row>
    <row r="206" spans="1:25">
      <c r="A206" s="249" t="e">
        <f>IF(D206='Tables &amp; Ranges'!$A$133, 'Tables &amp; Ranges'!$B$133, IF(D206='Tables &amp; Ranges'!$A$134, 'Tables &amp; Ranges'!$B$134, IF(D206='Tables &amp; Ranges'!$A$135, 'Tables &amp; Ranges'!$B$135, IF(D206='Tables &amp; Ranges'!$A$136, 'Tables &amp; Ranges'!$B$136, IF(D206='Tables &amp; Ranges'!$A$99, 'Tables &amp; Ranges'!$B$116, VLOOKUP(X206,'Fixture Table'!$C$3:$M$1785, 10, FALSE))))))</f>
        <v>#N/A</v>
      </c>
      <c r="D206" s="2">
        <f>IFERROR(_xlfn.IFNA(VLOOKUP(F206,Summary_Pre!E:F,2,FALSE),0),0)</f>
        <v>0</v>
      </c>
      <c r="E206" s="249" t="e">
        <f t="shared" si="15"/>
        <v>#N/A</v>
      </c>
      <c r="F206" s="2" t="e">
        <f t="array" ref="F206">INDEX(Summary_Pre!E$4:E$303, MATCH(0, COUNTIF($F$2:F205,Summary_Pre!E$4:E$303), 0))</f>
        <v>#N/A</v>
      </c>
      <c r="G206" s="271" t="e">
        <f>VLOOKUP(X206,Table7[[#All],[FIXTURE CODE]:[WATT/ FIXT]], 6, FALSE)</f>
        <v>#N/A</v>
      </c>
      <c r="H206" s="271" t="e">
        <f>VLOOKUP(Y206,Table7[[#All],[FIXTURE CODE]:[WATT/ FIXT]], 6, FALSE)</f>
        <v>#N/A</v>
      </c>
      <c r="I206" s="272">
        <f>SUMIF(Summary_Pre!E:E,"="&amp;F206,Summary_Pre!D:D)</f>
        <v>0</v>
      </c>
      <c r="J206" s="263">
        <f>SUMIF(Summary_Pre!E:E,"="&amp;F206,Summary_Pre!H:H)</f>
        <v>0</v>
      </c>
      <c r="K206" s="262">
        <f>SUMIF(Summary_Pre!E:E,"="&amp; F206,Summary_Pre!I:I)</f>
        <v>0</v>
      </c>
      <c r="L206" s="3">
        <f>SUMIF(Summary_Pre!E:E,"="&amp; F206,Summary_Pre!J:J)</f>
        <v>0</v>
      </c>
      <c r="M206" s="285">
        <f>SUMIF(Summary_Pre!E:E,"="&amp; F206,Summary_Pre!K:K)</f>
        <v>0</v>
      </c>
      <c r="N206" s="285">
        <f>SUMIF(Summary_Pre!E:E,"="&amp;F206,Summary_Pre!C:C)</f>
        <v>0</v>
      </c>
      <c r="O206" s="266">
        <f t="shared" si="16"/>
        <v>0</v>
      </c>
      <c r="P206" s="3"/>
      <c r="Q206" s="3"/>
      <c r="R206" s="3"/>
      <c r="S206" s="3"/>
      <c r="T206" s="3"/>
      <c r="U206" s="3"/>
      <c r="V206" s="3"/>
      <c r="W206" s="2"/>
      <c r="X206" s="281" t="e">
        <f t="shared" si="13"/>
        <v>#N/A</v>
      </c>
      <c r="Y206" s="279" t="e">
        <f t="shared" si="14"/>
        <v>#N/A</v>
      </c>
    </row>
    <row r="207" spans="1:25">
      <c r="A207" s="249" t="e">
        <f>IF(D207='Tables &amp; Ranges'!$A$133, 'Tables &amp; Ranges'!$B$133, IF(D207='Tables &amp; Ranges'!$A$134, 'Tables &amp; Ranges'!$B$134, IF(D207='Tables &amp; Ranges'!$A$135, 'Tables &amp; Ranges'!$B$135, IF(D207='Tables &amp; Ranges'!$A$136, 'Tables &amp; Ranges'!$B$136, IF(D207='Tables &amp; Ranges'!$A$99, 'Tables &amp; Ranges'!$B$116, VLOOKUP(X207,'Fixture Table'!$C$3:$M$1785, 10, FALSE))))))</f>
        <v>#N/A</v>
      </c>
      <c r="D207" s="2">
        <f>IFERROR(_xlfn.IFNA(VLOOKUP(F207,Summary_Pre!E:F,2,FALSE),0),0)</f>
        <v>0</v>
      </c>
      <c r="E207" s="249" t="e">
        <f t="shared" si="15"/>
        <v>#N/A</v>
      </c>
      <c r="F207" s="2" t="e">
        <f t="array" ref="F207">INDEX(Summary_Pre!E$4:E$303, MATCH(0, COUNTIF($F$2:F206,Summary_Pre!E$4:E$303), 0))</f>
        <v>#N/A</v>
      </c>
      <c r="G207" s="271" t="e">
        <f>VLOOKUP(X207,Table7[[#All],[FIXTURE CODE]:[WATT/ FIXT]], 6, FALSE)</f>
        <v>#N/A</v>
      </c>
      <c r="H207" s="271" t="e">
        <f>VLOOKUP(Y207,Table7[[#All],[FIXTURE CODE]:[WATT/ FIXT]], 6, FALSE)</f>
        <v>#N/A</v>
      </c>
      <c r="I207" s="272">
        <f>SUMIF(Summary_Pre!E:E,"="&amp;F207,Summary_Pre!D:D)</f>
        <v>0</v>
      </c>
      <c r="J207" s="263">
        <f>SUMIF(Summary_Pre!E:E,"="&amp;F207,Summary_Pre!H:H)</f>
        <v>0</v>
      </c>
      <c r="K207" s="262">
        <f>SUMIF(Summary_Pre!E:E,"="&amp; F207,Summary_Pre!I:I)</f>
        <v>0</v>
      </c>
      <c r="L207" s="3">
        <f>SUMIF(Summary_Pre!E:E,"="&amp; F207,Summary_Pre!J:J)</f>
        <v>0</v>
      </c>
      <c r="M207" s="285">
        <f>SUMIF(Summary_Pre!E:E,"="&amp; F207,Summary_Pre!K:K)</f>
        <v>0</v>
      </c>
      <c r="N207" s="285">
        <f>SUMIF(Summary_Pre!E:E,"="&amp;F207,Summary_Pre!C:C)</f>
        <v>0</v>
      </c>
      <c r="O207" s="266">
        <f t="shared" si="16"/>
        <v>0</v>
      </c>
      <c r="P207" s="3"/>
      <c r="Q207" s="3"/>
      <c r="R207" s="3"/>
      <c r="S207" s="3"/>
      <c r="T207" s="3"/>
      <c r="U207" s="3"/>
      <c r="V207" s="3"/>
      <c r="W207" s="2"/>
      <c r="X207" s="281" t="e">
        <f t="shared" si="13"/>
        <v>#N/A</v>
      </c>
      <c r="Y207" s="279" t="e">
        <f t="shared" si="14"/>
        <v>#N/A</v>
      </c>
    </row>
    <row r="208" spans="1:25">
      <c r="A208" s="249" t="e">
        <f>IF(D208='Tables &amp; Ranges'!$A$133, 'Tables &amp; Ranges'!$B$133, IF(D208='Tables &amp; Ranges'!$A$134, 'Tables &amp; Ranges'!$B$134, IF(D208='Tables &amp; Ranges'!$A$135, 'Tables &amp; Ranges'!$B$135, IF(D208='Tables &amp; Ranges'!$A$136, 'Tables &amp; Ranges'!$B$136, IF(D208='Tables &amp; Ranges'!$A$99, 'Tables &amp; Ranges'!$B$116, VLOOKUP(X208,'Fixture Table'!$C$3:$M$1785, 10, FALSE))))))</f>
        <v>#N/A</v>
      </c>
      <c r="D208" s="2">
        <f>IFERROR(_xlfn.IFNA(VLOOKUP(F208,Summary_Pre!E:F,2,FALSE),0),0)</f>
        <v>0</v>
      </c>
      <c r="E208" s="249" t="e">
        <f t="shared" si="15"/>
        <v>#N/A</v>
      </c>
      <c r="F208" s="2" t="e">
        <f t="array" ref="F208">INDEX(Summary_Pre!E$4:E$303, MATCH(0, COUNTIF($F$2:F207,Summary_Pre!E$4:E$303), 0))</f>
        <v>#N/A</v>
      </c>
      <c r="G208" s="271" t="e">
        <f>VLOOKUP(X208,Table7[[#All],[FIXTURE CODE]:[WATT/ FIXT]], 6, FALSE)</f>
        <v>#N/A</v>
      </c>
      <c r="H208" s="271" t="e">
        <f>VLOOKUP(Y208,Table7[[#All],[FIXTURE CODE]:[WATT/ FIXT]], 6, FALSE)</f>
        <v>#N/A</v>
      </c>
      <c r="I208" s="272">
        <f>SUMIF(Summary_Pre!E:E,"="&amp;F208,Summary_Pre!D:D)</f>
        <v>0</v>
      </c>
      <c r="J208" s="263">
        <f>SUMIF(Summary_Pre!E:E,"="&amp;F208,Summary_Pre!H:H)</f>
        <v>0</v>
      </c>
      <c r="K208" s="262">
        <f>SUMIF(Summary_Pre!E:E,"="&amp; F208,Summary_Pre!I:I)</f>
        <v>0</v>
      </c>
      <c r="L208" s="3">
        <f>SUMIF(Summary_Pre!E:E,"="&amp; F208,Summary_Pre!J:J)</f>
        <v>0</v>
      </c>
      <c r="M208" s="285">
        <f>SUMIF(Summary_Pre!E:E,"="&amp; F208,Summary_Pre!K:K)</f>
        <v>0</v>
      </c>
      <c r="N208" s="285">
        <f>SUMIF(Summary_Pre!E:E,"="&amp;F208,Summary_Pre!C:C)</f>
        <v>0</v>
      </c>
      <c r="O208" s="266">
        <f t="shared" si="16"/>
        <v>0</v>
      </c>
      <c r="P208" s="3"/>
      <c r="Q208" s="3"/>
      <c r="R208" s="3"/>
      <c r="S208" s="3"/>
      <c r="T208" s="3"/>
      <c r="U208" s="3"/>
      <c r="V208" s="3"/>
      <c r="W208" s="2"/>
      <c r="X208" s="281" t="e">
        <f t="shared" si="13"/>
        <v>#N/A</v>
      </c>
      <c r="Y208" s="279" t="e">
        <f t="shared" si="14"/>
        <v>#N/A</v>
      </c>
    </row>
    <row r="209" spans="1:25">
      <c r="A209" s="249" t="e">
        <f>IF(D209='Tables &amp; Ranges'!$A$133, 'Tables &amp; Ranges'!$B$133, IF(D209='Tables &amp; Ranges'!$A$134, 'Tables &amp; Ranges'!$B$134, IF(D209='Tables &amp; Ranges'!$A$135, 'Tables &amp; Ranges'!$B$135, IF(D209='Tables &amp; Ranges'!$A$136, 'Tables &amp; Ranges'!$B$136, IF(D209='Tables &amp; Ranges'!$A$99, 'Tables &amp; Ranges'!$B$116, VLOOKUP(X209,'Fixture Table'!$C$3:$M$1785, 10, FALSE))))))</f>
        <v>#N/A</v>
      </c>
      <c r="D209" s="2">
        <f>IFERROR(_xlfn.IFNA(VLOOKUP(F209,Summary_Pre!E:F,2,FALSE),0),0)</f>
        <v>0</v>
      </c>
      <c r="E209" s="249" t="e">
        <f t="shared" si="15"/>
        <v>#N/A</v>
      </c>
      <c r="F209" s="2" t="e">
        <f t="array" ref="F209">INDEX(Summary_Pre!E$4:E$303, MATCH(0, COUNTIF($F$2:F208,Summary_Pre!E$4:E$303), 0))</f>
        <v>#N/A</v>
      </c>
      <c r="G209" s="271" t="e">
        <f>VLOOKUP(X209,Table7[[#All],[FIXTURE CODE]:[WATT/ FIXT]], 6, FALSE)</f>
        <v>#N/A</v>
      </c>
      <c r="H209" s="271" t="e">
        <f>VLOOKUP(Y209,Table7[[#All],[FIXTURE CODE]:[WATT/ FIXT]], 6, FALSE)</f>
        <v>#N/A</v>
      </c>
      <c r="I209" s="272">
        <f>SUMIF(Summary_Pre!E:E,"="&amp;F209,Summary_Pre!D:D)</f>
        <v>0</v>
      </c>
      <c r="J209" s="263">
        <f>SUMIF(Summary_Pre!E:E,"="&amp;F209,Summary_Pre!H:H)</f>
        <v>0</v>
      </c>
      <c r="K209" s="262">
        <f>SUMIF(Summary_Pre!E:E,"="&amp; F209,Summary_Pre!I:I)</f>
        <v>0</v>
      </c>
      <c r="L209" s="3">
        <f>SUMIF(Summary_Pre!E:E,"="&amp; F209,Summary_Pre!J:J)</f>
        <v>0</v>
      </c>
      <c r="M209" s="285">
        <f>SUMIF(Summary_Pre!E:E,"="&amp; F209,Summary_Pre!K:K)</f>
        <v>0</v>
      </c>
      <c r="N209" s="285">
        <f>SUMIF(Summary_Pre!E:E,"="&amp;F209,Summary_Pre!C:C)</f>
        <v>0</v>
      </c>
      <c r="O209" s="266">
        <f t="shared" si="16"/>
        <v>0</v>
      </c>
      <c r="P209" s="3"/>
      <c r="Q209" s="3"/>
      <c r="R209" s="3"/>
      <c r="S209" s="3"/>
      <c r="T209" s="3"/>
      <c r="U209" s="3"/>
      <c r="V209" s="3"/>
      <c r="W209" s="2"/>
      <c r="X209" s="281" t="e">
        <f t="shared" si="13"/>
        <v>#N/A</v>
      </c>
      <c r="Y209" s="279" t="e">
        <f t="shared" si="14"/>
        <v>#N/A</v>
      </c>
    </row>
    <row r="210" spans="1:25">
      <c r="A210" s="249" t="e">
        <f>IF(D210='Tables &amp; Ranges'!$A$133, 'Tables &amp; Ranges'!$B$133, IF(D210='Tables &amp; Ranges'!$A$134, 'Tables &amp; Ranges'!$B$134, IF(D210='Tables &amp; Ranges'!$A$135, 'Tables &amp; Ranges'!$B$135, IF(D210='Tables &amp; Ranges'!$A$136, 'Tables &amp; Ranges'!$B$136, IF(D210='Tables &amp; Ranges'!$A$99, 'Tables &amp; Ranges'!$B$116, VLOOKUP(X210,'Fixture Table'!$C$3:$M$1785, 10, FALSE))))))</f>
        <v>#N/A</v>
      </c>
      <c r="D210" s="2">
        <f>IFERROR(_xlfn.IFNA(VLOOKUP(F210,Summary_Pre!E:F,2,FALSE),0),0)</f>
        <v>0</v>
      </c>
      <c r="E210" s="249" t="e">
        <f t="shared" si="15"/>
        <v>#N/A</v>
      </c>
      <c r="F210" s="2" t="e">
        <f t="array" ref="F210">INDEX(Summary_Pre!E$4:E$303, MATCH(0, COUNTIF($F$2:F209,Summary_Pre!E$4:E$303), 0))</f>
        <v>#N/A</v>
      </c>
      <c r="G210" s="271" t="e">
        <f>VLOOKUP(X210,Table7[[#All],[FIXTURE CODE]:[WATT/ FIXT]], 6, FALSE)</f>
        <v>#N/A</v>
      </c>
      <c r="H210" s="271" t="e">
        <f>VLOOKUP(Y210,Table7[[#All],[FIXTURE CODE]:[WATT/ FIXT]], 6, FALSE)</f>
        <v>#N/A</v>
      </c>
      <c r="I210" s="272">
        <f>SUMIF(Summary_Pre!E:E,"="&amp;F210,Summary_Pre!D:D)</f>
        <v>0</v>
      </c>
      <c r="J210" s="263">
        <f>SUMIF(Summary_Pre!E:E,"="&amp;F210,Summary_Pre!H:H)</f>
        <v>0</v>
      </c>
      <c r="K210" s="262">
        <f>SUMIF(Summary_Pre!E:E,"="&amp; F210,Summary_Pre!I:I)</f>
        <v>0</v>
      </c>
      <c r="L210" s="3">
        <f>SUMIF(Summary_Pre!E:E,"="&amp; F210,Summary_Pre!J:J)</f>
        <v>0</v>
      </c>
      <c r="M210" s="285">
        <f>SUMIF(Summary_Pre!E:E,"="&amp; F210,Summary_Pre!K:K)</f>
        <v>0</v>
      </c>
      <c r="N210" s="285">
        <f>SUMIF(Summary_Pre!E:E,"="&amp;F210,Summary_Pre!C:C)</f>
        <v>0</v>
      </c>
      <c r="O210" s="266">
        <f t="shared" si="16"/>
        <v>0</v>
      </c>
      <c r="P210" s="3"/>
      <c r="Q210" s="3"/>
      <c r="R210" s="3"/>
      <c r="S210" s="3"/>
      <c r="T210" s="3"/>
      <c r="U210" s="3"/>
      <c r="V210" s="3"/>
      <c r="W210" s="2"/>
      <c r="X210" s="281" t="e">
        <f t="shared" si="13"/>
        <v>#N/A</v>
      </c>
      <c r="Y210" s="279" t="e">
        <f t="shared" si="14"/>
        <v>#N/A</v>
      </c>
    </row>
    <row r="211" spans="1:25">
      <c r="A211" s="249" t="e">
        <f>IF(D211='Tables &amp; Ranges'!$A$133, 'Tables &amp; Ranges'!$B$133, IF(D211='Tables &amp; Ranges'!$A$134, 'Tables &amp; Ranges'!$B$134, IF(D211='Tables &amp; Ranges'!$A$135, 'Tables &amp; Ranges'!$B$135, IF(D211='Tables &amp; Ranges'!$A$136, 'Tables &amp; Ranges'!$B$136, IF(D211='Tables &amp; Ranges'!$A$99, 'Tables &amp; Ranges'!$B$116, VLOOKUP(X211,'Fixture Table'!$C$3:$M$1785, 10, FALSE))))))</f>
        <v>#N/A</v>
      </c>
      <c r="D211" s="2">
        <f>IFERROR(_xlfn.IFNA(VLOOKUP(F211,Summary_Pre!E:F,2,FALSE),0),0)</f>
        <v>0</v>
      </c>
      <c r="E211" s="249" t="e">
        <f t="shared" si="15"/>
        <v>#N/A</v>
      </c>
      <c r="F211" s="2" t="e">
        <f t="array" ref="F211">INDEX(Summary_Pre!E$4:E$303, MATCH(0, COUNTIF($F$2:F210,Summary_Pre!E$4:E$303), 0))</f>
        <v>#N/A</v>
      </c>
      <c r="G211" s="271" t="e">
        <f>VLOOKUP(X211,Table7[[#All],[FIXTURE CODE]:[WATT/ FIXT]], 6, FALSE)</f>
        <v>#N/A</v>
      </c>
      <c r="H211" s="271" t="e">
        <f>VLOOKUP(Y211,Table7[[#All],[FIXTURE CODE]:[WATT/ FIXT]], 6, FALSE)</f>
        <v>#N/A</v>
      </c>
      <c r="I211" s="272">
        <f>SUMIF(Summary_Pre!E:E,"="&amp;F211,Summary_Pre!D:D)</f>
        <v>0</v>
      </c>
      <c r="J211" s="263">
        <f>SUMIF(Summary_Pre!E:E,"="&amp;F211,Summary_Pre!H:H)</f>
        <v>0</v>
      </c>
      <c r="K211" s="262">
        <f>SUMIF(Summary_Pre!E:E,"="&amp; F211,Summary_Pre!I:I)</f>
        <v>0</v>
      </c>
      <c r="L211" s="3">
        <f>SUMIF(Summary_Pre!E:E,"="&amp; F211,Summary_Pre!J:J)</f>
        <v>0</v>
      </c>
      <c r="M211" s="285">
        <f>SUMIF(Summary_Pre!E:E,"="&amp; F211,Summary_Pre!K:K)</f>
        <v>0</v>
      </c>
      <c r="N211" s="285">
        <f>SUMIF(Summary_Pre!E:E,"="&amp;F211,Summary_Pre!C:C)</f>
        <v>0</v>
      </c>
      <c r="O211" s="266">
        <f t="shared" si="16"/>
        <v>0</v>
      </c>
      <c r="P211" s="3"/>
      <c r="Q211" s="3"/>
      <c r="R211" s="3"/>
      <c r="S211" s="3"/>
      <c r="T211" s="3"/>
      <c r="U211" s="3"/>
      <c r="V211" s="3"/>
      <c r="W211" s="2"/>
      <c r="X211" s="281" t="e">
        <f t="shared" si="13"/>
        <v>#N/A</v>
      </c>
      <c r="Y211" s="279" t="e">
        <f t="shared" si="14"/>
        <v>#N/A</v>
      </c>
    </row>
    <row r="212" spans="1:25">
      <c r="A212" s="249" t="e">
        <f>IF(D212='Tables &amp; Ranges'!$A$133, 'Tables &amp; Ranges'!$B$133, IF(D212='Tables &amp; Ranges'!$A$134, 'Tables &amp; Ranges'!$B$134, IF(D212='Tables &amp; Ranges'!$A$135, 'Tables &amp; Ranges'!$B$135, IF(D212='Tables &amp; Ranges'!$A$136, 'Tables &amp; Ranges'!$B$136, IF(D212='Tables &amp; Ranges'!$A$99, 'Tables &amp; Ranges'!$B$116, VLOOKUP(X212,'Fixture Table'!$C$3:$M$1785, 10, FALSE))))))</f>
        <v>#N/A</v>
      </c>
      <c r="D212" s="2">
        <f>IFERROR(_xlfn.IFNA(VLOOKUP(F212,Summary_Pre!E:F,2,FALSE),0),0)</f>
        <v>0</v>
      </c>
      <c r="E212" s="249" t="e">
        <f t="shared" si="15"/>
        <v>#N/A</v>
      </c>
      <c r="F212" s="2" t="e">
        <f t="array" ref="F212">INDEX(Summary_Pre!E$4:E$303, MATCH(0, COUNTIF($F$2:F211,Summary_Pre!E$4:E$303), 0))</f>
        <v>#N/A</v>
      </c>
      <c r="G212" s="271" t="e">
        <f>VLOOKUP(X212,Table7[[#All],[FIXTURE CODE]:[WATT/ FIXT]], 6, FALSE)</f>
        <v>#N/A</v>
      </c>
      <c r="H212" s="271" t="e">
        <f>VLOOKUP(Y212,Table7[[#All],[FIXTURE CODE]:[WATT/ FIXT]], 6, FALSE)</f>
        <v>#N/A</v>
      </c>
      <c r="I212" s="272">
        <f>SUMIF(Summary_Pre!E:E,"="&amp;F212,Summary_Pre!D:D)</f>
        <v>0</v>
      </c>
      <c r="J212" s="263">
        <f>SUMIF(Summary_Pre!E:E,"="&amp;F212,Summary_Pre!H:H)</f>
        <v>0</v>
      </c>
      <c r="K212" s="262">
        <f>SUMIF(Summary_Pre!E:E,"="&amp; F212,Summary_Pre!I:I)</f>
        <v>0</v>
      </c>
      <c r="L212" s="3">
        <f>SUMIF(Summary_Pre!E:E,"="&amp; F212,Summary_Pre!J:J)</f>
        <v>0</v>
      </c>
      <c r="M212" s="285">
        <f>SUMIF(Summary_Pre!E:E,"="&amp; F212,Summary_Pre!K:K)</f>
        <v>0</v>
      </c>
      <c r="N212" s="285">
        <f>SUMIF(Summary_Pre!E:E,"="&amp;F212,Summary_Pre!C:C)</f>
        <v>0</v>
      </c>
      <c r="O212" s="266">
        <f t="shared" si="16"/>
        <v>0</v>
      </c>
      <c r="P212" s="3"/>
      <c r="Q212" s="3"/>
      <c r="R212" s="3"/>
      <c r="S212" s="3"/>
      <c r="T212" s="3"/>
      <c r="U212" s="3"/>
      <c r="V212" s="3"/>
      <c r="W212" s="2"/>
      <c r="X212" s="281" t="e">
        <f t="shared" si="13"/>
        <v>#N/A</v>
      </c>
      <c r="Y212" s="279" t="e">
        <f t="shared" si="14"/>
        <v>#N/A</v>
      </c>
    </row>
    <row r="213" spans="1:25">
      <c r="A213" s="249" t="e">
        <f>IF(D213='Tables &amp; Ranges'!$A$133, 'Tables &amp; Ranges'!$B$133, IF(D213='Tables &amp; Ranges'!$A$134, 'Tables &amp; Ranges'!$B$134, IF(D213='Tables &amp; Ranges'!$A$135, 'Tables &amp; Ranges'!$B$135, IF(D213='Tables &amp; Ranges'!$A$136, 'Tables &amp; Ranges'!$B$136, IF(D213='Tables &amp; Ranges'!$A$99, 'Tables &amp; Ranges'!$B$116, VLOOKUP(X213,'Fixture Table'!$C$3:$M$1785, 10, FALSE))))))</f>
        <v>#N/A</v>
      </c>
      <c r="D213" s="2">
        <f>IFERROR(_xlfn.IFNA(VLOOKUP(F213,Summary_Pre!E:F,2,FALSE),0),0)</f>
        <v>0</v>
      </c>
      <c r="E213" s="249" t="e">
        <f t="shared" si="15"/>
        <v>#N/A</v>
      </c>
      <c r="F213" s="2" t="e">
        <f t="array" ref="F213">INDEX(Summary_Pre!E$4:E$303, MATCH(0, COUNTIF($F$2:F212,Summary_Pre!E$4:E$303), 0))</f>
        <v>#N/A</v>
      </c>
      <c r="G213" s="271" t="e">
        <f>VLOOKUP(X213,Table7[[#All],[FIXTURE CODE]:[WATT/ FIXT]], 6, FALSE)</f>
        <v>#N/A</v>
      </c>
      <c r="H213" s="271" t="e">
        <f>VLOOKUP(Y213,Table7[[#All],[FIXTURE CODE]:[WATT/ FIXT]], 6, FALSE)</f>
        <v>#N/A</v>
      </c>
      <c r="I213" s="272">
        <f>SUMIF(Summary_Pre!E:E,"="&amp;F213,Summary_Pre!D:D)</f>
        <v>0</v>
      </c>
      <c r="J213" s="263">
        <f>SUMIF(Summary_Pre!E:E,"="&amp;F213,Summary_Pre!H:H)</f>
        <v>0</v>
      </c>
      <c r="K213" s="262">
        <f>SUMIF(Summary_Pre!E:E,"="&amp; F213,Summary_Pre!I:I)</f>
        <v>0</v>
      </c>
      <c r="L213" s="3">
        <f>SUMIF(Summary_Pre!E:E,"="&amp; F213,Summary_Pre!J:J)</f>
        <v>0</v>
      </c>
      <c r="M213" s="285">
        <f>SUMIF(Summary_Pre!E:E,"="&amp; F213,Summary_Pre!K:K)</f>
        <v>0</v>
      </c>
      <c r="N213" s="285">
        <f>SUMIF(Summary_Pre!E:E,"="&amp;F213,Summary_Pre!C:C)</f>
        <v>0</v>
      </c>
      <c r="O213" s="266">
        <f t="shared" si="16"/>
        <v>0</v>
      </c>
      <c r="P213" s="3"/>
      <c r="Q213" s="3"/>
      <c r="R213" s="3"/>
      <c r="S213" s="3"/>
      <c r="T213" s="3"/>
      <c r="U213" s="3"/>
      <c r="V213" s="3"/>
      <c r="W213" s="2"/>
      <c r="X213" s="281" t="e">
        <f t="shared" si="13"/>
        <v>#N/A</v>
      </c>
      <c r="Y213" s="279" t="e">
        <f t="shared" si="14"/>
        <v>#N/A</v>
      </c>
    </row>
    <row r="214" spans="1:25">
      <c r="A214" s="249" t="e">
        <f>IF(D214='Tables &amp; Ranges'!$A$133, 'Tables &amp; Ranges'!$B$133, IF(D214='Tables &amp; Ranges'!$A$134, 'Tables &amp; Ranges'!$B$134, IF(D214='Tables &amp; Ranges'!$A$135, 'Tables &amp; Ranges'!$B$135, IF(D214='Tables &amp; Ranges'!$A$136, 'Tables &amp; Ranges'!$B$136, IF(D214='Tables &amp; Ranges'!$A$99, 'Tables &amp; Ranges'!$B$116, VLOOKUP(X214,'Fixture Table'!$C$3:$M$1785, 10, FALSE))))))</f>
        <v>#N/A</v>
      </c>
      <c r="D214" s="2">
        <f>IFERROR(_xlfn.IFNA(VLOOKUP(F214,Summary_Pre!E:F,2,FALSE),0),0)</f>
        <v>0</v>
      </c>
      <c r="E214" s="249" t="e">
        <f t="shared" si="15"/>
        <v>#N/A</v>
      </c>
      <c r="F214" s="2" t="e">
        <f t="array" ref="F214">INDEX(Summary_Pre!E$4:E$303, MATCH(0, COUNTIF($F$2:F213,Summary_Pre!E$4:E$303), 0))</f>
        <v>#N/A</v>
      </c>
      <c r="G214" s="271" t="e">
        <f>VLOOKUP(X214,Table7[[#All],[FIXTURE CODE]:[WATT/ FIXT]], 6, FALSE)</f>
        <v>#N/A</v>
      </c>
      <c r="H214" s="271" t="e">
        <f>VLOOKUP(Y214,Table7[[#All],[FIXTURE CODE]:[WATT/ FIXT]], 6, FALSE)</f>
        <v>#N/A</v>
      </c>
      <c r="I214" s="272">
        <f>SUMIF(Summary_Pre!E:E,"="&amp;F214,Summary_Pre!D:D)</f>
        <v>0</v>
      </c>
      <c r="J214" s="263">
        <f>SUMIF(Summary_Pre!E:E,"="&amp;F214,Summary_Pre!H:H)</f>
        <v>0</v>
      </c>
      <c r="K214" s="262">
        <f>SUMIF(Summary_Pre!E:E,"="&amp; F214,Summary_Pre!I:I)</f>
        <v>0</v>
      </c>
      <c r="L214" s="3">
        <f>SUMIF(Summary_Pre!E:E,"="&amp; F214,Summary_Pre!J:J)</f>
        <v>0</v>
      </c>
      <c r="M214" s="285">
        <f>SUMIF(Summary_Pre!E:E,"="&amp; F214,Summary_Pre!K:K)</f>
        <v>0</v>
      </c>
      <c r="N214" s="285">
        <f>SUMIF(Summary_Pre!E:E,"="&amp;F214,Summary_Pre!C:C)</f>
        <v>0</v>
      </c>
      <c r="O214" s="266">
        <f t="shared" si="16"/>
        <v>0</v>
      </c>
      <c r="P214" s="3"/>
      <c r="Q214" s="3"/>
      <c r="R214" s="3"/>
      <c r="S214" s="3"/>
      <c r="T214" s="3"/>
      <c r="U214" s="3"/>
      <c r="V214" s="3"/>
      <c r="W214" s="2"/>
      <c r="X214" s="281" t="e">
        <f t="shared" si="13"/>
        <v>#N/A</v>
      </c>
      <c r="Y214" s="279" t="e">
        <f t="shared" si="14"/>
        <v>#N/A</v>
      </c>
    </row>
    <row r="215" spans="1:25">
      <c r="A215" s="249" t="e">
        <f>IF(D215='Tables &amp; Ranges'!$A$133, 'Tables &amp; Ranges'!$B$133, IF(D215='Tables &amp; Ranges'!$A$134, 'Tables &amp; Ranges'!$B$134, IF(D215='Tables &amp; Ranges'!$A$135, 'Tables &amp; Ranges'!$B$135, IF(D215='Tables &amp; Ranges'!$A$136, 'Tables &amp; Ranges'!$B$136, IF(D215='Tables &amp; Ranges'!$A$99, 'Tables &amp; Ranges'!$B$116, VLOOKUP(X215,'Fixture Table'!$C$3:$M$1785, 10, FALSE))))))</f>
        <v>#N/A</v>
      </c>
      <c r="D215" s="2">
        <f>IFERROR(_xlfn.IFNA(VLOOKUP(F215,Summary_Pre!E:F,2,FALSE),0),0)</f>
        <v>0</v>
      </c>
      <c r="E215" s="249" t="e">
        <f t="shared" si="15"/>
        <v>#N/A</v>
      </c>
      <c r="F215" s="2" t="e">
        <f t="array" ref="F215">INDEX(Summary_Pre!E$4:E$303, MATCH(0, COUNTIF($F$2:F214,Summary_Pre!E$4:E$303), 0))</f>
        <v>#N/A</v>
      </c>
      <c r="G215" s="271" t="e">
        <f>VLOOKUP(X215,Table7[[#All],[FIXTURE CODE]:[WATT/ FIXT]], 6, FALSE)</f>
        <v>#N/A</v>
      </c>
      <c r="H215" s="271" t="e">
        <f>VLOOKUP(Y215,Table7[[#All],[FIXTURE CODE]:[WATT/ FIXT]], 6, FALSE)</f>
        <v>#N/A</v>
      </c>
      <c r="I215" s="272">
        <f>SUMIF(Summary_Pre!E:E,"="&amp;F215,Summary_Pre!D:D)</f>
        <v>0</v>
      </c>
      <c r="J215" s="263">
        <f>SUMIF(Summary_Pre!E:E,"="&amp;F215,Summary_Pre!H:H)</f>
        <v>0</v>
      </c>
      <c r="K215" s="262">
        <f>SUMIF(Summary_Pre!E:E,"="&amp; F215,Summary_Pre!I:I)</f>
        <v>0</v>
      </c>
      <c r="L215" s="3">
        <f>SUMIF(Summary_Pre!E:E,"="&amp; F215,Summary_Pre!J:J)</f>
        <v>0</v>
      </c>
      <c r="M215" s="285">
        <f>SUMIF(Summary_Pre!E:E,"="&amp; F215,Summary_Pre!K:K)</f>
        <v>0</v>
      </c>
      <c r="N215" s="285">
        <f>SUMIF(Summary_Pre!E:E,"="&amp;F215,Summary_Pre!C:C)</f>
        <v>0</v>
      </c>
      <c r="O215" s="266">
        <f t="shared" si="16"/>
        <v>0</v>
      </c>
      <c r="P215" s="3"/>
      <c r="Q215" s="3"/>
      <c r="R215" s="3"/>
      <c r="S215" s="3"/>
      <c r="T215" s="3"/>
      <c r="U215" s="3"/>
      <c r="V215" s="3"/>
      <c r="W215" s="2"/>
      <c r="X215" s="281" t="e">
        <f t="shared" si="13"/>
        <v>#N/A</v>
      </c>
      <c r="Y215" s="279" t="e">
        <f t="shared" si="14"/>
        <v>#N/A</v>
      </c>
    </row>
    <row r="216" spans="1:25">
      <c r="A216" s="249" t="e">
        <f>IF(D216='Tables &amp; Ranges'!$A$133, 'Tables &amp; Ranges'!$B$133, IF(D216='Tables &amp; Ranges'!$A$134, 'Tables &amp; Ranges'!$B$134, IF(D216='Tables &amp; Ranges'!$A$135, 'Tables &amp; Ranges'!$B$135, IF(D216='Tables &amp; Ranges'!$A$136, 'Tables &amp; Ranges'!$B$136, IF(D216='Tables &amp; Ranges'!$A$99, 'Tables &amp; Ranges'!$B$116, VLOOKUP(X216,'Fixture Table'!$C$3:$M$1785, 10, FALSE))))))</f>
        <v>#N/A</v>
      </c>
      <c r="D216" s="2">
        <f>IFERROR(_xlfn.IFNA(VLOOKUP(F216,Summary_Pre!E:F,2,FALSE),0),0)</f>
        <v>0</v>
      </c>
      <c r="E216" s="249" t="e">
        <f t="shared" si="15"/>
        <v>#N/A</v>
      </c>
      <c r="F216" s="2" t="e">
        <f t="array" ref="F216">INDEX(Summary_Pre!E$4:E$303, MATCH(0, COUNTIF($F$2:F215,Summary_Pre!E$4:E$303), 0))</f>
        <v>#N/A</v>
      </c>
      <c r="G216" s="271" t="e">
        <f>VLOOKUP(X216,Table7[[#All],[FIXTURE CODE]:[WATT/ FIXT]], 6, FALSE)</f>
        <v>#N/A</v>
      </c>
      <c r="H216" s="271" t="e">
        <f>VLOOKUP(Y216,Table7[[#All],[FIXTURE CODE]:[WATT/ FIXT]], 6, FALSE)</f>
        <v>#N/A</v>
      </c>
      <c r="I216" s="272">
        <f>SUMIF(Summary_Pre!E:E,"="&amp;F216,Summary_Pre!D:D)</f>
        <v>0</v>
      </c>
      <c r="J216" s="263">
        <f>SUMIF(Summary_Pre!E:E,"="&amp;F216,Summary_Pre!H:H)</f>
        <v>0</v>
      </c>
      <c r="K216" s="262">
        <f>SUMIF(Summary_Pre!E:E,"="&amp; F216,Summary_Pre!I:I)</f>
        <v>0</v>
      </c>
      <c r="L216" s="3">
        <f>SUMIF(Summary_Pre!E:E,"="&amp; F216,Summary_Pre!J:J)</f>
        <v>0</v>
      </c>
      <c r="M216" s="285">
        <f>SUMIF(Summary_Pre!E:E,"="&amp; F216,Summary_Pre!K:K)</f>
        <v>0</v>
      </c>
      <c r="N216" s="285">
        <f>SUMIF(Summary_Pre!E:E,"="&amp;F216,Summary_Pre!C:C)</f>
        <v>0</v>
      </c>
      <c r="O216" s="266">
        <f t="shared" si="16"/>
        <v>0</v>
      </c>
      <c r="P216" s="3"/>
      <c r="Q216" s="3"/>
      <c r="R216" s="3"/>
      <c r="S216" s="3"/>
      <c r="T216" s="3"/>
      <c r="U216" s="3"/>
      <c r="V216" s="3"/>
      <c r="W216" s="2"/>
      <c r="X216" s="281" t="e">
        <f t="shared" si="13"/>
        <v>#N/A</v>
      </c>
      <c r="Y216" s="279" t="e">
        <f t="shared" si="14"/>
        <v>#N/A</v>
      </c>
    </row>
    <row r="217" spans="1:25">
      <c r="A217" s="249" t="e">
        <f>IF(D217='Tables &amp; Ranges'!$A$133, 'Tables &amp; Ranges'!$B$133, IF(D217='Tables &amp; Ranges'!$A$134, 'Tables &amp; Ranges'!$B$134, IF(D217='Tables &amp; Ranges'!$A$135, 'Tables &amp; Ranges'!$B$135, IF(D217='Tables &amp; Ranges'!$A$136, 'Tables &amp; Ranges'!$B$136, IF(D217='Tables &amp; Ranges'!$A$99, 'Tables &amp; Ranges'!$B$116, VLOOKUP(X217,'Fixture Table'!$C$3:$M$1785, 10, FALSE))))))</f>
        <v>#N/A</v>
      </c>
      <c r="D217" s="2">
        <f>IFERROR(_xlfn.IFNA(VLOOKUP(F217,Summary_Pre!E:F,2,FALSE),0),0)</f>
        <v>0</v>
      </c>
      <c r="E217" s="249" t="e">
        <f t="shared" si="15"/>
        <v>#N/A</v>
      </c>
      <c r="F217" s="2" t="e">
        <f t="array" ref="F217">INDEX(Summary_Pre!E$4:E$303, MATCH(0, COUNTIF($F$2:F216,Summary_Pre!E$4:E$303), 0))</f>
        <v>#N/A</v>
      </c>
      <c r="G217" s="271" t="e">
        <f>VLOOKUP(X217,Table7[[#All],[FIXTURE CODE]:[WATT/ FIXT]], 6, FALSE)</f>
        <v>#N/A</v>
      </c>
      <c r="H217" s="271" t="e">
        <f>VLOOKUP(Y217,Table7[[#All],[FIXTURE CODE]:[WATT/ FIXT]], 6, FALSE)</f>
        <v>#N/A</v>
      </c>
      <c r="I217" s="272">
        <f>SUMIF(Summary_Pre!E:E,"="&amp;F217,Summary_Pre!D:D)</f>
        <v>0</v>
      </c>
      <c r="J217" s="263">
        <f>SUMIF(Summary_Pre!E:E,"="&amp;F217,Summary_Pre!H:H)</f>
        <v>0</v>
      </c>
      <c r="K217" s="262">
        <f>SUMIF(Summary_Pre!E:E,"="&amp; F217,Summary_Pre!I:I)</f>
        <v>0</v>
      </c>
      <c r="L217" s="3">
        <f>SUMIF(Summary_Pre!E:E,"="&amp; F217,Summary_Pre!J:J)</f>
        <v>0</v>
      </c>
      <c r="M217" s="285">
        <f>SUMIF(Summary_Pre!E:E,"="&amp; F217,Summary_Pre!K:K)</f>
        <v>0</v>
      </c>
      <c r="N217" s="285">
        <f>SUMIF(Summary_Pre!E:E,"="&amp;F217,Summary_Pre!C:C)</f>
        <v>0</v>
      </c>
      <c r="O217" s="266">
        <f t="shared" si="16"/>
        <v>0</v>
      </c>
      <c r="P217" s="3"/>
      <c r="Q217" s="3"/>
      <c r="R217" s="3"/>
      <c r="S217" s="3"/>
      <c r="T217" s="3"/>
      <c r="U217" s="3"/>
      <c r="V217" s="3"/>
      <c r="W217" s="2"/>
      <c r="X217" s="281" t="e">
        <f t="shared" si="13"/>
        <v>#N/A</v>
      </c>
      <c r="Y217" s="279" t="e">
        <f t="shared" si="14"/>
        <v>#N/A</v>
      </c>
    </row>
    <row r="218" spans="1:25">
      <c r="A218" s="249" t="e">
        <f>IF(D218='Tables &amp; Ranges'!$A$133, 'Tables &amp; Ranges'!$B$133, IF(D218='Tables &amp; Ranges'!$A$134, 'Tables &amp; Ranges'!$B$134, IF(D218='Tables &amp; Ranges'!$A$135, 'Tables &amp; Ranges'!$B$135, IF(D218='Tables &amp; Ranges'!$A$136, 'Tables &amp; Ranges'!$B$136, IF(D218='Tables &amp; Ranges'!$A$99, 'Tables &amp; Ranges'!$B$116, VLOOKUP(X218,'Fixture Table'!$C$3:$M$1785, 10, FALSE))))))</f>
        <v>#N/A</v>
      </c>
      <c r="D218" s="2">
        <f>IFERROR(_xlfn.IFNA(VLOOKUP(F218,Summary_Pre!E:F,2,FALSE),0),0)</f>
        <v>0</v>
      </c>
      <c r="E218" s="249" t="e">
        <f t="shared" si="15"/>
        <v>#N/A</v>
      </c>
      <c r="F218" s="2" t="e">
        <f t="array" ref="F218">INDEX(Summary_Pre!E$4:E$303, MATCH(0, COUNTIF($F$2:F217,Summary_Pre!E$4:E$303), 0))</f>
        <v>#N/A</v>
      </c>
      <c r="G218" s="271" t="e">
        <f>VLOOKUP(X218,Table7[[#All],[FIXTURE CODE]:[WATT/ FIXT]], 6, FALSE)</f>
        <v>#N/A</v>
      </c>
      <c r="H218" s="271" t="e">
        <f>VLOOKUP(Y218,Table7[[#All],[FIXTURE CODE]:[WATT/ FIXT]], 6, FALSE)</f>
        <v>#N/A</v>
      </c>
      <c r="I218" s="272">
        <f>SUMIF(Summary_Pre!E:E,"="&amp;F218,Summary_Pre!D:D)</f>
        <v>0</v>
      </c>
      <c r="J218" s="263">
        <f>SUMIF(Summary_Pre!E:E,"="&amp;F218,Summary_Pre!H:H)</f>
        <v>0</v>
      </c>
      <c r="K218" s="262">
        <f>SUMIF(Summary_Pre!E:E,"="&amp; F218,Summary_Pre!I:I)</f>
        <v>0</v>
      </c>
      <c r="L218" s="3">
        <f>SUMIF(Summary_Pre!E:E,"="&amp; F218,Summary_Pre!J:J)</f>
        <v>0</v>
      </c>
      <c r="M218" s="285">
        <f>SUMIF(Summary_Pre!E:E,"="&amp; F218,Summary_Pre!K:K)</f>
        <v>0</v>
      </c>
      <c r="N218" s="285">
        <f>SUMIF(Summary_Pre!E:E,"="&amp;F218,Summary_Pre!C:C)</f>
        <v>0</v>
      </c>
      <c r="O218" s="266">
        <f t="shared" si="16"/>
        <v>0</v>
      </c>
      <c r="P218" s="3"/>
      <c r="Q218" s="3"/>
      <c r="R218" s="3"/>
      <c r="S218" s="3"/>
      <c r="T218" s="3"/>
      <c r="U218" s="3"/>
      <c r="V218" s="3"/>
      <c r="W218" s="2"/>
      <c r="X218" s="281" t="e">
        <f t="shared" si="13"/>
        <v>#N/A</v>
      </c>
      <c r="Y218" s="279" t="e">
        <f t="shared" si="14"/>
        <v>#N/A</v>
      </c>
    </row>
    <row r="219" spans="1:25">
      <c r="A219" s="249" t="e">
        <f>IF(D219='Tables &amp; Ranges'!$A$133, 'Tables &amp; Ranges'!$B$133, IF(D219='Tables &amp; Ranges'!$A$134, 'Tables &amp; Ranges'!$B$134, IF(D219='Tables &amp; Ranges'!$A$135, 'Tables &amp; Ranges'!$B$135, IF(D219='Tables &amp; Ranges'!$A$136, 'Tables &amp; Ranges'!$B$136, IF(D219='Tables &amp; Ranges'!$A$99, 'Tables &amp; Ranges'!$B$116, VLOOKUP(X219,'Fixture Table'!$C$3:$M$1785, 10, FALSE))))))</f>
        <v>#N/A</v>
      </c>
      <c r="D219" s="2">
        <f>IFERROR(_xlfn.IFNA(VLOOKUP(F219,Summary_Pre!E:F,2,FALSE),0),0)</f>
        <v>0</v>
      </c>
      <c r="E219" s="249" t="e">
        <f t="shared" si="15"/>
        <v>#N/A</v>
      </c>
      <c r="F219" s="2" t="e">
        <f t="array" ref="F219">INDEX(Summary_Pre!E$4:E$303, MATCH(0, COUNTIF($F$2:F218,Summary_Pre!E$4:E$303), 0))</f>
        <v>#N/A</v>
      </c>
      <c r="G219" s="271" t="e">
        <f>VLOOKUP(X219,Table7[[#All],[FIXTURE CODE]:[WATT/ FIXT]], 6, FALSE)</f>
        <v>#N/A</v>
      </c>
      <c r="H219" s="271" t="e">
        <f>VLOOKUP(Y219,Table7[[#All],[FIXTURE CODE]:[WATT/ FIXT]], 6, FALSE)</f>
        <v>#N/A</v>
      </c>
      <c r="I219" s="272">
        <f>SUMIF(Summary_Pre!E:E,"="&amp;F219,Summary_Pre!D:D)</f>
        <v>0</v>
      </c>
      <c r="J219" s="263">
        <f>SUMIF(Summary_Pre!E:E,"="&amp;F219,Summary_Pre!H:H)</f>
        <v>0</v>
      </c>
      <c r="K219" s="262">
        <f>SUMIF(Summary_Pre!E:E,"="&amp; F219,Summary_Pre!I:I)</f>
        <v>0</v>
      </c>
      <c r="L219" s="3">
        <f>SUMIF(Summary_Pre!E:E,"="&amp; F219,Summary_Pre!J:J)</f>
        <v>0</v>
      </c>
      <c r="M219" s="285">
        <f>SUMIF(Summary_Pre!E:E,"="&amp; F219,Summary_Pre!K:K)</f>
        <v>0</v>
      </c>
      <c r="N219" s="285">
        <f>SUMIF(Summary_Pre!E:E,"="&amp;F219,Summary_Pre!C:C)</f>
        <v>0</v>
      </c>
      <c r="O219" s="266">
        <f t="shared" si="16"/>
        <v>0</v>
      </c>
      <c r="P219" s="3"/>
      <c r="Q219" s="3"/>
      <c r="R219" s="3"/>
      <c r="S219" s="3"/>
      <c r="T219" s="3"/>
      <c r="U219" s="3"/>
      <c r="V219" s="3"/>
      <c r="W219" s="2"/>
      <c r="X219" s="281" t="e">
        <f t="shared" si="13"/>
        <v>#N/A</v>
      </c>
      <c r="Y219" s="279" t="e">
        <f t="shared" si="14"/>
        <v>#N/A</v>
      </c>
    </row>
    <row r="220" spans="1:25">
      <c r="A220" s="249" t="e">
        <f>IF(D220='Tables &amp; Ranges'!$A$133, 'Tables &amp; Ranges'!$B$133, IF(D220='Tables &amp; Ranges'!$A$134, 'Tables &amp; Ranges'!$B$134, IF(D220='Tables &amp; Ranges'!$A$135, 'Tables &amp; Ranges'!$B$135, IF(D220='Tables &amp; Ranges'!$A$136, 'Tables &amp; Ranges'!$B$136, IF(D220='Tables &amp; Ranges'!$A$99, 'Tables &amp; Ranges'!$B$116, VLOOKUP(X220,'Fixture Table'!$C$3:$M$1785, 10, FALSE))))))</f>
        <v>#N/A</v>
      </c>
      <c r="D220" s="2">
        <f>IFERROR(_xlfn.IFNA(VLOOKUP(F220,Summary_Pre!E:F,2,FALSE),0),0)</f>
        <v>0</v>
      </c>
      <c r="E220" s="249" t="e">
        <f t="shared" si="15"/>
        <v>#N/A</v>
      </c>
      <c r="F220" s="2" t="e">
        <f t="array" ref="F220">INDEX(Summary_Pre!E$4:E$303, MATCH(0, COUNTIF($F$2:F219,Summary_Pre!E$4:E$303), 0))</f>
        <v>#N/A</v>
      </c>
      <c r="G220" s="271" t="e">
        <f>VLOOKUP(X220,Table7[[#All],[FIXTURE CODE]:[WATT/ FIXT]], 6, FALSE)</f>
        <v>#N/A</v>
      </c>
      <c r="H220" s="271" t="e">
        <f>VLOOKUP(Y220,Table7[[#All],[FIXTURE CODE]:[WATT/ FIXT]], 6, FALSE)</f>
        <v>#N/A</v>
      </c>
      <c r="I220" s="272">
        <f>SUMIF(Summary_Pre!E:E,"="&amp;F220,Summary_Pre!D:D)</f>
        <v>0</v>
      </c>
      <c r="J220" s="263">
        <f>SUMIF(Summary_Pre!E:E,"="&amp;F220,Summary_Pre!H:H)</f>
        <v>0</v>
      </c>
      <c r="K220" s="262">
        <f>SUMIF(Summary_Pre!E:E,"="&amp; F220,Summary_Pre!I:I)</f>
        <v>0</v>
      </c>
      <c r="L220" s="3">
        <f>SUMIF(Summary_Pre!E:E,"="&amp; F220,Summary_Pre!J:J)</f>
        <v>0</v>
      </c>
      <c r="M220" s="285">
        <f>SUMIF(Summary_Pre!E:E,"="&amp; F220,Summary_Pre!K:K)</f>
        <v>0</v>
      </c>
      <c r="N220" s="285">
        <f>SUMIF(Summary_Pre!E:E,"="&amp;F220,Summary_Pre!C:C)</f>
        <v>0</v>
      </c>
      <c r="O220" s="266">
        <f t="shared" si="16"/>
        <v>0</v>
      </c>
      <c r="P220" s="3"/>
      <c r="Q220" s="3"/>
      <c r="R220" s="3"/>
      <c r="S220" s="3"/>
      <c r="T220" s="3"/>
      <c r="U220" s="3"/>
      <c r="V220" s="3"/>
      <c r="W220" s="2"/>
      <c r="X220" s="281" t="e">
        <f t="shared" si="13"/>
        <v>#N/A</v>
      </c>
      <c r="Y220" s="279" t="e">
        <f t="shared" si="14"/>
        <v>#N/A</v>
      </c>
    </row>
    <row r="221" spans="1:25">
      <c r="A221" s="249" t="e">
        <f>IF(D221='Tables &amp; Ranges'!$A$133, 'Tables &amp; Ranges'!$B$133, IF(D221='Tables &amp; Ranges'!$A$134, 'Tables &amp; Ranges'!$B$134, IF(D221='Tables &amp; Ranges'!$A$135, 'Tables &amp; Ranges'!$B$135, IF(D221='Tables &amp; Ranges'!$A$136, 'Tables &amp; Ranges'!$B$136, IF(D221='Tables &amp; Ranges'!$A$99, 'Tables &amp; Ranges'!$B$116, VLOOKUP(X221,'Fixture Table'!$C$3:$M$1785, 10, FALSE))))))</f>
        <v>#N/A</v>
      </c>
      <c r="D221" s="2">
        <f>IFERROR(_xlfn.IFNA(VLOOKUP(F221,Summary_Pre!E:F,2,FALSE),0),0)</f>
        <v>0</v>
      </c>
      <c r="E221" s="249" t="e">
        <f t="shared" si="15"/>
        <v>#N/A</v>
      </c>
      <c r="F221" s="2" t="e">
        <f t="array" ref="F221">INDEX(Summary_Pre!E$4:E$303, MATCH(0, COUNTIF($F$2:F220,Summary_Pre!E$4:E$303), 0))</f>
        <v>#N/A</v>
      </c>
      <c r="G221" s="271" t="e">
        <f>VLOOKUP(X221,Table7[[#All],[FIXTURE CODE]:[WATT/ FIXT]], 6, FALSE)</f>
        <v>#N/A</v>
      </c>
      <c r="H221" s="271" t="e">
        <f>VLOOKUP(Y221,Table7[[#All],[FIXTURE CODE]:[WATT/ FIXT]], 6, FALSE)</f>
        <v>#N/A</v>
      </c>
      <c r="I221" s="272">
        <f>SUMIF(Summary_Pre!E:E,"="&amp;F221,Summary_Pre!D:D)</f>
        <v>0</v>
      </c>
      <c r="J221" s="263">
        <f>SUMIF(Summary_Pre!E:E,"="&amp;F221,Summary_Pre!H:H)</f>
        <v>0</v>
      </c>
      <c r="K221" s="262">
        <f>SUMIF(Summary_Pre!E:E,"="&amp; F221,Summary_Pre!I:I)</f>
        <v>0</v>
      </c>
      <c r="L221" s="3">
        <f>SUMIF(Summary_Pre!E:E,"="&amp; F221,Summary_Pre!J:J)</f>
        <v>0</v>
      </c>
      <c r="M221" s="285">
        <f>SUMIF(Summary_Pre!E:E,"="&amp; F221,Summary_Pre!K:K)</f>
        <v>0</v>
      </c>
      <c r="N221" s="285">
        <f>SUMIF(Summary_Pre!E:E,"="&amp;F221,Summary_Pre!C:C)</f>
        <v>0</v>
      </c>
      <c r="O221" s="266">
        <f t="shared" si="16"/>
        <v>0</v>
      </c>
      <c r="P221" s="3"/>
      <c r="Q221" s="3"/>
      <c r="R221" s="3"/>
      <c r="S221" s="3"/>
      <c r="T221" s="3"/>
      <c r="U221" s="3"/>
      <c r="V221" s="3"/>
      <c r="W221" s="2"/>
      <c r="X221" s="281" t="e">
        <f t="shared" si="13"/>
        <v>#N/A</v>
      </c>
      <c r="Y221" s="279" t="e">
        <f t="shared" si="14"/>
        <v>#N/A</v>
      </c>
    </row>
    <row r="222" spans="1:25">
      <c r="A222" s="249" t="e">
        <f>IF(D222='Tables &amp; Ranges'!$A$133, 'Tables &amp; Ranges'!$B$133, IF(D222='Tables &amp; Ranges'!$A$134, 'Tables &amp; Ranges'!$B$134, IF(D222='Tables &amp; Ranges'!$A$135, 'Tables &amp; Ranges'!$B$135, IF(D222='Tables &amp; Ranges'!$A$136, 'Tables &amp; Ranges'!$B$136, IF(D222='Tables &amp; Ranges'!$A$99, 'Tables &amp; Ranges'!$B$116, VLOOKUP(X222,'Fixture Table'!$C$3:$M$1785, 10, FALSE))))))</f>
        <v>#N/A</v>
      </c>
      <c r="D222" s="2">
        <f>IFERROR(_xlfn.IFNA(VLOOKUP(F222,Summary_Pre!E:F,2,FALSE),0),0)</f>
        <v>0</v>
      </c>
      <c r="E222" s="249" t="e">
        <f t="shared" si="15"/>
        <v>#N/A</v>
      </c>
      <c r="F222" s="2" t="e">
        <f t="array" ref="F222">INDEX(Summary_Pre!E$4:E$303, MATCH(0, COUNTIF($F$2:F221,Summary_Pre!E$4:E$303), 0))</f>
        <v>#N/A</v>
      </c>
      <c r="G222" s="271" t="e">
        <f>VLOOKUP(X222,Table7[[#All],[FIXTURE CODE]:[WATT/ FIXT]], 6, FALSE)</f>
        <v>#N/A</v>
      </c>
      <c r="H222" s="271" t="e">
        <f>VLOOKUP(Y222,Table7[[#All],[FIXTURE CODE]:[WATT/ FIXT]], 6, FALSE)</f>
        <v>#N/A</v>
      </c>
      <c r="I222" s="272">
        <f>SUMIF(Summary_Pre!E:E,"="&amp;F222,Summary_Pre!D:D)</f>
        <v>0</v>
      </c>
      <c r="J222" s="263">
        <f>SUMIF(Summary_Pre!E:E,"="&amp;F222,Summary_Pre!H:H)</f>
        <v>0</v>
      </c>
      <c r="K222" s="262">
        <f>SUMIF(Summary_Pre!E:E,"="&amp; F222,Summary_Pre!I:I)</f>
        <v>0</v>
      </c>
      <c r="L222" s="3">
        <f>SUMIF(Summary_Pre!E:E,"="&amp; F222,Summary_Pre!J:J)</f>
        <v>0</v>
      </c>
      <c r="M222" s="285">
        <f>SUMIF(Summary_Pre!E:E,"="&amp; F222,Summary_Pre!K:K)</f>
        <v>0</v>
      </c>
      <c r="N222" s="285">
        <f>SUMIF(Summary_Pre!E:E,"="&amp;F222,Summary_Pre!C:C)</f>
        <v>0</v>
      </c>
      <c r="O222" s="266">
        <f t="shared" si="16"/>
        <v>0</v>
      </c>
      <c r="P222" s="3"/>
      <c r="Q222" s="3"/>
      <c r="R222" s="3"/>
      <c r="S222" s="3"/>
      <c r="T222" s="3"/>
      <c r="U222" s="3"/>
      <c r="V222" s="3"/>
      <c r="W222" s="2"/>
      <c r="X222" s="281" t="e">
        <f t="shared" si="13"/>
        <v>#N/A</v>
      </c>
      <c r="Y222" s="279" t="e">
        <f t="shared" si="14"/>
        <v>#N/A</v>
      </c>
    </row>
    <row r="223" spans="1:25">
      <c r="A223" s="249" t="e">
        <f>IF(D223='Tables &amp; Ranges'!$A$133, 'Tables &amp; Ranges'!$B$133, IF(D223='Tables &amp; Ranges'!$A$134, 'Tables &amp; Ranges'!$B$134, IF(D223='Tables &amp; Ranges'!$A$135, 'Tables &amp; Ranges'!$B$135, IF(D223='Tables &amp; Ranges'!$A$136, 'Tables &amp; Ranges'!$B$136, IF(D223='Tables &amp; Ranges'!$A$99, 'Tables &amp; Ranges'!$B$116, VLOOKUP(X223,'Fixture Table'!$C$3:$M$1785, 10, FALSE))))))</f>
        <v>#N/A</v>
      </c>
      <c r="D223" s="2">
        <f>IFERROR(_xlfn.IFNA(VLOOKUP(F223,Summary_Pre!E:F,2,FALSE),0),0)</f>
        <v>0</v>
      </c>
      <c r="E223" s="249" t="e">
        <f t="shared" si="15"/>
        <v>#N/A</v>
      </c>
      <c r="F223" s="2" t="e">
        <f t="array" ref="F223">INDEX(Summary_Pre!E$4:E$303, MATCH(0, COUNTIF($F$2:F222,Summary_Pre!E$4:E$303), 0))</f>
        <v>#N/A</v>
      </c>
      <c r="G223" s="271" t="e">
        <f>VLOOKUP(X223,Table7[[#All],[FIXTURE CODE]:[WATT/ FIXT]], 6, FALSE)</f>
        <v>#N/A</v>
      </c>
      <c r="H223" s="271" t="e">
        <f>VLOOKUP(Y223,Table7[[#All],[FIXTURE CODE]:[WATT/ FIXT]], 6, FALSE)</f>
        <v>#N/A</v>
      </c>
      <c r="I223" s="272">
        <f>SUMIF(Summary_Pre!E:E,"="&amp;F223,Summary_Pre!D:D)</f>
        <v>0</v>
      </c>
      <c r="J223" s="263">
        <f>SUMIF(Summary_Pre!E:E,"="&amp;F223,Summary_Pre!H:H)</f>
        <v>0</v>
      </c>
      <c r="K223" s="262">
        <f>SUMIF(Summary_Pre!E:E,"="&amp; F223,Summary_Pre!I:I)</f>
        <v>0</v>
      </c>
      <c r="L223" s="3">
        <f>SUMIF(Summary_Pre!E:E,"="&amp; F223,Summary_Pre!J:J)</f>
        <v>0</v>
      </c>
      <c r="M223" s="285">
        <f>SUMIF(Summary_Pre!E:E,"="&amp; F223,Summary_Pre!K:K)</f>
        <v>0</v>
      </c>
      <c r="N223" s="285">
        <f>SUMIF(Summary_Pre!E:E,"="&amp;F223,Summary_Pre!C:C)</f>
        <v>0</v>
      </c>
      <c r="O223" s="266">
        <f t="shared" si="16"/>
        <v>0</v>
      </c>
      <c r="P223" s="3"/>
      <c r="Q223" s="3"/>
      <c r="R223" s="3"/>
      <c r="S223" s="3"/>
      <c r="T223" s="3"/>
      <c r="U223" s="3"/>
      <c r="V223" s="3"/>
      <c r="W223" s="2"/>
      <c r="X223" s="281" t="e">
        <f t="shared" si="13"/>
        <v>#N/A</v>
      </c>
      <c r="Y223" s="279" t="e">
        <f t="shared" si="14"/>
        <v>#N/A</v>
      </c>
    </row>
    <row r="224" spans="1:25">
      <c r="A224" s="249" t="e">
        <f>IF(D224='Tables &amp; Ranges'!$A$133, 'Tables &amp; Ranges'!$B$133, IF(D224='Tables &amp; Ranges'!$A$134, 'Tables &amp; Ranges'!$B$134, IF(D224='Tables &amp; Ranges'!$A$135, 'Tables &amp; Ranges'!$B$135, IF(D224='Tables &amp; Ranges'!$A$136, 'Tables &amp; Ranges'!$B$136, IF(D224='Tables &amp; Ranges'!$A$99, 'Tables &amp; Ranges'!$B$116, VLOOKUP(X224,'Fixture Table'!$C$3:$M$1785, 10, FALSE))))))</f>
        <v>#N/A</v>
      </c>
      <c r="D224" s="2">
        <f>IFERROR(_xlfn.IFNA(VLOOKUP(F224,Summary_Pre!E:F,2,FALSE),0),0)</f>
        <v>0</v>
      </c>
      <c r="E224" s="249" t="e">
        <f t="shared" si="15"/>
        <v>#N/A</v>
      </c>
      <c r="F224" s="2" t="e">
        <f t="array" ref="F224">INDEX(Summary_Pre!E$4:E$303, MATCH(0, COUNTIF($F$2:F223,Summary_Pre!E$4:E$303), 0))</f>
        <v>#N/A</v>
      </c>
      <c r="G224" s="271" t="e">
        <f>VLOOKUP(X224,Table7[[#All],[FIXTURE CODE]:[WATT/ FIXT]], 6, FALSE)</f>
        <v>#N/A</v>
      </c>
      <c r="H224" s="271" t="e">
        <f>VLOOKUP(Y224,Table7[[#All],[FIXTURE CODE]:[WATT/ FIXT]], 6, FALSE)</f>
        <v>#N/A</v>
      </c>
      <c r="I224" s="272">
        <f>SUMIF(Summary_Pre!E:E,"="&amp;F224,Summary_Pre!D:D)</f>
        <v>0</v>
      </c>
      <c r="J224" s="263">
        <f>SUMIF(Summary_Pre!E:E,"="&amp;F224,Summary_Pre!H:H)</f>
        <v>0</v>
      </c>
      <c r="K224" s="262">
        <f>SUMIF(Summary_Pre!E:E,"="&amp; F224,Summary_Pre!I:I)</f>
        <v>0</v>
      </c>
      <c r="L224" s="3">
        <f>SUMIF(Summary_Pre!E:E,"="&amp; F224,Summary_Pre!J:J)</f>
        <v>0</v>
      </c>
      <c r="M224" s="285">
        <f>SUMIF(Summary_Pre!E:E,"="&amp; F224,Summary_Pre!K:K)</f>
        <v>0</v>
      </c>
      <c r="N224" s="285">
        <f>SUMIF(Summary_Pre!E:E,"="&amp;F224,Summary_Pre!C:C)</f>
        <v>0</v>
      </c>
      <c r="O224" s="266">
        <f t="shared" si="16"/>
        <v>0</v>
      </c>
      <c r="P224" s="3"/>
      <c r="Q224" s="3"/>
      <c r="R224" s="3"/>
      <c r="S224" s="3"/>
      <c r="T224" s="3"/>
      <c r="U224" s="3"/>
      <c r="V224" s="3"/>
      <c r="W224" s="2"/>
      <c r="X224" s="281" t="e">
        <f t="shared" si="13"/>
        <v>#N/A</v>
      </c>
      <c r="Y224" s="279" t="e">
        <f t="shared" si="14"/>
        <v>#N/A</v>
      </c>
    </row>
    <row r="225" spans="1:25">
      <c r="A225" s="249" t="e">
        <f>IF(D225='Tables &amp; Ranges'!$A$133, 'Tables &amp; Ranges'!$B$133, IF(D225='Tables &amp; Ranges'!$A$134, 'Tables &amp; Ranges'!$B$134, IF(D225='Tables &amp; Ranges'!$A$135, 'Tables &amp; Ranges'!$B$135, IF(D225='Tables &amp; Ranges'!$A$136, 'Tables &amp; Ranges'!$B$136, IF(D225='Tables &amp; Ranges'!$A$99, 'Tables &amp; Ranges'!$B$116, VLOOKUP(X225,'Fixture Table'!$C$3:$M$1785, 10, FALSE))))))</f>
        <v>#N/A</v>
      </c>
      <c r="D225" s="2">
        <f>IFERROR(_xlfn.IFNA(VLOOKUP(F225,Summary_Pre!E:F,2,FALSE),0),0)</f>
        <v>0</v>
      </c>
      <c r="E225" s="249" t="e">
        <f t="shared" si="15"/>
        <v>#N/A</v>
      </c>
      <c r="F225" s="2" t="e">
        <f t="array" ref="F225">INDEX(Summary_Pre!E$4:E$303, MATCH(0, COUNTIF($F$2:F224,Summary_Pre!E$4:E$303), 0))</f>
        <v>#N/A</v>
      </c>
      <c r="G225" s="271" t="e">
        <f>VLOOKUP(X225,Table7[[#All],[FIXTURE CODE]:[WATT/ FIXT]], 6, FALSE)</f>
        <v>#N/A</v>
      </c>
      <c r="H225" s="271" t="e">
        <f>VLOOKUP(Y225,Table7[[#All],[FIXTURE CODE]:[WATT/ FIXT]], 6, FALSE)</f>
        <v>#N/A</v>
      </c>
      <c r="I225" s="272">
        <f>SUMIF(Summary_Pre!E:E,"="&amp;F225,Summary_Pre!D:D)</f>
        <v>0</v>
      </c>
      <c r="J225" s="263">
        <f>SUMIF(Summary_Pre!E:E,"="&amp;F225,Summary_Pre!H:H)</f>
        <v>0</v>
      </c>
      <c r="K225" s="262">
        <f>SUMIF(Summary_Pre!E:E,"="&amp; F225,Summary_Pre!I:I)</f>
        <v>0</v>
      </c>
      <c r="L225" s="3">
        <f>SUMIF(Summary_Pre!E:E,"="&amp; F225,Summary_Pre!J:J)</f>
        <v>0</v>
      </c>
      <c r="M225" s="285">
        <f>SUMIF(Summary_Pre!E:E,"="&amp; F225,Summary_Pre!K:K)</f>
        <v>0</v>
      </c>
      <c r="N225" s="285">
        <f>SUMIF(Summary_Pre!E:E,"="&amp;F225,Summary_Pre!C:C)</f>
        <v>0</v>
      </c>
      <c r="O225" s="266">
        <f t="shared" si="16"/>
        <v>0</v>
      </c>
      <c r="P225" s="3"/>
      <c r="Q225" s="3"/>
      <c r="R225" s="3"/>
      <c r="S225" s="3"/>
      <c r="T225" s="3"/>
      <c r="U225" s="3"/>
      <c r="V225" s="3"/>
      <c r="W225" s="2"/>
      <c r="X225" s="281" t="e">
        <f t="shared" si="13"/>
        <v>#N/A</v>
      </c>
      <c r="Y225" s="279" t="e">
        <f t="shared" si="14"/>
        <v>#N/A</v>
      </c>
    </row>
    <row r="226" spans="1:25">
      <c r="A226" s="249" t="e">
        <f>IF(D226='Tables &amp; Ranges'!$A$133, 'Tables &amp; Ranges'!$B$133, IF(D226='Tables &amp; Ranges'!$A$134, 'Tables &amp; Ranges'!$B$134, IF(D226='Tables &amp; Ranges'!$A$135, 'Tables &amp; Ranges'!$B$135, IF(D226='Tables &amp; Ranges'!$A$136, 'Tables &amp; Ranges'!$B$136, IF(D226='Tables &amp; Ranges'!$A$99, 'Tables &amp; Ranges'!$B$116, VLOOKUP(X226,'Fixture Table'!$C$3:$M$1785, 10, FALSE))))))</f>
        <v>#N/A</v>
      </c>
      <c r="D226" s="2">
        <f>IFERROR(_xlfn.IFNA(VLOOKUP(F226,Summary_Pre!E:F,2,FALSE),0),0)</f>
        <v>0</v>
      </c>
      <c r="E226" s="249" t="e">
        <f t="shared" si="15"/>
        <v>#N/A</v>
      </c>
      <c r="F226" s="2" t="e">
        <f t="array" ref="F226">INDEX(Summary_Pre!E$4:E$303, MATCH(0, COUNTIF($F$2:F225,Summary_Pre!E$4:E$303), 0))</f>
        <v>#N/A</v>
      </c>
      <c r="G226" s="271" t="e">
        <f>VLOOKUP(X226,Table7[[#All],[FIXTURE CODE]:[WATT/ FIXT]], 6, FALSE)</f>
        <v>#N/A</v>
      </c>
      <c r="H226" s="271" t="e">
        <f>VLOOKUP(Y226,Table7[[#All],[FIXTURE CODE]:[WATT/ FIXT]], 6, FALSE)</f>
        <v>#N/A</v>
      </c>
      <c r="I226" s="272">
        <f>SUMIF(Summary_Pre!E:E,"="&amp;F226,Summary_Pre!D:D)</f>
        <v>0</v>
      </c>
      <c r="J226" s="263">
        <f>SUMIF(Summary_Pre!E:E,"="&amp;F226,Summary_Pre!H:H)</f>
        <v>0</v>
      </c>
      <c r="K226" s="262">
        <f>SUMIF(Summary_Pre!E:E,"="&amp; F226,Summary_Pre!I:I)</f>
        <v>0</v>
      </c>
      <c r="L226" s="3">
        <f>SUMIF(Summary_Pre!E:E,"="&amp; F226,Summary_Pre!J:J)</f>
        <v>0</v>
      </c>
      <c r="M226" s="285">
        <f>SUMIF(Summary_Pre!E:E,"="&amp; F226,Summary_Pre!K:K)</f>
        <v>0</v>
      </c>
      <c r="N226" s="285">
        <f>SUMIF(Summary_Pre!E:E,"="&amp;F226,Summary_Pre!C:C)</f>
        <v>0</v>
      </c>
      <c r="O226" s="266">
        <f t="shared" si="16"/>
        <v>0</v>
      </c>
      <c r="P226" s="3"/>
      <c r="Q226" s="3"/>
      <c r="R226" s="3"/>
      <c r="S226" s="3"/>
      <c r="T226" s="3"/>
      <c r="U226" s="3"/>
      <c r="V226" s="3"/>
      <c r="W226" s="2"/>
      <c r="X226" s="281" t="e">
        <f t="shared" si="13"/>
        <v>#N/A</v>
      </c>
      <c r="Y226" s="279" t="e">
        <f t="shared" si="14"/>
        <v>#N/A</v>
      </c>
    </row>
    <row r="227" spans="1:25">
      <c r="A227" s="249" t="e">
        <f>IF(D227='Tables &amp; Ranges'!$A$133, 'Tables &amp; Ranges'!$B$133, IF(D227='Tables &amp; Ranges'!$A$134, 'Tables &amp; Ranges'!$B$134, IF(D227='Tables &amp; Ranges'!$A$135, 'Tables &amp; Ranges'!$B$135, IF(D227='Tables &amp; Ranges'!$A$136, 'Tables &amp; Ranges'!$B$136, IF(D227='Tables &amp; Ranges'!$A$99, 'Tables &amp; Ranges'!$B$116, VLOOKUP(X227,'Fixture Table'!$C$3:$M$1785, 10, FALSE))))))</f>
        <v>#N/A</v>
      </c>
      <c r="D227" s="2">
        <f>IFERROR(_xlfn.IFNA(VLOOKUP(F227,Summary_Pre!E:F,2,FALSE),0),0)</f>
        <v>0</v>
      </c>
      <c r="E227" s="249" t="e">
        <f t="shared" si="15"/>
        <v>#N/A</v>
      </c>
      <c r="F227" s="2" t="e">
        <f t="array" ref="F227">INDEX(Summary_Pre!E$4:E$303, MATCH(0, COUNTIF($F$2:F226,Summary_Pre!E$4:E$303), 0))</f>
        <v>#N/A</v>
      </c>
      <c r="G227" s="271" t="e">
        <f>VLOOKUP(X227,Table7[[#All],[FIXTURE CODE]:[WATT/ FIXT]], 6, FALSE)</f>
        <v>#N/A</v>
      </c>
      <c r="H227" s="271" t="e">
        <f>VLOOKUP(Y227,Table7[[#All],[FIXTURE CODE]:[WATT/ FIXT]], 6, FALSE)</f>
        <v>#N/A</v>
      </c>
      <c r="I227" s="272">
        <f>SUMIF(Summary_Pre!E:E,"="&amp;F227,Summary_Pre!D:D)</f>
        <v>0</v>
      </c>
      <c r="J227" s="263">
        <f>SUMIF(Summary_Pre!E:E,"="&amp;F227,Summary_Pre!H:H)</f>
        <v>0</v>
      </c>
      <c r="K227" s="262">
        <f>SUMIF(Summary_Pre!E:E,"="&amp; F227,Summary_Pre!I:I)</f>
        <v>0</v>
      </c>
      <c r="L227" s="3">
        <f>SUMIF(Summary_Pre!E:E,"="&amp; F227,Summary_Pre!J:J)</f>
        <v>0</v>
      </c>
      <c r="M227" s="285">
        <f>SUMIF(Summary_Pre!E:E,"="&amp; F227,Summary_Pre!K:K)</f>
        <v>0</v>
      </c>
      <c r="N227" s="285">
        <f>SUMIF(Summary_Pre!E:E,"="&amp;F227,Summary_Pre!C:C)</f>
        <v>0</v>
      </c>
      <c r="O227" s="266">
        <f t="shared" si="16"/>
        <v>0</v>
      </c>
      <c r="P227" s="3"/>
      <c r="Q227" s="3"/>
      <c r="R227" s="3"/>
      <c r="S227" s="3"/>
      <c r="T227" s="3"/>
      <c r="U227" s="3"/>
      <c r="V227" s="3"/>
      <c r="W227" s="2"/>
      <c r="X227" s="281" t="e">
        <f t="shared" si="13"/>
        <v>#N/A</v>
      </c>
      <c r="Y227" s="279" t="e">
        <f t="shared" si="14"/>
        <v>#N/A</v>
      </c>
    </row>
    <row r="228" spans="1:25">
      <c r="A228" s="249" t="e">
        <f>IF(D228='Tables &amp; Ranges'!$A$133, 'Tables &amp; Ranges'!$B$133, IF(D228='Tables &amp; Ranges'!$A$134, 'Tables &amp; Ranges'!$B$134, IF(D228='Tables &amp; Ranges'!$A$135, 'Tables &amp; Ranges'!$B$135, IF(D228='Tables &amp; Ranges'!$A$136, 'Tables &amp; Ranges'!$B$136, IF(D228='Tables &amp; Ranges'!$A$99, 'Tables &amp; Ranges'!$B$116, VLOOKUP(X228,'Fixture Table'!$C$3:$M$1785, 10, FALSE))))))</f>
        <v>#N/A</v>
      </c>
      <c r="D228" s="2">
        <f>IFERROR(_xlfn.IFNA(VLOOKUP(F228,Summary_Pre!E:F,2,FALSE),0),0)</f>
        <v>0</v>
      </c>
      <c r="E228" s="249" t="e">
        <f t="shared" si="15"/>
        <v>#N/A</v>
      </c>
      <c r="F228" s="2" t="e">
        <f t="array" ref="F228">INDEX(Summary_Pre!E$4:E$303, MATCH(0, COUNTIF($F$2:F227,Summary_Pre!E$4:E$303), 0))</f>
        <v>#N/A</v>
      </c>
      <c r="G228" s="271" t="e">
        <f>VLOOKUP(X228,Table7[[#All],[FIXTURE CODE]:[WATT/ FIXT]], 6, FALSE)</f>
        <v>#N/A</v>
      </c>
      <c r="H228" s="271" t="e">
        <f>VLOOKUP(Y228,Table7[[#All],[FIXTURE CODE]:[WATT/ FIXT]], 6, FALSE)</f>
        <v>#N/A</v>
      </c>
      <c r="I228" s="272">
        <f>SUMIF(Summary_Pre!E:E,"="&amp;F228,Summary_Pre!D:D)</f>
        <v>0</v>
      </c>
      <c r="J228" s="263">
        <f>SUMIF(Summary_Pre!E:E,"="&amp;F228,Summary_Pre!H:H)</f>
        <v>0</v>
      </c>
      <c r="K228" s="262">
        <f>SUMIF(Summary_Pre!E:E,"="&amp; F228,Summary_Pre!I:I)</f>
        <v>0</v>
      </c>
      <c r="L228" s="3">
        <f>SUMIF(Summary_Pre!E:E,"="&amp; F228,Summary_Pre!J:J)</f>
        <v>0</v>
      </c>
      <c r="M228" s="285">
        <f>SUMIF(Summary_Pre!E:E,"="&amp; F228,Summary_Pre!K:K)</f>
        <v>0</v>
      </c>
      <c r="N228" s="285">
        <f>SUMIF(Summary_Pre!E:E,"="&amp;F228,Summary_Pre!C:C)</f>
        <v>0</v>
      </c>
      <c r="O228" s="266">
        <f t="shared" si="16"/>
        <v>0</v>
      </c>
      <c r="P228" s="3"/>
      <c r="Q228" s="3"/>
      <c r="R228" s="3"/>
      <c r="S228" s="3"/>
      <c r="T228" s="3"/>
      <c r="U228" s="3"/>
      <c r="V228" s="3"/>
      <c r="W228" s="2"/>
      <c r="X228" s="281" t="e">
        <f t="shared" si="13"/>
        <v>#N/A</v>
      </c>
      <c r="Y228" s="279" t="e">
        <f t="shared" si="14"/>
        <v>#N/A</v>
      </c>
    </row>
    <row r="229" spans="1:25">
      <c r="A229" s="249" t="e">
        <f>IF(D229='Tables &amp; Ranges'!$A$133, 'Tables &amp; Ranges'!$B$133, IF(D229='Tables &amp; Ranges'!$A$134, 'Tables &amp; Ranges'!$B$134, IF(D229='Tables &amp; Ranges'!$A$135, 'Tables &amp; Ranges'!$B$135, IF(D229='Tables &amp; Ranges'!$A$136, 'Tables &amp; Ranges'!$B$136, IF(D229='Tables &amp; Ranges'!$A$99, 'Tables &amp; Ranges'!$B$116, VLOOKUP(X229,'Fixture Table'!$C$3:$M$1785, 10, FALSE))))))</f>
        <v>#N/A</v>
      </c>
      <c r="D229" s="2">
        <f>IFERROR(_xlfn.IFNA(VLOOKUP(F229,Summary_Pre!E:F,2,FALSE),0),0)</f>
        <v>0</v>
      </c>
      <c r="E229" s="249" t="e">
        <f t="shared" si="15"/>
        <v>#N/A</v>
      </c>
      <c r="F229" s="2" t="e">
        <f t="array" ref="F229">INDEX(Summary_Pre!E$4:E$303, MATCH(0, COUNTIF($F$2:F228,Summary_Pre!E$4:E$303), 0))</f>
        <v>#N/A</v>
      </c>
      <c r="G229" s="271" t="e">
        <f>VLOOKUP(X229,Table7[[#All],[FIXTURE CODE]:[WATT/ FIXT]], 6, FALSE)</f>
        <v>#N/A</v>
      </c>
      <c r="H229" s="271" t="e">
        <f>VLOOKUP(Y229,Table7[[#All],[FIXTURE CODE]:[WATT/ FIXT]], 6, FALSE)</f>
        <v>#N/A</v>
      </c>
      <c r="I229" s="272">
        <f>SUMIF(Summary_Pre!E:E,"="&amp;F229,Summary_Pre!D:D)</f>
        <v>0</v>
      </c>
      <c r="J229" s="263">
        <f>SUMIF(Summary_Pre!E:E,"="&amp;F229,Summary_Pre!H:H)</f>
        <v>0</v>
      </c>
      <c r="K229" s="262">
        <f>SUMIF(Summary_Pre!E:E,"="&amp; F229,Summary_Pre!I:I)</f>
        <v>0</v>
      </c>
      <c r="L229" s="3">
        <f>SUMIF(Summary_Pre!E:E,"="&amp; F229,Summary_Pre!J:J)</f>
        <v>0</v>
      </c>
      <c r="M229" s="285">
        <f>SUMIF(Summary_Pre!E:E,"="&amp; F229,Summary_Pre!K:K)</f>
        <v>0</v>
      </c>
      <c r="N229" s="285">
        <f>SUMIF(Summary_Pre!E:E,"="&amp;F229,Summary_Pre!C:C)</f>
        <v>0</v>
      </c>
      <c r="O229" s="266">
        <f t="shared" si="16"/>
        <v>0</v>
      </c>
      <c r="P229" s="3"/>
      <c r="Q229" s="3"/>
      <c r="R229" s="3"/>
      <c r="S229" s="3"/>
      <c r="T229" s="3"/>
      <c r="U229" s="3"/>
      <c r="V229" s="3"/>
      <c r="W229" s="2"/>
      <c r="X229" s="281" t="e">
        <f t="shared" si="13"/>
        <v>#N/A</v>
      </c>
      <c r="Y229" s="279" t="e">
        <f t="shared" si="14"/>
        <v>#N/A</v>
      </c>
    </row>
    <row r="230" spans="1:25">
      <c r="A230" s="249" t="e">
        <f>IF(D230='Tables &amp; Ranges'!$A$133, 'Tables &amp; Ranges'!$B$133, IF(D230='Tables &amp; Ranges'!$A$134, 'Tables &amp; Ranges'!$B$134, IF(D230='Tables &amp; Ranges'!$A$135, 'Tables &amp; Ranges'!$B$135, IF(D230='Tables &amp; Ranges'!$A$136, 'Tables &amp; Ranges'!$B$136, IF(D230='Tables &amp; Ranges'!$A$99, 'Tables &amp; Ranges'!$B$116, VLOOKUP(X230,'Fixture Table'!$C$3:$M$1785, 10, FALSE))))))</f>
        <v>#N/A</v>
      </c>
      <c r="D230" s="2">
        <f>IFERROR(_xlfn.IFNA(VLOOKUP(F230,Summary_Pre!E:F,2,FALSE),0),0)</f>
        <v>0</v>
      </c>
      <c r="E230" s="249" t="e">
        <f t="shared" si="15"/>
        <v>#N/A</v>
      </c>
      <c r="F230" s="2" t="e">
        <f t="array" ref="F230">INDEX(Summary_Pre!E$4:E$303, MATCH(0, COUNTIF($F$2:F229,Summary_Pre!E$4:E$303), 0))</f>
        <v>#N/A</v>
      </c>
      <c r="G230" s="271" t="e">
        <f>VLOOKUP(X230,Table7[[#All],[FIXTURE CODE]:[WATT/ FIXT]], 6, FALSE)</f>
        <v>#N/A</v>
      </c>
      <c r="H230" s="271" t="e">
        <f>VLOOKUP(Y230,Table7[[#All],[FIXTURE CODE]:[WATT/ FIXT]], 6, FALSE)</f>
        <v>#N/A</v>
      </c>
      <c r="I230" s="272">
        <f>SUMIF(Summary_Pre!E:E,"="&amp;F230,Summary_Pre!D:D)</f>
        <v>0</v>
      </c>
      <c r="J230" s="263">
        <f>SUMIF(Summary_Pre!E:E,"="&amp;F230,Summary_Pre!H:H)</f>
        <v>0</v>
      </c>
      <c r="K230" s="262">
        <f>SUMIF(Summary_Pre!E:E,"="&amp; F230,Summary_Pre!I:I)</f>
        <v>0</v>
      </c>
      <c r="L230" s="3">
        <f>SUMIF(Summary_Pre!E:E,"="&amp; F230,Summary_Pre!J:J)</f>
        <v>0</v>
      </c>
      <c r="M230" s="285">
        <f>SUMIF(Summary_Pre!E:E,"="&amp; F230,Summary_Pre!K:K)</f>
        <v>0</v>
      </c>
      <c r="N230" s="285">
        <f>SUMIF(Summary_Pre!E:E,"="&amp;F230,Summary_Pre!C:C)</f>
        <v>0</v>
      </c>
      <c r="O230" s="266">
        <f t="shared" si="16"/>
        <v>0</v>
      </c>
      <c r="P230" s="3"/>
      <c r="Q230" s="3"/>
      <c r="R230" s="3"/>
      <c r="S230" s="3"/>
      <c r="T230" s="3"/>
      <c r="U230" s="3"/>
      <c r="V230" s="3"/>
      <c r="W230" s="2"/>
      <c r="X230" s="281" t="e">
        <f t="shared" si="13"/>
        <v>#N/A</v>
      </c>
      <c r="Y230" s="279" t="e">
        <f t="shared" si="14"/>
        <v>#N/A</v>
      </c>
    </row>
    <row r="231" spans="1:25">
      <c r="A231" s="249" t="e">
        <f>IF(D231='Tables &amp; Ranges'!$A$133, 'Tables &amp; Ranges'!$B$133, IF(D231='Tables &amp; Ranges'!$A$134, 'Tables &amp; Ranges'!$B$134, IF(D231='Tables &amp; Ranges'!$A$135, 'Tables &amp; Ranges'!$B$135, IF(D231='Tables &amp; Ranges'!$A$136, 'Tables &amp; Ranges'!$B$136, IF(D231='Tables &amp; Ranges'!$A$99, 'Tables &amp; Ranges'!$B$116, VLOOKUP(X231,'Fixture Table'!$C$3:$M$1785, 10, FALSE))))))</f>
        <v>#N/A</v>
      </c>
      <c r="D231" s="2">
        <f>IFERROR(_xlfn.IFNA(VLOOKUP(F231,Summary_Pre!E:F,2,FALSE),0),0)</f>
        <v>0</v>
      </c>
      <c r="E231" s="249" t="e">
        <f t="shared" si="15"/>
        <v>#N/A</v>
      </c>
      <c r="F231" s="2" t="e">
        <f t="array" ref="F231">INDEX(Summary_Pre!E$4:E$303, MATCH(0, COUNTIF($F$2:F230,Summary_Pre!E$4:E$303), 0))</f>
        <v>#N/A</v>
      </c>
      <c r="G231" s="271" t="e">
        <f>VLOOKUP(X231,Table7[[#All],[FIXTURE CODE]:[WATT/ FIXT]], 6, FALSE)</f>
        <v>#N/A</v>
      </c>
      <c r="H231" s="271" t="e">
        <f>VLOOKUP(Y231,Table7[[#All],[FIXTURE CODE]:[WATT/ FIXT]], 6, FALSE)</f>
        <v>#N/A</v>
      </c>
      <c r="I231" s="272">
        <f>SUMIF(Summary_Pre!E:E,"="&amp;F231,Summary_Pre!D:D)</f>
        <v>0</v>
      </c>
      <c r="J231" s="263">
        <f>SUMIF(Summary_Pre!E:E,"="&amp;F231,Summary_Pre!H:H)</f>
        <v>0</v>
      </c>
      <c r="K231" s="262">
        <f>SUMIF(Summary_Pre!E:E,"="&amp; F231,Summary_Pre!I:I)</f>
        <v>0</v>
      </c>
      <c r="L231" s="3">
        <f>SUMIF(Summary_Pre!E:E,"="&amp; F231,Summary_Pre!J:J)</f>
        <v>0</v>
      </c>
      <c r="M231" s="285">
        <f>SUMIF(Summary_Pre!E:E,"="&amp; F231,Summary_Pre!K:K)</f>
        <v>0</v>
      </c>
      <c r="N231" s="285">
        <f>SUMIF(Summary_Pre!E:E,"="&amp;F231,Summary_Pre!C:C)</f>
        <v>0</v>
      </c>
      <c r="O231" s="266">
        <f t="shared" si="16"/>
        <v>0</v>
      </c>
      <c r="P231" s="3"/>
      <c r="Q231" s="3"/>
      <c r="R231" s="3"/>
      <c r="S231" s="3"/>
      <c r="T231" s="3"/>
      <c r="U231" s="3"/>
      <c r="V231" s="3"/>
      <c r="W231" s="2"/>
      <c r="X231" s="281" t="e">
        <f t="shared" si="13"/>
        <v>#N/A</v>
      </c>
      <c r="Y231" s="279" t="e">
        <f t="shared" si="14"/>
        <v>#N/A</v>
      </c>
    </row>
    <row r="232" spans="1:25">
      <c r="A232" s="249" t="e">
        <f>IF(D232='Tables &amp; Ranges'!$A$133, 'Tables &amp; Ranges'!$B$133, IF(D232='Tables &amp; Ranges'!$A$134, 'Tables &amp; Ranges'!$B$134, IF(D232='Tables &amp; Ranges'!$A$135, 'Tables &amp; Ranges'!$B$135, IF(D232='Tables &amp; Ranges'!$A$136, 'Tables &amp; Ranges'!$B$136, IF(D232='Tables &amp; Ranges'!$A$99, 'Tables &amp; Ranges'!$B$116, VLOOKUP(X232,'Fixture Table'!$C$3:$M$1785, 10, FALSE))))))</f>
        <v>#N/A</v>
      </c>
      <c r="D232" s="2">
        <f>IFERROR(_xlfn.IFNA(VLOOKUP(F232,Summary_Pre!E:F,2,FALSE),0),0)</f>
        <v>0</v>
      </c>
      <c r="E232" s="249" t="e">
        <f t="shared" si="15"/>
        <v>#N/A</v>
      </c>
      <c r="F232" s="2" t="e">
        <f t="array" ref="F232">INDEX(Summary_Pre!E$4:E$303, MATCH(0, COUNTIF($F$2:F231,Summary_Pre!E$4:E$303), 0))</f>
        <v>#N/A</v>
      </c>
      <c r="G232" s="271" t="e">
        <f>VLOOKUP(X232,Table7[[#All],[FIXTURE CODE]:[WATT/ FIXT]], 6, FALSE)</f>
        <v>#N/A</v>
      </c>
      <c r="H232" s="271" t="e">
        <f>VLOOKUP(Y232,Table7[[#All],[FIXTURE CODE]:[WATT/ FIXT]], 6, FALSE)</f>
        <v>#N/A</v>
      </c>
      <c r="I232" s="272">
        <f>SUMIF(Summary_Pre!E:E,"="&amp;F232,Summary_Pre!D:D)</f>
        <v>0</v>
      </c>
      <c r="J232" s="263">
        <f>SUMIF(Summary_Pre!E:E,"="&amp;F232,Summary_Pre!H:H)</f>
        <v>0</v>
      </c>
      <c r="K232" s="262">
        <f>SUMIF(Summary_Pre!E:E,"="&amp; F232,Summary_Pre!I:I)</f>
        <v>0</v>
      </c>
      <c r="L232" s="3">
        <f>SUMIF(Summary_Pre!E:E,"="&amp; F232,Summary_Pre!J:J)</f>
        <v>0</v>
      </c>
      <c r="M232" s="285">
        <f>SUMIF(Summary_Pre!E:E,"="&amp; F232,Summary_Pre!K:K)</f>
        <v>0</v>
      </c>
      <c r="N232" s="285">
        <f>SUMIF(Summary_Pre!E:E,"="&amp;F232,Summary_Pre!C:C)</f>
        <v>0</v>
      </c>
      <c r="O232" s="266">
        <f t="shared" si="16"/>
        <v>0</v>
      </c>
      <c r="P232" s="3"/>
      <c r="Q232" s="3"/>
      <c r="R232" s="3"/>
      <c r="S232" s="3"/>
      <c r="T232" s="3"/>
      <c r="U232" s="3"/>
      <c r="V232" s="3"/>
      <c r="W232" s="2"/>
      <c r="X232" s="281" t="e">
        <f t="shared" si="13"/>
        <v>#N/A</v>
      </c>
      <c r="Y232" s="279" t="e">
        <f t="shared" si="14"/>
        <v>#N/A</v>
      </c>
    </row>
    <row r="233" spans="1:25">
      <c r="A233" s="249" t="e">
        <f>IF(D233='Tables &amp; Ranges'!$A$133, 'Tables &amp; Ranges'!$B$133, IF(D233='Tables &amp; Ranges'!$A$134, 'Tables &amp; Ranges'!$B$134, IF(D233='Tables &amp; Ranges'!$A$135, 'Tables &amp; Ranges'!$B$135, IF(D233='Tables &amp; Ranges'!$A$136, 'Tables &amp; Ranges'!$B$136, IF(D233='Tables &amp; Ranges'!$A$99, 'Tables &amp; Ranges'!$B$116, VLOOKUP(X233,'Fixture Table'!$C$3:$M$1785, 10, FALSE))))))</f>
        <v>#N/A</v>
      </c>
      <c r="D233" s="2">
        <f>IFERROR(_xlfn.IFNA(VLOOKUP(F233,Summary_Pre!E:F,2,FALSE),0),0)</f>
        <v>0</v>
      </c>
      <c r="E233" s="249" t="e">
        <f t="shared" si="15"/>
        <v>#N/A</v>
      </c>
      <c r="F233" s="2" t="e">
        <f t="array" ref="F233">INDEX(Summary_Pre!E$4:E$303, MATCH(0, COUNTIF($F$2:F232,Summary_Pre!E$4:E$303), 0))</f>
        <v>#N/A</v>
      </c>
      <c r="G233" s="271" t="e">
        <f>VLOOKUP(X233,Table7[[#All],[FIXTURE CODE]:[WATT/ FIXT]], 6, FALSE)</f>
        <v>#N/A</v>
      </c>
      <c r="H233" s="271" t="e">
        <f>VLOOKUP(Y233,Table7[[#All],[FIXTURE CODE]:[WATT/ FIXT]], 6, FALSE)</f>
        <v>#N/A</v>
      </c>
      <c r="I233" s="272">
        <f>SUMIF(Summary_Pre!E:E,"="&amp;F233,Summary_Pre!D:D)</f>
        <v>0</v>
      </c>
      <c r="J233" s="263">
        <f>SUMIF(Summary_Pre!E:E,"="&amp;F233,Summary_Pre!H:H)</f>
        <v>0</v>
      </c>
      <c r="K233" s="262">
        <f>SUMIF(Summary_Pre!E:E,"="&amp; F233,Summary_Pre!I:I)</f>
        <v>0</v>
      </c>
      <c r="L233" s="3">
        <f>SUMIF(Summary_Pre!E:E,"="&amp; F233,Summary_Pre!J:J)</f>
        <v>0</v>
      </c>
      <c r="M233" s="285">
        <f>SUMIF(Summary_Pre!E:E,"="&amp; F233,Summary_Pre!K:K)</f>
        <v>0</v>
      </c>
      <c r="N233" s="285">
        <f>SUMIF(Summary_Pre!E:E,"="&amp;F233,Summary_Pre!C:C)</f>
        <v>0</v>
      </c>
      <c r="O233" s="266">
        <f t="shared" si="16"/>
        <v>0</v>
      </c>
      <c r="P233" s="3"/>
      <c r="Q233" s="3"/>
      <c r="R233" s="3"/>
      <c r="S233" s="3"/>
      <c r="T233" s="3"/>
      <c r="U233" s="3"/>
      <c r="V233" s="3"/>
      <c r="W233" s="2"/>
      <c r="X233" s="281" t="e">
        <f t="shared" si="13"/>
        <v>#N/A</v>
      </c>
      <c r="Y233" s="279" t="e">
        <f t="shared" si="14"/>
        <v>#N/A</v>
      </c>
    </row>
    <row r="234" spans="1:25">
      <c r="A234" s="249" t="e">
        <f>IF(D234='Tables &amp; Ranges'!$A$133, 'Tables &amp; Ranges'!$B$133, IF(D234='Tables &amp; Ranges'!$A$134, 'Tables &amp; Ranges'!$B$134, IF(D234='Tables &amp; Ranges'!$A$135, 'Tables &amp; Ranges'!$B$135, IF(D234='Tables &amp; Ranges'!$A$136, 'Tables &amp; Ranges'!$B$136, IF(D234='Tables &amp; Ranges'!$A$99, 'Tables &amp; Ranges'!$B$116, VLOOKUP(X234,'Fixture Table'!$C$3:$M$1785, 10, FALSE))))))</f>
        <v>#N/A</v>
      </c>
      <c r="D234" s="2">
        <f>IFERROR(_xlfn.IFNA(VLOOKUP(F234,Summary_Pre!E:F,2,FALSE),0),0)</f>
        <v>0</v>
      </c>
      <c r="E234" s="249" t="e">
        <f t="shared" si="15"/>
        <v>#N/A</v>
      </c>
      <c r="F234" s="2" t="e">
        <f t="array" ref="F234">INDEX(Summary_Pre!E$4:E$303, MATCH(0, COUNTIF($F$2:F233,Summary_Pre!E$4:E$303), 0))</f>
        <v>#N/A</v>
      </c>
      <c r="G234" s="271" t="e">
        <f>VLOOKUP(X234,Table7[[#All],[FIXTURE CODE]:[WATT/ FIXT]], 6, FALSE)</f>
        <v>#N/A</v>
      </c>
      <c r="H234" s="271" t="e">
        <f>VLOOKUP(Y234,Table7[[#All],[FIXTURE CODE]:[WATT/ FIXT]], 6, FALSE)</f>
        <v>#N/A</v>
      </c>
      <c r="I234" s="272">
        <f>SUMIF(Summary_Pre!E:E,"="&amp;F234,Summary_Pre!D:D)</f>
        <v>0</v>
      </c>
      <c r="J234" s="263">
        <f>SUMIF(Summary_Pre!E:E,"="&amp;F234,Summary_Pre!H:H)</f>
        <v>0</v>
      </c>
      <c r="K234" s="262">
        <f>SUMIF(Summary_Pre!E:E,"="&amp; F234,Summary_Pre!I:I)</f>
        <v>0</v>
      </c>
      <c r="L234" s="3">
        <f>SUMIF(Summary_Pre!E:E,"="&amp; F234,Summary_Pre!J:J)</f>
        <v>0</v>
      </c>
      <c r="M234" s="285">
        <f>SUMIF(Summary_Pre!E:E,"="&amp; F234,Summary_Pre!K:K)</f>
        <v>0</v>
      </c>
      <c r="N234" s="285">
        <f>SUMIF(Summary_Pre!E:E,"="&amp;F234,Summary_Pre!C:C)</f>
        <v>0</v>
      </c>
      <c r="O234" s="266">
        <f t="shared" si="16"/>
        <v>0</v>
      </c>
      <c r="P234" s="3"/>
      <c r="Q234" s="3"/>
      <c r="R234" s="3"/>
      <c r="S234" s="3"/>
      <c r="T234" s="3"/>
      <c r="U234" s="3"/>
      <c r="V234" s="3"/>
      <c r="W234" s="2"/>
      <c r="X234" s="281" t="e">
        <f t="shared" si="13"/>
        <v>#N/A</v>
      </c>
      <c r="Y234" s="279" t="e">
        <f t="shared" si="14"/>
        <v>#N/A</v>
      </c>
    </row>
    <row r="235" spans="1:25">
      <c r="A235" s="249" t="e">
        <f>IF(D235='Tables &amp; Ranges'!$A$133, 'Tables &amp; Ranges'!$B$133, IF(D235='Tables &amp; Ranges'!$A$134, 'Tables &amp; Ranges'!$B$134, IF(D235='Tables &amp; Ranges'!$A$135, 'Tables &amp; Ranges'!$B$135, IF(D235='Tables &amp; Ranges'!$A$136, 'Tables &amp; Ranges'!$B$136, IF(D235='Tables &amp; Ranges'!$A$99, 'Tables &amp; Ranges'!$B$116, VLOOKUP(X235,'Fixture Table'!$C$3:$M$1785, 10, FALSE))))))</f>
        <v>#N/A</v>
      </c>
      <c r="D235" s="2">
        <f>IFERROR(_xlfn.IFNA(VLOOKUP(F235,Summary_Pre!E:F,2,FALSE),0),0)</f>
        <v>0</v>
      </c>
      <c r="E235" s="249" t="e">
        <f t="shared" si="15"/>
        <v>#N/A</v>
      </c>
      <c r="F235" s="2" t="e">
        <f t="array" ref="F235">INDEX(Summary_Pre!E$4:E$303, MATCH(0, COUNTIF($F$2:F234,Summary_Pre!E$4:E$303), 0))</f>
        <v>#N/A</v>
      </c>
      <c r="G235" s="271" t="e">
        <f>VLOOKUP(X235,Table7[[#All],[FIXTURE CODE]:[WATT/ FIXT]], 6, FALSE)</f>
        <v>#N/A</v>
      </c>
      <c r="H235" s="271" t="e">
        <f>VLOOKUP(Y235,Table7[[#All],[FIXTURE CODE]:[WATT/ FIXT]], 6, FALSE)</f>
        <v>#N/A</v>
      </c>
      <c r="I235" s="272">
        <f>SUMIF(Summary_Pre!E:E,"="&amp;F235,Summary_Pre!D:D)</f>
        <v>0</v>
      </c>
      <c r="J235" s="263">
        <f>SUMIF(Summary_Pre!E:E,"="&amp;F235,Summary_Pre!H:H)</f>
        <v>0</v>
      </c>
      <c r="K235" s="262">
        <f>SUMIF(Summary_Pre!E:E,"="&amp; F235,Summary_Pre!I:I)</f>
        <v>0</v>
      </c>
      <c r="L235" s="3">
        <f>SUMIF(Summary_Pre!E:E,"="&amp; F235,Summary_Pre!J:J)</f>
        <v>0</v>
      </c>
      <c r="M235" s="285">
        <f>SUMIF(Summary_Pre!E:E,"="&amp; F235,Summary_Pre!K:K)</f>
        <v>0</v>
      </c>
      <c r="N235" s="285">
        <f>SUMIF(Summary_Pre!E:E,"="&amp;F235,Summary_Pre!C:C)</f>
        <v>0</v>
      </c>
      <c r="O235" s="266">
        <f t="shared" si="16"/>
        <v>0</v>
      </c>
      <c r="P235" s="3"/>
      <c r="Q235" s="3"/>
      <c r="R235" s="3"/>
      <c r="S235" s="3"/>
      <c r="T235" s="3"/>
      <c r="U235" s="3"/>
      <c r="V235" s="3"/>
      <c r="W235" s="2"/>
      <c r="X235" s="281" t="e">
        <f t="shared" si="13"/>
        <v>#N/A</v>
      </c>
      <c r="Y235" s="279" t="e">
        <f t="shared" si="14"/>
        <v>#N/A</v>
      </c>
    </row>
    <row r="236" spans="1:25">
      <c r="A236" s="249" t="e">
        <f>IF(D236='Tables &amp; Ranges'!$A$133, 'Tables &amp; Ranges'!$B$133, IF(D236='Tables &amp; Ranges'!$A$134, 'Tables &amp; Ranges'!$B$134, IF(D236='Tables &amp; Ranges'!$A$135, 'Tables &amp; Ranges'!$B$135, IF(D236='Tables &amp; Ranges'!$A$136, 'Tables &amp; Ranges'!$B$136, IF(D236='Tables &amp; Ranges'!$A$99, 'Tables &amp; Ranges'!$B$116, VLOOKUP(X236,'Fixture Table'!$C$3:$M$1785, 10, FALSE))))))</f>
        <v>#N/A</v>
      </c>
      <c r="D236" s="2">
        <f>IFERROR(_xlfn.IFNA(VLOOKUP(F236,Summary_Pre!E:F,2,FALSE),0),0)</f>
        <v>0</v>
      </c>
      <c r="E236" s="249" t="e">
        <f t="shared" si="15"/>
        <v>#N/A</v>
      </c>
      <c r="F236" s="2" t="e">
        <f t="array" ref="F236">INDEX(Summary_Pre!E$4:E$303, MATCH(0, COUNTIF($F$2:F235,Summary_Pre!E$4:E$303), 0))</f>
        <v>#N/A</v>
      </c>
      <c r="G236" s="271" t="e">
        <f>VLOOKUP(X236,Table7[[#All],[FIXTURE CODE]:[WATT/ FIXT]], 6, FALSE)</f>
        <v>#N/A</v>
      </c>
      <c r="H236" s="271" t="e">
        <f>VLOOKUP(Y236,Table7[[#All],[FIXTURE CODE]:[WATT/ FIXT]], 6, FALSE)</f>
        <v>#N/A</v>
      </c>
      <c r="I236" s="272">
        <f>SUMIF(Summary_Pre!E:E,"="&amp;F236,Summary_Pre!D:D)</f>
        <v>0</v>
      </c>
      <c r="J236" s="263">
        <f>SUMIF(Summary_Pre!E:E,"="&amp;F236,Summary_Pre!H:H)</f>
        <v>0</v>
      </c>
      <c r="K236" s="262">
        <f>SUMIF(Summary_Pre!E:E,"="&amp; F236,Summary_Pre!I:I)</f>
        <v>0</v>
      </c>
      <c r="L236" s="3">
        <f>SUMIF(Summary_Pre!E:E,"="&amp; F236,Summary_Pre!J:J)</f>
        <v>0</v>
      </c>
      <c r="M236" s="285">
        <f>SUMIF(Summary_Pre!E:E,"="&amp; F236,Summary_Pre!K:K)</f>
        <v>0</v>
      </c>
      <c r="N236" s="285">
        <f>SUMIF(Summary_Pre!E:E,"="&amp;F236,Summary_Pre!C:C)</f>
        <v>0</v>
      </c>
      <c r="O236" s="266">
        <f t="shared" si="16"/>
        <v>0</v>
      </c>
      <c r="P236" s="3"/>
      <c r="Q236" s="3"/>
      <c r="R236" s="3"/>
      <c r="S236" s="3"/>
      <c r="T236" s="3"/>
      <c r="U236" s="3"/>
      <c r="V236" s="3"/>
      <c r="W236" s="2"/>
      <c r="X236" s="281" t="e">
        <f t="shared" si="13"/>
        <v>#N/A</v>
      </c>
      <c r="Y236" s="279" t="e">
        <f t="shared" si="14"/>
        <v>#N/A</v>
      </c>
    </row>
    <row r="237" spans="1:25">
      <c r="A237" s="249" t="e">
        <f>IF(D237='Tables &amp; Ranges'!$A$133, 'Tables &amp; Ranges'!$B$133, IF(D237='Tables &amp; Ranges'!$A$134, 'Tables &amp; Ranges'!$B$134, IF(D237='Tables &amp; Ranges'!$A$135, 'Tables &amp; Ranges'!$B$135, IF(D237='Tables &amp; Ranges'!$A$136, 'Tables &amp; Ranges'!$B$136, IF(D237='Tables &amp; Ranges'!$A$99, 'Tables &amp; Ranges'!$B$116, VLOOKUP(X237,'Fixture Table'!$C$3:$M$1785, 10, FALSE))))))</f>
        <v>#N/A</v>
      </c>
      <c r="D237" s="2">
        <f>IFERROR(_xlfn.IFNA(VLOOKUP(F237,Summary_Pre!E:F,2,FALSE),0),0)</f>
        <v>0</v>
      </c>
      <c r="E237" s="249" t="e">
        <f t="shared" si="15"/>
        <v>#N/A</v>
      </c>
      <c r="F237" s="2" t="e">
        <f t="array" ref="F237">INDEX(Summary_Pre!E$4:E$303, MATCH(0, COUNTIF($F$2:F236,Summary_Pre!E$4:E$303), 0))</f>
        <v>#N/A</v>
      </c>
      <c r="G237" s="271" t="e">
        <f>VLOOKUP(X237,Table7[[#All],[FIXTURE CODE]:[WATT/ FIXT]], 6, FALSE)</f>
        <v>#N/A</v>
      </c>
      <c r="H237" s="271" t="e">
        <f>VLOOKUP(Y237,Table7[[#All],[FIXTURE CODE]:[WATT/ FIXT]], 6, FALSE)</f>
        <v>#N/A</v>
      </c>
      <c r="I237" s="272">
        <f>SUMIF(Summary_Pre!E:E,"="&amp;F237,Summary_Pre!D:D)</f>
        <v>0</v>
      </c>
      <c r="J237" s="263">
        <f>SUMIF(Summary_Pre!E:E,"="&amp;F237,Summary_Pre!H:H)</f>
        <v>0</v>
      </c>
      <c r="K237" s="262">
        <f>SUMIF(Summary_Pre!E:E,"="&amp; F237,Summary_Pre!I:I)</f>
        <v>0</v>
      </c>
      <c r="L237" s="3">
        <f>SUMIF(Summary_Pre!E:E,"="&amp; F237,Summary_Pre!J:J)</f>
        <v>0</v>
      </c>
      <c r="M237" s="285">
        <f>SUMIF(Summary_Pre!E:E,"="&amp; F237,Summary_Pre!K:K)</f>
        <v>0</v>
      </c>
      <c r="N237" s="285">
        <f>SUMIF(Summary_Pre!E:E,"="&amp;F237,Summary_Pre!C:C)</f>
        <v>0</v>
      </c>
      <c r="O237" s="266">
        <f t="shared" si="16"/>
        <v>0</v>
      </c>
      <c r="P237" s="3"/>
      <c r="Q237" s="3"/>
      <c r="R237" s="3"/>
      <c r="S237" s="3"/>
      <c r="T237" s="3"/>
      <c r="U237" s="3"/>
      <c r="V237" s="3"/>
      <c r="W237" s="2"/>
      <c r="X237" s="281" t="e">
        <f t="shared" si="13"/>
        <v>#N/A</v>
      </c>
      <c r="Y237" s="279" t="e">
        <f t="shared" si="14"/>
        <v>#N/A</v>
      </c>
    </row>
    <row r="238" spans="1:25">
      <c r="A238" s="249" t="e">
        <f>IF(D238='Tables &amp; Ranges'!$A$133, 'Tables &amp; Ranges'!$B$133, IF(D238='Tables &amp; Ranges'!$A$134, 'Tables &amp; Ranges'!$B$134, IF(D238='Tables &amp; Ranges'!$A$135, 'Tables &amp; Ranges'!$B$135, IF(D238='Tables &amp; Ranges'!$A$136, 'Tables &amp; Ranges'!$B$136, IF(D238='Tables &amp; Ranges'!$A$99, 'Tables &amp; Ranges'!$B$116, VLOOKUP(X238,'Fixture Table'!$C$3:$M$1785, 10, FALSE))))))</f>
        <v>#N/A</v>
      </c>
      <c r="D238" s="2">
        <f>IFERROR(_xlfn.IFNA(VLOOKUP(F238,Summary_Pre!E:F,2,FALSE),0),0)</f>
        <v>0</v>
      </c>
      <c r="E238" s="249" t="e">
        <f t="shared" si="15"/>
        <v>#N/A</v>
      </c>
      <c r="F238" s="2" t="e">
        <f t="array" ref="F238">INDEX(Summary_Pre!E$4:E$303, MATCH(0, COUNTIF($F$2:F237,Summary_Pre!E$4:E$303), 0))</f>
        <v>#N/A</v>
      </c>
      <c r="G238" s="271" t="e">
        <f>VLOOKUP(X238,Table7[[#All],[FIXTURE CODE]:[WATT/ FIXT]], 6, FALSE)</f>
        <v>#N/A</v>
      </c>
      <c r="H238" s="271" t="e">
        <f>VLOOKUP(Y238,Table7[[#All],[FIXTURE CODE]:[WATT/ FIXT]], 6, FALSE)</f>
        <v>#N/A</v>
      </c>
      <c r="I238" s="272">
        <f>SUMIF(Summary_Pre!E:E,"="&amp;F238,Summary_Pre!D:D)</f>
        <v>0</v>
      </c>
      <c r="J238" s="263">
        <f>SUMIF(Summary_Pre!E:E,"="&amp;F238,Summary_Pre!H:H)</f>
        <v>0</v>
      </c>
      <c r="K238" s="262">
        <f>SUMIF(Summary_Pre!E:E,"="&amp; F238,Summary_Pre!I:I)</f>
        <v>0</v>
      </c>
      <c r="L238" s="3">
        <f>SUMIF(Summary_Pre!E:E,"="&amp; F238,Summary_Pre!J:J)</f>
        <v>0</v>
      </c>
      <c r="M238" s="285">
        <f>SUMIF(Summary_Pre!E:E,"="&amp; F238,Summary_Pre!K:K)</f>
        <v>0</v>
      </c>
      <c r="N238" s="285">
        <f>SUMIF(Summary_Pre!E:E,"="&amp;F238,Summary_Pre!C:C)</f>
        <v>0</v>
      </c>
      <c r="O238" s="266">
        <f t="shared" si="16"/>
        <v>0</v>
      </c>
      <c r="P238" s="3"/>
      <c r="Q238" s="3"/>
      <c r="R238" s="3"/>
      <c r="S238" s="3"/>
      <c r="T238" s="3"/>
      <c r="U238" s="3"/>
      <c r="V238" s="3"/>
      <c r="W238" s="2"/>
      <c r="X238" s="281" t="e">
        <f t="shared" si="13"/>
        <v>#N/A</v>
      </c>
      <c r="Y238" s="279" t="e">
        <f t="shared" si="14"/>
        <v>#N/A</v>
      </c>
    </row>
    <row r="239" spans="1:25">
      <c r="A239" s="249" t="e">
        <f>IF(D239='Tables &amp; Ranges'!$A$133, 'Tables &amp; Ranges'!$B$133, IF(D239='Tables &amp; Ranges'!$A$134, 'Tables &amp; Ranges'!$B$134, IF(D239='Tables &amp; Ranges'!$A$135, 'Tables &amp; Ranges'!$B$135, IF(D239='Tables &amp; Ranges'!$A$136, 'Tables &amp; Ranges'!$B$136, IF(D239='Tables &amp; Ranges'!$A$99, 'Tables &amp; Ranges'!$B$116, VLOOKUP(X239,'Fixture Table'!$C$3:$M$1785, 10, FALSE))))))</f>
        <v>#N/A</v>
      </c>
      <c r="D239" s="2">
        <f>IFERROR(_xlfn.IFNA(VLOOKUP(F239,Summary_Pre!E:F,2,FALSE),0),0)</f>
        <v>0</v>
      </c>
      <c r="E239" s="249" t="e">
        <f t="shared" si="15"/>
        <v>#N/A</v>
      </c>
      <c r="F239" s="2" t="e">
        <f t="array" ref="F239">INDEX(Summary_Pre!E$4:E$303, MATCH(0, COUNTIF($F$2:F238,Summary_Pre!E$4:E$303), 0))</f>
        <v>#N/A</v>
      </c>
      <c r="G239" s="271" t="e">
        <f>VLOOKUP(X239,Table7[[#All],[FIXTURE CODE]:[WATT/ FIXT]], 6, FALSE)</f>
        <v>#N/A</v>
      </c>
      <c r="H239" s="271" t="e">
        <f>VLOOKUP(Y239,Table7[[#All],[FIXTURE CODE]:[WATT/ FIXT]], 6, FALSE)</f>
        <v>#N/A</v>
      </c>
      <c r="I239" s="272">
        <f>SUMIF(Summary_Pre!E:E,"="&amp;F239,Summary_Pre!D:D)</f>
        <v>0</v>
      </c>
      <c r="J239" s="263">
        <f>SUMIF(Summary_Pre!E:E,"="&amp;F239,Summary_Pre!H:H)</f>
        <v>0</v>
      </c>
      <c r="K239" s="262">
        <f>SUMIF(Summary_Pre!E:E,"="&amp; F239,Summary_Pre!I:I)</f>
        <v>0</v>
      </c>
      <c r="L239" s="3">
        <f>SUMIF(Summary_Pre!E:E,"="&amp; F239,Summary_Pre!J:J)</f>
        <v>0</v>
      </c>
      <c r="M239" s="285">
        <f>SUMIF(Summary_Pre!E:E,"="&amp; F239,Summary_Pre!K:K)</f>
        <v>0</v>
      </c>
      <c r="N239" s="285">
        <f>SUMIF(Summary_Pre!E:E,"="&amp;F239,Summary_Pre!C:C)</f>
        <v>0</v>
      </c>
      <c r="O239" s="266">
        <f t="shared" si="16"/>
        <v>0</v>
      </c>
      <c r="P239" s="3"/>
      <c r="Q239" s="3"/>
      <c r="R239" s="3"/>
      <c r="S239" s="3"/>
      <c r="T239" s="3"/>
      <c r="U239" s="3"/>
      <c r="V239" s="3"/>
      <c r="W239" s="2"/>
      <c r="X239" s="281" t="e">
        <f t="shared" si="13"/>
        <v>#N/A</v>
      </c>
      <c r="Y239" s="279" t="e">
        <f t="shared" si="14"/>
        <v>#N/A</v>
      </c>
    </row>
    <row r="240" spans="1:25">
      <c r="A240" s="249" t="e">
        <f>IF(D240='Tables &amp; Ranges'!$A$133, 'Tables &amp; Ranges'!$B$133, IF(D240='Tables &amp; Ranges'!$A$134, 'Tables &amp; Ranges'!$B$134, IF(D240='Tables &amp; Ranges'!$A$135, 'Tables &amp; Ranges'!$B$135, IF(D240='Tables &amp; Ranges'!$A$136, 'Tables &amp; Ranges'!$B$136, IF(D240='Tables &amp; Ranges'!$A$99, 'Tables &amp; Ranges'!$B$116, VLOOKUP(X240,'Fixture Table'!$C$3:$M$1785, 10, FALSE))))))</f>
        <v>#N/A</v>
      </c>
      <c r="D240" s="2">
        <f>IFERROR(_xlfn.IFNA(VLOOKUP(F240,Summary_Pre!E:F,2,FALSE),0),0)</f>
        <v>0</v>
      </c>
      <c r="E240" s="249" t="e">
        <f t="shared" si="15"/>
        <v>#N/A</v>
      </c>
      <c r="F240" s="2" t="e">
        <f t="array" ref="F240">INDEX(Summary_Pre!E$4:E$303, MATCH(0, COUNTIF($F$2:F239,Summary_Pre!E$4:E$303), 0))</f>
        <v>#N/A</v>
      </c>
      <c r="G240" s="271" t="e">
        <f>VLOOKUP(X240,Table7[[#All],[FIXTURE CODE]:[WATT/ FIXT]], 6, FALSE)</f>
        <v>#N/A</v>
      </c>
      <c r="H240" s="271" t="e">
        <f>VLOOKUP(Y240,Table7[[#All],[FIXTURE CODE]:[WATT/ FIXT]], 6, FALSE)</f>
        <v>#N/A</v>
      </c>
      <c r="I240" s="272">
        <f>SUMIF(Summary_Pre!E:E,"="&amp;F240,Summary_Pre!D:D)</f>
        <v>0</v>
      </c>
      <c r="J240" s="263">
        <f>SUMIF(Summary_Pre!E:E,"="&amp;F240,Summary_Pre!H:H)</f>
        <v>0</v>
      </c>
      <c r="K240" s="262">
        <f>SUMIF(Summary_Pre!E:E,"="&amp; F240,Summary_Pre!I:I)</f>
        <v>0</v>
      </c>
      <c r="L240" s="3">
        <f>SUMIF(Summary_Pre!E:E,"="&amp; F240,Summary_Pre!J:J)</f>
        <v>0</v>
      </c>
      <c r="M240" s="285">
        <f>SUMIF(Summary_Pre!E:E,"="&amp; F240,Summary_Pre!K:K)</f>
        <v>0</v>
      </c>
      <c r="N240" s="285">
        <f>SUMIF(Summary_Pre!E:E,"="&amp;F240,Summary_Pre!C:C)</f>
        <v>0</v>
      </c>
      <c r="O240" s="266">
        <f t="shared" si="16"/>
        <v>0</v>
      </c>
      <c r="P240" s="3"/>
      <c r="Q240" s="3"/>
      <c r="R240" s="3"/>
      <c r="S240" s="3"/>
      <c r="T240" s="3"/>
      <c r="U240" s="3"/>
      <c r="V240" s="3"/>
      <c r="W240" s="2"/>
      <c r="X240" s="281" t="e">
        <f t="shared" si="13"/>
        <v>#N/A</v>
      </c>
      <c r="Y240" s="279" t="e">
        <f t="shared" si="14"/>
        <v>#N/A</v>
      </c>
    </row>
    <row r="241" spans="1:25">
      <c r="A241" s="249" t="e">
        <f>IF(D241='Tables &amp; Ranges'!$A$133, 'Tables &amp; Ranges'!$B$133, IF(D241='Tables &amp; Ranges'!$A$134, 'Tables &amp; Ranges'!$B$134, IF(D241='Tables &amp; Ranges'!$A$135, 'Tables &amp; Ranges'!$B$135, IF(D241='Tables &amp; Ranges'!$A$136, 'Tables &amp; Ranges'!$B$136, IF(D241='Tables &amp; Ranges'!$A$99, 'Tables &amp; Ranges'!$B$116, VLOOKUP(X241,'Fixture Table'!$C$3:$M$1785, 10, FALSE))))))</f>
        <v>#N/A</v>
      </c>
      <c r="D241" s="2">
        <f>IFERROR(_xlfn.IFNA(VLOOKUP(F241,Summary_Pre!E:F,2,FALSE),0),0)</f>
        <v>0</v>
      </c>
      <c r="E241" s="249" t="e">
        <f t="shared" si="15"/>
        <v>#N/A</v>
      </c>
      <c r="F241" s="2" t="e">
        <f t="array" ref="F241">INDEX(Summary_Pre!E$4:E$303, MATCH(0, COUNTIF($F$2:F240,Summary_Pre!E$4:E$303), 0))</f>
        <v>#N/A</v>
      </c>
      <c r="G241" s="271" t="e">
        <f>VLOOKUP(X241,Table7[[#All],[FIXTURE CODE]:[WATT/ FIXT]], 6, FALSE)</f>
        <v>#N/A</v>
      </c>
      <c r="H241" s="271" t="e">
        <f>VLOOKUP(Y241,Table7[[#All],[FIXTURE CODE]:[WATT/ FIXT]], 6, FALSE)</f>
        <v>#N/A</v>
      </c>
      <c r="I241" s="272">
        <f>SUMIF(Summary_Pre!E:E,"="&amp;F241,Summary_Pre!D:D)</f>
        <v>0</v>
      </c>
      <c r="J241" s="263">
        <f>SUMIF(Summary_Pre!E:E,"="&amp;F241,Summary_Pre!H:H)</f>
        <v>0</v>
      </c>
      <c r="K241" s="262">
        <f>SUMIF(Summary_Pre!E:E,"="&amp; F241,Summary_Pre!I:I)</f>
        <v>0</v>
      </c>
      <c r="L241" s="3">
        <f>SUMIF(Summary_Pre!E:E,"="&amp; F241,Summary_Pre!J:J)</f>
        <v>0</v>
      </c>
      <c r="M241" s="285">
        <f>SUMIF(Summary_Pre!E:E,"="&amp; F241,Summary_Pre!K:K)</f>
        <v>0</v>
      </c>
      <c r="N241" s="285">
        <f>SUMIF(Summary_Pre!E:E,"="&amp;F241,Summary_Pre!C:C)</f>
        <v>0</v>
      </c>
      <c r="O241" s="266">
        <f t="shared" si="16"/>
        <v>0</v>
      </c>
      <c r="P241" s="3"/>
      <c r="Q241" s="3"/>
      <c r="R241" s="3"/>
      <c r="S241" s="3"/>
      <c r="T241" s="3"/>
      <c r="U241" s="3"/>
      <c r="V241" s="3"/>
      <c r="W241" s="2"/>
      <c r="X241" s="281" t="e">
        <f t="shared" si="13"/>
        <v>#N/A</v>
      </c>
      <c r="Y241" s="279" t="e">
        <f t="shared" si="14"/>
        <v>#N/A</v>
      </c>
    </row>
    <row r="242" spans="1:25">
      <c r="A242" s="249" t="e">
        <f>IF(D242='Tables &amp; Ranges'!$A$133, 'Tables &amp; Ranges'!$B$133, IF(D242='Tables &amp; Ranges'!$A$134, 'Tables &amp; Ranges'!$B$134, IF(D242='Tables &amp; Ranges'!$A$135, 'Tables &amp; Ranges'!$B$135, IF(D242='Tables &amp; Ranges'!$A$136, 'Tables &amp; Ranges'!$B$136, IF(D242='Tables &amp; Ranges'!$A$99, 'Tables &amp; Ranges'!$B$116, VLOOKUP(X242,'Fixture Table'!$C$3:$M$1785, 10, FALSE))))))</f>
        <v>#N/A</v>
      </c>
      <c r="D242" s="2">
        <f>IFERROR(_xlfn.IFNA(VLOOKUP(F242,Summary_Pre!E:F,2,FALSE),0),0)</f>
        <v>0</v>
      </c>
      <c r="E242" s="249" t="e">
        <f t="shared" si="15"/>
        <v>#N/A</v>
      </c>
      <c r="F242" s="2" t="e">
        <f t="array" ref="F242">INDEX(Summary_Pre!E$4:E$303, MATCH(0, COUNTIF($F$2:F241,Summary_Pre!E$4:E$303), 0))</f>
        <v>#N/A</v>
      </c>
      <c r="G242" s="271" t="e">
        <f>VLOOKUP(X242,Table7[[#All],[FIXTURE CODE]:[WATT/ FIXT]], 6, FALSE)</f>
        <v>#N/A</v>
      </c>
      <c r="H242" s="271" t="e">
        <f>VLOOKUP(Y242,Table7[[#All],[FIXTURE CODE]:[WATT/ FIXT]], 6, FALSE)</f>
        <v>#N/A</v>
      </c>
      <c r="I242" s="272">
        <f>SUMIF(Summary_Pre!E:E,"="&amp;F242,Summary_Pre!D:D)</f>
        <v>0</v>
      </c>
      <c r="J242" s="263">
        <f>SUMIF(Summary_Pre!E:E,"="&amp;F242,Summary_Pre!H:H)</f>
        <v>0</v>
      </c>
      <c r="K242" s="262">
        <f>SUMIF(Summary_Pre!E:E,"="&amp; F242,Summary_Pre!I:I)</f>
        <v>0</v>
      </c>
      <c r="L242" s="3">
        <f>SUMIF(Summary_Pre!E:E,"="&amp; F242,Summary_Pre!J:J)</f>
        <v>0</v>
      </c>
      <c r="M242" s="285">
        <f>SUMIF(Summary_Pre!E:E,"="&amp; F242,Summary_Pre!K:K)</f>
        <v>0</v>
      </c>
      <c r="N242" s="285">
        <f>SUMIF(Summary_Pre!E:E,"="&amp;F242,Summary_Pre!C:C)</f>
        <v>0</v>
      </c>
      <c r="O242" s="266">
        <f t="shared" si="16"/>
        <v>0</v>
      </c>
      <c r="P242" s="3"/>
      <c r="Q242" s="3"/>
      <c r="R242" s="3"/>
      <c r="S242" s="3"/>
      <c r="T242" s="3"/>
      <c r="U242" s="3"/>
      <c r="V242" s="3"/>
      <c r="W242" s="2"/>
      <c r="X242" s="281" t="e">
        <f t="shared" si="13"/>
        <v>#N/A</v>
      </c>
      <c r="Y242" s="279" t="e">
        <f t="shared" si="14"/>
        <v>#N/A</v>
      </c>
    </row>
    <row r="243" spans="1:25">
      <c r="A243" s="249" t="e">
        <f>IF(D243='Tables &amp; Ranges'!$A$133, 'Tables &amp; Ranges'!$B$133, IF(D243='Tables &amp; Ranges'!$A$134, 'Tables &amp; Ranges'!$B$134, IF(D243='Tables &amp; Ranges'!$A$135, 'Tables &amp; Ranges'!$B$135, IF(D243='Tables &amp; Ranges'!$A$136, 'Tables &amp; Ranges'!$B$136, IF(D243='Tables &amp; Ranges'!$A$99, 'Tables &amp; Ranges'!$B$116, VLOOKUP(X243,'Fixture Table'!$C$3:$M$1785, 10, FALSE))))))</f>
        <v>#N/A</v>
      </c>
      <c r="D243" s="2">
        <f>IFERROR(_xlfn.IFNA(VLOOKUP(F243,Summary_Pre!E:F,2,FALSE),0),0)</f>
        <v>0</v>
      </c>
      <c r="E243" s="249" t="e">
        <f t="shared" si="15"/>
        <v>#N/A</v>
      </c>
      <c r="F243" s="2" t="e">
        <f t="array" ref="F243">INDEX(Summary_Pre!E$4:E$303, MATCH(0, COUNTIF($F$2:F242,Summary_Pre!E$4:E$303), 0))</f>
        <v>#N/A</v>
      </c>
      <c r="G243" s="271" t="e">
        <f>VLOOKUP(X243,Table7[[#All],[FIXTURE CODE]:[WATT/ FIXT]], 6, FALSE)</f>
        <v>#N/A</v>
      </c>
      <c r="H243" s="271" t="e">
        <f>VLOOKUP(Y243,Table7[[#All],[FIXTURE CODE]:[WATT/ FIXT]], 6, FALSE)</f>
        <v>#N/A</v>
      </c>
      <c r="I243" s="272">
        <f>SUMIF(Summary_Pre!E:E,"="&amp;F243,Summary_Pre!D:D)</f>
        <v>0</v>
      </c>
      <c r="J243" s="263">
        <f>SUMIF(Summary_Pre!E:E,"="&amp;F243,Summary_Pre!H:H)</f>
        <v>0</v>
      </c>
      <c r="K243" s="262">
        <f>SUMIF(Summary_Pre!E:E,"="&amp; F243,Summary_Pre!I:I)</f>
        <v>0</v>
      </c>
      <c r="L243" s="3">
        <f>SUMIF(Summary_Pre!E:E,"="&amp; F243,Summary_Pre!J:J)</f>
        <v>0</v>
      </c>
      <c r="M243" s="285">
        <f>SUMIF(Summary_Pre!E:E,"="&amp; F243,Summary_Pre!K:K)</f>
        <v>0</v>
      </c>
      <c r="N243" s="285">
        <f>SUMIF(Summary_Pre!E:E,"="&amp;F243,Summary_Pre!C:C)</f>
        <v>0</v>
      </c>
      <c r="O243" s="266">
        <f t="shared" si="16"/>
        <v>0</v>
      </c>
      <c r="P243" s="3"/>
      <c r="Q243" s="3"/>
      <c r="R243" s="3"/>
      <c r="S243" s="3"/>
      <c r="T243" s="3"/>
      <c r="U243" s="3"/>
      <c r="V243" s="3"/>
      <c r="W243" s="2"/>
      <c r="X243" s="281" t="e">
        <f t="shared" si="13"/>
        <v>#N/A</v>
      </c>
      <c r="Y243" s="279" t="e">
        <f t="shared" si="14"/>
        <v>#N/A</v>
      </c>
    </row>
    <row r="244" spans="1:25">
      <c r="A244" s="249" t="e">
        <f>IF(D244='Tables &amp; Ranges'!$A$133, 'Tables &amp; Ranges'!$B$133, IF(D244='Tables &amp; Ranges'!$A$134, 'Tables &amp; Ranges'!$B$134, IF(D244='Tables &amp; Ranges'!$A$135, 'Tables &amp; Ranges'!$B$135, IF(D244='Tables &amp; Ranges'!$A$136, 'Tables &amp; Ranges'!$B$136, IF(D244='Tables &amp; Ranges'!$A$99, 'Tables &amp; Ranges'!$B$116, VLOOKUP(X244,'Fixture Table'!$C$3:$M$1785, 10, FALSE))))))</f>
        <v>#N/A</v>
      </c>
      <c r="D244" s="2">
        <f>IFERROR(_xlfn.IFNA(VLOOKUP(F244,Summary_Pre!E:F,2,FALSE),0),0)</f>
        <v>0</v>
      </c>
      <c r="E244" s="249" t="e">
        <f t="shared" si="15"/>
        <v>#N/A</v>
      </c>
      <c r="F244" s="2" t="e">
        <f t="array" ref="F244">INDEX(Summary_Pre!E$4:E$303, MATCH(0, COUNTIF($F$2:F243,Summary_Pre!E$4:E$303), 0))</f>
        <v>#N/A</v>
      </c>
      <c r="G244" s="271" t="e">
        <f>VLOOKUP(X244,Table7[[#All],[FIXTURE CODE]:[WATT/ FIXT]], 6, FALSE)</f>
        <v>#N/A</v>
      </c>
      <c r="H244" s="271" t="e">
        <f>VLOOKUP(Y244,Table7[[#All],[FIXTURE CODE]:[WATT/ FIXT]], 6, FALSE)</f>
        <v>#N/A</v>
      </c>
      <c r="I244" s="272">
        <f>SUMIF(Summary_Pre!E:E,"="&amp;F244,Summary_Pre!D:D)</f>
        <v>0</v>
      </c>
      <c r="J244" s="263">
        <f>SUMIF(Summary_Pre!E:E,"="&amp;F244,Summary_Pre!H:H)</f>
        <v>0</v>
      </c>
      <c r="K244" s="262">
        <f>SUMIF(Summary_Pre!E:E,"="&amp; F244,Summary_Pre!I:I)</f>
        <v>0</v>
      </c>
      <c r="L244" s="3">
        <f>SUMIF(Summary_Pre!E:E,"="&amp; F244,Summary_Pre!J:J)</f>
        <v>0</v>
      </c>
      <c r="M244" s="285">
        <f>SUMIF(Summary_Pre!E:E,"="&amp; F244,Summary_Pre!K:K)</f>
        <v>0</v>
      </c>
      <c r="N244" s="285">
        <f>SUMIF(Summary_Pre!E:E,"="&amp;F244,Summary_Pre!C:C)</f>
        <v>0</v>
      </c>
      <c r="O244" s="266">
        <f t="shared" si="16"/>
        <v>0</v>
      </c>
      <c r="P244" s="3"/>
      <c r="Q244" s="3"/>
      <c r="R244" s="3"/>
      <c r="S244" s="3"/>
      <c r="T244" s="3"/>
      <c r="U244" s="3"/>
      <c r="V244" s="3"/>
      <c r="W244" s="2"/>
      <c r="X244" s="281" t="e">
        <f t="shared" si="13"/>
        <v>#N/A</v>
      </c>
      <c r="Y244" s="279" t="e">
        <f t="shared" si="14"/>
        <v>#N/A</v>
      </c>
    </row>
    <row r="245" spans="1:25">
      <c r="A245" s="249" t="e">
        <f>IF(D245='Tables &amp; Ranges'!$A$133, 'Tables &amp; Ranges'!$B$133, IF(D245='Tables &amp; Ranges'!$A$134, 'Tables &amp; Ranges'!$B$134, IF(D245='Tables &amp; Ranges'!$A$135, 'Tables &amp; Ranges'!$B$135, IF(D245='Tables &amp; Ranges'!$A$136, 'Tables &amp; Ranges'!$B$136, IF(D245='Tables &amp; Ranges'!$A$99, 'Tables &amp; Ranges'!$B$116, VLOOKUP(X245,'Fixture Table'!$C$3:$M$1785, 10, FALSE))))))</f>
        <v>#N/A</v>
      </c>
      <c r="D245" s="2">
        <f>IFERROR(_xlfn.IFNA(VLOOKUP(F245,Summary_Pre!E:F,2,FALSE),0),0)</f>
        <v>0</v>
      </c>
      <c r="E245" s="249" t="e">
        <f t="shared" si="15"/>
        <v>#N/A</v>
      </c>
      <c r="F245" s="2" t="e">
        <f t="array" ref="F245">INDEX(Summary_Pre!E$4:E$303, MATCH(0, COUNTIF($F$2:F244,Summary_Pre!E$4:E$303), 0))</f>
        <v>#N/A</v>
      </c>
      <c r="G245" s="271" t="e">
        <f>VLOOKUP(X245,Table7[[#All],[FIXTURE CODE]:[WATT/ FIXT]], 6, FALSE)</f>
        <v>#N/A</v>
      </c>
      <c r="H245" s="271" t="e">
        <f>VLOOKUP(Y245,Table7[[#All],[FIXTURE CODE]:[WATT/ FIXT]], 6, FALSE)</f>
        <v>#N/A</v>
      </c>
      <c r="I245" s="272">
        <f>SUMIF(Summary_Pre!E:E,"="&amp;F245,Summary_Pre!D:D)</f>
        <v>0</v>
      </c>
      <c r="J245" s="263">
        <f>SUMIF(Summary_Pre!E:E,"="&amp;F245,Summary_Pre!H:H)</f>
        <v>0</v>
      </c>
      <c r="K245" s="262">
        <f>SUMIF(Summary_Pre!E:E,"="&amp; F245,Summary_Pre!I:I)</f>
        <v>0</v>
      </c>
      <c r="L245" s="3">
        <f>SUMIF(Summary_Pre!E:E,"="&amp; F245,Summary_Pre!J:J)</f>
        <v>0</v>
      </c>
      <c r="M245" s="285">
        <f>SUMIF(Summary_Pre!E:E,"="&amp; F245,Summary_Pre!K:K)</f>
        <v>0</v>
      </c>
      <c r="N245" s="285">
        <f>SUMIF(Summary_Pre!E:E,"="&amp;F245,Summary_Pre!C:C)</f>
        <v>0</v>
      </c>
      <c r="O245" s="266">
        <f t="shared" si="16"/>
        <v>0</v>
      </c>
      <c r="P245" s="3"/>
      <c r="Q245" s="3"/>
      <c r="R245" s="3"/>
      <c r="S245" s="3"/>
      <c r="T245" s="3"/>
      <c r="U245" s="3"/>
      <c r="V245" s="3"/>
      <c r="W245" s="2"/>
      <c r="X245" s="281" t="e">
        <f t="shared" si="13"/>
        <v>#N/A</v>
      </c>
      <c r="Y245" s="279" t="e">
        <f t="shared" si="14"/>
        <v>#N/A</v>
      </c>
    </row>
    <row r="246" spans="1:25">
      <c r="A246" s="249" t="e">
        <f>IF(D246='Tables &amp; Ranges'!$A$133, 'Tables &amp; Ranges'!$B$133, IF(D246='Tables &amp; Ranges'!$A$134, 'Tables &amp; Ranges'!$B$134, IF(D246='Tables &amp; Ranges'!$A$135, 'Tables &amp; Ranges'!$B$135, IF(D246='Tables &amp; Ranges'!$A$136, 'Tables &amp; Ranges'!$B$136, IF(D246='Tables &amp; Ranges'!$A$99, 'Tables &amp; Ranges'!$B$116, VLOOKUP(X246,'Fixture Table'!$C$3:$M$1785, 10, FALSE))))))</f>
        <v>#N/A</v>
      </c>
      <c r="D246" s="2">
        <f>IFERROR(_xlfn.IFNA(VLOOKUP(F246,Summary_Pre!E:F,2,FALSE),0),0)</f>
        <v>0</v>
      </c>
      <c r="E246" s="249" t="e">
        <f t="shared" si="15"/>
        <v>#N/A</v>
      </c>
      <c r="F246" s="2" t="e">
        <f t="array" ref="F246">INDEX(Summary_Pre!E$4:E$303, MATCH(0, COUNTIF($F$2:F245,Summary_Pre!E$4:E$303), 0))</f>
        <v>#N/A</v>
      </c>
      <c r="G246" s="271" t="e">
        <f>VLOOKUP(X246,Table7[[#All],[FIXTURE CODE]:[WATT/ FIXT]], 6, FALSE)</f>
        <v>#N/A</v>
      </c>
      <c r="H246" s="271" t="e">
        <f>VLOOKUP(Y246,Table7[[#All],[FIXTURE CODE]:[WATT/ FIXT]], 6, FALSE)</f>
        <v>#N/A</v>
      </c>
      <c r="I246" s="272">
        <f>SUMIF(Summary_Pre!E:E,"="&amp;F246,Summary_Pre!D:D)</f>
        <v>0</v>
      </c>
      <c r="J246" s="263">
        <f>SUMIF(Summary_Pre!E:E,"="&amp;F246,Summary_Pre!H:H)</f>
        <v>0</v>
      </c>
      <c r="K246" s="262">
        <f>SUMIF(Summary_Pre!E:E,"="&amp; F246,Summary_Pre!I:I)</f>
        <v>0</v>
      </c>
      <c r="L246" s="3">
        <f>SUMIF(Summary_Pre!E:E,"="&amp; F246,Summary_Pre!J:J)</f>
        <v>0</v>
      </c>
      <c r="M246" s="285">
        <f>SUMIF(Summary_Pre!E:E,"="&amp; F246,Summary_Pre!K:K)</f>
        <v>0</v>
      </c>
      <c r="N246" s="285">
        <f>SUMIF(Summary_Pre!E:E,"="&amp;F246,Summary_Pre!C:C)</f>
        <v>0</v>
      </c>
      <c r="O246" s="266">
        <f t="shared" si="16"/>
        <v>0</v>
      </c>
      <c r="P246" s="3"/>
      <c r="Q246" s="3"/>
      <c r="R246" s="3"/>
      <c r="S246" s="3"/>
      <c r="T246" s="3"/>
      <c r="U246" s="3"/>
      <c r="V246" s="3"/>
      <c r="W246" s="2"/>
      <c r="X246" s="281" t="e">
        <f t="shared" si="13"/>
        <v>#N/A</v>
      </c>
      <c r="Y246" s="279" t="e">
        <f t="shared" si="14"/>
        <v>#N/A</v>
      </c>
    </row>
    <row r="247" spans="1:25">
      <c r="A247" s="249" t="e">
        <f>IF(D247='Tables &amp; Ranges'!$A$133, 'Tables &amp; Ranges'!$B$133, IF(D247='Tables &amp; Ranges'!$A$134, 'Tables &amp; Ranges'!$B$134, IF(D247='Tables &amp; Ranges'!$A$135, 'Tables &amp; Ranges'!$B$135, IF(D247='Tables &amp; Ranges'!$A$136, 'Tables &amp; Ranges'!$B$136, IF(D247='Tables &amp; Ranges'!$A$99, 'Tables &amp; Ranges'!$B$116, VLOOKUP(X247,'Fixture Table'!$C$3:$M$1785, 10, FALSE))))))</f>
        <v>#N/A</v>
      </c>
      <c r="D247" s="2">
        <f>IFERROR(_xlfn.IFNA(VLOOKUP(F247,Summary_Pre!E:F,2,FALSE),0),0)</f>
        <v>0</v>
      </c>
      <c r="E247" s="249" t="e">
        <f t="shared" si="15"/>
        <v>#N/A</v>
      </c>
      <c r="F247" s="2" t="e">
        <f t="array" ref="F247">INDEX(Summary_Pre!E$4:E$303, MATCH(0, COUNTIF($F$2:F246,Summary_Pre!E$4:E$303), 0))</f>
        <v>#N/A</v>
      </c>
      <c r="G247" s="271" t="e">
        <f>VLOOKUP(X247,Table7[[#All],[FIXTURE CODE]:[WATT/ FIXT]], 6, FALSE)</f>
        <v>#N/A</v>
      </c>
      <c r="H247" s="271" t="e">
        <f>VLOOKUP(Y247,Table7[[#All],[FIXTURE CODE]:[WATT/ FIXT]], 6, FALSE)</f>
        <v>#N/A</v>
      </c>
      <c r="I247" s="272">
        <f>SUMIF(Summary_Pre!E:E,"="&amp;F247,Summary_Pre!D:D)</f>
        <v>0</v>
      </c>
      <c r="J247" s="263">
        <f>SUMIF(Summary_Pre!E:E,"="&amp;F247,Summary_Pre!H:H)</f>
        <v>0</v>
      </c>
      <c r="K247" s="262">
        <f>SUMIF(Summary_Pre!E:E,"="&amp; F247,Summary_Pre!I:I)</f>
        <v>0</v>
      </c>
      <c r="L247" s="3">
        <f>SUMIF(Summary_Pre!E:E,"="&amp; F247,Summary_Pre!J:J)</f>
        <v>0</v>
      </c>
      <c r="M247" s="285">
        <f>SUMIF(Summary_Pre!E:E,"="&amp; F247,Summary_Pre!K:K)</f>
        <v>0</v>
      </c>
      <c r="N247" s="285">
        <f>SUMIF(Summary_Pre!E:E,"="&amp;F247,Summary_Pre!C:C)</f>
        <v>0</v>
      </c>
      <c r="O247" s="266">
        <f t="shared" si="16"/>
        <v>0</v>
      </c>
      <c r="P247" s="3"/>
      <c r="Q247" s="3"/>
      <c r="R247" s="3"/>
      <c r="S247" s="3"/>
      <c r="T247" s="3"/>
      <c r="U247" s="3"/>
      <c r="V247" s="3"/>
      <c r="W247" s="2"/>
      <c r="X247" s="281" t="e">
        <f t="shared" si="13"/>
        <v>#N/A</v>
      </c>
      <c r="Y247" s="279" t="e">
        <f t="shared" si="14"/>
        <v>#N/A</v>
      </c>
    </row>
    <row r="248" spans="1:25">
      <c r="A248" s="249" t="e">
        <f>IF(D248='Tables &amp; Ranges'!$A$133, 'Tables &amp; Ranges'!$B$133, IF(D248='Tables &amp; Ranges'!$A$134, 'Tables &amp; Ranges'!$B$134, IF(D248='Tables &amp; Ranges'!$A$135, 'Tables &amp; Ranges'!$B$135, IF(D248='Tables &amp; Ranges'!$A$136, 'Tables &amp; Ranges'!$B$136, IF(D248='Tables &amp; Ranges'!$A$99, 'Tables &amp; Ranges'!$B$116, VLOOKUP(X248,'Fixture Table'!$C$3:$M$1785, 10, FALSE))))))</f>
        <v>#N/A</v>
      </c>
      <c r="D248" s="2">
        <f>IFERROR(_xlfn.IFNA(VLOOKUP(F248,Summary_Pre!E:F,2,FALSE),0),0)</f>
        <v>0</v>
      </c>
      <c r="E248" s="249" t="e">
        <f t="shared" si="15"/>
        <v>#N/A</v>
      </c>
      <c r="F248" s="2" t="e">
        <f t="array" ref="F248">INDEX(Summary_Pre!E$4:E$303, MATCH(0, COUNTIF($F$2:F247,Summary_Pre!E$4:E$303), 0))</f>
        <v>#N/A</v>
      </c>
      <c r="G248" s="271" t="e">
        <f>VLOOKUP(X248,Table7[[#All],[FIXTURE CODE]:[WATT/ FIXT]], 6, FALSE)</f>
        <v>#N/A</v>
      </c>
      <c r="H248" s="271" t="e">
        <f>VLOOKUP(Y248,Table7[[#All],[FIXTURE CODE]:[WATT/ FIXT]], 6, FALSE)</f>
        <v>#N/A</v>
      </c>
      <c r="I248" s="272">
        <f>SUMIF(Summary_Pre!E:E,"="&amp;F248,Summary_Pre!D:D)</f>
        <v>0</v>
      </c>
      <c r="J248" s="263">
        <f>SUMIF(Summary_Pre!E:E,"="&amp;F248,Summary_Pre!H:H)</f>
        <v>0</v>
      </c>
      <c r="K248" s="262">
        <f>SUMIF(Summary_Pre!E:E,"="&amp; F248,Summary_Pre!I:I)</f>
        <v>0</v>
      </c>
      <c r="L248" s="3">
        <f>SUMIF(Summary_Pre!E:E,"="&amp; F248,Summary_Pre!J:J)</f>
        <v>0</v>
      </c>
      <c r="M248" s="285">
        <f>SUMIF(Summary_Pre!E:E,"="&amp; F248,Summary_Pre!K:K)</f>
        <v>0</v>
      </c>
      <c r="N248" s="285">
        <f>SUMIF(Summary_Pre!E:E,"="&amp;F248,Summary_Pre!C:C)</f>
        <v>0</v>
      </c>
      <c r="O248" s="266">
        <f t="shared" si="16"/>
        <v>0</v>
      </c>
      <c r="P248" s="3"/>
      <c r="Q248" s="3"/>
      <c r="R248" s="3"/>
      <c r="S248" s="3"/>
      <c r="T248" s="3"/>
      <c r="U248" s="3"/>
      <c r="V248" s="3"/>
      <c r="W248" s="2"/>
      <c r="X248" s="281" t="e">
        <f t="shared" si="13"/>
        <v>#N/A</v>
      </c>
      <c r="Y248" s="279" t="e">
        <f t="shared" si="14"/>
        <v>#N/A</v>
      </c>
    </row>
    <row r="249" spans="1:25">
      <c r="A249" s="249" t="e">
        <f>IF(D249='Tables &amp; Ranges'!$A$133, 'Tables &amp; Ranges'!$B$133, IF(D249='Tables &amp; Ranges'!$A$134, 'Tables &amp; Ranges'!$B$134, IF(D249='Tables &amp; Ranges'!$A$135, 'Tables &amp; Ranges'!$B$135, IF(D249='Tables &amp; Ranges'!$A$136, 'Tables &amp; Ranges'!$B$136, IF(D249='Tables &amp; Ranges'!$A$99, 'Tables &amp; Ranges'!$B$116, VLOOKUP(X249,'Fixture Table'!$C$3:$M$1785, 10, FALSE))))))</f>
        <v>#N/A</v>
      </c>
      <c r="D249" s="2">
        <f>IFERROR(_xlfn.IFNA(VLOOKUP(F249,Summary_Pre!E:F,2,FALSE),0),0)</f>
        <v>0</v>
      </c>
      <c r="E249" s="249" t="e">
        <f t="shared" si="15"/>
        <v>#N/A</v>
      </c>
      <c r="F249" s="2" t="e">
        <f t="array" ref="F249">INDEX(Summary_Pre!E$4:E$303, MATCH(0, COUNTIF($F$2:F248,Summary_Pre!E$4:E$303), 0))</f>
        <v>#N/A</v>
      </c>
      <c r="G249" s="271" t="e">
        <f>VLOOKUP(X249,Table7[[#All],[FIXTURE CODE]:[WATT/ FIXT]], 6, FALSE)</f>
        <v>#N/A</v>
      </c>
      <c r="H249" s="271" t="e">
        <f>VLOOKUP(Y249,Table7[[#All],[FIXTURE CODE]:[WATT/ FIXT]], 6, FALSE)</f>
        <v>#N/A</v>
      </c>
      <c r="I249" s="272">
        <f>SUMIF(Summary_Pre!E:E,"="&amp;F249,Summary_Pre!D:D)</f>
        <v>0</v>
      </c>
      <c r="J249" s="263">
        <f>SUMIF(Summary_Pre!E:E,"="&amp;F249,Summary_Pre!H:H)</f>
        <v>0</v>
      </c>
      <c r="K249" s="262">
        <f>SUMIF(Summary_Pre!E:E,"="&amp; F249,Summary_Pre!I:I)</f>
        <v>0</v>
      </c>
      <c r="L249" s="3">
        <f>SUMIF(Summary_Pre!E:E,"="&amp; F249,Summary_Pre!J:J)</f>
        <v>0</v>
      </c>
      <c r="M249" s="285">
        <f>SUMIF(Summary_Pre!E:E,"="&amp; F249,Summary_Pre!K:K)</f>
        <v>0</v>
      </c>
      <c r="N249" s="285">
        <f>SUMIF(Summary_Pre!E:E,"="&amp;F249,Summary_Pre!C:C)</f>
        <v>0</v>
      </c>
      <c r="O249" s="266">
        <f t="shared" si="16"/>
        <v>0</v>
      </c>
      <c r="P249" s="3"/>
      <c r="Q249" s="3"/>
      <c r="R249" s="3"/>
      <c r="S249" s="3"/>
      <c r="T249" s="3"/>
      <c r="U249" s="3"/>
      <c r="V249" s="3"/>
      <c r="W249" s="2"/>
      <c r="X249" s="281" t="e">
        <f t="shared" si="13"/>
        <v>#N/A</v>
      </c>
      <c r="Y249" s="279" t="e">
        <f t="shared" si="14"/>
        <v>#N/A</v>
      </c>
    </row>
    <row r="250" spans="1:25">
      <c r="A250" s="249" t="e">
        <f>IF(D250='Tables &amp; Ranges'!$A$133, 'Tables &amp; Ranges'!$B$133, IF(D250='Tables &amp; Ranges'!$A$134, 'Tables &amp; Ranges'!$B$134, IF(D250='Tables &amp; Ranges'!$A$135, 'Tables &amp; Ranges'!$B$135, IF(D250='Tables &amp; Ranges'!$A$136, 'Tables &amp; Ranges'!$B$136, IF(D250='Tables &amp; Ranges'!$A$99, 'Tables &amp; Ranges'!$B$116, VLOOKUP(X250,'Fixture Table'!$C$3:$M$1785, 10, FALSE))))))</f>
        <v>#N/A</v>
      </c>
      <c r="D250" s="2">
        <f>IFERROR(_xlfn.IFNA(VLOOKUP(F250,Summary_Pre!E:F,2,FALSE),0),0)</f>
        <v>0</v>
      </c>
      <c r="E250" s="249" t="e">
        <f t="shared" si="15"/>
        <v>#N/A</v>
      </c>
      <c r="F250" s="2" t="e">
        <f t="array" ref="F250">INDEX(Summary_Pre!E$4:E$303, MATCH(0, COUNTIF($F$2:F249,Summary_Pre!E$4:E$303), 0))</f>
        <v>#N/A</v>
      </c>
      <c r="G250" s="271" t="e">
        <f>VLOOKUP(X250,Table7[[#All],[FIXTURE CODE]:[WATT/ FIXT]], 6, FALSE)</f>
        <v>#N/A</v>
      </c>
      <c r="H250" s="271" t="e">
        <f>VLOOKUP(Y250,Table7[[#All],[FIXTURE CODE]:[WATT/ FIXT]], 6, FALSE)</f>
        <v>#N/A</v>
      </c>
      <c r="I250" s="272">
        <f>SUMIF(Summary_Pre!E:E,"="&amp;F250,Summary_Pre!D:D)</f>
        <v>0</v>
      </c>
      <c r="J250" s="263">
        <f>SUMIF(Summary_Pre!E:E,"="&amp;F250,Summary_Pre!H:H)</f>
        <v>0</v>
      </c>
      <c r="K250" s="262">
        <f>SUMIF(Summary_Pre!E:E,"="&amp; F250,Summary_Pre!I:I)</f>
        <v>0</v>
      </c>
      <c r="L250" s="3">
        <f>SUMIF(Summary_Pre!E:E,"="&amp; F250,Summary_Pre!J:J)</f>
        <v>0</v>
      </c>
      <c r="M250" s="285">
        <f>SUMIF(Summary_Pre!E:E,"="&amp; F250,Summary_Pre!K:K)</f>
        <v>0</v>
      </c>
      <c r="N250" s="285">
        <f>SUMIF(Summary_Pre!E:E,"="&amp;F250,Summary_Pre!C:C)</f>
        <v>0</v>
      </c>
      <c r="O250" s="266">
        <f t="shared" si="16"/>
        <v>0</v>
      </c>
      <c r="P250" s="3"/>
      <c r="Q250" s="3"/>
      <c r="R250" s="3"/>
      <c r="S250" s="3"/>
      <c r="T250" s="3"/>
      <c r="U250" s="3"/>
      <c r="V250" s="3"/>
      <c r="W250" s="2"/>
      <c r="X250" s="281" t="e">
        <f t="shared" si="13"/>
        <v>#N/A</v>
      </c>
      <c r="Y250" s="279" t="e">
        <f t="shared" si="14"/>
        <v>#N/A</v>
      </c>
    </row>
    <row r="251" spans="1:25">
      <c r="A251" s="249" t="e">
        <f>IF(D251='Tables &amp; Ranges'!$A$133, 'Tables &amp; Ranges'!$B$133, IF(D251='Tables &amp; Ranges'!$A$134, 'Tables &amp; Ranges'!$B$134, IF(D251='Tables &amp; Ranges'!$A$135, 'Tables &amp; Ranges'!$B$135, IF(D251='Tables &amp; Ranges'!$A$136, 'Tables &amp; Ranges'!$B$136, IF(D251='Tables &amp; Ranges'!$A$99, 'Tables &amp; Ranges'!$B$116, VLOOKUP(X251,'Fixture Table'!$C$3:$M$1785, 10, FALSE))))))</f>
        <v>#N/A</v>
      </c>
      <c r="D251" s="2">
        <f>IFERROR(_xlfn.IFNA(VLOOKUP(F251,Summary_Pre!E:F,2,FALSE),0),0)</f>
        <v>0</v>
      </c>
      <c r="E251" s="249" t="e">
        <f t="shared" si="15"/>
        <v>#N/A</v>
      </c>
      <c r="F251" s="2" t="e">
        <f t="array" ref="F251">INDEX(Summary_Pre!E$4:E$303, MATCH(0, COUNTIF($F$2:F250,Summary_Pre!E$4:E$303), 0))</f>
        <v>#N/A</v>
      </c>
      <c r="G251" s="271" t="e">
        <f>VLOOKUP(X251,Table7[[#All],[FIXTURE CODE]:[WATT/ FIXT]], 6, FALSE)</f>
        <v>#N/A</v>
      </c>
      <c r="H251" s="271" t="e">
        <f>VLOOKUP(Y251,Table7[[#All],[FIXTURE CODE]:[WATT/ FIXT]], 6, FALSE)</f>
        <v>#N/A</v>
      </c>
      <c r="I251" s="272">
        <f>SUMIF(Summary_Pre!E:E,"="&amp;F251,Summary_Pre!D:D)</f>
        <v>0</v>
      </c>
      <c r="J251" s="263">
        <f>SUMIF(Summary_Pre!E:E,"="&amp;F251,Summary_Pre!H:H)</f>
        <v>0</v>
      </c>
      <c r="K251" s="262">
        <f>SUMIF(Summary_Pre!E:E,"="&amp; F251,Summary_Pre!I:I)</f>
        <v>0</v>
      </c>
      <c r="L251" s="3">
        <f>SUMIF(Summary_Pre!E:E,"="&amp; F251,Summary_Pre!J:J)</f>
        <v>0</v>
      </c>
      <c r="M251" s="285">
        <f>SUMIF(Summary_Pre!E:E,"="&amp; F251,Summary_Pre!K:K)</f>
        <v>0</v>
      </c>
      <c r="N251" s="285">
        <f>SUMIF(Summary_Pre!E:E,"="&amp;F251,Summary_Pre!C:C)</f>
        <v>0</v>
      </c>
      <c r="O251" s="266">
        <f t="shared" si="16"/>
        <v>0</v>
      </c>
      <c r="P251" s="3"/>
      <c r="Q251" s="3"/>
      <c r="R251" s="3"/>
      <c r="S251" s="3"/>
      <c r="T251" s="3"/>
      <c r="U251" s="3"/>
      <c r="V251" s="3"/>
      <c r="W251" s="2"/>
      <c r="X251" s="281" t="e">
        <f t="shared" si="13"/>
        <v>#N/A</v>
      </c>
      <c r="Y251" s="279" t="e">
        <f t="shared" si="14"/>
        <v>#N/A</v>
      </c>
    </row>
    <row r="252" spans="1:25">
      <c r="A252" s="249" t="e">
        <f>IF(D252='Tables &amp; Ranges'!$A$133, 'Tables &amp; Ranges'!$B$133, IF(D252='Tables &amp; Ranges'!$A$134, 'Tables &amp; Ranges'!$B$134, IF(D252='Tables &amp; Ranges'!$A$135, 'Tables &amp; Ranges'!$B$135, IF(D252='Tables &amp; Ranges'!$A$136, 'Tables &amp; Ranges'!$B$136, IF(D252='Tables &amp; Ranges'!$A$99, 'Tables &amp; Ranges'!$B$116, VLOOKUP(X252,'Fixture Table'!$C$3:$M$1785, 10, FALSE))))))</f>
        <v>#N/A</v>
      </c>
      <c r="D252" s="2">
        <f>IFERROR(_xlfn.IFNA(VLOOKUP(F252,Summary_Pre!E:F,2,FALSE),0),0)</f>
        <v>0</v>
      </c>
      <c r="E252" s="249" t="e">
        <f t="shared" si="15"/>
        <v>#N/A</v>
      </c>
      <c r="F252" s="2" t="e">
        <f t="array" ref="F252">INDEX(Summary_Pre!E$4:E$303, MATCH(0, COUNTIF($F$2:F251,Summary_Pre!E$4:E$303), 0))</f>
        <v>#N/A</v>
      </c>
      <c r="G252" s="271" t="e">
        <f>VLOOKUP(X252,Table7[[#All],[FIXTURE CODE]:[WATT/ FIXT]], 6, FALSE)</f>
        <v>#N/A</v>
      </c>
      <c r="H252" s="271" t="e">
        <f>VLOOKUP(Y252,Table7[[#All],[FIXTURE CODE]:[WATT/ FIXT]], 6, FALSE)</f>
        <v>#N/A</v>
      </c>
      <c r="I252" s="272">
        <f>SUMIF(Summary_Pre!E:E,"="&amp;F252,Summary_Pre!D:D)</f>
        <v>0</v>
      </c>
      <c r="J252" s="263">
        <f>SUMIF(Summary_Pre!E:E,"="&amp;F252,Summary_Pre!H:H)</f>
        <v>0</v>
      </c>
      <c r="K252" s="262">
        <f>SUMIF(Summary_Pre!E:E,"="&amp; F252,Summary_Pre!I:I)</f>
        <v>0</v>
      </c>
      <c r="L252" s="3">
        <f>SUMIF(Summary_Pre!E:E,"="&amp; F252,Summary_Pre!J:J)</f>
        <v>0</v>
      </c>
      <c r="M252" s="285">
        <f>SUMIF(Summary_Pre!E:E,"="&amp; F252,Summary_Pre!K:K)</f>
        <v>0</v>
      </c>
      <c r="N252" s="285">
        <f>SUMIF(Summary_Pre!E:E,"="&amp;F252,Summary_Pre!C:C)</f>
        <v>0</v>
      </c>
      <c r="O252" s="266">
        <f t="shared" si="16"/>
        <v>0</v>
      </c>
      <c r="P252" s="3"/>
      <c r="Q252" s="3"/>
      <c r="R252" s="3"/>
      <c r="S252" s="3"/>
      <c r="T252" s="3"/>
      <c r="U252" s="3"/>
      <c r="V252" s="3"/>
      <c r="W252" s="2"/>
      <c r="X252" s="281" t="e">
        <f t="shared" si="13"/>
        <v>#N/A</v>
      </c>
      <c r="Y252" s="279" t="e">
        <f t="shared" si="14"/>
        <v>#N/A</v>
      </c>
    </row>
    <row r="253" spans="1:25">
      <c r="A253" s="249" t="e">
        <f>IF(D253='Tables &amp; Ranges'!$A$133, 'Tables &amp; Ranges'!$B$133, IF(D253='Tables &amp; Ranges'!$A$134, 'Tables &amp; Ranges'!$B$134, IF(D253='Tables &amp; Ranges'!$A$135, 'Tables &amp; Ranges'!$B$135, IF(D253='Tables &amp; Ranges'!$A$136, 'Tables &amp; Ranges'!$B$136, IF(D253='Tables &amp; Ranges'!$A$99, 'Tables &amp; Ranges'!$B$116, VLOOKUP(X253,'Fixture Table'!$C$3:$M$1785, 10, FALSE))))))</f>
        <v>#N/A</v>
      </c>
      <c r="D253" s="2">
        <f>IFERROR(_xlfn.IFNA(VLOOKUP(F253,Summary_Pre!E:F,2,FALSE),0),0)</f>
        <v>0</v>
      </c>
      <c r="E253" s="249" t="e">
        <f t="shared" si="15"/>
        <v>#N/A</v>
      </c>
      <c r="F253" s="2" t="e">
        <f t="array" ref="F253">INDEX(Summary_Pre!E$4:E$303, MATCH(0, COUNTIF($F$2:F252,Summary_Pre!E$4:E$303), 0))</f>
        <v>#N/A</v>
      </c>
      <c r="G253" s="271" t="e">
        <f>VLOOKUP(X253,Table7[[#All],[FIXTURE CODE]:[WATT/ FIXT]], 6, FALSE)</f>
        <v>#N/A</v>
      </c>
      <c r="H253" s="271" t="e">
        <f>VLOOKUP(Y253,Table7[[#All],[FIXTURE CODE]:[WATT/ FIXT]], 6, FALSE)</f>
        <v>#N/A</v>
      </c>
      <c r="I253" s="272">
        <f>SUMIF(Summary_Pre!E:E,"="&amp;F253,Summary_Pre!D:D)</f>
        <v>0</v>
      </c>
      <c r="J253" s="263">
        <f>SUMIF(Summary_Pre!E:E,"="&amp;F253,Summary_Pre!H:H)</f>
        <v>0</v>
      </c>
      <c r="K253" s="262">
        <f>SUMIF(Summary_Pre!E:E,"="&amp; F253,Summary_Pre!I:I)</f>
        <v>0</v>
      </c>
      <c r="L253" s="3">
        <f>SUMIF(Summary_Pre!E:E,"="&amp; F253,Summary_Pre!J:J)</f>
        <v>0</v>
      </c>
      <c r="M253" s="285">
        <f>SUMIF(Summary_Pre!E:E,"="&amp; F253,Summary_Pre!K:K)</f>
        <v>0</v>
      </c>
      <c r="N253" s="285">
        <f>SUMIF(Summary_Pre!E:E,"="&amp;F253,Summary_Pre!C:C)</f>
        <v>0</v>
      </c>
      <c r="O253" s="266">
        <f t="shared" si="16"/>
        <v>0</v>
      </c>
      <c r="P253" s="3"/>
      <c r="Q253" s="3"/>
      <c r="R253" s="3"/>
      <c r="S253" s="3"/>
      <c r="T253" s="3"/>
      <c r="U253" s="3"/>
      <c r="V253" s="3"/>
      <c r="W253" s="2"/>
      <c r="X253" s="281" t="e">
        <f t="shared" si="13"/>
        <v>#N/A</v>
      </c>
      <c r="Y253" s="279" t="e">
        <f t="shared" si="14"/>
        <v>#N/A</v>
      </c>
    </row>
    <row r="254" spans="1:25">
      <c r="A254" s="249" t="e">
        <f>IF(D254='Tables &amp; Ranges'!$A$133, 'Tables &amp; Ranges'!$B$133, IF(D254='Tables &amp; Ranges'!$A$134, 'Tables &amp; Ranges'!$B$134, IF(D254='Tables &amp; Ranges'!$A$135, 'Tables &amp; Ranges'!$B$135, IF(D254='Tables &amp; Ranges'!$A$136, 'Tables &amp; Ranges'!$B$136, IF(D254='Tables &amp; Ranges'!$A$99, 'Tables &amp; Ranges'!$B$116, VLOOKUP(X254,'Fixture Table'!$C$3:$M$1785, 10, FALSE))))))</f>
        <v>#N/A</v>
      </c>
      <c r="D254" s="2">
        <f>IFERROR(_xlfn.IFNA(VLOOKUP(F254,Summary_Pre!E:F,2,FALSE),0),0)</f>
        <v>0</v>
      </c>
      <c r="E254" s="249" t="e">
        <f t="shared" si="15"/>
        <v>#N/A</v>
      </c>
      <c r="F254" s="2" t="e">
        <f t="array" ref="F254">INDEX(Summary_Pre!E$4:E$303, MATCH(0, COUNTIF($F$2:F253,Summary_Pre!E$4:E$303), 0))</f>
        <v>#N/A</v>
      </c>
      <c r="G254" s="271" t="e">
        <f>VLOOKUP(X254,Table7[[#All],[FIXTURE CODE]:[WATT/ FIXT]], 6, FALSE)</f>
        <v>#N/A</v>
      </c>
      <c r="H254" s="271" t="e">
        <f>VLOOKUP(Y254,Table7[[#All],[FIXTURE CODE]:[WATT/ FIXT]], 6, FALSE)</f>
        <v>#N/A</v>
      </c>
      <c r="I254" s="272">
        <f>SUMIF(Summary_Pre!E:E,"="&amp;F254,Summary_Pre!D:D)</f>
        <v>0</v>
      </c>
      <c r="J254" s="263">
        <f>SUMIF(Summary_Pre!E:E,"="&amp;F254,Summary_Pre!H:H)</f>
        <v>0</v>
      </c>
      <c r="K254" s="262">
        <f>SUMIF(Summary_Pre!E:E,"="&amp; F254,Summary_Pre!I:I)</f>
        <v>0</v>
      </c>
      <c r="L254" s="3">
        <f>SUMIF(Summary_Pre!E:E,"="&amp; F254,Summary_Pre!J:J)</f>
        <v>0</v>
      </c>
      <c r="M254" s="285">
        <f>SUMIF(Summary_Pre!E:E,"="&amp; F254,Summary_Pre!K:K)</f>
        <v>0</v>
      </c>
      <c r="N254" s="285">
        <f>SUMIF(Summary_Pre!E:E,"="&amp;F254,Summary_Pre!C:C)</f>
        <v>0</v>
      </c>
      <c r="O254" s="266">
        <f t="shared" si="16"/>
        <v>0</v>
      </c>
      <c r="P254" s="3"/>
      <c r="Q254" s="3"/>
      <c r="R254" s="3"/>
      <c r="S254" s="3"/>
      <c r="T254" s="3"/>
      <c r="U254" s="3"/>
      <c r="V254" s="3"/>
      <c r="W254" s="2"/>
      <c r="X254" s="281" t="e">
        <f t="shared" si="13"/>
        <v>#N/A</v>
      </c>
      <c r="Y254" s="279" t="e">
        <f t="shared" si="14"/>
        <v>#N/A</v>
      </c>
    </row>
    <row r="255" spans="1:25">
      <c r="A255" s="249" t="e">
        <f>IF(D255='Tables &amp; Ranges'!$A$133, 'Tables &amp; Ranges'!$B$133, IF(D255='Tables &amp; Ranges'!$A$134, 'Tables &amp; Ranges'!$B$134, IF(D255='Tables &amp; Ranges'!$A$135, 'Tables &amp; Ranges'!$B$135, IF(D255='Tables &amp; Ranges'!$A$136, 'Tables &amp; Ranges'!$B$136, IF(D255='Tables &amp; Ranges'!$A$99, 'Tables &amp; Ranges'!$B$116, VLOOKUP(X255,'Fixture Table'!$C$3:$M$1785, 10, FALSE))))))</f>
        <v>#N/A</v>
      </c>
      <c r="D255" s="2">
        <f>IFERROR(_xlfn.IFNA(VLOOKUP(F255,Summary_Pre!E:F,2,FALSE),0),0)</f>
        <v>0</v>
      </c>
      <c r="E255" s="249" t="e">
        <f t="shared" si="15"/>
        <v>#N/A</v>
      </c>
      <c r="F255" s="2" t="e">
        <f t="array" ref="F255">INDEX(Summary_Pre!E$4:E$303, MATCH(0, COUNTIF($F$2:F254,Summary_Pre!E$4:E$303), 0))</f>
        <v>#N/A</v>
      </c>
      <c r="G255" s="271" t="e">
        <f>VLOOKUP(X255,Table7[[#All],[FIXTURE CODE]:[WATT/ FIXT]], 6, FALSE)</f>
        <v>#N/A</v>
      </c>
      <c r="H255" s="271" t="e">
        <f>VLOOKUP(Y255,Table7[[#All],[FIXTURE CODE]:[WATT/ FIXT]], 6, FALSE)</f>
        <v>#N/A</v>
      </c>
      <c r="I255" s="272">
        <f>SUMIF(Summary_Pre!E:E,"="&amp;F255,Summary_Pre!D:D)</f>
        <v>0</v>
      </c>
      <c r="J255" s="263">
        <f>SUMIF(Summary_Pre!E:E,"="&amp;F255,Summary_Pre!H:H)</f>
        <v>0</v>
      </c>
      <c r="K255" s="262">
        <f>SUMIF(Summary_Pre!E:E,"="&amp; F255,Summary_Pre!I:I)</f>
        <v>0</v>
      </c>
      <c r="L255" s="3">
        <f>SUMIF(Summary_Pre!E:E,"="&amp; F255,Summary_Pre!J:J)</f>
        <v>0</v>
      </c>
      <c r="M255" s="285">
        <f>SUMIF(Summary_Pre!E:E,"="&amp; F255,Summary_Pre!K:K)</f>
        <v>0</v>
      </c>
      <c r="N255" s="285">
        <f>SUMIF(Summary_Pre!E:E,"="&amp;F255,Summary_Pre!C:C)</f>
        <v>0</v>
      </c>
      <c r="O255" s="266">
        <f t="shared" si="16"/>
        <v>0</v>
      </c>
      <c r="P255" s="3"/>
      <c r="Q255" s="3"/>
      <c r="R255" s="3"/>
      <c r="S255" s="3"/>
      <c r="T255" s="3"/>
      <c r="U255" s="3"/>
      <c r="V255" s="3"/>
      <c r="W255" s="2"/>
      <c r="X255" s="281" t="e">
        <f t="shared" si="13"/>
        <v>#N/A</v>
      </c>
      <c r="Y255" s="279" t="e">
        <f t="shared" si="14"/>
        <v>#N/A</v>
      </c>
    </row>
    <row r="256" spans="1:25">
      <c r="A256" s="249" t="e">
        <f>IF(D256='Tables &amp; Ranges'!$A$133, 'Tables &amp; Ranges'!$B$133, IF(D256='Tables &amp; Ranges'!$A$134, 'Tables &amp; Ranges'!$B$134, IF(D256='Tables &amp; Ranges'!$A$135, 'Tables &amp; Ranges'!$B$135, IF(D256='Tables &amp; Ranges'!$A$136, 'Tables &amp; Ranges'!$B$136, IF(D256='Tables &amp; Ranges'!$A$99, 'Tables &amp; Ranges'!$B$116, VLOOKUP(X256,'Fixture Table'!$C$3:$M$1785, 10, FALSE))))))</f>
        <v>#N/A</v>
      </c>
      <c r="D256" s="2">
        <f>IFERROR(_xlfn.IFNA(VLOOKUP(F256,Summary_Pre!E:F,2,FALSE),0),0)</f>
        <v>0</v>
      </c>
      <c r="E256" s="249" t="e">
        <f t="shared" si="15"/>
        <v>#N/A</v>
      </c>
      <c r="F256" s="2" t="e">
        <f t="array" ref="F256">INDEX(Summary_Pre!E$4:E$303, MATCH(0, COUNTIF($F$2:F255,Summary_Pre!E$4:E$303), 0))</f>
        <v>#N/A</v>
      </c>
      <c r="G256" s="271" t="e">
        <f>VLOOKUP(X256,Table7[[#All],[FIXTURE CODE]:[WATT/ FIXT]], 6, FALSE)</f>
        <v>#N/A</v>
      </c>
      <c r="H256" s="271" t="e">
        <f>VLOOKUP(Y256,Table7[[#All],[FIXTURE CODE]:[WATT/ FIXT]], 6, FALSE)</f>
        <v>#N/A</v>
      </c>
      <c r="I256" s="272">
        <f>SUMIF(Summary_Pre!E:E,"="&amp;F256,Summary_Pre!D:D)</f>
        <v>0</v>
      </c>
      <c r="J256" s="263">
        <f>SUMIF(Summary_Pre!E:E,"="&amp;F256,Summary_Pre!H:H)</f>
        <v>0</v>
      </c>
      <c r="K256" s="262">
        <f>SUMIF(Summary_Pre!E:E,"="&amp; F256,Summary_Pre!I:I)</f>
        <v>0</v>
      </c>
      <c r="L256" s="3">
        <f>SUMIF(Summary_Pre!E:E,"="&amp; F256,Summary_Pre!J:J)</f>
        <v>0</v>
      </c>
      <c r="M256" s="285">
        <f>SUMIF(Summary_Pre!E:E,"="&amp; F256,Summary_Pre!K:K)</f>
        <v>0</v>
      </c>
      <c r="N256" s="285">
        <f>SUMIF(Summary_Pre!E:E,"="&amp;F256,Summary_Pre!C:C)</f>
        <v>0</v>
      </c>
      <c r="O256" s="266">
        <f t="shared" si="16"/>
        <v>0</v>
      </c>
      <c r="P256" s="3"/>
      <c r="Q256" s="3"/>
      <c r="R256" s="3"/>
      <c r="S256" s="3"/>
      <c r="T256" s="3"/>
      <c r="U256" s="3"/>
      <c r="V256" s="3"/>
      <c r="W256" s="2"/>
      <c r="X256" s="281" t="e">
        <f t="shared" si="13"/>
        <v>#N/A</v>
      </c>
      <c r="Y256" s="279" t="e">
        <f t="shared" si="14"/>
        <v>#N/A</v>
      </c>
    </row>
    <row r="257" spans="1:25">
      <c r="A257" s="249" t="e">
        <f>IF(D257='Tables &amp; Ranges'!$A$133, 'Tables &amp; Ranges'!$B$133, IF(D257='Tables &amp; Ranges'!$A$134, 'Tables &amp; Ranges'!$B$134, IF(D257='Tables &amp; Ranges'!$A$135, 'Tables &amp; Ranges'!$B$135, IF(D257='Tables &amp; Ranges'!$A$136, 'Tables &amp; Ranges'!$B$136, IF(D257='Tables &amp; Ranges'!$A$99, 'Tables &amp; Ranges'!$B$116, VLOOKUP(X257,'Fixture Table'!$C$3:$M$1785, 10, FALSE))))))</f>
        <v>#N/A</v>
      </c>
      <c r="D257" s="2">
        <f>IFERROR(_xlfn.IFNA(VLOOKUP(F257,Summary_Pre!E:F,2,FALSE),0),0)</f>
        <v>0</v>
      </c>
      <c r="E257" s="249" t="e">
        <f t="shared" si="15"/>
        <v>#N/A</v>
      </c>
      <c r="F257" s="2" t="e">
        <f t="array" ref="F257">INDEX(Summary_Pre!E$4:E$303, MATCH(0, COUNTIF($F$2:F256,Summary_Pre!E$4:E$303), 0))</f>
        <v>#N/A</v>
      </c>
      <c r="G257" s="271" t="e">
        <f>VLOOKUP(X257,Table7[[#All],[FIXTURE CODE]:[WATT/ FIXT]], 6, FALSE)</f>
        <v>#N/A</v>
      </c>
      <c r="H257" s="271" t="e">
        <f>VLOOKUP(Y257,Table7[[#All],[FIXTURE CODE]:[WATT/ FIXT]], 6, FALSE)</f>
        <v>#N/A</v>
      </c>
      <c r="I257" s="272">
        <f>SUMIF(Summary_Pre!E:E,"="&amp;F257,Summary_Pre!D:D)</f>
        <v>0</v>
      </c>
      <c r="J257" s="263">
        <f>SUMIF(Summary_Pre!E:E,"="&amp;F257,Summary_Pre!H:H)</f>
        <v>0</v>
      </c>
      <c r="K257" s="262">
        <f>SUMIF(Summary_Pre!E:E,"="&amp; F257,Summary_Pre!I:I)</f>
        <v>0</v>
      </c>
      <c r="L257" s="3">
        <f>SUMIF(Summary_Pre!E:E,"="&amp; F257,Summary_Pre!J:J)</f>
        <v>0</v>
      </c>
      <c r="M257" s="285">
        <f>SUMIF(Summary_Pre!E:E,"="&amp; F257,Summary_Pre!K:K)</f>
        <v>0</v>
      </c>
      <c r="N257" s="285">
        <f>SUMIF(Summary_Pre!E:E,"="&amp;F257,Summary_Pre!C:C)</f>
        <v>0</v>
      </c>
      <c r="O257" s="266">
        <f t="shared" si="16"/>
        <v>0</v>
      </c>
      <c r="P257" s="3"/>
      <c r="Q257" s="3"/>
      <c r="R257" s="3"/>
      <c r="S257" s="3"/>
      <c r="T257" s="3"/>
      <c r="U257" s="3"/>
      <c r="V257" s="3"/>
      <c r="W257" s="2"/>
      <c r="X257" s="281" t="e">
        <f t="shared" si="13"/>
        <v>#N/A</v>
      </c>
      <c r="Y257" s="279" t="e">
        <f t="shared" si="14"/>
        <v>#N/A</v>
      </c>
    </row>
    <row r="258" spans="1:25">
      <c r="A258" s="249" t="e">
        <f>IF(D258='Tables &amp; Ranges'!$A$133, 'Tables &amp; Ranges'!$B$133, IF(D258='Tables &amp; Ranges'!$A$134, 'Tables &amp; Ranges'!$B$134, IF(D258='Tables &amp; Ranges'!$A$135, 'Tables &amp; Ranges'!$B$135, IF(D258='Tables &amp; Ranges'!$A$136, 'Tables &amp; Ranges'!$B$136, IF(D258='Tables &amp; Ranges'!$A$99, 'Tables &amp; Ranges'!$B$116, VLOOKUP(X258,'Fixture Table'!$C$3:$M$1785, 10, FALSE))))))</f>
        <v>#N/A</v>
      </c>
      <c r="D258" s="2">
        <f>IFERROR(_xlfn.IFNA(VLOOKUP(F258,Summary_Pre!E:F,2,FALSE),0),0)</f>
        <v>0</v>
      </c>
      <c r="E258" s="249" t="e">
        <f t="shared" si="15"/>
        <v>#N/A</v>
      </c>
      <c r="F258" s="2" t="e">
        <f t="array" ref="F258">INDEX(Summary_Pre!E$4:E$303, MATCH(0, COUNTIF($F$2:F257,Summary_Pre!E$4:E$303), 0))</f>
        <v>#N/A</v>
      </c>
      <c r="G258" s="271" t="e">
        <f>VLOOKUP(X258,Table7[[#All],[FIXTURE CODE]:[WATT/ FIXT]], 6, FALSE)</f>
        <v>#N/A</v>
      </c>
      <c r="H258" s="271" t="e">
        <f>VLOOKUP(Y258,Table7[[#All],[FIXTURE CODE]:[WATT/ FIXT]], 6, FALSE)</f>
        <v>#N/A</v>
      </c>
      <c r="I258" s="272">
        <f>SUMIF(Summary_Pre!E:E,"="&amp;F258,Summary_Pre!D:D)</f>
        <v>0</v>
      </c>
      <c r="J258" s="263">
        <f>SUMIF(Summary_Pre!E:E,"="&amp;F258,Summary_Pre!H:H)</f>
        <v>0</v>
      </c>
      <c r="K258" s="262">
        <f>SUMIF(Summary_Pre!E:E,"="&amp; F258,Summary_Pre!I:I)</f>
        <v>0</v>
      </c>
      <c r="L258" s="3">
        <f>SUMIF(Summary_Pre!E:E,"="&amp; F258,Summary_Pre!J:J)</f>
        <v>0</v>
      </c>
      <c r="M258" s="285">
        <f>SUMIF(Summary_Pre!E:E,"="&amp; F258,Summary_Pre!K:K)</f>
        <v>0</v>
      </c>
      <c r="N258" s="285">
        <f>SUMIF(Summary_Pre!E:E,"="&amp;F258,Summary_Pre!C:C)</f>
        <v>0</v>
      </c>
      <c r="O258" s="266">
        <f t="shared" si="16"/>
        <v>0</v>
      </c>
      <c r="P258" s="3"/>
      <c r="Q258" s="3"/>
      <c r="R258" s="3"/>
      <c r="S258" s="3"/>
      <c r="T258" s="3"/>
      <c r="U258" s="3"/>
      <c r="V258" s="3"/>
      <c r="W258" s="2"/>
      <c r="X258" s="281" t="e">
        <f t="shared" si="13"/>
        <v>#N/A</v>
      </c>
      <c r="Y258" s="279" t="e">
        <f t="shared" si="14"/>
        <v>#N/A</v>
      </c>
    </row>
    <row r="259" spans="1:25">
      <c r="A259" s="249" t="e">
        <f>IF(D259='Tables &amp; Ranges'!$A$133, 'Tables &amp; Ranges'!$B$133, IF(D259='Tables &amp; Ranges'!$A$134, 'Tables &amp; Ranges'!$B$134, IF(D259='Tables &amp; Ranges'!$A$135, 'Tables &amp; Ranges'!$B$135, IF(D259='Tables &amp; Ranges'!$A$136, 'Tables &amp; Ranges'!$B$136, IF(D259='Tables &amp; Ranges'!$A$99, 'Tables &amp; Ranges'!$B$116, VLOOKUP(X259,'Fixture Table'!$C$3:$M$1785, 10, FALSE))))))</f>
        <v>#N/A</v>
      </c>
      <c r="D259" s="2">
        <f>IFERROR(_xlfn.IFNA(VLOOKUP(F259,Summary_Pre!E:F,2,FALSE),0),0)</f>
        <v>0</v>
      </c>
      <c r="E259" s="249" t="e">
        <f t="shared" si="15"/>
        <v>#N/A</v>
      </c>
      <c r="F259" s="2" t="e">
        <f t="array" ref="F259">INDEX(Summary_Pre!E$4:E$303, MATCH(0, COUNTIF($F$2:F258,Summary_Pre!E$4:E$303), 0))</f>
        <v>#N/A</v>
      </c>
      <c r="G259" s="271" t="e">
        <f>VLOOKUP(X259,Table7[[#All],[FIXTURE CODE]:[WATT/ FIXT]], 6, FALSE)</f>
        <v>#N/A</v>
      </c>
      <c r="H259" s="271" t="e">
        <f>VLOOKUP(Y259,Table7[[#All],[FIXTURE CODE]:[WATT/ FIXT]], 6, FALSE)</f>
        <v>#N/A</v>
      </c>
      <c r="I259" s="272">
        <f>SUMIF(Summary_Pre!E:E,"="&amp;F259,Summary_Pre!D:D)</f>
        <v>0</v>
      </c>
      <c r="J259" s="263">
        <f>SUMIF(Summary_Pre!E:E,"="&amp;F259,Summary_Pre!H:H)</f>
        <v>0</v>
      </c>
      <c r="K259" s="262">
        <f>SUMIF(Summary_Pre!E:E,"="&amp; F259,Summary_Pre!I:I)</f>
        <v>0</v>
      </c>
      <c r="L259" s="3">
        <f>SUMIF(Summary_Pre!E:E,"="&amp; F259,Summary_Pre!J:J)</f>
        <v>0</v>
      </c>
      <c r="M259" s="285">
        <f>SUMIF(Summary_Pre!E:E,"="&amp; F259,Summary_Pre!K:K)</f>
        <v>0</v>
      </c>
      <c r="N259" s="285">
        <f>SUMIF(Summary_Pre!E:E,"="&amp;F259,Summary_Pre!C:C)</f>
        <v>0</v>
      </c>
      <c r="O259" s="266">
        <f t="shared" si="16"/>
        <v>0</v>
      </c>
      <c r="P259" s="3"/>
      <c r="Q259" s="3"/>
      <c r="R259" s="3"/>
      <c r="S259" s="3"/>
      <c r="T259" s="3"/>
      <c r="U259" s="3"/>
      <c r="V259" s="3"/>
      <c r="W259" s="2"/>
      <c r="X259" s="281" t="e">
        <f t="shared" ref="X259:X302" si="17">TRIM(MID(SUBSTITUTE(F259," ", REPT(" ",LEN(F259))), (2-1)*LEN(F259)+1,LEN(F259)))</f>
        <v>#N/A</v>
      </c>
      <c r="Y259" s="279" t="e">
        <f t="shared" ref="Y259:Y302" si="18">TRIM(MID(SUBSTITUTE(F259," ", REPT(" ",LEN(F259))), (4-1)*LEN(F259)+1,LEN(F259)))</f>
        <v>#N/A</v>
      </c>
    </row>
    <row r="260" spans="1:25">
      <c r="A260" s="249" t="e">
        <f>IF(D260='Tables &amp; Ranges'!$A$133, 'Tables &amp; Ranges'!$B$133, IF(D260='Tables &amp; Ranges'!$A$134, 'Tables &amp; Ranges'!$B$134, IF(D260='Tables &amp; Ranges'!$A$135, 'Tables &amp; Ranges'!$B$135, IF(D260='Tables &amp; Ranges'!$A$136, 'Tables &amp; Ranges'!$B$136, IF(D260='Tables &amp; Ranges'!$A$99, 'Tables &amp; Ranges'!$B$116, VLOOKUP(X260,'Fixture Table'!$C$3:$M$1785, 10, FALSE))))))</f>
        <v>#N/A</v>
      </c>
      <c r="D260" s="2">
        <f>IFERROR(_xlfn.IFNA(VLOOKUP(F260,Summary_Pre!E:F,2,FALSE),0),0)</f>
        <v>0</v>
      </c>
      <c r="E260" s="249" t="e">
        <f t="shared" ref="E260:E302" si="19">REPLACE(F260,1,8,"")</f>
        <v>#N/A</v>
      </c>
      <c r="F260" s="2" t="e">
        <f t="array" ref="F260">INDEX(Summary_Pre!E$4:E$303, MATCH(0, COUNTIF($F$2:F259,Summary_Pre!E$4:E$303), 0))</f>
        <v>#N/A</v>
      </c>
      <c r="G260" s="271" t="e">
        <f>VLOOKUP(X260,Table7[[#All],[FIXTURE CODE]:[WATT/ FIXT]], 6, FALSE)</f>
        <v>#N/A</v>
      </c>
      <c r="H260" s="271" t="e">
        <f>VLOOKUP(Y260,Table7[[#All],[FIXTURE CODE]:[WATT/ FIXT]], 6, FALSE)</f>
        <v>#N/A</v>
      </c>
      <c r="I260" s="272">
        <f>SUMIF(Summary_Pre!E:E,"="&amp;F260,Summary_Pre!D:D)</f>
        <v>0</v>
      </c>
      <c r="J260" s="263">
        <f>SUMIF(Summary_Pre!E:E,"="&amp;F260,Summary_Pre!H:H)</f>
        <v>0</v>
      </c>
      <c r="K260" s="262">
        <f>SUMIF(Summary_Pre!E:E,"="&amp; F260,Summary_Pre!I:I)</f>
        <v>0</v>
      </c>
      <c r="L260" s="3">
        <f>SUMIF(Summary_Pre!E:E,"="&amp; F260,Summary_Pre!J:J)</f>
        <v>0</v>
      </c>
      <c r="M260" s="285">
        <f>SUMIF(Summary_Pre!E:E,"="&amp; F260,Summary_Pre!K:K)</f>
        <v>0</v>
      </c>
      <c r="N260" s="285">
        <f>SUMIF(Summary_Pre!E:E,"="&amp;F260,Summary_Pre!C:C)</f>
        <v>0</v>
      </c>
      <c r="O260" s="266">
        <f t="shared" ref="O260:O302" si="20">IF(L260&lt;&gt;0,(N260-M260)/L260,0)</f>
        <v>0</v>
      </c>
      <c r="P260" s="3"/>
      <c r="Q260" s="3"/>
      <c r="R260" s="3"/>
      <c r="S260" s="3"/>
      <c r="T260" s="3"/>
      <c r="U260" s="3"/>
      <c r="V260" s="3"/>
      <c r="W260" s="2"/>
      <c r="X260" s="281" t="e">
        <f t="shared" si="17"/>
        <v>#N/A</v>
      </c>
      <c r="Y260" s="279" t="e">
        <f t="shared" si="18"/>
        <v>#N/A</v>
      </c>
    </row>
    <row r="261" spans="1:25">
      <c r="A261" s="249" t="e">
        <f>IF(D261='Tables &amp; Ranges'!$A$133, 'Tables &amp; Ranges'!$B$133, IF(D261='Tables &amp; Ranges'!$A$134, 'Tables &amp; Ranges'!$B$134, IF(D261='Tables &amp; Ranges'!$A$135, 'Tables &amp; Ranges'!$B$135, IF(D261='Tables &amp; Ranges'!$A$136, 'Tables &amp; Ranges'!$B$136, IF(D261='Tables &amp; Ranges'!$A$99, 'Tables &amp; Ranges'!$B$116, VLOOKUP(X261,'Fixture Table'!$C$3:$M$1785, 10, FALSE))))))</f>
        <v>#N/A</v>
      </c>
      <c r="D261" s="2">
        <f>IFERROR(_xlfn.IFNA(VLOOKUP(F261,Summary_Pre!E:F,2,FALSE),0),0)</f>
        <v>0</v>
      </c>
      <c r="E261" s="249" t="e">
        <f t="shared" si="19"/>
        <v>#N/A</v>
      </c>
      <c r="F261" s="2" t="e">
        <f t="array" ref="F261">INDEX(Summary_Pre!E$4:E$303, MATCH(0, COUNTIF($F$2:F260,Summary_Pre!E$4:E$303), 0))</f>
        <v>#N/A</v>
      </c>
      <c r="G261" s="271" t="e">
        <f>VLOOKUP(X261,Table7[[#All],[FIXTURE CODE]:[WATT/ FIXT]], 6, FALSE)</f>
        <v>#N/A</v>
      </c>
      <c r="H261" s="271" t="e">
        <f>VLOOKUP(Y261,Table7[[#All],[FIXTURE CODE]:[WATT/ FIXT]], 6, FALSE)</f>
        <v>#N/A</v>
      </c>
      <c r="I261" s="272">
        <f>SUMIF(Summary_Pre!E:E,"="&amp;F261,Summary_Pre!D:D)</f>
        <v>0</v>
      </c>
      <c r="J261" s="263">
        <f>SUMIF(Summary_Pre!E:E,"="&amp;F261,Summary_Pre!H:H)</f>
        <v>0</v>
      </c>
      <c r="K261" s="262">
        <f>SUMIF(Summary_Pre!E:E,"="&amp; F261,Summary_Pre!I:I)</f>
        <v>0</v>
      </c>
      <c r="L261" s="3">
        <f>SUMIF(Summary_Pre!E:E,"="&amp; F261,Summary_Pre!J:J)</f>
        <v>0</v>
      </c>
      <c r="M261" s="285">
        <f>SUMIF(Summary_Pre!E:E,"="&amp; F261,Summary_Pre!K:K)</f>
        <v>0</v>
      </c>
      <c r="N261" s="285">
        <f>SUMIF(Summary_Pre!E:E,"="&amp;F261,Summary_Pre!C:C)</f>
        <v>0</v>
      </c>
      <c r="O261" s="266">
        <f t="shared" si="20"/>
        <v>0</v>
      </c>
      <c r="P261" s="3"/>
      <c r="Q261" s="3"/>
      <c r="R261" s="3"/>
      <c r="S261" s="3"/>
      <c r="T261" s="3"/>
      <c r="U261" s="3"/>
      <c r="V261" s="3"/>
      <c r="W261" s="2"/>
      <c r="X261" s="281" t="e">
        <f t="shared" si="17"/>
        <v>#N/A</v>
      </c>
      <c r="Y261" s="279" t="e">
        <f t="shared" si="18"/>
        <v>#N/A</v>
      </c>
    </row>
    <row r="262" spans="1:25">
      <c r="A262" s="249" t="e">
        <f>IF(D262='Tables &amp; Ranges'!$A$133, 'Tables &amp; Ranges'!$B$133, IF(D262='Tables &amp; Ranges'!$A$134, 'Tables &amp; Ranges'!$B$134, IF(D262='Tables &amp; Ranges'!$A$135, 'Tables &amp; Ranges'!$B$135, IF(D262='Tables &amp; Ranges'!$A$136, 'Tables &amp; Ranges'!$B$136, IF(D262='Tables &amp; Ranges'!$A$99, 'Tables &amp; Ranges'!$B$116, VLOOKUP(X262,'Fixture Table'!$C$3:$M$1785, 10, FALSE))))))</f>
        <v>#N/A</v>
      </c>
      <c r="D262" s="2">
        <f>IFERROR(_xlfn.IFNA(VLOOKUP(F262,Summary_Pre!E:F,2,FALSE),0),0)</f>
        <v>0</v>
      </c>
      <c r="E262" s="249" t="e">
        <f t="shared" si="19"/>
        <v>#N/A</v>
      </c>
      <c r="F262" s="2" t="e">
        <f t="array" ref="F262">INDEX(Summary_Pre!E$4:E$303, MATCH(0, COUNTIF($F$2:F261,Summary_Pre!E$4:E$303), 0))</f>
        <v>#N/A</v>
      </c>
      <c r="G262" s="271" t="e">
        <f>VLOOKUP(X262,Table7[[#All],[FIXTURE CODE]:[WATT/ FIXT]], 6, FALSE)</f>
        <v>#N/A</v>
      </c>
      <c r="H262" s="271" t="e">
        <f>VLOOKUP(Y262,Table7[[#All],[FIXTURE CODE]:[WATT/ FIXT]], 6, FALSE)</f>
        <v>#N/A</v>
      </c>
      <c r="I262" s="272">
        <f>SUMIF(Summary_Pre!E:E,"="&amp;F262,Summary_Pre!D:D)</f>
        <v>0</v>
      </c>
      <c r="J262" s="263">
        <f>SUMIF(Summary_Pre!E:E,"="&amp;F262,Summary_Pre!H:H)</f>
        <v>0</v>
      </c>
      <c r="K262" s="262">
        <f>SUMIF(Summary_Pre!E:E,"="&amp; F262,Summary_Pre!I:I)</f>
        <v>0</v>
      </c>
      <c r="L262" s="3">
        <f>SUMIF(Summary_Pre!E:E,"="&amp; F262,Summary_Pre!J:J)</f>
        <v>0</v>
      </c>
      <c r="M262" s="285">
        <f>SUMIF(Summary_Pre!E:E,"="&amp; F262,Summary_Pre!K:K)</f>
        <v>0</v>
      </c>
      <c r="N262" s="285">
        <f>SUMIF(Summary_Pre!E:E,"="&amp;F262,Summary_Pre!C:C)</f>
        <v>0</v>
      </c>
      <c r="O262" s="266">
        <f t="shared" si="20"/>
        <v>0</v>
      </c>
      <c r="P262" s="3"/>
      <c r="Q262" s="3"/>
      <c r="R262" s="3"/>
      <c r="S262" s="3"/>
      <c r="T262" s="3"/>
      <c r="U262" s="3"/>
      <c r="V262" s="3"/>
      <c r="W262" s="2"/>
      <c r="X262" s="281" t="e">
        <f t="shared" si="17"/>
        <v>#N/A</v>
      </c>
      <c r="Y262" s="279" t="e">
        <f t="shared" si="18"/>
        <v>#N/A</v>
      </c>
    </row>
    <row r="263" spans="1:25">
      <c r="A263" s="249" t="e">
        <f>IF(D263='Tables &amp; Ranges'!$A$133, 'Tables &amp; Ranges'!$B$133, IF(D263='Tables &amp; Ranges'!$A$134, 'Tables &amp; Ranges'!$B$134, IF(D263='Tables &amp; Ranges'!$A$135, 'Tables &amp; Ranges'!$B$135, IF(D263='Tables &amp; Ranges'!$A$136, 'Tables &amp; Ranges'!$B$136, IF(D263='Tables &amp; Ranges'!$A$99, 'Tables &amp; Ranges'!$B$116, VLOOKUP(X263,'Fixture Table'!$C$3:$M$1785, 10, FALSE))))))</f>
        <v>#N/A</v>
      </c>
      <c r="D263" s="2">
        <f>IFERROR(_xlfn.IFNA(VLOOKUP(F263,Summary_Pre!E:F,2,FALSE),0),0)</f>
        <v>0</v>
      </c>
      <c r="E263" s="249" t="e">
        <f t="shared" si="19"/>
        <v>#N/A</v>
      </c>
      <c r="F263" s="2" t="e">
        <f t="array" ref="F263">INDEX(Summary_Pre!E$4:E$303, MATCH(0, COUNTIF($F$2:F262,Summary_Pre!E$4:E$303), 0))</f>
        <v>#N/A</v>
      </c>
      <c r="G263" s="271" t="e">
        <f>VLOOKUP(X263,Table7[[#All],[FIXTURE CODE]:[WATT/ FIXT]], 6, FALSE)</f>
        <v>#N/A</v>
      </c>
      <c r="H263" s="271" t="e">
        <f>VLOOKUP(Y263,Table7[[#All],[FIXTURE CODE]:[WATT/ FIXT]], 6, FALSE)</f>
        <v>#N/A</v>
      </c>
      <c r="I263" s="272">
        <f>SUMIF(Summary_Pre!E:E,"="&amp;F263,Summary_Pre!D:D)</f>
        <v>0</v>
      </c>
      <c r="J263" s="263">
        <f>SUMIF(Summary_Pre!E:E,"="&amp;F263,Summary_Pre!H:H)</f>
        <v>0</v>
      </c>
      <c r="K263" s="262">
        <f>SUMIF(Summary_Pre!E:E,"="&amp; F263,Summary_Pre!I:I)</f>
        <v>0</v>
      </c>
      <c r="L263" s="3">
        <f>SUMIF(Summary_Pre!E:E,"="&amp; F263,Summary_Pre!J:J)</f>
        <v>0</v>
      </c>
      <c r="M263" s="285">
        <f>SUMIF(Summary_Pre!E:E,"="&amp; F263,Summary_Pre!K:K)</f>
        <v>0</v>
      </c>
      <c r="N263" s="285">
        <f>SUMIF(Summary_Pre!E:E,"="&amp;F263,Summary_Pre!C:C)</f>
        <v>0</v>
      </c>
      <c r="O263" s="266">
        <f t="shared" si="20"/>
        <v>0</v>
      </c>
      <c r="P263" s="3"/>
      <c r="Q263" s="3"/>
      <c r="R263" s="3"/>
      <c r="S263" s="3"/>
      <c r="T263" s="3"/>
      <c r="U263" s="3"/>
      <c r="V263" s="3"/>
      <c r="W263" s="2"/>
      <c r="X263" s="281" t="e">
        <f t="shared" si="17"/>
        <v>#N/A</v>
      </c>
      <c r="Y263" s="279" t="e">
        <f t="shared" si="18"/>
        <v>#N/A</v>
      </c>
    </row>
    <row r="264" spans="1:25">
      <c r="A264" s="249" t="e">
        <f>IF(D264='Tables &amp; Ranges'!$A$133, 'Tables &amp; Ranges'!$B$133, IF(D264='Tables &amp; Ranges'!$A$134, 'Tables &amp; Ranges'!$B$134, IF(D264='Tables &amp; Ranges'!$A$135, 'Tables &amp; Ranges'!$B$135, IF(D264='Tables &amp; Ranges'!$A$136, 'Tables &amp; Ranges'!$B$136, IF(D264='Tables &amp; Ranges'!$A$99, 'Tables &amp; Ranges'!$B$116, VLOOKUP(X264,'Fixture Table'!$C$3:$M$1785, 10, FALSE))))))</f>
        <v>#N/A</v>
      </c>
      <c r="D264" s="2">
        <f>IFERROR(_xlfn.IFNA(VLOOKUP(F264,Summary_Pre!E:F,2,FALSE),0),0)</f>
        <v>0</v>
      </c>
      <c r="E264" s="249" t="e">
        <f t="shared" si="19"/>
        <v>#N/A</v>
      </c>
      <c r="F264" s="2" t="e">
        <f t="array" ref="F264">INDEX(Summary_Pre!E$4:E$303, MATCH(0, COUNTIF($F$2:F263,Summary_Pre!E$4:E$303), 0))</f>
        <v>#N/A</v>
      </c>
      <c r="G264" s="271" t="e">
        <f>VLOOKUP(X264,Table7[[#All],[FIXTURE CODE]:[WATT/ FIXT]], 6, FALSE)</f>
        <v>#N/A</v>
      </c>
      <c r="H264" s="271" t="e">
        <f>VLOOKUP(Y264,Table7[[#All],[FIXTURE CODE]:[WATT/ FIXT]], 6, FALSE)</f>
        <v>#N/A</v>
      </c>
      <c r="I264" s="272">
        <f>SUMIF(Summary_Pre!E:E,"="&amp;F264,Summary_Pre!D:D)</f>
        <v>0</v>
      </c>
      <c r="J264" s="263">
        <f>SUMIF(Summary_Pre!E:E,"="&amp;F264,Summary_Pre!H:H)</f>
        <v>0</v>
      </c>
      <c r="K264" s="262">
        <f>SUMIF(Summary_Pre!E:E,"="&amp; F264,Summary_Pre!I:I)</f>
        <v>0</v>
      </c>
      <c r="L264" s="3">
        <f>SUMIF(Summary_Pre!E:E,"="&amp; F264,Summary_Pre!J:J)</f>
        <v>0</v>
      </c>
      <c r="M264" s="285">
        <f>SUMIF(Summary_Pre!E:E,"="&amp; F264,Summary_Pre!K:K)</f>
        <v>0</v>
      </c>
      <c r="N264" s="285">
        <f>SUMIF(Summary_Pre!E:E,"="&amp;F264,Summary_Pre!C:C)</f>
        <v>0</v>
      </c>
      <c r="O264" s="266">
        <f t="shared" si="20"/>
        <v>0</v>
      </c>
      <c r="P264" s="3"/>
      <c r="Q264" s="3"/>
      <c r="R264" s="3"/>
      <c r="S264" s="3"/>
      <c r="T264" s="3"/>
      <c r="U264" s="3"/>
      <c r="V264" s="3"/>
      <c r="W264" s="2"/>
      <c r="X264" s="281" t="e">
        <f t="shared" si="17"/>
        <v>#N/A</v>
      </c>
      <c r="Y264" s="279" t="e">
        <f t="shared" si="18"/>
        <v>#N/A</v>
      </c>
    </row>
    <row r="265" spans="1:25">
      <c r="A265" s="249" t="e">
        <f>IF(D265='Tables &amp; Ranges'!$A$133, 'Tables &amp; Ranges'!$B$133, IF(D265='Tables &amp; Ranges'!$A$134, 'Tables &amp; Ranges'!$B$134, IF(D265='Tables &amp; Ranges'!$A$135, 'Tables &amp; Ranges'!$B$135, IF(D265='Tables &amp; Ranges'!$A$136, 'Tables &amp; Ranges'!$B$136, IF(D265='Tables &amp; Ranges'!$A$99, 'Tables &amp; Ranges'!$B$116, VLOOKUP(X265,'Fixture Table'!$C$3:$M$1785, 10, FALSE))))))</f>
        <v>#N/A</v>
      </c>
      <c r="D265" s="2">
        <f>IFERROR(_xlfn.IFNA(VLOOKUP(F265,Summary_Pre!E:F,2,FALSE),0),0)</f>
        <v>0</v>
      </c>
      <c r="E265" s="249" t="e">
        <f t="shared" si="19"/>
        <v>#N/A</v>
      </c>
      <c r="F265" s="2" t="e">
        <f t="array" ref="F265">INDEX(Summary_Pre!E$4:E$303, MATCH(0, COUNTIF($F$2:F264,Summary_Pre!E$4:E$303), 0))</f>
        <v>#N/A</v>
      </c>
      <c r="G265" s="271" t="e">
        <f>VLOOKUP(X265,Table7[[#All],[FIXTURE CODE]:[WATT/ FIXT]], 6, FALSE)</f>
        <v>#N/A</v>
      </c>
      <c r="H265" s="271" t="e">
        <f>VLOOKUP(Y265,Table7[[#All],[FIXTURE CODE]:[WATT/ FIXT]], 6, FALSE)</f>
        <v>#N/A</v>
      </c>
      <c r="I265" s="272">
        <f>SUMIF(Summary_Pre!E:E,"="&amp;F265,Summary_Pre!D:D)</f>
        <v>0</v>
      </c>
      <c r="J265" s="263">
        <f>SUMIF(Summary_Pre!E:E,"="&amp;F265,Summary_Pre!H:H)</f>
        <v>0</v>
      </c>
      <c r="K265" s="262">
        <f>SUMIF(Summary_Pre!E:E,"="&amp; F265,Summary_Pre!I:I)</f>
        <v>0</v>
      </c>
      <c r="L265" s="3">
        <f>SUMIF(Summary_Pre!E:E,"="&amp; F265,Summary_Pre!J:J)</f>
        <v>0</v>
      </c>
      <c r="M265" s="285">
        <f>SUMIF(Summary_Pre!E:E,"="&amp; F265,Summary_Pre!K:K)</f>
        <v>0</v>
      </c>
      <c r="N265" s="285">
        <f>SUMIF(Summary_Pre!E:E,"="&amp;F265,Summary_Pre!C:C)</f>
        <v>0</v>
      </c>
      <c r="O265" s="266">
        <f t="shared" si="20"/>
        <v>0</v>
      </c>
      <c r="P265" s="3"/>
      <c r="Q265" s="3"/>
      <c r="R265" s="3"/>
      <c r="S265" s="3"/>
      <c r="T265" s="3"/>
      <c r="U265" s="3"/>
      <c r="V265" s="3"/>
      <c r="W265" s="2"/>
      <c r="X265" s="281" t="e">
        <f t="shared" si="17"/>
        <v>#N/A</v>
      </c>
      <c r="Y265" s="279" t="e">
        <f t="shared" si="18"/>
        <v>#N/A</v>
      </c>
    </row>
    <row r="266" spans="1:25">
      <c r="A266" s="249" t="e">
        <f>IF(D266='Tables &amp; Ranges'!$A$133, 'Tables &amp; Ranges'!$B$133, IF(D266='Tables &amp; Ranges'!$A$134, 'Tables &amp; Ranges'!$B$134, IF(D266='Tables &amp; Ranges'!$A$135, 'Tables &amp; Ranges'!$B$135, IF(D266='Tables &amp; Ranges'!$A$136, 'Tables &amp; Ranges'!$B$136, IF(D266='Tables &amp; Ranges'!$A$99, 'Tables &amp; Ranges'!$B$116, VLOOKUP(X266,'Fixture Table'!$C$3:$M$1785, 10, FALSE))))))</f>
        <v>#N/A</v>
      </c>
      <c r="D266" s="2">
        <f>IFERROR(_xlfn.IFNA(VLOOKUP(F266,Summary_Pre!E:F,2,FALSE),0),0)</f>
        <v>0</v>
      </c>
      <c r="E266" s="249" t="e">
        <f t="shared" si="19"/>
        <v>#N/A</v>
      </c>
      <c r="F266" s="2" t="e">
        <f t="array" ref="F266">INDEX(Summary_Pre!E$4:E$303, MATCH(0, COUNTIF($F$2:F265,Summary_Pre!E$4:E$303), 0))</f>
        <v>#N/A</v>
      </c>
      <c r="G266" s="271" t="e">
        <f>VLOOKUP(X266,Table7[[#All],[FIXTURE CODE]:[WATT/ FIXT]], 6, FALSE)</f>
        <v>#N/A</v>
      </c>
      <c r="H266" s="271" t="e">
        <f>VLOOKUP(Y266,Table7[[#All],[FIXTURE CODE]:[WATT/ FIXT]], 6, FALSE)</f>
        <v>#N/A</v>
      </c>
      <c r="I266" s="272">
        <f>SUMIF(Summary_Pre!E:E,"="&amp;F266,Summary_Pre!D:D)</f>
        <v>0</v>
      </c>
      <c r="J266" s="263">
        <f>SUMIF(Summary_Pre!E:E,"="&amp;F266,Summary_Pre!H:H)</f>
        <v>0</v>
      </c>
      <c r="K266" s="262">
        <f>SUMIF(Summary_Pre!E:E,"="&amp; F266,Summary_Pre!I:I)</f>
        <v>0</v>
      </c>
      <c r="L266" s="3">
        <f>SUMIF(Summary_Pre!E:E,"="&amp; F266,Summary_Pre!J:J)</f>
        <v>0</v>
      </c>
      <c r="M266" s="285">
        <f>SUMIF(Summary_Pre!E:E,"="&amp; F266,Summary_Pre!K:K)</f>
        <v>0</v>
      </c>
      <c r="N266" s="285">
        <f>SUMIF(Summary_Pre!E:E,"="&amp;F266,Summary_Pre!C:C)</f>
        <v>0</v>
      </c>
      <c r="O266" s="266">
        <f t="shared" si="20"/>
        <v>0</v>
      </c>
      <c r="P266" s="3"/>
      <c r="Q266" s="3"/>
      <c r="R266" s="3"/>
      <c r="S266" s="3"/>
      <c r="T266" s="3"/>
      <c r="U266" s="3"/>
      <c r="V266" s="3"/>
      <c r="W266" s="2"/>
      <c r="X266" s="281" t="e">
        <f t="shared" si="17"/>
        <v>#N/A</v>
      </c>
      <c r="Y266" s="279" t="e">
        <f t="shared" si="18"/>
        <v>#N/A</v>
      </c>
    </row>
    <row r="267" spans="1:25">
      <c r="A267" s="249" t="e">
        <f>IF(D267='Tables &amp; Ranges'!$A$133, 'Tables &amp; Ranges'!$B$133, IF(D267='Tables &amp; Ranges'!$A$134, 'Tables &amp; Ranges'!$B$134, IF(D267='Tables &amp; Ranges'!$A$135, 'Tables &amp; Ranges'!$B$135, IF(D267='Tables &amp; Ranges'!$A$136, 'Tables &amp; Ranges'!$B$136, IF(D267='Tables &amp; Ranges'!$A$99, 'Tables &amp; Ranges'!$B$116, VLOOKUP(X267,'Fixture Table'!$C$3:$M$1785, 10, FALSE))))))</f>
        <v>#N/A</v>
      </c>
      <c r="D267" s="2">
        <f>IFERROR(_xlfn.IFNA(VLOOKUP(F267,Summary_Pre!E:F,2,FALSE),0),0)</f>
        <v>0</v>
      </c>
      <c r="E267" s="249" t="e">
        <f t="shared" si="19"/>
        <v>#N/A</v>
      </c>
      <c r="F267" s="2" t="e">
        <f t="array" ref="F267">INDEX(Summary_Pre!E$4:E$303, MATCH(0, COUNTIF($F$2:F266,Summary_Pre!E$4:E$303), 0))</f>
        <v>#N/A</v>
      </c>
      <c r="G267" s="271" t="e">
        <f>VLOOKUP(X267,Table7[[#All],[FIXTURE CODE]:[WATT/ FIXT]], 6, FALSE)</f>
        <v>#N/A</v>
      </c>
      <c r="H267" s="271" t="e">
        <f>VLOOKUP(Y267,Table7[[#All],[FIXTURE CODE]:[WATT/ FIXT]], 6, FALSE)</f>
        <v>#N/A</v>
      </c>
      <c r="I267" s="272">
        <f>SUMIF(Summary_Pre!E:E,"="&amp;F267,Summary_Pre!D:D)</f>
        <v>0</v>
      </c>
      <c r="J267" s="263">
        <f>SUMIF(Summary_Pre!E:E,"="&amp;F267,Summary_Pre!H:H)</f>
        <v>0</v>
      </c>
      <c r="K267" s="262">
        <f>SUMIF(Summary_Pre!E:E,"="&amp; F267,Summary_Pre!I:I)</f>
        <v>0</v>
      </c>
      <c r="L267" s="3">
        <f>SUMIF(Summary_Pre!E:E,"="&amp; F267,Summary_Pre!J:J)</f>
        <v>0</v>
      </c>
      <c r="M267" s="285">
        <f>SUMIF(Summary_Pre!E:E,"="&amp; F267,Summary_Pre!K:K)</f>
        <v>0</v>
      </c>
      <c r="N267" s="285">
        <f>SUMIF(Summary_Pre!E:E,"="&amp;F267,Summary_Pre!C:C)</f>
        <v>0</v>
      </c>
      <c r="O267" s="266">
        <f t="shared" si="20"/>
        <v>0</v>
      </c>
      <c r="P267" s="3"/>
      <c r="Q267" s="3"/>
      <c r="R267" s="3"/>
      <c r="S267" s="3"/>
      <c r="T267" s="3"/>
      <c r="U267" s="3"/>
      <c r="V267" s="3"/>
      <c r="W267" s="2"/>
      <c r="X267" s="281" t="e">
        <f t="shared" si="17"/>
        <v>#N/A</v>
      </c>
      <c r="Y267" s="279" t="e">
        <f t="shared" si="18"/>
        <v>#N/A</v>
      </c>
    </row>
    <row r="268" spans="1:25">
      <c r="A268" s="249" t="e">
        <f>IF(D268='Tables &amp; Ranges'!$A$133, 'Tables &amp; Ranges'!$B$133, IF(D268='Tables &amp; Ranges'!$A$134, 'Tables &amp; Ranges'!$B$134, IF(D268='Tables &amp; Ranges'!$A$135, 'Tables &amp; Ranges'!$B$135, IF(D268='Tables &amp; Ranges'!$A$136, 'Tables &amp; Ranges'!$B$136, IF(D268='Tables &amp; Ranges'!$A$99, 'Tables &amp; Ranges'!$B$116, VLOOKUP(X268,'Fixture Table'!$C$3:$M$1785, 10, FALSE))))))</f>
        <v>#N/A</v>
      </c>
      <c r="D268" s="2">
        <f>IFERROR(_xlfn.IFNA(VLOOKUP(F268,Summary_Pre!E:F,2,FALSE),0),0)</f>
        <v>0</v>
      </c>
      <c r="E268" s="249" t="e">
        <f t="shared" si="19"/>
        <v>#N/A</v>
      </c>
      <c r="F268" s="2" t="e">
        <f t="array" ref="F268">INDEX(Summary_Pre!E$4:E$303, MATCH(0, COUNTIF($F$2:F267,Summary_Pre!E$4:E$303), 0))</f>
        <v>#N/A</v>
      </c>
      <c r="G268" s="271" t="e">
        <f>VLOOKUP(X268,Table7[[#All],[FIXTURE CODE]:[WATT/ FIXT]], 6, FALSE)</f>
        <v>#N/A</v>
      </c>
      <c r="H268" s="271" t="e">
        <f>VLOOKUP(Y268,Table7[[#All],[FIXTURE CODE]:[WATT/ FIXT]], 6, FALSE)</f>
        <v>#N/A</v>
      </c>
      <c r="I268" s="272">
        <f>SUMIF(Summary_Pre!E:E,"="&amp;F268,Summary_Pre!D:D)</f>
        <v>0</v>
      </c>
      <c r="J268" s="263">
        <f>SUMIF(Summary_Pre!E:E,"="&amp;F268,Summary_Pre!H:H)</f>
        <v>0</v>
      </c>
      <c r="K268" s="262">
        <f>SUMIF(Summary_Pre!E:E,"="&amp; F268,Summary_Pre!I:I)</f>
        <v>0</v>
      </c>
      <c r="L268" s="3">
        <f>SUMIF(Summary_Pre!E:E,"="&amp; F268,Summary_Pre!J:J)</f>
        <v>0</v>
      </c>
      <c r="M268" s="285">
        <f>SUMIF(Summary_Pre!E:E,"="&amp; F268,Summary_Pre!K:K)</f>
        <v>0</v>
      </c>
      <c r="N268" s="285">
        <f>SUMIF(Summary_Pre!E:E,"="&amp;F268,Summary_Pre!C:C)</f>
        <v>0</v>
      </c>
      <c r="O268" s="266">
        <f t="shared" si="20"/>
        <v>0</v>
      </c>
      <c r="P268" s="3"/>
      <c r="Q268" s="3"/>
      <c r="R268" s="3"/>
      <c r="S268" s="3"/>
      <c r="T268" s="3"/>
      <c r="U268" s="3"/>
      <c r="V268" s="3"/>
      <c r="W268" s="2"/>
      <c r="X268" s="281" t="e">
        <f t="shared" si="17"/>
        <v>#N/A</v>
      </c>
      <c r="Y268" s="279" t="e">
        <f t="shared" si="18"/>
        <v>#N/A</v>
      </c>
    </row>
    <row r="269" spans="1:25">
      <c r="A269" s="249" t="e">
        <f>IF(D269='Tables &amp; Ranges'!$A$133, 'Tables &amp; Ranges'!$B$133, IF(D269='Tables &amp; Ranges'!$A$134, 'Tables &amp; Ranges'!$B$134, IF(D269='Tables &amp; Ranges'!$A$135, 'Tables &amp; Ranges'!$B$135, IF(D269='Tables &amp; Ranges'!$A$136, 'Tables &amp; Ranges'!$B$136, IF(D269='Tables &amp; Ranges'!$A$99, 'Tables &amp; Ranges'!$B$116, VLOOKUP(X269,'Fixture Table'!$C$3:$M$1785, 10, FALSE))))))</f>
        <v>#N/A</v>
      </c>
      <c r="D269" s="2">
        <f>IFERROR(_xlfn.IFNA(VLOOKUP(F269,Summary_Pre!E:F,2,FALSE),0),0)</f>
        <v>0</v>
      </c>
      <c r="E269" s="249" t="e">
        <f t="shared" si="19"/>
        <v>#N/A</v>
      </c>
      <c r="F269" s="2" t="e">
        <f t="array" ref="F269">INDEX(Summary_Pre!E$4:E$303, MATCH(0, COUNTIF($F$2:F268,Summary_Pre!E$4:E$303), 0))</f>
        <v>#N/A</v>
      </c>
      <c r="G269" s="271" t="e">
        <f>VLOOKUP(X269,Table7[[#All],[FIXTURE CODE]:[WATT/ FIXT]], 6, FALSE)</f>
        <v>#N/A</v>
      </c>
      <c r="H269" s="271" t="e">
        <f>VLOOKUP(Y269,Table7[[#All],[FIXTURE CODE]:[WATT/ FIXT]], 6, FALSE)</f>
        <v>#N/A</v>
      </c>
      <c r="I269" s="272">
        <f>SUMIF(Summary_Pre!E:E,"="&amp;F269,Summary_Pre!D:D)</f>
        <v>0</v>
      </c>
      <c r="J269" s="263">
        <f>SUMIF(Summary_Pre!E:E,"="&amp;F269,Summary_Pre!H:H)</f>
        <v>0</v>
      </c>
      <c r="K269" s="262">
        <f>SUMIF(Summary_Pre!E:E,"="&amp; F269,Summary_Pre!I:I)</f>
        <v>0</v>
      </c>
      <c r="L269" s="3">
        <f>SUMIF(Summary_Pre!E:E,"="&amp; F269,Summary_Pre!J:J)</f>
        <v>0</v>
      </c>
      <c r="M269" s="285">
        <f>SUMIF(Summary_Pre!E:E,"="&amp; F269,Summary_Pre!K:K)</f>
        <v>0</v>
      </c>
      <c r="N269" s="285">
        <f>SUMIF(Summary_Pre!E:E,"="&amp;F269,Summary_Pre!C:C)</f>
        <v>0</v>
      </c>
      <c r="O269" s="266">
        <f t="shared" si="20"/>
        <v>0</v>
      </c>
      <c r="P269" s="3"/>
      <c r="Q269" s="3"/>
      <c r="R269" s="3"/>
      <c r="S269" s="3"/>
      <c r="T269" s="3"/>
      <c r="U269" s="3"/>
      <c r="V269" s="3"/>
      <c r="W269" s="2"/>
      <c r="X269" s="281" t="e">
        <f t="shared" si="17"/>
        <v>#N/A</v>
      </c>
      <c r="Y269" s="279" t="e">
        <f t="shared" si="18"/>
        <v>#N/A</v>
      </c>
    </row>
    <row r="270" spans="1:25">
      <c r="A270" s="249" t="e">
        <f>IF(D270='Tables &amp; Ranges'!$A$133, 'Tables &amp; Ranges'!$B$133, IF(D270='Tables &amp; Ranges'!$A$134, 'Tables &amp; Ranges'!$B$134, IF(D270='Tables &amp; Ranges'!$A$135, 'Tables &amp; Ranges'!$B$135, IF(D270='Tables &amp; Ranges'!$A$136, 'Tables &amp; Ranges'!$B$136, IF(D270='Tables &amp; Ranges'!$A$99, 'Tables &amp; Ranges'!$B$116, VLOOKUP(X270,'Fixture Table'!$C$3:$M$1785, 10, FALSE))))))</f>
        <v>#N/A</v>
      </c>
      <c r="D270" s="2">
        <f>IFERROR(_xlfn.IFNA(VLOOKUP(F270,Summary_Pre!E:F,2,FALSE),0),0)</f>
        <v>0</v>
      </c>
      <c r="E270" s="249" t="e">
        <f t="shared" si="19"/>
        <v>#N/A</v>
      </c>
      <c r="F270" s="2" t="e">
        <f t="array" ref="F270">INDEX(Summary_Pre!E$4:E$303, MATCH(0, COUNTIF($F$2:F269,Summary_Pre!E$4:E$303), 0))</f>
        <v>#N/A</v>
      </c>
      <c r="G270" s="271" t="e">
        <f>VLOOKUP(X270,Table7[[#All],[FIXTURE CODE]:[WATT/ FIXT]], 6, FALSE)</f>
        <v>#N/A</v>
      </c>
      <c r="H270" s="271" t="e">
        <f>VLOOKUP(Y270,Table7[[#All],[FIXTURE CODE]:[WATT/ FIXT]], 6, FALSE)</f>
        <v>#N/A</v>
      </c>
      <c r="I270" s="272">
        <f>SUMIF(Summary_Pre!E:E,"="&amp;F270,Summary_Pre!D:D)</f>
        <v>0</v>
      </c>
      <c r="J270" s="263">
        <f>SUMIF(Summary_Pre!E:E,"="&amp;F270,Summary_Pre!H:H)</f>
        <v>0</v>
      </c>
      <c r="K270" s="262">
        <f>SUMIF(Summary_Pre!E:E,"="&amp; F270,Summary_Pre!I:I)</f>
        <v>0</v>
      </c>
      <c r="L270" s="3">
        <f>SUMIF(Summary_Pre!E:E,"="&amp; F270,Summary_Pre!J:J)</f>
        <v>0</v>
      </c>
      <c r="M270" s="285">
        <f>SUMIF(Summary_Pre!E:E,"="&amp; F270,Summary_Pre!K:K)</f>
        <v>0</v>
      </c>
      <c r="N270" s="285">
        <f>SUMIF(Summary_Pre!E:E,"="&amp;F270,Summary_Pre!C:C)</f>
        <v>0</v>
      </c>
      <c r="O270" s="266">
        <f t="shared" si="20"/>
        <v>0</v>
      </c>
      <c r="P270" s="3"/>
      <c r="Q270" s="3"/>
      <c r="R270" s="3"/>
      <c r="S270" s="3"/>
      <c r="T270" s="3"/>
      <c r="U270" s="3"/>
      <c r="V270" s="3"/>
      <c r="W270" s="2"/>
      <c r="X270" s="281" t="e">
        <f t="shared" si="17"/>
        <v>#N/A</v>
      </c>
      <c r="Y270" s="279" t="e">
        <f t="shared" si="18"/>
        <v>#N/A</v>
      </c>
    </row>
    <row r="271" spans="1:25">
      <c r="A271" s="249" t="e">
        <f>IF(D271='Tables &amp; Ranges'!$A$133, 'Tables &amp; Ranges'!$B$133, IF(D271='Tables &amp; Ranges'!$A$134, 'Tables &amp; Ranges'!$B$134, IF(D271='Tables &amp; Ranges'!$A$135, 'Tables &amp; Ranges'!$B$135, IF(D271='Tables &amp; Ranges'!$A$136, 'Tables &amp; Ranges'!$B$136, IF(D271='Tables &amp; Ranges'!$A$99, 'Tables &amp; Ranges'!$B$116, VLOOKUP(X271,'Fixture Table'!$C$3:$M$1785, 10, FALSE))))))</f>
        <v>#N/A</v>
      </c>
      <c r="D271" s="2">
        <f>IFERROR(_xlfn.IFNA(VLOOKUP(F271,Summary_Pre!E:F,2,FALSE),0),0)</f>
        <v>0</v>
      </c>
      <c r="E271" s="249" t="e">
        <f t="shared" si="19"/>
        <v>#N/A</v>
      </c>
      <c r="F271" s="2" t="e">
        <f t="array" ref="F271">INDEX(Summary_Pre!E$4:E$303, MATCH(0, COUNTIF($F$2:F270,Summary_Pre!E$4:E$303), 0))</f>
        <v>#N/A</v>
      </c>
      <c r="G271" s="271" t="e">
        <f>VLOOKUP(X271,Table7[[#All],[FIXTURE CODE]:[WATT/ FIXT]], 6, FALSE)</f>
        <v>#N/A</v>
      </c>
      <c r="H271" s="271" t="e">
        <f>VLOOKUP(Y271,Table7[[#All],[FIXTURE CODE]:[WATT/ FIXT]], 6, FALSE)</f>
        <v>#N/A</v>
      </c>
      <c r="I271" s="272">
        <f>SUMIF(Summary_Pre!E:E,"="&amp;F271,Summary_Pre!D:D)</f>
        <v>0</v>
      </c>
      <c r="J271" s="263">
        <f>SUMIF(Summary_Pre!E:E,"="&amp;F271,Summary_Pre!H:H)</f>
        <v>0</v>
      </c>
      <c r="K271" s="262">
        <f>SUMIF(Summary_Pre!E:E,"="&amp; F271,Summary_Pre!I:I)</f>
        <v>0</v>
      </c>
      <c r="L271" s="3">
        <f>SUMIF(Summary_Pre!E:E,"="&amp; F271,Summary_Pre!J:J)</f>
        <v>0</v>
      </c>
      <c r="M271" s="285">
        <f>SUMIF(Summary_Pre!E:E,"="&amp; F271,Summary_Pre!K:K)</f>
        <v>0</v>
      </c>
      <c r="N271" s="285">
        <f>SUMIF(Summary_Pre!E:E,"="&amp;F271,Summary_Pre!C:C)</f>
        <v>0</v>
      </c>
      <c r="O271" s="266">
        <f t="shared" si="20"/>
        <v>0</v>
      </c>
      <c r="P271" s="3"/>
      <c r="Q271" s="3"/>
      <c r="R271" s="3"/>
      <c r="S271" s="3"/>
      <c r="T271" s="3"/>
      <c r="U271" s="3"/>
      <c r="V271" s="3"/>
      <c r="W271" s="2"/>
      <c r="X271" s="281" t="e">
        <f t="shared" si="17"/>
        <v>#N/A</v>
      </c>
      <c r="Y271" s="279" t="e">
        <f t="shared" si="18"/>
        <v>#N/A</v>
      </c>
    </row>
    <row r="272" spans="1:25">
      <c r="A272" s="249" t="e">
        <f>IF(D272='Tables &amp; Ranges'!$A$133, 'Tables &amp; Ranges'!$B$133, IF(D272='Tables &amp; Ranges'!$A$134, 'Tables &amp; Ranges'!$B$134, IF(D272='Tables &amp; Ranges'!$A$135, 'Tables &amp; Ranges'!$B$135, IF(D272='Tables &amp; Ranges'!$A$136, 'Tables &amp; Ranges'!$B$136, IF(D272='Tables &amp; Ranges'!$A$99, 'Tables &amp; Ranges'!$B$116, VLOOKUP(X272,'Fixture Table'!$C$3:$M$1785, 10, FALSE))))))</f>
        <v>#N/A</v>
      </c>
      <c r="D272" s="2">
        <f>IFERROR(_xlfn.IFNA(VLOOKUP(F272,Summary_Pre!E:F,2,FALSE),0),0)</f>
        <v>0</v>
      </c>
      <c r="E272" s="249" t="e">
        <f t="shared" si="19"/>
        <v>#N/A</v>
      </c>
      <c r="F272" s="2" t="e">
        <f t="array" ref="F272">INDEX(Summary_Pre!E$4:E$303, MATCH(0, COUNTIF($F$2:F271,Summary_Pre!E$4:E$303), 0))</f>
        <v>#N/A</v>
      </c>
      <c r="G272" s="271" t="e">
        <f>VLOOKUP(X272,Table7[[#All],[FIXTURE CODE]:[WATT/ FIXT]], 6, FALSE)</f>
        <v>#N/A</v>
      </c>
      <c r="H272" s="271" t="e">
        <f>VLOOKUP(Y272,Table7[[#All],[FIXTURE CODE]:[WATT/ FIXT]], 6, FALSE)</f>
        <v>#N/A</v>
      </c>
      <c r="I272" s="272">
        <f>SUMIF(Summary_Pre!E:E,"="&amp;F272,Summary_Pre!D:D)</f>
        <v>0</v>
      </c>
      <c r="J272" s="263">
        <f>SUMIF(Summary_Pre!E:E,"="&amp;F272,Summary_Pre!H:H)</f>
        <v>0</v>
      </c>
      <c r="K272" s="262">
        <f>SUMIF(Summary_Pre!E:E,"="&amp; F272,Summary_Pre!I:I)</f>
        <v>0</v>
      </c>
      <c r="L272" s="3">
        <f>SUMIF(Summary_Pre!E:E,"="&amp; F272,Summary_Pre!J:J)</f>
        <v>0</v>
      </c>
      <c r="M272" s="285">
        <f>SUMIF(Summary_Pre!E:E,"="&amp; F272,Summary_Pre!K:K)</f>
        <v>0</v>
      </c>
      <c r="N272" s="285">
        <f>SUMIF(Summary_Pre!E:E,"="&amp;F272,Summary_Pre!C:C)</f>
        <v>0</v>
      </c>
      <c r="O272" s="266">
        <f t="shared" si="20"/>
        <v>0</v>
      </c>
      <c r="P272" s="3"/>
      <c r="Q272" s="3"/>
      <c r="R272" s="3"/>
      <c r="S272" s="3"/>
      <c r="T272" s="3"/>
      <c r="U272" s="3"/>
      <c r="V272" s="3"/>
      <c r="W272" s="2"/>
      <c r="X272" s="281" t="e">
        <f t="shared" si="17"/>
        <v>#N/A</v>
      </c>
      <c r="Y272" s="279" t="e">
        <f t="shared" si="18"/>
        <v>#N/A</v>
      </c>
    </row>
    <row r="273" spans="1:25">
      <c r="A273" s="249" t="e">
        <f>IF(D273='Tables &amp; Ranges'!$A$133, 'Tables &amp; Ranges'!$B$133, IF(D273='Tables &amp; Ranges'!$A$134, 'Tables &amp; Ranges'!$B$134, IF(D273='Tables &amp; Ranges'!$A$135, 'Tables &amp; Ranges'!$B$135, IF(D273='Tables &amp; Ranges'!$A$136, 'Tables &amp; Ranges'!$B$136, IF(D273='Tables &amp; Ranges'!$A$99, 'Tables &amp; Ranges'!$B$116, VLOOKUP(X273,'Fixture Table'!$C$3:$M$1785, 10, FALSE))))))</f>
        <v>#N/A</v>
      </c>
      <c r="D273" s="2">
        <f>IFERROR(_xlfn.IFNA(VLOOKUP(F273,Summary_Pre!E:F,2,FALSE),0),0)</f>
        <v>0</v>
      </c>
      <c r="E273" s="249" t="e">
        <f t="shared" si="19"/>
        <v>#N/A</v>
      </c>
      <c r="F273" s="2" t="e">
        <f t="array" ref="F273">INDEX(Summary_Pre!E$4:E$303, MATCH(0, COUNTIF($F$2:F272,Summary_Pre!E$4:E$303), 0))</f>
        <v>#N/A</v>
      </c>
      <c r="G273" s="271" t="e">
        <f>VLOOKUP(X273,Table7[[#All],[FIXTURE CODE]:[WATT/ FIXT]], 6, FALSE)</f>
        <v>#N/A</v>
      </c>
      <c r="H273" s="271" t="e">
        <f>VLOOKUP(Y273,Table7[[#All],[FIXTURE CODE]:[WATT/ FIXT]], 6, FALSE)</f>
        <v>#N/A</v>
      </c>
      <c r="I273" s="272">
        <f>SUMIF(Summary_Pre!E:E,"="&amp;F273,Summary_Pre!D:D)</f>
        <v>0</v>
      </c>
      <c r="J273" s="263">
        <f>SUMIF(Summary_Pre!E:E,"="&amp;F273,Summary_Pre!H:H)</f>
        <v>0</v>
      </c>
      <c r="K273" s="262">
        <f>SUMIF(Summary_Pre!E:E,"="&amp; F273,Summary_Pre!I:I)</f>
        <v>0</v>
      </c>
      <c r="L273" s="3">
        <f>SUMIF(Summary_Pre!E:E,"="&amp; F273,Summary_Pre!J:J)</f>
        <v>0</v>
      </c>
      <c r="M273" s="285">
        <f>SUMIF(Summary_Pre!E:E,"="&amp; F273,Summary_Pre!K:K)</f>
        <v>0</v>
      </c>
      <c r="N273" s="285">
        <f>SUMIF(Summary_Pre!E:E,"="&amp;F273,Summary_Pre!C:C)</f>
        <v>0</v>
      </c>
      <c r="O273" s="266">
        <f t="shared" si="20"/>
        <v>0</v>
      </c>
      <c r="P273" s="3"/>
      <c r="Q273" s="3"/>
      <c r="R273" s="3"/>
      <c r="S273" s="3"/>
      <c r="T273" s="3"/>
      <c r="U273" s="3"/>
      <c r="V273" s="3"/>
      <c r="W273" s="2"/>
      <c r="X273" s="281" t="e">
        <f t="shared" si="17"/>
        <v>#N/A</v>
      </c>
      <c r="Y273" s="279" t="e">
        <f t="shared" si="18"/>
        <v>#N/A</v>
      </c>
    </row>
    <row r="274" spans="1:25">
      <c r="A274" s="249" t="e">
        <f>IF(D274='Tables &amp; Ranges'!$A$133, 'Tables &amp; Ranges'!$B$133, IF(D274='Tables &amp; Ranges'!$A$134, 'Tables &amp; Ranges'!$B$134, IF(D274='Tables &amp; Ranges'!$A$135, 'Tables &amp; Ranges'!$B$135, IF(D274='Tables &amp; Ranges'!$A$136, 'Tables &amp; Ranges'!$B$136, IF(D274='Tables &amp; Ranges'!$A$99, 'Tables &amp; Ranges'!$B$116, VLOOKUP(X274,'Fixture Table'!$C$3:$M$1785, 10, FALSE))))))</f>
        <v>#N/A</v>
      </c>
      <c r="D274" s="2">
        <f>IFERROR(_xlfn.IFNA(VLOOKUP(F274,Summary_Pre!E:F,2,FALSE),0),0)</f>
        <v>0</v>
      </c>
      <c r="E274" s="249" t="e">
        <f t="shared" si="19"/>
        <v>#N/A</v>
      </c>
      <c r="F274" s="2" t="e">
        <f t="array" ref="F274">INDEX(Summary_Pre!E$4:E$303, MATCH(0, COUNTIF($F$2:F273,Summary_Pre!E$4:E$303), 0))</f>
        <v>#N/A</v>
      </c>
      <c r="G274" s="271" t="e">
        <f>VLOOKUP(X274,Table7[[#All],[FIXTURE CODE]:[WATT/ FIXT]], 6, FALSE)</f>
        <v>#N/A</v>
      </c>
      <c r="H274" s="271" t="e">
        <f>VLOOKUP(Y274,Table7[[#All],[FIXTURE CODE]:[WATT/ FIXT]], 6, FALSE)</f>
        <v>#N/A</v>
      </c>
      <c r="I274" s="272">
        <f>SUMIF(Summary_Pre!E:E,"="&amp;F274,Summary_Pre!D:D)</f>
        <v>0</v>
      </c>
      <c r="J274" s="263">
        <f>SUMIF(Summary_Pre!E:E,"="&amp;F274,Summary_Pre!H:H)</f>
        <v>0</v>
      </c>
      <c r="K274" s="262">
        <f>SUMIF(Summary_Pre!E:E,"="&amp; F274,Summary_Pre!I:I)</f>
        <v>0</v>
      </c>
      <c r="L274" s="3">
        <f>SUMIF(Summary_Pre!E:E,"="&amp; F274,Summary_Pre!J:J)</f>
        <v>0</v>
      </c>
      <c r="M274" s="285">
        <f>SUMIF(Summary_Pre!E:E,"="&amp; F274,Summary_Pre!K:K)</f>
        <v>0</v>
      </c>
      <c r="N274" s="285">
        <f>SUMIF(Summary_Pre!E:E,"="&amp;F274,Summary_Pre!C:C)</f>
        <v>0</v>
      </c>
      <c r="O274" s="266">
        <f t="shared" si="20"/>
        <v>0</v>
      </c>
      <c r="P274" s="3"/>
      <c r="Q274" s="3"/>
      <c r="R274" s="3"/>
      <c r="S274" s="3"/>
      <c r="T274" s="3"/>
      <c r="U274" s="3"/>
      <c r="V274" s="3"/>
      <c r="W274" s="2"/>
      <c r="X274" s="281" t="e">
        <f t="shared" si="17"/>
        <v>#N/A</v>
      </c>
      <c r="Y274" s="279" t="e">
        <f t="shared" si="18"/>
        <v>#N/A</v>
      </c>
    </row>
    <row r="275" spans="1:25">
      <c r="A275" s="249" t="e">
        <f>IF(D275='Tables &amp; Ranges'!$A$133, 'Tables &amp; Ranges'!$B$133, IF(D275='Tables &amp; Ranges'!$A$134, 'Tables &amp; Ranges'!$B$134, IF(D275='Tables &amp; Ranges'!$A$135, 'Tables &amp; Ranges'!$B$135, IF(D275='Tables &amp; Ranges'!$A$136, 'Tables &amp; Ranges'!$B$136, IF(D275='Tables &amp; Ranges'!$A$99, 'Tables &amp; Ranges'!$B$116, VLOOKUP(X275,'Fixture Table'!$C$3:$M$1785, 10, FALSE))))))</f>
        <v>#N/A</v>
      </c>
      <c r="D275" s="2">
        <f>IFERROR(_xlfn.IFNA(VLOOKUP(F275,Summary_Pre!E:F,2,FALSE),0),0)</f>
        <v>0</v>
      </c>
      <c r="E275" s="249" t="e">
        <f t="shared" si="19"/>
        <v>#N/A</v>
      </c>
      <c r="F275" s="2" t="e">
        <f t="array" ref="F275">INDEX(Summary_Pre!E$4:E$303, MATCH(0, COUNTIF($F$2:F274,Summary_Pre!E$4:E$303), 0))</f>
        <v>#N/A</v>
      </c>
      <c r="G275" s="271" t="e">
        <f>VLOOKUP(X275,Table7[[#All],[FIXTURE CODE]:[WATT/ FIXT]], 6, FALSE)</f>
        <v>#N/A</v>
      </c>
      <c r="H275" s="271" t="e">
        <f>VLOOKUP(Y275,Table7[[#All],[FIXTURE CODE]:[WATT/ FIXT]], 6, FALSE)</f>
        <v>#N/A</v>
      </c>
      <c r="I275" s="272">
        <f>SUMIF(Summary_Pre!E:E,"="&amp;F275,Summary_Pre!D:D)</f>
        <v>0</v>
      </c>
      <c r="J275" s="263">
        <f>SUMIF(Summary_Pre!E:E,"="&amp;F275,Summary_Pre!H:H)</f>
        <v>0</v>
      </c>
      <c r="K275" s="262">
        <f>SUMIF(Summary_Pre!E:E,"="&amp; F275,Summary_Pre!I:I)</f>
        <v>0</v>
      </c>
      <c r="L275" s="3">
        <f>SUMIF(Summary_Pre!E:E,"="&amp; F275,Summary_Pre!J:J)</f>
        <v>0</v>
      </c>
      <c r="M275" s="285">
        <f>SUMIF(Summary_Pre!E:E,"="&amp; F275,Summary_Pre!K:K)</f>
        <v>0</v>
      </c>
      <c r="N275" s="285">
        <f>SUMIF(Summary_Pre!E:E,"="&amp;F275,Summary_Pre!C:C)</f>
        <v>0</v>
      </c>
      <c r="O275" s="266">
        <f t="shared" si="20"/>
        <v>0</v>
      </c>
      <c r="P275" s="3"/>
      <c r="Q275" s="3"/>
      <c r="R275" s="3"/>
      <c r="S275" s="3"/>
      <c r="T275" s="3"/>
      <c r="U275" s="3"/>
      <c r="V275" s="3"/>
      <c r="W275" s="2"/>
      <c r="X275" s="281" t="e">
        <f t="shared" si="17"/>
        <v>#N/A</v>
      </c>
      <c r="Y275" s="279" t="e">
        <f t="shared" si="18"/>
        <v>#N/A</v>
      </c>
    </row>
    <row r="276" spans="1:25">
      <c r="A276" s="249" t="e">
        <f>IF(D276='Tables &amp; Ranges'!$A$133, 'Tables &amp; Ranges'!$B$133, IF(D276='Tables &amp; Ranges'!$A$134, 'Tables &amp; Ranges'!$B$134, IF(D276='Tables &amp; Ranges'!$A$135, 'Tables &amp; Ranges'!$B$135, IF(D276='Tables &amp; Ranges'!$A$136, 'Tables &amp; Ranges'!$B$136, IF(D276='Tables &amp; Ranges'!$A$99, 'Tables &amp; Ranges'!$B$116, VLOOKUP(X276,'Fixture Table'!$C$3:$M$1785, 10, FALSE))))))</f>
        <v>#N/A</v>
      </c>
      <c r="D276" s="2">
        <f>IFERROR(_xlfn.IFNA(VLOOKUP(F276,Summary_Pre!E:F,2,FALSE),0),0)</f>
        <v>0</v>
      </c>
      <c r="E276" s="249" t="e">
        <f t="shared" si="19"/>
        <v>#N/A</v>
      </c>
      <c r="F276" s="2" t="e">
        <f t="array" ref="F276">INDEX(Summary_Pre!E$4:E$303, MATCH(0, COUNTIF($F$2:F275,Summary_Pre!E$4:E$303), 0))</f>
        <v>#N/A</v>
      </c>
      <c r="G276" s="271" t="e">
        <f>VLOOKUP(X276,Table7[[#All],[FIXTURE CODE]:[WATT/ FIXT]], 6, FALSE)</f>
        <v>#N/A</v>
      </c>
      <c r="H276" s="271" t="e">
        <f>VLOOKUP(Y276,Table7[[#All],[FIXTURE CODE]:[WATT/ FIXT]], 6, FALSE)</f>
        <v>#N/A</v>
      </c>
      <c r="I276" s="272">
        <f>SUMIF(Summary_Pre!E:E,"="&amp;F276,Summary_Pre!D:D)</f>
        <v>0</v>
      </c>
      <c r="J276" s="263">
        <f>SUMIF(Summary_Pre!E:E,"="&amp;F276,Summary_Pre!H:H)</f>
        <v>0</v>
      </c>
      <c r="K276" s="262">
        <f>SUMIF(Summary_Pre!E:E,"="&amp; F276,Summary_Pre!I:I)</f>
        <v>0</v>
      </c>
      <c r="L276" s="3">
        <f>SUMIF(Summary_Pre!E:E,"="&amp; F276,Summary_Pre!J:J)</f>
        <v>0</v>
      </c>
      <c r="M276" s="285">
        <f>SUMIF(Summary_Pre!E:E,"="&amp; F276,Summary_Pre!K:K)</f>
        <v>0</v>
      </c>
      <c r="N276" s="285">
        <f>SUMIF(Summary_Pre!E:E,"="&amp;F276,Summary_Pre!C:C)</f>
        <v>0</v>
      </c>
      <c r="O276" s="266">
        <f t="shared" si="20"/>
        <v>0</v>
      </c>
      <c r="P276" s="3"/>
      <c r="Q276" s="3"/>
      <c r="R276" s="3"/>
      <c r="S276" s="3"/>
      <c r="T276" s="3"/>
      <c r="U276" s="3"/>
      <c r="V276" s="3"/>
      <c r="W276" s="2"/>
      <c r="X276" s="281" t="e">
        <f t="shared" si="17"/>
        <v>#N/A</v>
      </c>
      <c r="Y276" s="279" t="e">
        <f t="shared" si="18"/>
        <v>#N/A</v>
      </c>
    </row>
    <row r="277" spans="1:25">
      <c r="A277" s="249" t="e">
        <f>IF(D277='Tables &amp; Ranges'!$A$133, 'Tables &amp; Ranges'!$B$133, IF(D277='Tables &amp; Ranges'!$A$134, 'Tables &amp; Ranges'!$B$134, IF(D277='Tables &amp; Ranges'!$A$135, 'Tables &amp; Ranges'!$B$135, IF(D277='Tables &amp; Ranges'!$A$136, 'Tables &amp; Ranges'!$B$136, IF(D277='Tables &amp; Ranges'!$A$99, 'Tables &amp; Ranges'!$B$116, VLOOKUP(X277,'Fixture Table'!$C$3:$M$1785, 10, FALSE))))))</f>
        <v>#N/A</v>
      </c>
      <c r="D277" s="2">
        <f>IFERROR(_xlfn.IFNA(VLOOKUP(F277,Summary_Pre!E:F,2,FALSE),0),0)</f>
        <v>0</v>
      </c>
      <c r="E277" s="249" t="e">
        <f t="shared" si="19"/>
        <v>#N/A</v>
      </c>
      <c r="F277" s="2" t="e">
        <f t="array" ref="F277">INDEX(Summary_Pre!E$4:E$303, MATCH(0, COUNTIF($F$2:F276,Summary_Pre!E$4:E$303), 0))</f>
        <v>#N/A</v>
      </c>
      <c r="G277" s="271" t="e">
        <f>VLOOKUP(X277,Table7[[#All],[FIXTURE CODE]:[WATT/ FIXT]], 6, FALSE)</f>
        <v>#N/A</v>
      </c>
      <c r="H277" s="271" t="e">
        <f>VLOOKUP(Y277,Table7[[#All],[FIXTURE CODE]:[WATT/ FIXT]], 6, FALSE)</f>
        <v>#N/A</v>
      </c>
      <c r="I277" s="272">
        <f>SUMIF(Summary_Pre!E:E,"="&amp;F277,Summary_Pre!D:D)</f>
        <v>0</v>
      </c>
      <c r="J277" s="263">
        <f>SUMIF(Summary_Pre!E:E,"="&amp;F277,Summary_Pre!H:H)</f>
        <v>0</v>
      </c>
      <c r="K277" s="262">
        <f>SUMIF(Summary_Pre!E:E,"="&amp; F277,Summary_Pre!I:I)</f>
        <v>0</v>
      </c>
      <c r="L277" s="3">
        <f>SUMIF(Summary_Pre!E:E,"="&amp; F277,Summary_Pre!J:J)</f>
        <v>0</v>
      </c>
      <c r="M277" s="285">
        <f>SUMIF(Summary_Pre!E:E,"="&amp; F277,Summary_Pre!K:K)</f>
        <v>0</v>
      </c>
      <c r="N277" s="285">
        <f>SUMIF(Summary_Pre!E:E,"="&amp;F277,Summary_Pre!C:C)</f>
        <v>0</v>
      </c>
      <c r="O277" s="266">
        <f t="shared" si="20"/>
        <v>0</v>
      </c>
      <c r="P277" s="3"/>
      <c r="Q277" s="3"/>
      <c r="R277" s="3"/>
      <c r="S277" s="3"/>
      <c r="T277" s="3"/>
      <c r="U277" s="3"/>
      <c r="V277" s="3"/>
      <c r="W277" s="2"/>
      <c r="X277" s="281" t="e">
        <f t="shared" si="17"/>
        <v>#N/A</v>
      </c>
      <c r="Y277" s="279" t="e">
        <f t="shared" si="18"/>
        <v>#N/A</v>
      </c>
    </row>
    <row r="278" spans="1:25">
      <c r="A278" s="249" t="e">
        <f>IF(D278='Tables &amp; Ranges'!$A$133, 'Tables &amp; Ranges'!$B$133, IF(D278='Tables &amp; Ranges'!$A$134, 'Tables &amp; Ranges'!$B$134, IF(D278='Tables &amp; Ranges'!$A$135, 'Tables &amp; Ranges'!$B$135, IF(D278='Tables &amp; Ranges'!$A$136, 'Tables &amp; Ranges'!$B$136, IF(D278='Tables &amp; Ranges'!$A$99, 'Tables &amp; Ranges'!$B$116, VLOOKUP(X278,'Fixture Table'!$C$3:$M$1785, 10, FALSE))))))</f>
        <v>#N/A</v>
      </c>
      <c r="D278" s="2">
        <f>IFERROR(_xlfn.IFNA(VLOOKUP(F278,Summary_Pre!E:F,2,FALSE),0),0)</f>
        <v>0</v>
      </c>
      <c r="E278" s="249" t="e">
        <f t="shared" si="19"/>
        <v>#N/A</v>
      </c>
      <c r="F278" s="2" t="e">
        <f t="array" ref="F278">INDEX(Summary_Pre!E$4:E$303, MATCH(0, COUNTIF($F$2:F277,Summary_Pre!E$4:E$303), 0))</f>
        <v>#N/A</v>
      </c>
      <c r="G278" s="271" t="e">
        <f>VLOOKUP(X278,Table7[[#All],[FIXTURE CODE]:[WATT/ FIXT]], 6, FALSE)</f>
        <v>#N/A</v>
      </c>
      <c r="H278" s="271" t="e">
        <f>VLOOKUP(Y278,Table7[[#All],[FIXTURE CODE]:[WATT/ FIXT]], 6, FALSE)</f>
        <v>#N/A</v>
      </c>
      <c r="I278" s="272">
        <f>SUMIF(Summary_Pre!E:E,"="&amp;F278,Summary_Pre!D:D)</f>
        <v>0</v>
      </c>
      <c r="J278" s="263">
        <f>SUMIF(Summary_Pre!E:E,"="&amp;F278,Summary_Pre!H:H)</f>
        <v>0</v>
      </c>
      <c r="K278" s="262">
        <f>SUMIF(Summary_Pre!E:E,"="&amp; F278,Summary_Pre!I:I)</f>
        <v>0</v>
      </c>
      <c r="L278" s="3">
        <f>SUMIF(Summary_Pre!E:E,"="&amp; F278,Summary_Pre!J:J)</f>
        <v>0</v>
      </c>
      <c r="M278" s="285">
        <f>SUMIF(Summary_Pre!E:E,"="&amp; F278,Summary_Pre!K:K)</f>
        <v>0</v>
      </c>
      <c r="N278" s="285">
        <f>SUMIF(Summary_Pre!E:E,"="&amp;F278,Summary_Pre!C:C)</f>
        <v>0</v>
      </c>
      <c r="O278" s="266">
        <f t="shared" si="20"/>
        <v>0</v>
      </c>
      <c r="P278" s="3"/>
      <c r="Q278" s="3"/>
      <c r="R278" s="3"/>
      <c r="S278" s="3"/>
      <c r="T278" s="3"/>
      <c r="U278" s="3"/>
      <c r="V278" s="3"/>
      <c r="W278" s="2"/>
      <c r="X278" s="281" t="e">
        <f t="shared" si="17"/>
        <v>#N/A</v>
      </c>
      <c r="Y278" s="279" t="e">
        <f t="shared" si="18"/>
        <v>#N/A</v>
      </c>
    </row>
    <row r="279" spans="1:25">
      <c r="A279" s="249" t="e">
        <f>IF(D279='Tables &amp; Ranges'!$A$133, 'Tables &amp; Ranges'!$B$133, IF(D279='Tables &amp; Ranges'!$A$134, 'Tables &amp; Ranges'!$B$134, IF(D279='Tables &amp; Ranges'!$A$135, 'Tables &amp; Ranges'!$B$135, IF(D279='Tables &amp; Ranges'!$A$136, 'Tables &amp; Ranges'!$B$136, IF(D279='Tables &amp; Ranges'!$A$99, 'Tables &amp; Ranges'!$B$116, VLOOKUP(X279,'Fixture Table'!$C$3:$M$1785, 10, FALSE))))))</f>
        <v>#N/A</v>
      </c>
      <c r="D279" s="2">
        <f>IFERROR(_xlfn.IFNA(VLOOKUP(F279,Summary_Pre!E:F,2,FALSE),0),0)</f>
        <v>0</v>
      </c>
      <c r="E279" s="249" t="e">
        <f t="shared" si="19"/>
        <v>#N/A</v>
      </c>
      <c r="F279" s="2" t="e">
        <f t="array" ref="F279">INDEX(Summary_Pre!E$4:E$303, MATCH(0, COUNTIF($F$2:F278,Summary_Pre!E$4:E$303), 0))</f>
        <v>#N/A</v>
      </c>
      <c r="G279" s="271" t="e">
        <f>VLOOKUP(X279,Table7[[#All],[FIXTURE CODE]:[WATT/ FIXT]], 6, FALSE)</f>
        <v>#N/A</v>
      </c>
      <c r="H279" s="271" t="e">
        <f>VLOOKUP(Y279,Table7[[#All],[FIXTURE CODE]:[WATT/ FIXT]], 6, FALSE)</f>
        <v>#N/A</v>
      </c>
      <c r="I279" s="272">
        <f>SUMIF(Summary_Pre!E:E,"="&amp;F279,Summary_Pre!D:D)</f>
        <v>0</v>
      </c>
      <c r="J279" s="263">
        <f>SUMIF(Summary_Pre!E:E,"="&amp;F279,Summary_Pre!H:H)</f>
        <v>0</v>
      </c>
      <c r="K279" s="262">
        <f>SUMIF(Summary_Pre!E:E,"="&amp; F279,Summary_Pre!I:I)</f>
        <v>0</v>
      </c>
      <c r="L279" s="3">
        <f>SUMIF(Summary_Pre!E:E,"="&amp; F279,Summary_Pre!J:J)</f>
        <v>0</v>
      </c>
      <c r="M279" s="285">
        <f>SUMIF(Summary_Pre!E:E,"="&amp; F279,Summary_Pre!K:K)</f>
        <v>0</v>
      </c>
      <c r="N279" s="285">
        <f>SUMIF(Summary_Pre!E:E,"="&amp;F279,Summary_Pre!C:C)</f>
        <v>0</v>
      </c>
      <c r="O279" s="266">
        <f t="shared" si="20"/>
        <v>0</v>
      </c>
      <c r="P279" s="3"/>
      <c r="Q279" s="3"/>
      <c r="R279" s="3"/>
      <c r="S279" s="3"/>
      <c r="T279" s="3"/>
      <c r="U279" s="3"/>
      <c r="V279" s="3"/>
      <c r="W279" s="2"/>
      <c r="X279" s="281" t="e">
        <f t="shared" si="17"/>
        <v>#N/A</v>
      </c>
      <c r="Y279" s="279" t="e">
        <f t="shared" si="18"/>
        <v>#N/A</v>
      </c>
    </row>
    <row r="280" spans="1:25">
      <c r="A280" s="249" t="e">
        <f>IF(D280='Tables &amp; Ranges'!$A$133, 'Tables &amp; Ranges'!$B$133, IF(D280='Tables &amp; Ranges'!$A$134, 'Tables &amp; Ranges'!$B$134, IF(D280='Tables &amp; Ranges'!$A$135, 'Tables &amp; Ranges'!$B$135, IF(D280='Tables &amp; Ranges'!$A$136, 'Tables &amp; Ranges'!$B$136, IF(D280='Tables &amp; Ranges'!$A$99, 'Tables &amp; Ranges'!$B$116, VLOOKUP(X280,'Fixture Table'!$C$3:$M$1785, 10, FALSE))))))</f>
        <v>#N/A</v>
      </c>
      <c r="D280" s="2">
        <f>IFERROR(_xlfn.IFNA(VLOOKUP(F280,Summary_Pre!E:F,2,FALSE),0),0)</f>
        <v>0</v>
      </c>
      <c r="E280" s="249" t="e">
        <f t="shared" si="19"/>
        <v>#N/A</v>
      </c>
      <c r="F280" s="2" t="e">
        <f t="array" ref="F280">INDEX(Summary_Pre!E$4:E$303, MATCH(0, COUNTIF($F$2:F279,Summary_Pre!E$4:E$303), 0))</f>
        <v>#N/A</v>
      </c>
      <c r="G280" s="271" t="e">
        <f>VLOOKUP(X280,Table7[[#All],[FIXTURE CODE]:[WATT/ FIXT]], 6, FALSE)</f>
        <v>#N/A</v>
      </c>
      <c r="H280" s="271" t="e">
        <f>VLOOKUP(Y280,Table7[[#All],[FIXTURE CODE]:[WATT/ FIXT]], 6, FALSE)</f>
        <v>#N/A</v>
      </c>
      <c r="I280" s="272">
        <f>SUMIF(Summary_Pre!E:E,"="&amp;F280,Summary_Pre!D:D)</f>
        <v>0</v>
      </c>
      <c r="J280" s="263">
        <f>SUMIF(Summary_Pre!E:E,"="&amp;F280,Summary_Pre!H:H)</f>
        <v>0</v>
      </c>
      <c r="K280" s="262">
        <f>SUMIF(Summary_Pre!E:E,"="&amp; F280,Summary_Pre!I:I)</f>
        <v>0</v>
      </c>
      <c r="L280" s="3">
        <f>SUMIF(Summary_Pre!E:E,"="&amp; F280,Summary_Pre!J:J)</f>
        <v>0</v>
      </c>
      <c r="M280" s="285">
        <f>SUMIF(Summary_Pre!E:E,"="&amp; F280,Summary_Pre!K:K)</f>
        <v>0</v>
      </c>
      <c r="N280" s="285">
        <f>SUMIF(Summary_Pre!E:E,"="&amp;F280,Summary_Pre!C:C)</f>
        <v>0</v>
      </c>
      <c r="O280" s="266">
        <f t="shared" si="20"/>
        <v>0</v>
      </c>
      <c r="P280" s="3"/>
      <c r="Q280" s="3"/>
      <c r="R280" s="3"/>
      <c r="S280" s="3"/>
      <c r="T280" s="3"/>
      <c r="U280" s="3"/>
      <c r="V280" s="3"/>
      <c r="W280" s="2"/>
      <c r="X280" s="281" t="e">
        <f t="shared" si="17"/>
        <v>#N/A</v>
      </c>
      <c r="Y280" s="279" t="e">
        <f t="shared" si="18"/>
        <v>#N/A</v>
      </c>
    </row>
    <row r="281" spans="1:25">
      <c r="A281" s="249" t="e">
        <f>IF(D281='Tables &amp; Ranges'!$A$133, 'Tables &amp; Ranges'!$B$133, IF(D281='Tables &amp; Ranges'!$A$134, 'Tables &amp; Ranges'!$B$134, IF(D281='Tables &amp; Ranges'!$A$135, 'Tables &amp; Ranges'!$B$135, IF(D281='Tables &amp; Ranges'!$A$136, 'Tables &amp; Ranges'!$B$136, IF(D281='Tables &amp; Ranges'!$A$99, 'Tables &amp; Ranges'!$B$116, VLOOKUP(X281,'Fixture Table'!$C$3:$M$1785, 10, FALSE))))))</f>
        <v>#N/A</v>
      </c>
      <c r="D281" s="2">
        <f>IFERROR(_xlfn.IFNA(VLOOKUP(F281,Summary_Pre!E:F,2,FALSE),0),0)</f>
        <v>0</v>
      </c>
      <c r="E281" s="249" t="e">
        <f t="shared" si="19"/>
        <v>#N/A</v>
      </c>
      <c r="F281" s="2" t="e">
        <f t="array" ref="F281">INDEX(Summary_Pre!E$4:E$303, MATCH(0, COUNTIF($F$2:F280,Summary_Pre!E$4:E$303), 0))</f>
        <v>#N/A</v>
      </c>
      <c r="G281" s="271" t="e">
        <f>VLOOKUP(X281,Table7[[#All],[FIXTURE CODE]:[WATT/ FIXT]], 6, FALSE)</f>
        <v>#N/A</v>
      </c>
      <c r="H281" s="271" t="e">
        <f>VLOOKUP(Y281,Table7[[#All],[FIXTURE CODE]:[WATT/ FIXT]], 6, FALSE)</f>
        <v>#N/A</v>
      </c>
      <c r="I281" s="272">
        <f>SUMIF(Summary_Pre!E:E,"="&amp;F281,Summary_Pre!D:D)</f>
        <v>0</v>
      </c>
      <c r="J281" s="263">
        <f>SUMIF(Summary_Pre!E:E,"="&amp;F281,Summary_Pre!H:H)</f>
        <v>0</v>
      </c>
      <c r="K281" s="262">
        <f>SUMIF(Summary_Pre!E:E,"="&amp; F281,Summary_Pre!I:I)</f>
        <v>0</v>
      </c>
      <c r="L281" s="3">
        <f>SUMIF(Summary_Pre!E:E,"="&amp; F281,Summary_Pre!J:J)</f>
        <v>0</v>
      </c>
      <c r="M281" s="285">
        <f>SUMIF(Summary_Pre!E:E,"="&amp; F281,Summary_Pre!K:K)</f>
        <v>0</v>
      </c>
      <c r="N281" s="285">
        <f>SUMIF(Summary_Pre!E:E,"="&amp;F281,Summary_Pre!C:C)</f>
        <v>0</v>
      </c>
      <c r="O281" s="266">
        <f t="shared" si="20"/>
        <v>0</v>
      </c>
      <c r="P281" s="3"/>
      <c r="Q281" s="3"/>
      <c r="R281" s="3"/>
      <c r="S281" s="3"/>
      <c r="T281" s="3"/>
      <c r="U281" s="3"/>
      <c r="V281" s="3"/>
      <c r="W281" s="2"/>
      <c r="X281" s="281" t="e">
        <f t="shared" si="17"/>
        <v>#N/A</v>
      </c>
      <c r="Y281" s="279" t="e">
        <f t="shared" si="18"/>
        <v>#N/A</v>
      </c>
    </row>
    <row r="282" spans="1:25">
      <c r="A282" s="249" t="e">
        <f>IF(D282='Tables &amp; Ranges'!$A$133, 'Tables &amp; Ranges'!$B$133, IF(D282='Tables &amp; Ranges'!$A$134, 'Tables &amp; Ranges'!$B$134, IF(D282='Tables &amp; Ranges'!$A$135, 'Tables &amp; Ranges'!$B$135, IF(D282='Tables &amp; Ranges'!$A$136, 'Tables &amp; Ranges'!$B$136, IF(D282='Tables &amp; Ranges'!$A$99, 'Tables &amp; Ranges'!$B$116, VLOOKUP(X282,'Fixture Table'!$C$3:$M$1785, 10, FALSE))))))</f>
        <v>#N/A</v>
      </c>
      <c r="D282" s="2">
        <f>IFERROR(_xlfn.IFNA(VLOOKUP(F282,Summary_Pre!E:F,2,FALSE),0),0)</f>
        <v>0</v>
      </c>
      <c r="E282" s="249" t="e">
        <f t="shared" si="19"/>
        <v>#N/A</v>
      </c>
      <c r="F282" s="2" t="e">
        <f t="array" ref="F282">INDEX(Summary_Pre!E$4:E$303, MATCH(0, COUNTIF($F$2:F281,Summary_Pre!E$4:E$303), 0))</f>
        <v>#N/A</v>
      </c>
      <c r="G282" s="271" t="e">
        <f>VLOOKUP(X282,Table7[[#All],[FIXTURE CODE]:[WATT/ FIXT]], 6, FALSE)</f>
        <v>#N/A</v>
      </c>
      <c r="H282" s="271" t="e">
        <f>VLOOKUP(Y282,Table7[[#All],[FIXTURE CODE]:[WATT/ FIXT]], 6, FALSE)</f>
        <v>#N/A</v>
      </c>
      <c r="I282" s="272">
        <f>SUMIF(Summary_Pre!E:E,"="&amp;F282,Summary_Pre!D:D)</f>
        <v>0</v>
      </c>
      <c r="J282" s="263">
        <f>SUMIF(Summary_Pre!E:E,"="&amp;F282,Summary_Pre!H:H)</f>
        <v>0</v>
      </c>
      <c r="K282" s="262">
        <f>SUMIF(Summary_Pre!E:E,"="&amp; F282,Summary_Pre!I:I)</f>
        <v>0</v>
      </c>
      <c r="L282" s="3">
        <f>SUMIF(Summary_Pre!E:E,"="&amp; F282,Summary_Pre!J:J)</f>
        <v>0</v>
      </c>
      <c r="M282" s="285">
        <f>SUMIF(Summary_Pre!E:E,"="&amp; F282,Summary_Pre!K:K)</f>
        <v>0</v>
      </c>
      <c r="N282" s="285">
        <f>SUMIF(Summary_Pre!E:E,"="&amp;F282,Summary_Pre!C:C)</f>
        <v>0</v>
      </c>
      <c r="O282" s="266">
        <f t="shared" si="20"/>
        <v>0</v>
      </c>
      <c r="P282" s="3"/>
      <c r="Q282" s="3"/>
      <c r="R282" s="3"/>
      <c r="S282" s="3"/>
      <c r="T282" s="3"/>
      <c r="U282" s="3"/>
      <c r="V282" s="3"/>
      <c r="W282" s="2"/>
      <c r="X282" s="281" t="e">
        <f t="shared" si="17"/>
        <v>#N/A</v>
      </c>
      <c r="Y282" s="279" t="e">
        <f t="shared" si="18"/>
        <v>#N/A</v>
      </c>
    </row>
    <row r="283" spans="1:25">
      <c r="A283" s="249" t="e">
        <f>IF(D283='Tables &amp; Ranges'!$A$133, 'Tables &amp; Ranges'!$B$133, IF(D283='Tables &amp; Ranges'!$A$134, 'Tables &amp; Ranges'!$B$134, IF(D283='Tables &amp; Ranges'!$A$135, 'Tables &amp; Ranges'!$B$135, IF(D283='Tables &amp; Ranges'!$A$136, 'Tables &amp; Ranges'!$B$136, IF(D283='Tables &amp; Ranges'!$A$99, 'Tables &amp; Ranges'!$B$116, VLOOKUP(X283,'Fixture Table'!$C$3:$M$1785, 10, FALSE))))))</f>
        <v>#N/A</v>
      </c>
      <c r="D283" s="2">
        <f>IFERROR(_xlfn.IFNA(VLOOKUP(F283,Summary_Pre!E:F,2,FALSE),0),0)</f>
        <v>0</v>
      </c>
      <c r="E283" s="249" t="e">
        <f t="shared" si="19"/>
        <v>#N/A</v>
      </c>
      <c r="F283" s="2" t="e">
        <f t="array" ref="F283">INDEX(Summary_Pre!E$4:E$303, MATCH(0, COUNTIF($F$2:F282,Summary_Pre!E$4:E$303), 0))</f>
        <v>#N/A</v>
      </c>
      <c r="G283" s="271" t="e">
        <f>VLOOKUP(X283,Table7[[#All],[FIXTURE CODE]:[WATT/ FIXT]], 6, FALSE)</f>
        <v>#N/A</v>
      </c>
      <c r="H283" s="271" t="e">
        <f>VLOOKUP(Y283,Table7[[#All],[FIXTURE CODE]:[WATT/ FIXT]], 6, FALSE)</f>
        <v>#N/A</v>
      </c>
      <c r="I283" s="272">
        <f>SUMIF(Summary_Pre!E:E,"="&amp;F283,Summary_Pre!D:D)</f>
        <v>0</v>
      </c>
      <c r="J283" s="263">
        <f>SUMIF(Summary_Pre!E:E,"="&amp;F283,Summary_Pre!H:H)</f>
        <v>0</v>
      </c>
      <c r="K283" s="262">
        <f>SUMIF(Summary_Pre!E:E,"="&amp; F283,Summary_Pre!I:I)</f>
        <v>0</v>
      </c>
      <c r="L283" s="3">
        <f>SUMIF(Summary_Pre!E:E,"="&amp; F283,Summary_Pre!J:J)</f>
        <v>0</v>
      </c>
      <c r="M283" s="285">
        <f>SUMIF(Summary_Pre!E:E,"="&amp; F283,Summary_Pre!K:K)</f>
        <v>0</v>
      </c>
      <c r="N283" s="285">
        <f>SUMIF(Summary_Pre!E:E,"="&amp;F283,Summary_Pre!C:C)</f>
        <v>0</v>
      </c>
      <c r="O283" s="266">
        <f t="shared" si="20"/>
        <v>0</v>
      </c>
      <c r="P283" s="3"/>
      <c r="Q283" s="3"/>
      <c r="R283" s="3"/>
      <c r="S283" s="3"/>
      <c r="T283" s="3"/>
      <c r="U283" s="3"/>
      <c r="V283" s="3"/>
      <c r="W283" s="2"/>
      <c r="X283" s="281" t="e">
        <f t="shared" si="17"/>
        <v>#N/A</v>
      </c>
      <c r="Y283" s="279" t="e">
        <f t="shared" si="18"/>
        <v>#N/A</v>
      </c>
    </row>
    <row r="284" spans="1:25">
      <c r="A284" s="249" t="e">
        <f>IF(D284='Tables &amp; Ranges'!$A$133, 'Tables &amp; Ranges'!$B$133, IF(D284='Tables &amp; Ranges'!$A$134, 'Tables &amp; Ranges'!$B$134, IF(D284='Tables &amp; Ranges'!$A$135, 'Tables &amp; Ranges'!$B$135, IF(D284='Tables &amp; Ranges'!$A$136, 'Tables &amp; Ranges'!$B$136, IF(D284='Tables &amp; Ranges'!$A$99, 'Tables &amp; Ranges'!$B$116, VLOOKUP(X284,'Fixture Table'!$C$3:$M$1785, 10, FALSE))))))</f>
        <v>#N/A</v>
      </c>
      <c r="D284" s="2">
        <f>IFERROR(_xlfn.IFNA(VLOOKUP(F284,Summary_Pre!E:F,2,FALSE),0),0)</f>
        <v>0</v>
      </c>
      <c r="E284" s="249" t="e">
        <f t="shared" si="19"/>
        <v>#N/A</v>
      </c>
      <c r="F284" s="2" t="e">
        <f t="array" ref="F284">INDEX(Summary_Pre!E$4:E$303, MATCH(0, COUNTIF($F$2:F283,Summary_Pre!E$4:E$303), 0))</f>
        <v>#N/A</v>
      </c>
      <c r="G284" s="271" t="e">
        <f>VLOOKUP(X284,Table7[[#All],[FIXTURE CODE]:[WATT/ FIXT]], 6, FALSE)</f>
        <v>#N/A</v>
      </c>
      <c r="H284" s="271" t="e">
        <f>VLOOKUP(Y284,Table7[[#All],[FIXTURE CODE]:[WATT/ FIXT]], 6, FALSE)</f>
        <v>#N/A</v>
      </c>
      <c r="I284" s="272">
        <f>SUMIF(Summary_Pre!E:E,"="&amp;F284,Summary_Pre!D:D)</f>
        <v>0</v>
      </c>
      <c r="J284" s="263">
        <f>SUMIF(Summary_Pre!E:E,"="&amp;F284,Summary_Pre!H:H)</f>
        <v>0</v>
      </c>
      <c r="K284" s="262">
        <f>SUMIF(Summary_Pre!E:E,"="&amp; F284,Summary_Pre!I:I)</f>
        <v>0</v>
      </c>
      <c r="L284" s="3">
        <f>SUMIF(Summary_Pre!E:E,"="&amp; F284,Summary_Pre!J:J)</f>
        <v>0</v>
      </c>
      <c r="M284" s="285">
        <f>SUMIF(Summary_Pre!E:E,"="&amp; F284,Summary_Pre!K:K)</f>
        <v>0</v>
      </c>
      <c r="N284" s="285">
        <f>SUMIF(Summary_Pre!E:E,"="&amp;F284,Summary_Pre!C:C)</f>
        <v>0</v>
      </c>
      <c r="O284" s="266">
        <f t="shared" si="20"/>
        <v>0</v>
      </c>
      <c r="P284" s="3"/>
      <c r="Q284" s="3"/>
      <c r="R284" s="3"/>
      <c r="S284" s="3"/>
      <c r="T284" s="3"/>
      <c r="U284" s="3"/>
      <c r="V284" s="3"/>
      <c r="W284" s="2"/>
      <c r="X284" s="281" t="e">
        <f t="shared" si="17"/>
        <v>#N/A</v>
      </c>
      <c r="Y284" s="279" t="e">
        <f t="shared" si="18"/>
        <v>#N/A</v>
      </c>
    </row>
    <row r="285" spans="1:25">
      <c r="A285" s="249" t="e">
        <f>IF(D285='Tables &amp; Ranges'!$A$133, 'Tables &amp; Ranges'!$B$133, IF(D285='Tables &amp; Ranges'!$A$134, 'Tables &amp; Ranges'!$B$134, IF(D285='Tables &amp; Ranges'!$A$135, 'Tables &amp; Ranges'!$B$135, IF(D285='Tables &amp; Ranges'!$A$136, 'Tables &amp; Ranges'!$B$136, IF(D285='Tables &amp; Ranges'!$A$99, 'Tables &amp; Ranges'!$B$116, VLOOKUP(X285,'Fixture Table'!$C$3:$M$1785, 10, FALSE))))))</f>
        <v>#N/A</v>
      </c>
      <c r="D285" s="2">
        <f>IFERROR(_xlfn.IFNA(VLOOKUP(F285,Summary_Pre!E:F,2,FALSE),0),0)</f>
        <v>0</v>
      </c>
      <c r="E285" s="249" t="e">
        <f t="shared" si="19"/>
        <v>#N/A</v>
      </c>
      <c r="F285" s="2" t="e">
        <f t="array" ref="F285">INDEX(Summary_Pre!E$4:E$303, MATCH(0, COUNTIF($F$2:F284,Summary_Pre!E$4:E$303), 0))</f>
        <v>#N/A</v>
      </c>
      <c r="G285" s="271" t="e">
        <f>VLOOKUP(X285,Table7[[#All],[FIXTURE CODE]:[WATT/ FIXT]], 6, FALSE)</f>
        <v>#N/A</v>
      </c>
      <c r="H285" s="271" t="e">
        <f>VLOOKUP(Y285,Table7[[#All],[FIXTURE CODE]:[WATT/ FIXT]], 6, FALSE)</f>
        <v>#N/A</v>
      </c>
      <c r="I285" s="272">
        <f>SUMIF(Summary_Pre!E:E,"="&amp;F285,Summary_Pre!D:D)</f>
        <v>0</v>
      </c>
      <c r="J285" s="263">
        <f>SUMIF(Summary_Pre!E:E,"="&amp;F285,Summary_Pre!H:H)</f>
        <v>0</v>
      </c>
      <c r="K285" s="262">
        <f>SUMIF(Summary_Pre!E:E,"="&amp; F285,Summary_Pre!I:I)</f>
        <v>0</v>
      </c>
      <c r="L285" s="3">
        <f>SUMIF(Summary_Pre!E:E,"="&amp; F285,Summary_Pre!J:J)</f>
        <v>0</v>
      </c>
      <c r="M285" s="285">
        <f>SUMIF(Summary_Pre!E:E,"="&amp; F285,Summary_Pre!K:K)</f>
        <v>0</v>
      </c>
      <c r="N285" s="285">
        <f>SUMIF(Summary_Pre!E:E,"="&amp;F285,Summary_Pre!C:C)</f>
        <v>0</v>
      </c>
      <c r="O285" s="266">
        <f t="shared" si="20"/>
        <v>0</v>
      </c>
      <c r="P285" s="3"/>
      <c r="Q285" s="3"/>
      <c r="R285" s="3"/>
      <c r="S285" s="3"/>
      <c r="T285" s="3"/>
      <c r="U285" s="3"/>
      <c r="V285" s="3"/>
      <c r="W285" s="2"/>
      <c r="X285" s="281" t="e">
        <f t="shared" si="17"/>
        <v>#N/A</v>
      </c>
      <c r="Y285" s="279" t="e">
        <f t="shared" si="18"/>
        <v>#N/A</v>
      </c>
    </row>
    <row r="286" spans="1:25">
      <c r="A286" s="249" t="e">
        <f>IF(D286='Tables &amp; Ranges'!$A$133, 'Tables &amp; Ranges'!$B$133, IF(D286='Tables &amp; Ranges'!$A$134, 'Tables &amp; Ranges'!$B$134, IF(D286='Tables &amp; Ranges'!$A$135, 'Tables &amp; Ranges'!$B$135, IF(D286='Tables &amp; Ranges'!$A$136, 'Tables &amp; Ranges'!$B$136, IF(D286='Tables &amp; Ranges'!$A$99, 'Tables &amp; Ranges'!$B$116, VLOOKUP(X286,'Fixture Table'!$C$3:$M$1785, 10, FALSE))))))</f>
        <v>#N/A</v>
      </c>
      <c r="D286" s="2">
        <f>IFERROR(_xlfn.IFNA(VLOOKUP(F286,Summary_Pre!E:F,2,FALSE),0),0)</f>
        <v>0</v>
      </c>
      <c r="E286" s="249" t="e">
        <f t="shared" si="19"/>
        <v>#N/A</v>
      </c>
      <c r="F286" s="2" t="e">
        <f t="array" ref="F286">INDEX(Summary_Pre!E$4:E$303, MATCH(0, COUNTIF($F$2:F285,Summary_Pre!E$4:E$303), 0))</f>
        <v>#N/A</v>
      </c>
      <c r="G286" s="271" t="e">
        <f>VLOOKUP(X286,Table7[[#All],[FIXTURE CODE]:[WATT/ FIXT]], 6, FALSE)</f>
        <v>#N/A</v>
      </c>
      <c r="H286" s="271" t="e">
        <f>VLOOKUP(Y286,Table7[[#All],[FIXTURE CODE]:[WATT/ FIXT]], 6, FALSE)</f>
        <v>#N/A</v>
      </c>
      <c r="I286" s="272">
        <f>SUMIF(Summary_Pre!E:E,"="&amp;F286,Summary_Pre!D:D)</f>
        <v>0</v>
      </c>
      <c r="J286" s="263">
        <f>SUMIF(Summary_Pre!E:E,"="&amp;F286,Summary_Pre!H:H)</f>
        <v>0</v>
      </c>
      <c r="K286" s="262">
        <f>SUMIF(Summary_Pre!E:E,"="&amp; F286,Summary_Pre!I:I)</f>
        <v>0</v>
      </c>
      <c r="L286" s="3">
        <f>SUMIF(Summary_Pre!E:E,"="&amp; F286,Summary_Pre!J:J)</f>
        <v>0</v>
      </c>
      <c r="M286" s="285">
        <f>SUMIF(Summary_Pre!E:E,"="&amp; F286,Summary_Pre!K:K)</f>
        <v>0</v>
      </c>
      <c r="N286" s="285">
        <f>SUMIF(Summary_Pre!E:E,"="&amp;F286,Summary_Pre!C:C)</f>
        <v>0</v>
      </c>
      <c r="O286" s="266">
        <f t="shared" si="20"/>
        <v>0</v>
      </c>
      <c r="P286" s="3"/>
      <c r="Q286" s="3"/>
      <c r="R286" s="3"/>
      <c r="S286" s="3"/>
      <c r="T286" s="3"/>
      <c r="U286" s="3"/>
      <c r="V286" s="3"/>
      <c r="W286" s="2"/>
      <c r="X286" s="281" t="e">
        <f t="shared" si="17"/>
        <v>#N/A</v>
      </c>
      <c r="Y286" s="279" t="e">
        <f t="shared" si="18"/>
        <v>#N/A</v>
      </c>
    </row>
    <row r="287" spans="1:25">
      <c r="A287" s="249" t="e">
        <f>IF(D287='Tables &amp; Ranges'!$A$133, 'Tables &amp; Ranges'!$B$133, IF(D287='Tables &amp; Ranges'!$A$134, 'Tables &amp; Ranges'!$B$134, IF(D287='Tables &amp; Ranges'!$A$135, 'Tables &amp; Ranges'!$B$135, IF(D287='Tables &amp; Ranges'!$A$136, 'Tables &amp; Ranges'!$B$136, IF(D287='Tables &amp; Ranges'!$A$99, 'Tables &amp; Ranges'!$B$116, VLOOKUP(X287,'Fixture Table'!$C$3:$M$1785, 10, FALSE))))))</f>
        <v>#N/A</v>
      </c>
      <c r="D287" s="2">
        <f>IFERROR(_xlfn.IFNA(VLOOKUP(F287,Summary_Pre!E:F,2,FALSE),0),0)</f>
        <v>0</v>
      </c>
      <c r="E287" s="249" t="e">
        <f t="shared" si="19"/>
        <v>#N/A</v>
      </c>
      <c r="F287" s="2" t="e">
        <f t="array" ref="F287">INDEX(Summary_Pre!E$4:E$303, MATCH(0, COUNTIF($F$2:F286,Summary_Pre!E$4:E$303), 0))</f>
        <v>#N/A</v>
      </c>
      <c r="G287" s="271" t="e">
        <f>VLOOKUP(X287,Table7[[#All],[FIXTURE CODE]:[WATT/ FIXT]], 6, FALSE)</f>
        <v>#N/A</v>
      </c>
      <c r="H287" s="271" t="e">
        <f>VLOOKUP(Y287,Table7[[#All],[FIXTURE CODE]:[WATT/ FIXT]], 6, FALSE)</f>
        <v>#N/A</v>
      </c>
      <c r="I287" s="272">
        <f>SUMIF(Summary_Pre!E:E,"="&amp;F287,Summary_Pre!D:D)</f>
        <v>0</v>
      </c>
      <c r="J287" s="263">
        <f>SUMIF(Summary_Pre!E:E,"="&amp;F287,Summary_Pre!H:H)</f>
        <v>0</v>
      </c>
      <c r="K287" s="262">
        <f>SUMIF(Summary_Pre!E:E,"="&amp; F287,Summary_Pre!I:I)</f>
        <v>0</v>
      </c>
      <c r="L287" s="3">
        <f>SUMIF(Summary_Pre!E:E,"="&amp; F287,Summary_Pre!J:J)</f>
        <v>0</v>
      </c>
      <c r="M287" s="285">
        <f>SUMIF(Summary_Pre!E:E,"="&amp; F287,Summary_Pre!K:K)</f>
        <v>0</v>
      </c>
      <c r="N287" s="285">
        <f>SUMIF(Summary_Pre!E:E,"="&amp;F287,Summary_Pre!C:C)</f>
        <v>0</v>
      </c>
      <c r="O287" s="266">
        <f t="shared" si="20"/>
        <v>0</v>
      </c>
      <c r="P287" s="3"/>
      <c r="Q287" s="3"/>
      <c r="R287" s="3"/>
      <c r="S287" s="3"/>
      <c r="T287" s="3"/>
      <c r="U287" s="3"/>
      <c r="V287" s="3"/>
      <c r="W287" s="2"/>
      <c r="X287" s="281" t="e">
        <f t="shared" si="17"/>
        <v>#N/A</v>
      </c>
      <c r="Y287" s="279" t="e">
        <f t="shared" si="18"/>
        <v>#N/A</v>
      </c>
    </row>
    <row r="288" spans="1:25">
      <c r="A288" s="249" t="e">
        <f>IF(D288='Tables &amp; Ranges'!$A$133, 'Tables &amp; Ranges'!$B$133, IF(D288='Tables &amp; Ranges'!$A$134, 'Tables &amp; Ranges'!$B$134, IF(D288='Tables &amp; Ranges'!$A$135, 'Tables &amp; Ranges'!$B$135, IF(D288='Tables &amp; Ranges'!$A$136, 'Tables &amp; Ranges'!$B$136, IF(D288='Tables &amp; Ranges'!$A$99, 'Tables &amp; Ranges'!$B$116, VLOOKUP(X288,'Fixture Table'!$C$3:$M$1785, 10, FALSE))))))</f>
        <v>#N/A</v>
      </c>
      <c r="D288" s="2">
        <f>IFERROR(_xlfn.IFNA(VLOOKUP(F288,Summary_Pre!E:F,2,FALSE),0),0)</f>
        <v>0</v>
      </c>
      <c r="E288" s="249" t="e">
        <f t="shared" si="19"/>
        <v>#N/A</v>
      </c>
      <c r="F288" s="2" t="e">
        <f t="array" ref="F288">INDEX(Summary_Pre!E$4:E$303, MATCH(0, COUNTIF($F$2:F287,Summary_Pre!E$4:E$303), 0))</f>
        <v>#N/A</v>
      </c>
      <c r="G288" s="271" t="e">
        <f>VLOOKUP(X288,Table7[[#All],[FIXTURE CODE]:[WATT/ FIXT]], 6, FALSE)</f>
        <v>#N/A</v>
      </c>
      <c r="H288" s="271" t="e">
        <f>VLOOKUP(Y288,Table7[[#All],[FIXTURE CODE]:[WATT/ FIXT]], 6, FALSE)</f>
        <v>#N/A</v>
      </c>
      <c r="I288" s="272">
        <f>SUMIF(Summary_Pre!E:E,"="&amp;F288,Summary_Pre!D:D)</f>
        <v>0</v>
      </c>
      <c r="J288" s="263">
        <f>SUMIF(Summary_Pre!E:E,"="&amp;F288,Summary_Pre!H:H)</f>
        <v>0</v>
      </c>
      <c r="K288" s="262">
        <f>SUMIF(Summary_Pre!E:E,"="&amp; F288,Summary_Pre!I:I)</f>
        <v>0</v>
      </c>
      <c r="L288" s="3">
        <f>SUMIF(Summary_Pre!E:E,"="&amp; F288,Summary_Pre!J:J)</f>
        <v>0</v>
      </c>
      <c r="M288" s="285">
        <f>SUMIF(Summary_Pre!E:E,"="&amp; F288,Summary_Pre!K:K)</f>
        <v>0</v>
      </c>
      <c r="N288" s="285">
        <f>SUMIF(Summary_Pre!E:E,"="&amp;F288,Summary_Pre!C:C)</f>
        <v>0</v>
      </c>
      <c r="O288" s="266">
        <f t="shared" si="20"/>
        <v>0</v>
      </c>
      <c r="P288" s="3"/>
      <c r="Q288" s="3"/>
      <c r="R288" s="3"/>
      <c r="S288" s="3"/>
      <c r="T288" s="3"/>
      <c r="U288" s="3"/>
      <c r="V288" s="3"/>
      <c r="W288" s="2"/>
      <c r="X288" s="281" t="e">
        <f t="shared" si="17"/>
        <v>#N/A</v>
      </c>
      <c r="Y288" s="279" t="e">
        <f t="shared" si="18"/>
        <v>#N/A</v>
      </c>
    </row>
    <row r="289" spans="1:25">
      <c r="A289" s="249" t="e">
        <f>IF(D289='Tables &amp; Ranges'!$A$133, 'Tables &amp; Ranges'!$B$133, IF(D289='Tables &amp; Ranges'!$A$134, 'Tables &amp; Ranges'!$B$134, IF(D289='Tables &amp; Ranges'!$A$135, 'Tables &amp; Ranges'!$B$135, IF(D289='Tables &amp; Ranges'!$A$136, 'Tables &amp; Ranges'!$B$136, IF(D289='Tables &amp; Ranges'!$A$99, 'Tables &amp; Ranges'!$B$116, VLOOKUP(X289,'Fixture Table'!$C$3:$M$1785, 10, FALSE))))))</f>
        <v>#N/A</v>
      </c>
      <c r="D289" s="2">
        <f>IFERROR(_xlfn.IFNA(VLOOKUP(F289,Summary_Pre!E:F,2,FALSE),0),0)</f>
        <v>0</v>
      </c>
      <c r="E289" s="249" t="e">
        <f t="shared" si="19"/>
        <v>#N/A</v>
      </c>
      <c r="F289" s="2" t="e">
        <f t="array" ref="F289">INDEX(Summary_Pre!E$4:E$303, MATCH(0, COUNTIF($F$2:F288,Summary_Pre!E$4:E$303), 0))</f>
        <v>#N/A</v>
      </c>
      <c r="G289" s="271" t="e">
        <f>VLOOKUP(X289,Table7[[#All],[FIXTURE CODE]:[WATT/ FIXT]], 6, FALSE)</f>
        <v>#N/A</v>
      </c>
      <c r="H289" s="271" t="e">
        <f>VLOOKUP(Y289,Table7[[#All],[FIXTURE CODE]:[WATT/ FIXT]], 6, FALSE)</f>
        <v>#N/A</v>
      </c>
      <c r="I289" s="272">
        <f>SUMIF(Summary_Pre!E:E,"="&amp;F289,Summary_Pre!D:D)</f>
        <v>0</v>
      </c>
      <c r="J289" s="263">
        <f>SUMIF(Summary_Pre!E:E,"="&amp;F289,Summary_Pre!H:H)</f>
        <v>0</v>
      </c>
      <c r="K289" s="262">
        <f>SUMIF(Summary_Pre!E:E,"="&amp; F289,Summary_Pre!I:I)</f>
        <v>0</v>
      </c>
      <c r="L289" s="3">
        <f>SUMIF(Summary_Pre!E:E,"="&amp; F289,Summary_Pre!J:J)</f>
        <v>0</v>
      </c>
      <c r="M289" s="285">
        <f>SUMIF(Summary_Pre!E:E,"="&amp; F289,Summary_Pre!K:K)</f>
        <v>0</v>
      </c>
      <c r="N289" s="285">
        <f>SUMIF(Summary_Pre!E:E,"="&amp;F289,Summary_Pre!C:C)</f>
        <v>0</v>
      </c>
      <c r="O289" s="266">
        <f t="shared" si="20"/>
        <v>0</v>
      </c>
      <c r="P289" s="3"/>
      <c r="Q289" s="3"/>
      <c r="R289" s="3"/>
      <c r="S289" s="3"/>
      <c r="T289" s="3"/>
      <c r="U289" s="3"/>
      <c r="V289" s="3"/>
      <c r="W289" s="2"/>
      <c r="X289" s="281" t="e">
        <f t="shared" si="17"/>
        <v>#N/A</v>
      </c>
      <c r="Y289" s="279" t="e">
        <f t="shared" si="18"/>
        <v>#N/A</v>
      </c>
    </row>
    <row r="290" spans="1:25">
      <c r="A290" s="249" t="e">
        <f>IF(D290='Tables &amp; Ranges'!$A$133, 'Tables &amp; Ranges'!$B$133, IF(D290='Tables &amp; Ranges'!$A$134, 'Tables &amp; Ranges'!$B$134, IF(D290='Tables &amp; Ranges'!$A$135, 'Tables &amp; Ranges'!$B$135, IF(D290='Tables &amp; Ranges'!$A$136, 'Tables &amp; Ranges'!$B$136, IF(D290='Tables &amp; Ranges'!$A$99, 'Tables &amp; Ranges'!$B$116, VLOOKUP(X290,'Fixture Table'!$C$3:$M$1785, 10, FALSE))))))</f>
        <v>#N/A</v>
      </c>
      <c r="D290" s="2">
        <f>IFERROR(_xlfn.IFNA(VLOOKUP(F290,Summary_Pre!E:F,2,FALSE),0),0)</f>
        <v>0</v>
      </c>
      <c r="E290" s="249" t="e">
        <f t="shared" si="19"/>
        <v>#N/A</v>
      </c>
      <c r="F290" s="2" t="e">
        <f t="array" ref="F290">INDEX(Summary_Pre!E$4:E$303, MATCH(0, COUNTIF($F$2:F289,Summary_Pre!E$4:E$303), 0))</f>
        <v>#N/A</v>
      </c>
      <c r="G290" s="271" t="e">
        <f>VLOOKUP(X290,Table7[[#All],[FIXTURE CODE]:[WATT/ FIXT]], 6, FALSE)</f>
        <v>#N/A</v>
      </c>
      <c r="H290" s="271" t="e">
        <f>VLOOKUP(Y290,Table7[[#All],[FIXTURE CODE]:[WATT/ FIXT]], 6, FALSE)</f>
        <v>#N/A</v>
      </c>
      <c r="I290" s="272">
        <f>SUMIF(Summary_Pre!E:E,"="&amp;F290,Summary_Pre!D:D)</f>
        <v>0</v>
      </c>
      <c r="J290" s="263">
        <f>SUMIF(Summary_Pre!E:E,"="&amp;F290,Summary_Pre!H:H)</f>
        <v>0</v>
      </c>
      <c r="K290" s="262">
        <f>SUMIF(Summary_Pre!E:E,"="&amp; F290,Summary_Pre!I:I)</f>
        <v>0</v>
      </c>
      <c r="L290" s="3">
        <f>SUMIF(Summary_Pre!E:E,"="&amp; F290,Summary_Pre!J:J)</f>
        <v>0</v>
      </c>
      <c r="M290" s="285">
        <f>SUMIF(Summary_Pre!E:E,"="&amp; F290,Summary_Pre!K:K)</f>
        <v>0</v>
      </c>
      <c r="N290" s="285">
        <f>SUMIF(Summary_Pre!E:E,"="&amp;F290,Summary_Pre!C:C)</f>
        <v>0</v>
      </c>
      <c r="O290" s="266">
        <f t="shared" si="20"/>
        <v>0</v>
      </c>
      <c r="P290" s="3"/>
      <c r="Q290" s="3"/>
      <c r="R290" s="3"/>
      <c r="S290" s="3"/>
      <c r="T290" s="3"/>
      <c r="U290" s="3"/>
      <c r="V290" s="3"/>
      <c r="W290" s="2"/>
      <c r="X290" s="281" t="e">
        <f t="shared" si="17"/>
        <v>#N/A</v>
      </c>
      <c r="Y290" s="279" t="e">
        <f t="shared" si="18"/>
        <v>#N/A</v>
      </c>
    </row>
    <row r="291" spans="1:25">
      <c r="A291" s="249" t="e">
        <f>IF(D291='Tables &amp; Ranges'!$A$133, 'Tables &amp; Ranges'!$B$133, IF(D291='Tables &amp; Ranges'!$A$134, 'Tables &amp; Ranges'!$B$134, IF(D291='Tables &amp; Ranges'!$A$135, 'Tables &amp; Ranges'!$B$135, IF(D291='Tables &amp; Ranges'!$A$136, 'Tables &amp; Ranges'!$B$136, IF(D291='Tables &amp; Ranges'!$A$99, 'Tables &amp; Ranges'!$B$116, VLOOKUP(X291,'Fixture Table'!$C$3:$M$1785, 10, FALSE))))))</f>
        <v>#N/A</v>
      </c>
      <c r="D291" s="2">
        <f>IFERROR(_xlfn.IFNA(VLOOKUP(F291,Summary_Pre!E:F,2,FALSE),0),0)</f>
        <v>0</v>
      </c>
      <c r="E291" s="249" t="e">
        <f t="shared" si="19"/>
        <v>#N/A</v>
      </c>
      <c r="F291" s="2" t="e">
        <f t="array" ref="F291">INDEX(Summary_Pre!E$4:E$303, MATCH(0, COUNTIF($F$2:F290,Summary_Pre!E$4:E$303), 0))</f>
        <v>#N/A</v>
      </c>
      <c r="G291" s="271" t="e">
        <f>VLOOKUP(X291,Table7[[#All],[FIXTURE CODE]:[WATT/ FIXT]], 6, FALSE)</f>
        <v>#N/A</v>
      </c>
      <c r="H291" s="271" t="e">
        <f>VLOOKUP(Y291,Table7[[#All],[FIXTURE CODE]:[WATT/ FIXT]], 6, FALSE)</f>
        <v>#N/A</v>
      </c>
      <c r="I291" s="272">
        <f>SUMIF(Summary_Pre!E:E,"="&amp;F291,Summary_Pre!D:D)</f>
        <v>0</v>
      </c>
      <c r="J291" s="263">
        <f>SUMIF(Summary_Pre!E:E,"="&amp;F291,Summary_Pre!H:H)</f>
        <v>0</v>
      </c>
      <c r="K291" s="262">
        <f>SUMIF(Summary_Pre!E:E,"="&amp; F291,Summary_Pre!I:I)</f>
        <v>0</v>
      </c>
      <c r="L291" s="3">
        <f>SUMIF(Summary_Pre!E:E,"="&amp; F291,Summary_Pre!J:J)</f>
        <v>0</v>
      </c>
      <c r="M291" s="285">
        <f>SUMIF(Summary_Pre!E:E,"="&amp; F291,Summary_Pre!K:K)</f>
        <v>0</v>
      </c>
      <c r="N291" s="285">
        <f>SUMIF(Summary_Pre!E:E,"="&amp;F291,Summary_Pre!C:C)</f>
        <v>0</v>
      </c>
      <c r="O291" s="266">
        <f t="shared" si="20"/>
        <v>0</v>
      </c>
      <c r="P291" s="3"/>
      <c r="Q291" s="3"/>
      <c r="R291" s="3"/>
      <c r="S291" s="3"/>
      <c r="T291" s="3"/>
      <c r="U291" s="3"/>
      <c r="V291" s="3"/>
      <c r="W291" s="2"/>
      <c r="X291" s="281" t="e">
        <f t="shared" si="17"/>
        <v>#N/A</v>
      </c>
      <c r="Y291" s="279" t="e">
        <f t="shared" si="18"/>
        <v>#N/A</v>
      </c>
    </row>
    <row r="292" spans="1:25">
      <c r="A292" s="249" t="e">
        <f>IF(D292='Tables &amp; Ranges'!$A$133, 'Tables &amp; Ranges'!$B$133, IF(D292='Tables &amp; Ranges'!$A$134, 'Tables &amp; Ranges'!$B$134, IF(D292='Tables &amp; Ranges'!$A$135, 'Tables &amp; Ranges'!$B$135, IF(D292='Tables &amp; Ranges'!$A$136, 'Tables &amp; Ranges'!$B$136, IF(D292='Tables &amp; Ranges'!$A$99, 'Tables &amp; Ranges'!$B$116, VLOOKUP(X292,'Fixture Table'!$C$3:$M$1785, 10, FALSE))))))</f>
        <v>#N/A</v>
      </c>
      <c r="D292" s="2">
        <f>IFERROR(_xlfn.IFNA(VLOOKUP(F292,Summary_Pre!E:F,2,FALSE),0),0)</f>
        <v>0</v>
      </c>
      <c r="E292" s="249" t="e">
        <f t="shared" si="19"/>
        <v>#N/A</v>
      </c>
      <c r="F292" s="2" t="e">
        <f t="array" ref="F292">INDEX(Summary_Pre!E$4:E$303, MATCH(0, COUNTIF($F$2:F291,Summary_Pre!E$4:E$303), 0))</f>
        <v>#N/A</v>
      </c>
      <c r="G292" s="271" t="e">
        <f>VLOOKUP(X292,Table7[[#All],[FIXTURE CODE]:[WATT/ FIXT]], 6, FALSE)</f>
        <v>#N/A</v>
      </c>
      <c r="H292" s="271" t="e">
        <f>VLOOKUP(Y292,Table7[[#All],[FIXTURE CODE]:[WATT/ FIXT]], 6, FALSE)</f>
        <v>#N/A</v>
      </c>
      <c r="I292" s="272">
        <f>SUMIF(Summary_Pre!E:E,"="&amp;F292,Summary_Pre!D:D)</f>
        <v>0</v>
      </c>
      <c r="J292" s="263">
        <f>SUMIF(Summary_Pre!E:E,"="&amp;F292,Summary_Pre!H:H)</f>
        <v>0</v>
      </c>
      <c r="K292" s="262">
        <f>SUMIF(Summary_Pre!E:E,"="&amp; F292,Summary_Pre!I:I)</f>
        <v>0</v>
      </c>
      <c r="L292" s="3">
        <f>SUMIF(Summary_Pre!E:E,"="&amp; F292,Summary_Pre!J:J)</f>
        <v>0</v>
      </c>
      <c r="M292" s="285">
        <f>SUMIF(Summary_Pre!E:E,"="&amp; F292,Summary_Pre!K:K)</f>
        <v>0</v>
      </c>
      <c r="N292" s="285">
        <f>SUMIF(Summary_Pre!E:E,"="&amp;F292,Summary_Pre!C:C)</f>
        <v>0</v>
      </c>
      <c r="O292" s="266">
        <f t="shared" si="20"/>
        <v>0</v>
      </c>
      <c r="P292" s="3"/>
      <c r="Q292" s="3"/>
      <c r="R292" s="3"/>
      <c r="S292" s="3"/>
      <c r="T292" s="3"/>
      <c r="U292" s="3"/>
      <c r="V292" s="3"/>
      <c r="W292" s="2"/>
      <c r="X292" s="281" t="e">
        <f t="shared" si="17"/>
        <v>#N/A</v>
      </c>
      <c r="Y292" s="279" t="e">
        <f t="shared" si="18"/>
        <v>#N/A</v>
      </c>
    </row>
    <row r="293" spans="1:25">
      <c r="A293" s="249" t="e">
        <f>IF(D293='Tables &amp; Ranges'!$A$133, 'Tables &amp; Ranges'!$B$133, IF(D293='Tables &amp; Ranges'!$A$134, 'Tables &amp; Ranges'!$B$134, IF(D293='Tables &amp; Ranges'!$A$135, 'Tables &amp; Ranges'!$B$135, IF(D293='Tables &amp; Ranges'!$A$136, 'Tables &amp; Ranges'!$B$136, IF(D293='Tables &amp; Ranges'!$A$99, 'Tables &amp; Ranges'!$B$116, VLOOKUP(X293,'Fixture Table'!$C$3:$M$1785, 10, FALSE))))))</f>
        <v>#N/A</v>
      </c>
      <c r="D293" s="2">
        <f>IFERROR(_xlfn.IFNA(VLOOKUP(F293,Summary_Pre!E:F,2,FALSE),0),0)</f>
        <v>0</v>
      </c>
      <c r="E293" s="249" t="e">
        <f t="shared" si="19"/>
        <v>#N/A</v>
      </c>
      <c r="F293" s="2" t="e">
        <f t="array" ref="F293">INDEX(Summary_Pre!E$4:E$303, MATCH(0, COUNTIF($F$2:F292,Summary_Pre!E$4:E$303), 0))</f>
        <v>#N/A</v>
      </c>
      <c r="G293" s="271" t="e">
        <f>VLOOKUP(X293,Table7[[#All],[FIXTURE CODE]:[WATT/ FIXT]], 6, FALSE)</f>
        <v>#N/A</v>
      </c>
      <c r="H293" s="271" t="e">
        <f>VLOOKUP(Y293,Table7[[#All],[FIXTURE CODE]:[WATT/ FIXT]], 6, FALSE)</f>
        <v>#N/A</v>
      </c>
      <c r="I293" s="272">
        <f>SUMIF(Summary_Pre!E:E,"="&amp;F293,Summary_Pre!D:D)</f>
        <v>0</v>
      </c>
      <c r="J293" s="263">
        <f>SUMIF(Summary_Pre!E:E,"="&amp;F293,Summary_Pre!H:H)</f>
        <v>0</v>
      </c>
      <c r="K293" s="262">
        <f>SUMIF(Summary_Pre!E:E,"="&amp; F293,Summary_Pre!I:I)</f>
        <v>0</v>
      </c>
      <c r="L293" s="3">
        <f>SUMIF(Summary_Pre!E:E,"="&amp; F293,Summary_Pre!J:J)</f>
        <v>0</v>
      </c>
      <c r="M293" s="285">
        <f>SUMIF(Summary_Pre!E:E,"="&amp; F293,Summary_Pre!K:K)</f>
        <v>0</v>
      </c>
      <c r="N293" s="285">
        <f>SUMIF(Summary_Pre!E:E,"="&amp;F293,Summary_Pre!C:C)</f>
        <v>0</v>
      </c>
      <c r="O293" s="266">
        <f t="shared" si="20"/>
        <v>0</v>
      </c>
      <c r="P293" s="3"/>
      <c r="Q293" s="3"/>
      <c r="R293" s="3"/>
      <c r="S293" s="3"/>
      <c r="T293" s="3"/>
      <c r="U293" s="3"/>
      <c r="V293" s="3"/>
      <c r="W293" s="2"/>
      <c r="X293" s="281" t="e">
        <f t="shared" si="17"/>
        <v>#N/A</v>
      </c>
      <c r="Y293" s="279" t="e">
        <f t="shared" si="18"/>
        <v>#N/A</v>
      </c>
    </row>
    <row r="294" spans="1:25">
      <c r="A294" s="249" t="e">
        <f>IF(D294='Tables &amp; Ranges'!$A$133, 'Tables &amp; Ranges'!$B$133, IF(D294='Tables &amp; Ranges'!$A$134, 'Tables &amp; Ranges'!$B$134, IF(D294='Tables &amp; Ranges'!$A$135, 'Tables &amp; Ranges'!$B$135, IF(D294='Tables &amp; Ranges'!$A$136, 'Tables &amp; Ranges'!$B$136, IF(D294='Tables &amp; Ranges'!$A$99, 'Tables &amp; Ranges'!$B$116, VLOOKUP(X294,'Fixture Table'!$C$3:$M$1785, 10, FALSE))))))</f>
        <v>#N/A</v>
      </c>
      <c r="D294" s="2">
        <f>IFERROR(_xlfn.IFNA(VLOOKUP(F294,Summary_Pre!E:F,2,FALSE),0),0)</f>
        <v>0</v>
      </c>
      <c r="E294" s="249" t="e">
        <f t="shared" si="19"/>
        <v>#N/A</v>
      </c>
      <c r="F294" s="2" t="e">
        <f t="array" ref="F294">INDEX(Summary_Pre!E$4:E$303, MATCH(0, COUNTIF($F$2:F293,Summary_Pre!E$4:E$303), 0))</f>
        <v>#N/A</v>
      </c>
      <c r="G294" s="271" t="e">
        <f>VLOOKUP(X294,Table7[[#All],[FIXTURE CODE]:[WATT/ FIXT]], 6, FALSE)</f>
        <v>#N/A</v>
      </c>
      <c r="H294" s="271" t="e">
        <f>VLOOKUP(Y294,Table7[[#All],[FIXTURE CODE]:[WATT/ FIXT]], 6, FALSE)</f>
        <v>#N/A</v>
      </c>
      <c r="I294" s="272">
        <f>SUMIF(Summary_Pre!E:E,"="&amp;F294,Summary_Pre!D:D)</f>
        <v>0</v>
      </c>
      <c r="J294" s="263">
        <f>SUMIF(Summary_Pre!E:E,"="&amp;F294,Summary_Pre!H:H)</f>
        <v>0</v>
      </c>
      <c r="K294" s="262">
        <f>SUMIF(Summary_Pre!E:E,"="&amp; F294,Summary_Pre!I:I)</f>
        <v>0</v>
      </c>
      <c r="L294" s="3">
        <f>SUMIF(Summary_Pre!E:E,"="&amp; F294,Summary_Pre!J:J)</f>
        <v>0</v>
      </c>
      <c r="M294" s="285">
        <f>SUMIF(Summary_Pre!E:E,"="&amp; F294,Summary_Pre!K:K)</f>
        <v>0</v>
      </c>
      <c r="N294" s="285">
        <f>SUMIF(Summary_Pre!E:E,"="&amp;F294,Summary_Pre!C:C)</f>
        <v>0</v>
      </c>
      <c r="O294" s="266">
        <f t="shared" si="20"/>
        <v>0</v>
      </c>
      <c r="P294" s="3"/>
      <c r="Q294" s="3"/>
      <c r="R294" s="3"/>
      <c r="S294" s="3"/>
      <c r="T294" s="3"/>
      <c r="U294" s="3"/>
      <c r="V294" s="3"/>
      <c r="W294" s="2"/>
      <c r="X294" s="281" t="e">
        <f t="shared" si="17"/>
        <v>#N/A</v>
      </c>
      <c r="Y294" s="279" t="e">
        <f t="shared" si="18"/>
        <v>#N/A</v>
      </c>
    </row>
    <row r="295" spans="1:25">
      <c r="A295" s="249" t="e">
        <f>IF(D295='Tables &amp; Ranges'!$A$133, 'Tables &amp; Ranges'!$B$133, IF(D295='Tables &amp; Ranges'!$A$134, 'Tables &amp; Ranges'!$B$134, IF(D295='Tables &amp; Ranges'!$A$135, 'Tables &amp; Ranges'!$B$135, IF(D295='Tables &amp; Ranges'!$A$136, 'Tables &amp; Ranges'!$B$136, IF(D295='Tables &amp; Ranges'!$A$99, 'Tables &amp; Ranges'!$B$116, VLOOKUP(X295,'Fixture Table'!$C$3:$M$1785, 10, FALSE))))))</f>
        <v>#N/A</v>
      </c>
      <c r="D295" s="2">
        <f>IFERROR(_xlfn.IFNA(VLOOKUP(F295,Summary_Pre!E:F,2,FALSE),0),0)</f>
        <v>0</v>
      </c>
      <c r="E295" s="249" t="e">
        <f t="shared" si="19"/>
        <v>#N/A</v>
      </c>
      <c r="F295" s="2" t="e">
        <f t="array" ref="F295">INDEX(Summary_Pre!E$4:E$303, MATCH(0, COUNTIF($F$2:F294,Summary_Pre!E$4:E$303), 0))</f>
        <v>#N/A</v>
      </c>
      <c r="G295" s="271" t="e">
        <f>VLOOKUP(X295,Table7[[#All],[FIXTURE CODE]:[WATT/ FIXT]], 6, FALSE)</f>
        <v>#N/A</v>
      </c>
      <c r="H295" s="271" t="e">
        <f>VLOOKUP(Y295,Table7[[#All],[FIXTURE CODE]:[WATT/ FIXT]], 6, FALSE)</f>
        <v>#N/A</v>
      </c>
      <c r="I295" s="272">
        <f>SUMIF(Summary_Pre!E:E,"="&amp;F295,Summary_Pre!D:D)</f>
        <v>0</v>
      </c>
      <c r="J295" s="263">
        <f>SUMIF(Summary_Pre!E:E,"="&amp;F295,Summary_Pre!H:H)</f>
        <v>0</v>
      </c>
      <c r="K295" s="262">
        <f>SUMIF(Summary_Pre!E:E,"="&amp; F295,Summary_Pre!I:I)</f>
        <v>0</v>
      </c>
      <c r="L295" s="3">
        <f>SUMIF(Summary_Pre!E:E,"="&amp; F295,Summary_Pre!J:J)</f>
        <v>0</v>
      </c>
      <c r="M295" s="285">
        <f>SUMIF(Summary_Pre!E:E,"="&amp; F295,Summary_Pre!K:K)</f>
        <v>0</v>
      </c>
      <c r="N295" s="285">
        <f>SUMIF(Summary_Pre!E:E,"="&amp;F295,Summary_Pre!C:C)</f>
        <v>0</v>
      </c>
      <c r="O295" s="266">
        <f t="shared" si="20"/>
        <v>0</v>
      </c>
      <c r="P295" s="3"/>
      <c r="Q295" s="3"/>
      <c r="R295" s="3"/>
      <c r="S295" s="3"/>
      <c r="T295" s="3"/>
      <c r="U295" s="3"/>
      <c r="V295" s="3"/>
      <c r="W295" s="2"/>
      <c r="X295" s="281" t="e">
        <f t="shared" si="17"/>
        <v>#N/A</v>
      </c>
      <c r="Y295" s="279" t="e">
        <f t="shared" si="18"/>
        <v>#N/A</v>
      </c>
    </row>
    <row r="296" spans="1:25">
      <c r="A296" s="249" t="e">
        <f>IF(D296='Tables &amp; Ranges'!$A$133, 'Tables &amp; Ranges'!$B$133, IF(D296='Tables &amp; Ranges'!$A$134, 'Tables &amp; Ranges'!$B$134, IF(D296='Tables &amp; Ranges'!$A$135, 'Tables &amp; Ranges'!$B$135, IF(D296='Tables &amp; Ranges'!$A$136, 'Tables &amp; Ranges'!$B$136, IF(D296='Tables &amp; Ranges'!$A$99, 'Tables &amp; Ranges'!$B$116, VLOOKUP(X296,'Fixture Table'!$C$3:$M$1785, 10, FALSE))))))</f>
        <v>#N/A</v>
      </c>
      <c r="D296" s="2">
        <f>IFERROR(_xlfn.IFNA(VLOOKUP(F296,Summary_Pre!E:F,2,FALSE),0),0)</f>
        <v>0</v>
      </c>
      <c r="E296" s="249" t="e">
        <f t="shared" si="19"/>
        <v>#N/A</v>
      </c>
      <c r="F296" s="2" t="e">
        <f t="array" ref="F296">INDEX(Summary_Pre!E$4:E$303, MATCH(0, COUNTIF($F$2:F295,Summary_Pre!E$4:E$303), 0))</f>
        <v>#N/A</v>
      </c>
      <c r="G296" s="271" t="e">
        <f>VLOOKUP(X296,Table7[[#All],[FIXTURE CODE]:[WATT/ FIXT]], 6, FALSE)</f>
        <v>#N/A</v>
      </c>
      <c r="H296" s="271" t="e">
        <f>VLOOKUP(Y296,Table7[[#All],[FIXTURE CODE]:[WATT/ FIXT]], 6, FALSE)</f>
        <v>#N/A</v>
      </c>
      <c r="I296" s="272">
        <f>SUMIF(Summary_Pre!E:E,"="&amp;F296,Summary_Pre!D:D)</f>
        <v>0</v>
      </c>
      <c r="J296" s="263">
        <f>SUMIF(Summary_Pre!E:E,"="&amp;F296,Summary_Pre!H:H)</f>
        <v>0</v>
      </c>
      <c r="K296" s="262">
        <f>SUMIF(Summary_Pre!E:E,"="&amp; F296,Summary_Pre!I:I)</f>
        <v>0</v>
      </c>
      <c r="L296" s="3">
        <f>SUMIF(Summary_Pre!E:E,"="&amp; F296,Summary_Pre!J:J)</f>
        <v>0</v>
      </c>
      <c r="M296" s="285">
        <f>SUMIF(Summary_Pre!E:E,"="&amp; F296,Summary_Pre!K:K)</f>
        <v>0</v>
      </c>
      <c r="N296" s="285">
        <f>SUMIF(Summary_Pre!E:E,"="&amp;F296,Summary_Pre!C:C)</f>
        <v>0</v>
      </c>
      <c r="O296" s="266">
        <f t="shared" si="20"/>
        <v>0</v>
      </c>
      <c r="P296" s="3"/>
      <c r="Q296" s="3"/>
      <c r="R296" s="3"/>
      <c r="S296" s="3"/>
      <c r="T296" s="3"/>
      <c r="U296" s="3"/>
      <c r="V296" s="3"/>
      <c r="W296" s="2"/>
      <c r="X296" s="281" t="e">
        <f t="shared" si="17"/>
        <v>#N/A</v>
      </c>
      <c r="Y296" s="279" t="e">
        <f t="shared" si="18"/>
        <v>#N/A</v>
      </c>
    </row>
    <row r="297" spans="1:25">
      <c r="A297" s="249" t="e">
        <f>IF(D297='Tables &amp; Ranges'!$A$133, 'Tables &amp; Ranges'!$B$133, IF(D297='Tables &amp; Ranges'!$A$134, 'Tables &amp; Ranges'!$B$134, IF(D297='Tables &amp; Ranges'!$A$135, 'Tables &amp; Ranges'!$B$135, IF(D297='Tables &amp; Ranges'!$A$136, 'Tables &amp; Ranges'!$B$136, IF(D297='Tables &amp; Ranges'!$A$99, 'Tables &amp; Ranges'!$B$116, VLOOKUP(X297,'Fixture Table'!$C$3:$M$1785, 10, FALSE))))))</f>
        <v>#N/A</v>
      </c>
      <c r="D297" s="2">
        <f>IFERROR(_xlfn.IFNA(VLOOKUP(F297,Summary_Pre!E:F,2,FALSE),0),0)</f>
        <v>0</v>
      </c>
      <c r="E297" s="249" t="e">
        <f t="shared" si="19"/>
        <v>#N/A</v>
      </c>
      <c r="F297" s="2" t="e">
        <f t="array" ref="F297">INDEX(Summary_Pre!E$4:E$303, MATCH(0, COUNTIF($F$2:F296,Summary_Pre!E$4:E$303), 0))</f>
        <v>#N/A</v>
      </c>
      <c r="G297" s="271" t="e">
        <f>VLOOKUP(X297,Table7[[#All],[FIXTURE CODE]:[WATT/ FIXT]], 6, FALSE)</f>
        <v>#N/A</v>
      </c>
      <c r="H297" s="271" t="e">
        <f>VLOOKUP(Y297,Table7[[#All],[FIXTURE CODE]:[WATT/ FIXT]], 6, FALSE)</f>
        <v>#N/A</v>
      </c>
      <c r="I297" s="272">
        <f>SUMIF(Summary_Pre!E:E,"="&amp;F297,Summary_Pre!D:D)</f>
        <v>0</v>
      </c>
      <c r="J297" s="263">
        <f>SUMIF(Summary_Pre!E:E,"="&amp;F297,Summary_Pre!H:H)</f>
        <v>0</v>
      </c>
      <c r="K297" s="262">
        <f>SUMIF(Summary_Pre!E:E,"="&amp; F297,Summary_Pre!I:I)</f>
        <v>0</v>
      </c>
      <c r="L297" s="3">
        <f>SUMIF(Summary_Pre!E:E,"="&amp; F297,Summary_Pre!J:J)</f>
        <v>0</v>
      </c>
      <c r="M297" s="285">
        <f>SUMIF(Summary_Pre!E:E,"="&amp; F297,Summary_Pre!K:K)</f>
        <v>0</v>
      </c>
      <c r="N297" s="285">
        <f>SUMIF(Summary_Pre!E:E,"="&amp;F297,Summary_Pre!C:C)</f>
        <v>0</v>
      </c>
      <c r="O297" s="266">
        <f t="shared" si="20"/>
        <v>0</v>
      </c>
      <c r="P297" s="3"/>
      <c r="Q297" s="3"/>
      <c r="R297" s="3"/>
      <c r="S297" s="3"/>
      <c r="T297" s="3"/>
      <c r="U297" s="3"/>
      <c r="V297" s="3"/>
      <c r="W297" s="2"/>
      <c r="X297" s="281" t="e">
        <f t="shared" si="17"/>
        <v>#N/A</v>
      </c>
      <c r="Y297" s="279" t="e">
        <f t="shared" si="18"/>
        <v>#N/A</v>
      </c>
    </row>
    <row r="298" spans="1:25">
      <c r="A298" s="249" t="e">
        <f>IF(D298='Tables &amp; Ranges'!$A$133, 'Tables &amp; Ranges'!$B$133, IF(D298='Tables &amp; Ranges'!$A$134, 'Tables &amp; Ranges'!$B$134, IF(D298='Tables &amp; Ranges'!$A$135, 'Tables &amp; Ranges'!$B$135, IF(D298='Tables &amp; Ranges'!$A$136, 'Tables &amp; Ranges'!$B$136, IF(D298='Tables &amp; Ranges'!$A$99, 'Tables &amp; Ranges'!$B$116, VLOOKUP(X298,'Fixture Table'!$C$3:$M$1785, 10, FALSE))))))</f>
        <v>#N/A</v>
      </c>
      <c r="D298" s="2">
        <f>IFERROR(_xlfn.IFNA(VLOOKUP(F298,Summary_Pre!E:F,2,FALSE),0),0)</f>
        <v>0</v>
      </c>
      <c r="E298" s="249" t="e">
        <f t="shared" si="19"/>
        <v>#N/A</v>
      </c>
      <c r="F298" s="2" t="e">
        <f t="array" ref="F298">INDEX(Summary_Pre!E$4:E$303, MATCH(0, COUNTIF($F$2:F297,Summary_Pre!E$4:E$303), 0))</f>
        <v>#N/A</v>
      </c>
      <c r="G298" s="271" t="e">
        <f>VLOOKUP(X298,Table7[[#All],[FIXTURE CODE]:[WATT/ FIXT]], 6, FALSE)</f>
        <v>#N/A</v>
      </c>
      <c r="H298" s="271" t="e">
        <f>VLOOKUP(Y298,Table7[[#All],[FIXTURE CODE]:[WATT/ FIXT]], 6, FALSE)</f>
        <v>#N/A</v>
      </c>
      <c r="I298" s="272">
        <f>SUMIF(Summary_Pre!E:E,"="&amp;F298,Summary_Pre!D:D)</f>
        <v>0</v>
      </c>
      <c r="J298" s="263">
        <f>SUMIF(Summary_Pre!E:E,"="&amp;F298,Summary_Pre!H:H)</f>
        <v>0</v>
      </c>
      <c r="K298" s="262">
        <f>SUMIF(Summary_Pre!E:E,"="&amp; F298,Summary_Pre!I:I)</f>
        <v>0</v>
      </c>
      <c r="L298" s="3">
        <f>SUMIF(Summary_Pre!E:E,"="&amp; F298,Summary_Pre!J:J)</f>
        <v>0</v>
      </c>
      <c r="M298" s="285">
        <f>SUMIF(Summary_Pre!E:E,"="&amp; F298,Summary_Pre!K:K)</f>
        <v>0</v>
      </c>
      <c r="N298" s="285">
        <f>SUMIF(Summary_Pre!E:E,"="&amp;F298,Summary_Pre!C:C)</f>
        <v>0</v>
      </c>
      <c r="O298" s="266">
        <f t="shared" si="20"/>
        <v>0</v>
      </c>
      <c r="P298" s="3"/>
      <c r="Q298" s="3"/>
      <c r="R298" s="3"/>
      <c r="S298" s="3"/>
      <c r="T298" s="3"/>
      <c r="U298" s="3"/>
      <c r="V298" s="3"/>
      <c r="W298" s="2"/>
      <c r="X298" s="281" t="e">
        <f t="shared" si="17"/>
        <v>#N/A</v>
      </c>
      <c r="Y298" s="279" t="e">
        <f t="shared" si="18"/>
        <v>#N/A</v>
      </c>
    </row>
    <row r="299" spans="1:25">
      <c r="A299" s="249" t="e">
        <f>IF(D299='Tables &amp; Ranges'!$A$133, 'Tables &amp; Ranges'!$B$133, IF(D299='Tables &amp; Ranges'!$A$134, 'Tables &amp; Ranges'!$B$134, IF(D299='Tables &amp; Ranges'!$A$135, 'Tables &amp; Ranges'!$B$135, IF(D299='Tables &amp; Ranges'!$A$136, 'Tables &amp; Ranges'!$B$136, IF(D299='Tables &amp; Ranges'!$A$99, 'Tables &amp; Ranges'!$B$116, VLOOKUP(X299,'Fixture Table'!$C$3:$M$1785, 10, FALSE))))))</f>
        <v>#N/A</v>
      </c>
      <c r="D299" s="2">
        <f>IFERROR(_xlfn.IFNA(VLOOKUP(F299,Summary_Pre!E:F,2,FALSE),0),0)</f>
        <v>0</v>
      </c>
      <c r="E299" s="249" t="e">
        <f t="shared" si="19"/>
        <v>#N/A</v>
      </c>
      <c r="F299" s="2" t="e">
        <f t="array" ref="F299">INDEX(Summary_Pre!E$4:E$303, MATCH(0, COUNTIF($F$2:F298,Summary_Pre!E$4:E$303), 0))</f>
        <v>#N/A</v>
      </c>
      <c r="G299" s="271" t="e">
        <f>VLOOKUP(X299,Table7[[#All],[FIXTURE CODE]:[WATT/ FIXT]], 6, FALSE)</f>
        <v>#N/A</v>
      </c>
      <c r="H299" s="271" t="e">
        <f>VLOOKUP(Y299,Table7[[#All],[FIXTURE CODE]:[WATT/ FIXT]], 6, FALSE)</f>
        <v>#N/A</v>
      </c>
      <c r="I299" s="272">
        <f>SUMIF(Summary_Pre!E:E,"="&amp;F299,Summary_Pre!D:D)</f>
        <v>0</v>
      </c>
      <c r="J299" s="263">
        <f>SUMIF(Summary_Pre!E:E,"="&amp;F299,Summary_Pre!H:H)</f>
        <v>0</v>
      </c>
      <c r="K299" s="262">
        <f>SUMIF(Summary_Pre!E:E,"="&amp; F299,Summary_Pre!I:I)</f>
        <v>0</v>
      </c>
      <c r="L299" s="3">
        <f>SUMIF(Summary_Pre!E:E,"="&amp; F299,Summary_Pre!J:J)</f>
        <v>0</v>
      </c>
      <c r="M299" s="285">
        <f>SUMIF(Summary_Pre!E:E,"="&amp; F299,Summary_Pre!K:K)</f>
        <v>0</v>
      </c>
      <c r="N299" s="285">
        <f>SUMIF(Summary_Pre!E:E,"="&amp;F299,Summary_Pre!C:C)</f>
        <v>0</v>
      </c>
      <c r="O299" s="266">
        <f t="shared" si="20"/>
        <v>0</v>
      </c>
      <c r="P299" s="3"/>
      <c r="Q299" s="3"/>
      <c r="R299" s="3"/>
      <c r="S299" s="3"/>
      <c r="T299" s="3"/>
      <c r="U299" s="3"/>
      <c r="V299" s="3"/>
      <c r="W299" s="2"/>
      <c r="X299" s="281" t="e">
        <f t="shared" si="17"/>
        <v>#N/A</v>
      </c>
      <c r="Y299" s="279" t="e">
        <f t="shared" si="18"/>
        <v>#N/A</v>
      </c>
    </row>
    <row r="300" spans="1:25">
      <c r="A300" s="249" t="e">
        <f>IF(D300='Tables &amp; Ranges'!$A$133, 'Tables &amp; Ranges'!$B$133, IF(D300='Tables &amp; Ranges'!$A$134, 'Tables &amp; Ranges'!$B$134, IF(D300='Tables &amp; Ranges'!$A$135, 'Tables &amp; Ranges'!$B$135, IF(D300='Tables &amp; Ranges'!$A$136, 'Tables &amp; Ranges'!$B$136, IF(D300='Tables &amp; Ranges'!$A$99, 'Tables &amp; Ranges'!$B$116, VLOOKUP(X300,'Fixture Table'!$C$3:$M$1785, 10, FALSE))))))</f>
        <v>#N/A</v>
      </c>
      <c r="D300" s="2">
        <f>IFERROR(_xlfn.IFNA(VLOOKUP(F300,Summary_Pre!E:F,2,FALSE),0),0)</f>
        <v>0</v>
      </c>
      <c r="E300" s="249" t="e">
        <f t="shared" si="19"/>
        <v>#N/A</v>
      </c>
      <c r="F300" s="2" t="e">
        <f t="array" ref="F300">INDEX(Summary_Pre!E$4:E$303, MATCH(0, COUNTIF($F$2:F299,Summary_Pre!E$4:E$303), 0))</f>
        <v>#N/A</v>
      </c>
      <c r="G300" s="271" t="e">
        <f>VLOOKUP(X300,Table7[[#All],[FIXTURE CODE]:[WATT/ FIXT]], 6, FALSE)</f>
        <v>#N/A</v>
      </c>
      <c r="H300" s="271" t="e">
        <f>VLOOKUP(Y300,Table7[[#All],[FIXTURE CODE]:[WATT/ FIXT]], 6, FALSE)</f>
        <v>#N/A</v>
      </c>
      <c r="I300" s="272">
        <f>SUMIF(Summary_Pre!E:E,"="&amp;F300,Summary_Pre!D:D)</f>
        <v>0</v>
      </c>
      <c r="J300" s="263">
        <f>SUMIF(Summary_Pre!E:E,"="&amp;F300,Summary_Pre!H:H)</f>
        <v>0</v>
      </c>
      <c r="K300" s="262">
        <f>SUMIF(Summary_Pre!E:E,"="&amp; F300,Summary_Pre!I:I)</f>
        <v>0</v>
      </c>
      <c r="L300" s="3">
        <f>SUMIF(Summary_Pre!E:E,"="&amp; F300,Summary_Pre!J:J)</f>
        <v>0</v>
      </c>
      <c r="M300" s="285">
        <f>SUMIF(Summary_Pre!E:E,"="&amp; F300,Summary_Pre!K:K)</f>
        <v>0</v>
      </c>
      <c r="N300" s="285">
        <f>SUMIF(Summary_Pre!E:E,"="&amp;F300,Summary_Pre!C:C)</f>
        <v>0</v>
      </c>
      <c r="O300" s="266">
        <f t="shared" si="20"/>
        <v>0</v>
      </c>
      <c r="P300" s="3"/>
      <c r="Q300" s="3"/>
      <c r="R300" s="3"/>
      <c r="S300" s="3"/>
      <c r="T300" s="3"/>
      <c r="U300" s="3"/>
      <c r="V300" s="3"/>
      <c r="W300" s="2"/>
      <c r="X300" s="281" t="e">
        <f t="shared" si="17"/>
        <v>#N/A</v>
      </c>
      <c r="Y300" s="279" t="e">
        <f t="shared" si="18"/>
        <v>#N/A</v>
      </c>
    </row>
    <row r="301" spans="1:25">
      <c r="A301" s="249" t="e">
        <f>IF(D301='Tables &amp; Ranges'!$A$133, 'Tables &amp; Ranges'!$B$133, IF(D301='Tables &amp; Ranges'!$A$134, 'Tables &amp; Ranges'!$B$134, IF(D301='Tables &amp; Ranges'!$A$135, 'Tables &amp; Ranges'!$B$135, IF(D301='Tables &amp; Ranges'!$A$136, 'Tables &amp; Ranges'!$B$136, IF(D301='Tables &amp; Ranges'!$A$99, 'Tables &amp; Ranges'!$B$116, VLOOKUP(X301,'Fixture Table'!$C$3:$M$1785, 10, FALSE))))))</f>
        <v>#N/A</v>
      </c>
      <c r="D301" s="2">
        <f>IFERROR(_xlfn.IFNA(VLOOKUP(F301,Summary_Pre!E:F,2,FALSE),0),0)</f>
        <v>0</v>
      </c>
      <c r="E301" s="249" t="e">
        <f t="shared" si="19"/>
        <v>#N/A</v>
      </c>
      <c r="F301" s="2" t="e">
        <f t="array" ref="F301">INDEX(Summary_Pre!E$4:E$303, MATCH(0, COUNTIF($F$2:F300,Summary_Pre!E$4:E$303), 0))</f>
        <v>#N/A</v>
      </c>
      <c r="G301" s="271" t="e">
        <f>VLOOKUP(X301,Table7[[#All],[FIXTURE CODE]:[WATT/ FIXT]], 6, FALSE)</f>
        <v>#N/A</v>
      </c>
      <c r="H301" s="271" t="e">
        <f>VLOOKUP(Y301,Table7[[#All],[FIXTURE CODE]:[WATT/ FIXT]], 6, FALSE)</f>
        <v>#N/A</v>
      </c>
      <c r="I301" s="272">
        <f>SUMIF(Summary_Pre!E:E,"="&amp;F301,Summary_Pre!D:D)</f>
        <v>0</v>
      </c>
      <c r="J301" s="263">
        <f>SUMIF(Summary_Pre!E:E,"="&amp;F301,Summary_Pre!H:H)</f>
        <v>0</v>
      </c>
      <c r="K301" s="262">
        <f>SUMIF(Summary_Pre!E:E,"="&amp; F301,Summary_Pre!I:I)</f>
        <v>0</v>
      </c>
      <c r="L301" s="3">
        <f>SUMIF(Summary_Pre!E:E,"="&amp; F301,Summary_Pre!J:J)</f>
        <v>0</v>
      </c>
      <c r="M301" s="285">
        <f>SUMIF(Summary_Pre!E:E,"="&amp; F301,Summary_Pre!K:K)</f>
        <v>0</v>
      </c>
      <c r="N301" s="285">
        <f>SUMIF(Summary_Pre!E:E,"="&amp;F301,Summary_Pre!C:C)</f>
        <v>0</v>
      </c>
      <c r="O301" s="266">
        <f t="shared" si="20"/>
        <v>0</v>
      </c>
      <c r="P301" s="3"/>
      <c r="Q301" s="3"/>
      <c r="R301" s="3"/>
      <c r="S301" s="3"/>
      <c r="T301" s="3"/>
      <c r="U301" s="3"/>
      <c r="V301" s="3"/>
      <c r="W301" s="2"/>
      <c r="X301" s="281" t="e">
        <f t="shared" si="17"/>
        <v>#N/A</v>
      </c>
      <c r="Y301" s="279" t="e">
        <f t="shared" si="18"/>
        <v>#N/A</v>
      </c>
    </row>
    <row r="302" spans="1:25">
      <c r="A302" s="249" t="e">
        <f>IF(D302='Tables &amp; Ranges'!$A$133, 'Tables &amp; Ranges'!$B$133, IF(D302='Tables &amp; Ranges'!$A$134, 'Tables &amp; Ranges'!$B$134, IF(D302='Tables &amp; Ranges'!$A$135, 'Tables &amp; Ranges'!$B$135, IF(D302='Tables &amp; Ranges'!$A$136, 'Tables &amp; Ranges'!$B$136, IF(D302='Tables &amp; Ranges'!$A$99, 'Tables &amp; Ranges'!$B$116, VLOOKUP(X302,'Fixture Table'!$C$3:$M$1785, 10, FALSE))))))</f>
        <v>#N/A</v>
      </c>
      <c r="D302" s="2">
        <f>IFERROR(_xlfn.IFNA(VLOOKUP(F302,Summary_Pre!E:F,2,FALSE),0),0)</f>
        <v>0</v>
      </c>
      <c r="E302" s="249" t="e">
        <f t="shared" si="19"/>
        <v>#N/A</v>
      </c>
      <c r="F302" s="2" t="e">
        <f t="array" ref="F302">INDEX(Summary_Pre!E$4:E$303, MATCH(0, COUNTIF($F$2:F301,Summary_Pre!E$4:E$303), 0))</f>
        <v>#N/A</v>
      </c>
      <c r="G302" s="271" t="e">
        <f>VLOOKUP(X302,Table7[[#All],[FIXTURE CODE]:[WATT/ FIXT]], 6, FALSE)</f>
        <v>#N/A</v>
      </c>
      <c r="H302" s="271" t="e">
        <f>VLOOKUP(Y302,Table7[[#All],[FIXTURE CODE]:[WATT/ FIXT]], 6, FALSE)</f>
        <v>#N/A</v>
      </c>
      <c r="I302" s="272">
        <f>SUMIF(Summary_Pre!E:E,"="&amp;F302,Summary_Pre!D:D)</f>
        <v>0</v>
      </c>
      <c r="J302" s="263">
        <f>SUMIF(Summary_Pre!E:E,"="&amp;F302,Summary_Pre!H:H)</f>
        <v>0</v>
      </c>
      <c r="K302" s="262">
        <f>SUMIF(Summary_Pre!E:E,"="&amp; F302,Summary_Pre!I:I)</f>
        <v>0</v>
      </c>
      <c r="L302" s="3">
        <f>SUMIF(Summary_Pre!E:E,"="&amp; F302,Summary_Pre!J:J)</f>
        <v>0</v>
      </c>
      <c r="M302" s="285">
        <f>SUMIF(Summary_Pre!E:E,"="&amp; F302,Summary_Pre!K:K)</f>
        <v>0</v>
      </c>
      <c r="N302" s="285">
        <f>SUMIF(Summary_Pre!E:E,"="&amp;F302,Summary_Pre!C:C)</f>
        <v>0</v>
      </c>
      <c r="O302" s="266">
        <f t="shared" si="20"/>
        <v>0</v>
      </c>
      <c r="P302" s="3"/>
      <c r="Q302" s="3"/>
      <c r="R302" s="3"/>
      <c r="S302" s="3"/>
      <c r="T302" s="3"/>
      <c r="U302" s="3"/>
      <c r="V302" s="3"/>
      <c r="W302" s="2"/>
      <c r="X302" s="281" t="e">
        <f t="shared" si="17"/>
        <v>#N/A</v>
      </c>
      <c r="Y302" s="279" t="e">
        <f t="shared" si="18"/>
        <v>#N/A</v>
      </c>
    </row>
    <row r="303" spans="1:25">
      <c r="J303" s="264"/>
    </row>
    <row r="304" spans="1:25">
      <c r="J304" s="264"/>
    </row>
    <row r="305" spans="10:10">
      <c r="J305" s="264"/>
    </row>
    <row r="306" spans="10:10">
      <c r="J306" s="264"/>
    </row>
    <row r="307" spans="10:10">
      <c r="J307" s="264"/>
    </row>
    <row r="308" spans="10:10">
      <c r="J308" s="264"/>
    </row>
    <row r="309" spans="10:10">
      <c r="J309" s="264"/>
    </row>
    <row r="310" spans="10:10">
      <c r="J310" s="264"/>
    </row>
    <row r="311" spans="10:10">
      <c r="J311" s="264"/>
    </row>
    <row r="312" spans="10:10">
      <c r="J312" s="264"/>
    </row>
    <row r="313" spans="10:10">
      <c r="J313" s="264"/>
    </row>
    <row r="314" spans="10:10">
      <c r="J314" s="264"/>
    </row>
    <row r="315" spans="10:10">
      <c r="J315" s="264"/>
    </row>
    <row r="316" spans="10:10">
      <c r="J316" s="264"/>
    </row>
    <row r="317" spans="10:10">
      <c r="J317" s="264"/>
    </row>
    <row r="318" spans="10:10">
      <c r="J318" s="264"/>
    </row>
    <row r="319" spans="10:10">
      <c r="J319" s="264"/>
    </row>
    <row r="320" spans="10:10">
      <c r="J320" s="264"/>
    </row>
    <row r="321" spans="10:10">
      <c r="J321" s="264"/>
    </row>
    <row r="322" spans="10:10">
      <c r="J322" s="264"/>
    </row>
    <row r="323" spans="10:10">
      <c r="J323" s="264"/>
    </row>
    <row r="324" spans="10:10">
      <c r="J324" s="264"/>
    </row>
    <row r="325" spans="10:10">
      <c r="J325" s="264"/>
    </row>
    <row r="326" spans="10:10">
      <c r="J326" s="264"/>
    </row>
    <row r="327" spans="10:10">
      <c r="J327" s="264"/>
    </row>
    <row r="328" spans="10:10">
      <c r="J328" s="264"/>
    </row>
    <row r="329" spans="10:10">
      <c r="J329" s="264"/>
    </row>
    <row r="330" spans="10:10">
      <c r="J330" s="264"/>
    </row>
    <row r="331" spans="10:10">
      <c r="J331" s="264"/>
    </row>
    <row r="332" spans="10:10">
      <c r="J332" s="264"/>
    </row>
    <row r="333" spans="10:10">
      <c r="J333" s="264"/>
    </row>
    <row r="334" spans="10:10">
      <c r="J334" s="264"/>
    </row>
    <row r="335" spans="10:10">
      <c r="J335" s="264"/>
    </row>
    <row r="336" spans="10:10">
      <c r="J336" s="264"/>
    </row>
    <row r="337" spans="10:10">
      <c r="J337" s="264"/>
    </row>
    <row r="338" spans="10:10">
      <c r="J338" s="264"/>
    </row>
    <row r="339" spans="10:10">
      <c r="J339" s="264"/>
    </row>
    <row r="340" spans="10:10">
      <c r="J340" s="264"/>
    </row>
    <row r="341" spans="10:10">
      <c r="J341" s="264"/>
    </row>
    <row r="342" spans="10:10">
      <c r="J342" s="264"/>
    </row>
    <row r="343" spans="10:10">
      <c r="J343" s="264"/>
    </row>
    <row r="344" spans="10:10">
      <c r="J344" s="264"/>
    </row>
    <row r="345" spans="10:10">
      <c r="J345" s="264"/>
    </row>
    <row r="346" spans="10:10">
      <c r="J346" s="264"/>
    </row>
    <row r="347" spans="10:10">
      <c r="J347" s="264"/>
    </row>
    <row r="348" spans="10:10">
      <c r="J348" s="264"/>
    </row>
    <row r="349" spans="10:10">
      <c r="J349" s="264"/>
    </row>
    <row r="350" spans="10:10">
      <c r="J350" s="264"/>
    </row>
    <row r="351" spans="10:10">
      <c r="J351" s="264"/>
    </row>
    <row r="352" spans="10:10">
      <c r="J352" s="264"/>
    </row>
    <row r="353" spans="10:10">
      <c r="J353" s="264"/>
    </row>
    <row r="354" spans="10:10">
      <c r="J354" s="264"/>
    </row>
    <row r="355" spans="10:10">
      <c r="J355" s="264"/>
    </row>
    <row r="356" spans="10:10">
      <c r="J356" s="264"/>
    </row>
    <row r="357" spans="10:10">
      <c r="J357" s="264"/>
    </row>
    <row r="358" spans="10:10">
      <c r="J358" s="264"/>
    </row>
    <row r="359" spans="10:10">
      <c r="J359" s="264"/>
    </row>
    <row r="360" spans="10:10">
      <c r="J360" s="264"/>
    </row>
    <row r="361" spans="10:10">
      <c r="J361" s="264"/>
    </row>
    <row r="362" spans="10:10">
      <c r="J362" s="264"/>
    </row>
    <row r="363" spans="10:10">
      <c r="J363" s="264"/>
    </row>
    <row r="364" spans="10:10">
      <c r="J364" s="264"/>
    </row>
    <row r="365" spans="10:10">
      <c r="J365" s="264"/>
    </row>
    <row r="366" spans="10:10">
      <c r="J366" s="264"/>
    </row>
    <row r="367" spans="10:10">
      <c r="J367" s="264"/>
    </row>
    <row r="368" spans="10:10">
      <c r="J368" s="264"/>
    </row>
    <row r="369" spans="10:10">
      <c r="J369" s="264"/>
    </row>
    <row r="370" spans="10:10">
      <c r="J370" s="264"/>
    </row>
    <row r="371" spans="10:10">
      <c r="J371" s="264"/>
    </row>
    <row r="372" spans="10:10">
      <c r="J372" s="264"/>
    </row>
    <row r="373" spans="10:10">
      <c r="J373" s="264"/>
    </row>
    <row r="374" spans="10:10">
      <c r="J374" s="264"/>
    </row>
    <row r="375" spans="10:10">
      <c r="J375" s="264"/>
    </row>
    <row r="376" spans="10:10">
      <c r="J376" s="264"/>
    </row>
    <row r="377" spans="10:10">
      <c r="J377" s="264"/>
    </row>
    <row r="378" spans="10:10">
      <c r="J378" s="264"/>
    </row>
    <row r="379" spans="10:10">
      <c r="J379" s="264"/>
    </row>
    <row r="380" spans="10:10">
      <c r="J380" s="264"/>
    </row>
    <row r="381" spans="10:10">
      <c r="J381" s="264"/>
    </row>
    <row r="382" spans="10:10">
      <c r="J382" s="264"/>
    </row>
    <row r="383" spans="10:10">
      <c r="J383" s="264"/>
    </row>
    <row r="384" spans="10:10">
      <c r="J384" s="264"/>
    </row>
    <row r="385" spans="10:10">
      <c r="J385" s="264"/>
    </row>
    <row r="386" spans="10:10">
      <c r="J386" s="264"/>
    </row>
    <row r="387" spans="10:10">
      <c r="J387" s="264"/>
    </row>
    <row r="388" spans="10:10">
      <c r="J388" s="264"/>
    </row>
    <row r="389" spans="10:10">
      <c r="J389" s="264"/>
    </row>
    <row r="390" spans="10:10">
      <c r="J390" s="264"/>
    </row>
    <row r="391" spans="10:10">
      <c r="J391" s="264"/>
    </row>
    <row r="392" spans="10:10">
      <c r="J392" s="264"/>
    </row>
    <row r="393" spans="10:10">
      <c r="J393" s="264"/>
    </row>
    <row r="394" spans="10:10">
      <c r="J394" s="264"/>
    </row>
    <row r="395" spans="10:10">
      <c r="J395" s="264"/>
    </row>
    <row r="396" spans="10:10">
      <c r="J396" s="264"/>
    </row>
    <row r="397" spans="10:10">
      <c r="J397" s="264"/>
    </row>
    <row r="398" spans="10:10">
      <c r="J398" s="264"/>
    </row>
    <row r="399" spans="10:10">
      <c r="J399" s="264"/>
    </row>
    <row r="400" spans="10:10">
      <c r="J400" s="264"/>
    </row>
    <row r="401" spans="10:10">
      <c r="J401" s="264"/>
    </row>
    <row r="402" spans="10:10">
      <c r="J402" s="264"/>
    </row>
    <row r="403" spans="10:10">
      <c r="J403" s="264"/>
    </row>
  </sheetData>
  <mergeCells count="1">
    <mergeCell ref="G1:H1"/>
  </mergeCells>
  <dataValidations disablePrompts="1" count="1">
    <dataValidation type="list" allowBlank="1" showInputMessage="1" showErrorMessage="1" sqref="AD3" xr:uid="{00000000-0002-0000-0A00-000000000000}">
      <formula1>"Recommended, Completed, Not Completed"</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E9A9-4948-4AD8-ADD7-8ED02B6E2DAC}">
  <dimension ref="A1:I10"/>
  <sheetViews>
    <sheetView workbookViewId="0">
      <selection activeCell="C22" sqref="C22"/>
    </sheetView>
  </sheetViews>
  <sheetFormatPr defaultRowHeight="14.5"/>
  <cols>
    <col min="1" max="1" width="16.54296875" customWidth="1"/>
    <col min="2" max="2" width="68.1796875" customWidth="1"/>
    <col min="3" max="3" width="13.36328125" bestFit="1" customWidth="1"/>
    <col min="4" max="4" width="8.453125" bestFit="1" customWidth="1"/>
    <col min="5" max="5" width="15" bestFit="1" customWidth="1"/>
    <col min="6" max="6" width="15.6328125" bestFit="1" customWidth="1"/>
    <col min="7" max="7" width="11.54296875" bestFit="1" customWidth="1"/>
    <col min="8" max="8" width="9.90625" customWidth="1"/>
    <col min="9" max="9" width="8" hidden="1" customWidth="1"/>
  </cols>
  <sheetData>
    <row r="1" spans="1:9">
      <c r="A1" s="250"/>
      <c r="B1" s="250"/>
      <c r="C1" s="250"/>
      <c r="D1" s="250"/>
      <c r="E1" s="250"/>
      <c r="F1" s="250"/>
      <c r="G1" s="250"/>
      <c r="H1" s="250"/>
      <c r="I1" s="250"/>
    </row>
    <row r="2" spans="1:9" ht="15" thickBot="1">
      <c r="A2" s="250"/>
      <c r="B2" s="250"/>
      <c r="C2" s="250"/>
      <c r="D2" s="250"/>
      <c r="E2" s="250"/>
      <c r="F2" s="250"/>
      <c r="G2" s="250"/>
      <c r="H2" s="250"/>
      <c r="I2" s="250"/>
    </row>
    <row r="3" spans="1:9" ht="29">
      <c r="A3" s="342"/>
      <c r="B3" s="343"/>
      <c r="C3" s="343"/>
      <c r="D3" s="344"/>
      <c r="E3" s="345" t="s">
        <v>111</v>
      </c>
      <c r="F3" s="345"/>
      <c r="G3" s="345"/>
      <c r="H3" s="251" t="s">
        <v>130</v>
      </c>
      <c r="I3" s="251" t="s">
        <v>120</v>
      </c>
    </row>
    <row r="4" spans="1:9" ht="29">
      <c r="A4" s="252" t="s">
        <v>4027</v>
      </c>
      <c r="B4" s="253" t="s">
        <v>113</v>
      </c>
      <c r="C4" s="253" t="s">
        <v>114</v>
      </c>
      <c r="D4" s="253" t="s">
        <v>10</v>
      </c>
      <c r="E4" s="253" t="s">
        <v>115</v>
      </c>
      <c r="F4" s="253" t="s">
        <v>116</v>
      </c>
      <c r="G4" s="253" t="s">
        <v>117</v>
      </c>
      <c r="H4" s="254" t="s">
        <v>122</v>
      </c>
      <c r="I4" s="254" t="s">
        <v>123</v>
      </c>
    </row>
    <row r="5" spans="1:9">
      <c r="A5" s="255">
        <v>123923</v>
      </c>
      <c r="B5" t="str">
        <f>'Tables &amp; Ranges'!A95</f>
        <v>1 to 6 Watt LED Screw-In replacing Incandescent/CFL</v>
      </c>
      <c r="C5" s="346">
        <f>'Project Input'!AD2</f>
        <v>0</v>
      </c>
      <c r="D5" s="257" t="e">
        <f>SUMIFS(Summary!$I:$I,Summary!#REF!,"Prescriptive",Summary!$D:$D,"1 to 6 Watt LED Screw-In replacing Incandescent/CFL")</f>
        <v>#REF!</v>
      </c>
      <c r="E5" s="261" t="e">
        <f>SUMIFS(Summary!$J:$J,Summary!#REF!,"Prescriptive",Summary!$D:$D,"1 to 6 Watt LED Screw-In replacing Incandescent/CFL")</f>
        <v>#REF!</v>
      </c>
      <c r="F5" s="259" t="e">
        <f>SUMIFS(Summary!$K:$K,Summary!#REF!,"Prescriptive",Summary!$D:$D,"1 to 6 Watt LED Screw-In replacing Incandescent/CFL")</f>
        <v>#REF!</v>
      </c>
      <c r="G5" s="260" t="e">
        <f>SUMIFS(Summary!$L:$L,Summary!#REF!,"Prescriptive",Summary!$D:$D,"1 to 6 Watt LED Screw-In replacing Incandescent/CFL")</f>
        <v>#REF!</v>
      </c>
      <c r="H5" s="260" t="e">
        <f>SUMIFS(Summary!$M:$M,Summary!#REF!,"Prescriptive",Summary!$D:$D,"1 to 6 Watt LED Screw-In replacing Incandescent/CFL")</f>
        <v>#REF!</v>
      </c>
    </row>
    <row r="6" spans="1:9">
      <c r="A6" s="255">
        <v>124023</v>
      </c>
      <c r="B6" t="str">
        <f>'Tables &amp; Ranges'!A96</f>
        <v>7 to 11 Watt LED Screw-In replacing Incandescent/CFL</v>
      </c>
      <c r="C6" s="346"/>
      <c r="D6" s="257" t="e">
        <f>SUMIFS(Summary!$I:$I,Summary!#REF!,"Prescriptive",Summary!$D:$D,"7 to 11 Watt LED Screw-In replacing Incandescent/CFL")</f>
        <v>#REF!</v>
      </c>
      <c r="E6" s="261" t="e">
        <f>SUMIFS(Summary!$J:$J,Summary!#REF!,"Prescriptive",Summary!$D:$D,"7 to 11 Watt LED Screw-In replacing Incandescent/CFL")</f>
        <v>#REF!</v>
      </c>
      <c r="F6" s="259" t="e">
        <f>SUMIFS(Summary!$K:$K,Summary!#REF!,"Prescriptive",Summary!$D:$D,"7 to 11 Watt LED Screw-In replacing Incandescent/CFL")</f>
        <v>#REF!</v>
      </c>
      <c r="G6" s="260" t="e">
        <f>SUMIFS(Summary!$L:$L,Summary!#REF!,"Prescriptive",Summary!$D:$D,"7 to 11 Watt LED Screw-In replacing Incandescent/CFL")</f>
        <v>#REF!</v>
      </c>
      <c r="H6" s="260" t="e">
        <f>SUMIFS(Summary!$M:$M,Summary!#REF!,"Prescriptive",Summary!$D:$D,"7 to 11 Watt LED Screw-In replacing Incandescent/CFL")</f>
        <v>#REF!</v>
      </c>
    </row>
    <row r="7" spans="1:9">
      <c r="A7" s="255">
        <v>124123</v>
      </c>
      <c r="B7" t="str">
        <f>'Tables &amp; Ranges'!A97</f>
        <v>12 to 17 LED Screw-In replacing Incandescent/CFL</v>
      </c>
      <c r="C7" s="346"/>
      <c r="D7" s="257" t="e">
        <f>SUMIFS(Summary!$I:$I,Summary!#REF!,"Prescriptive",Summary!$D:$D,"12 to 17 Watt LED Screw-In replacing Incandescent/CFL")</f>
        <v>#REF!</v>
      </c>
      <c r="E7" s="261" t="e">
        <f>SUMIFS(Summary!$J:$J,Summary!#REF!,"Prescriptive",Summary!$D:$D,"12 to 17 Watt LED Screw-In replacing Incandescent/CFL")</f>
        <v>#REF!</v>
      </c>
      <c r="F7" s="259" t="e">
        <f>SUMIFS(Summary!$K:$K,Summary!#REF!,"Prescriptive",Summary!$D:$D,"12 to 17 Watt LED Screw-In replacing Incandescent/CFL")</f>
        <v>#REF!</v>
      </c>
      <c r="G7" s="260" t="e">
        <f>SUMIFS(Summary!$L:$L,Summary!#REF!,"Prescriptive",Summary!$D:$D,"12 to 17 Watt LED Screw-In replacing Incandescent/CFL")</f>
        <v>#REF!</v>
      </c>
      <c r="H7" s="260" t="e">
        <f>SUMIFS(Summary!$M:$M,Summary!#REF!,"Prescriptive",Summary!$D:$D,"12 to 17 Watt LED Screw-In replacing Incandescent/CFL")</f>
        <v>#REF!</v>
      </c>
    </row>
    <row r="8" spans="1:9">
      <c r="A8" s="256">
        <v>124223</v>
      </c>
      <c r="B8" t="str">
        <f>'Tables &amp; Ranges'!A98</f>
        <v>18 or more Watt LED Screw-In replacing Incandescent/CFL</v>
      </c>
      <c r="C8" s="346"/>
      <c r="D8" s="257" t="e">
        <f>SUMIFS(Summary!$I:$I,Summary!#REF!,"Prescriptive",Summary!$D:$D,"18 or more Watt LED Screw-In replacing Incandescent/CFL")</f>
        <v>#REF!</v>
      </c>
      <c r="E8" s="261" t="e">
        <f>SUMIFS(Summary!$J:$J,Summary!#REF!,"Prescriptive",Summary!$D:$D,"18 or more Watt LED Screw-In replacing Incandescent/CFL")</f>
        <v>#REF!</v>
      </c>
      <c r="F8" s="259" t="e">
        <f>SUMIFS(Summary!$K:$K,Summary!#REF!,"Prescriptive",Summary!$D:$D,"18 or more Watt LED Screw-In replacing Incandescent/CFL")</f>
        <v>#REF!</v>
      </c>
      <c r="G8" s="260" t="e">
        <f>SUMIFS(Summary!$L:$L,Summary!#REF!,"Prescriptive",Summary!$D:$D,"18 or more Watt LED Screw-In replacing Incandescent/CFL")</f>
        <v>#REF!</v>
      </c>
      <c r="H8" s="260" t="e">
        <f>SUMIFS(Summary!$M:$M,Summary!#REF!,"Prescriptive",Summary!$D:$D,"18 or more Watt LED Screw-In replacing Incandescent/CFL")</f>
        <v>#REF!</v>
      </c>
    </row>
    <row r="9" spans="1:9">
      <c r="A9" s="256">
        <v>101014</v>
      </c>
      <c r="B9" t="s">
        <v>4028</v>
      </c>
      <c r="C9" s="346"/>
      <c r="D9" s="257" t="e">
        <f>SUMIF(Summary!#REF!, "Linear", Summary!$I:$I)</f>
        <v>#REF!</v>
      </c>
      <c r="E9" s="261" t="e">
        <f>SUMIF(Summary!#REF!, "Linear", Summary!$J:$J)</f>
        <v>#REF!</v>
      </c>
      <c r="F9" s="257" t="e">
        <f>SUMIF(Summary!#REF!, "Linear", Summary!$K:$K)</f>
        <v>#REF!</v>
      </c>
      <c r="G9" s="260" t="e">
        <f>SUMIF(Summary!#REF!, "Linear", Summary!$L:$L)</f>
        <v>#REF!</v>
      </c>
      <c r="H9" s="260" t="e">
        <f>SUMIF(Summary!#REF!, "Linear", Summary!$M:$M)</f>
        <v>#REF!</v>
      </c>
    </row>
    <row r="10" spans="1:9">
      <c r="A10" s="256">
        <v>101114</v>
      </c>
      <c r="B10" t="s">
        <v>4029</v>
      </c>
      <c r="C10" s="346"/>
      <c r="D10" s="257" t="e">
        <f>SUMIF(Summary!#REF!, "Non-Linear", Summary!$I:$I)</f>
        <v>#REF!</v>
      </c>
      <c r="E10" s="261" t="e">
        <f>SUMIF(Summary!#REF!, "Non-Linear", Summary!$J:$J)</f>
        <v>#REF!</v>
      </c>
      <c r="F10" s="259" t="e">
        <f>SUMIF(Summary!#REF!, "Non-Linear", Summary!$K:$K)</f>
        <v>#REF!</v>
      </c>
      <c r="G10" s="260" t="e">
        <f>SUMIF(Summary!#REF!, "Non-Linear", Summary!$L:$L)</f>
        <v>#REF!</v>
      </c>
      <c r="H10" s="260" t="e">
        <f>SUMIF(Summary!#REF!, "Non-Linear", Summary!$M:$M)</f>
        <v>#REF!</v>
      </c>
    </row>
  </sheetData>
  <mergeCells count="3">
    <mergeCell ref="A3:D3"/>
    <mergeCell ref="E3:G3"/>
    <mergeCell ref="C5:C10"/>
  </mergeCells>
  <pageMargins left="0.7" right="0.7" top="0.75" bottom="0.75" header="0.3" footer="0.3"/>
  <ignoredErrors>
    <ignoredError sqref="E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N817"/>
  <sheetViews>
    <sheetView topLeftCell="A800" zoomScale="80" zoomScaleNormal="80" workbookViewId="0">
      <selection activeCell="G838" sqref="G838"/>
    </sheetView>
  </sheetViews>
  <sheetFormatPr defaultColWidth="12.453125" defaultRowHeight="14.5"/>
  <cols>
    <col min="1" max="1" width="18.81640625" style="135" customWidth="1"/>
    <col min="2" max="2" width="30.453125" style="135" customWidth="1"/>
    <col min="3" max="3" width="22.81640625" style="135" customWidth="1"/>
    <col min="4" max="4" width="25" style="135" customWidth="1"/>
    <col min="5" max="5" width="19.81640625" style="135" customWidth="1"/>
    <col min="6" max="6" width="25.7265625" style="135" customWidth="1"/>
    <col min="7" max="7" width="23" style="135" customWidth="1"/>
    <col min="8" max="8" width="23.453125" style="135" customWidth="1"/>
    <col min="9" max="9" width="25.7265625" style="135" customWidth="1"/>
    <col min="10" max="10" width="23.453125" style="135" customWidth="1"/>
    <col min="11" max="16384" width="12.453125" style="135"/>
  </cols>
  <sheetData>
    <row r="1" spans="1:14">
      <c r="B1" s="135" t="s">
        <v>3889</v>
      </c>
    </row>
    <row r="2" spans="1:14">
      <c r="B2" s="135" t="s">
        <v>3890</v>
      </c>
      <c r="C2" s="135">
        <v>3.4119999999999999</v>
      </c>
    </row>
    <row r="3" spans="1:14">
      <c r="B3" s="135" t="s">
        <v>3891</v>
      </c>
      <c r="C3" s="135">
        <v>100</v>
      </c>
    </row>
    <row r="4" spans="1:14" ht="23.5">
      <c r="B4" s="136" t="s">
        <v>3892</v>
      </c>
      <c r="C4"/>
    </row>
    <row r="5" spans="1:14">
      <c r="A5" s="137"/>
      <c r="B5" s="138" t="s">
        <v>3893</v>
      </c>
      <c r="C5" s="138" t="s">
        <v>3813</v>
      </c>
    </row>
    <row r="6" spans="1:14" ht="23.5">
      <c r="A6" s="139"/>
      <c r="B6" s="140" t="s">
        <v>3894</v>
      </c>
      <c r="C6" s="347"/>
      <c r="D6" s="347"/>
      <c r="E6" s="139"/>
      <c r="F6" s="139"/>
      <c r="G6" s="139"/>
      <c r="H6" s="139"/>
      <c r="I6" s="139"/>
      <c r="J6" s="139"/>
      <c r="K6" s="139"/>
      <c r="L6" s="139"/>
    </row>
    <row r="7" spans="1:14" customFormat="1" ht="15.5">
      <c r="B7" s="138" t="s">
        <v>3895</v>
      </c>
      <c r="C7" s="138" t="s">
        <v>3896</v>
      </c>
      <c r="D7" s="138" t="s">
        <v>3897</v>
      </c>
      <c r="E7" s="138" t="s">
        <v>3898</v>
      </c>
      <c r="F7" s="138" t="s">
        <v>3899</v>
      </c>
      <c r="G7" s="138" t="s">
        <v>3900</v>
      </c>
      <c r="H7" s="138" t="s">
        <v>3901</v>
      </c>
      <c r="I7" s="141" t="s">
        <v>3902</v>
      </c>
      <c r="J7" s="138" t="s">
        <v>3903</v>
      </c>
      <c r="K7" s="138" t="s">
        <v>3904</v>
      </c>
    </row>
    <row r="8" spans="1:14" customFormat="1">
      <c r="A8" t="str">
        <f>IF(Total_kWhSavings&lt;&gt;0,"FuelSavings","")</f>
        <v/>
      </c>
      <c r="B8" s="142" t="s">
        <v>3890</v>
      </c>
      <c r="E8" s="142"/>
      <c r="I8" s="142">
        <f>Total_kWhSavings*GECO_ELEC_RATIO</f>
        <v>0</v>
      </c>
      <c r="J8" s="142">
        <f>Total_ElectricCostSavings</f>
        <v>0</v>
      </c>
      <c r="K8" s="142">
        <f>Total_DemandSavings</f>
        <v>0</v>
      </c>
    </row>
    <row r="9" spans="1:14" customFormat="1">
      <c r="B9" s="142"/>
      <c r="I9" s="142"/>
      <c r="J9" s="142"/>
      <c r="K9" s="142"/>
    </row>
    <row r="10" spans="1:14" customFormat="1" ht="15.5">
      <c r="A10" s="143"/>
      <c r="B10" s="144" t="s">
        <v>3905</v>
      </c>
      <c r="C10" s="144" t="s">
        <v>3906</v>
      </c>
      <c r="D10" s="144" t="s">
        <v>3907</v>
      </c>
      <c r="E10" s="144" t="s">
        <v>3908</v>
      </c>
      <c r="F10" s="144" t="s">
        <v>3909</v>
      </c>
      <c r="G10" s="144" t="s">
        <v>3910</v>
      </c>
      <c r="H10" s="144" t="s">
        <v>3911</v>
      </c>
      <c r="I10" s="144" t="s">
        <v>3912</v>
      </c>
      <c r="J10" s="144" t="s">
        <v>3913</v>
      </c>
      <c r="K10" s="143"/>
      <c r="L10" s="143"/>
    </row>
    <row r="11" spans="1:14">
      <c r="A11" s="145" t="str">
        <f>IF(Total_Incentive&lt;&gt;0,"Incentives","")</f>
        <v/>
      </c>
      <c r="B11" s="145" t="str">
        <f>IF(Instructions!F24="Large Commercial &amp; Industrial Solutions","Large Commercial",IF(Instructions!F24="Small Commercial Solutions","Small Commercial", IF(Instructions!F24="Publicly Funded Institutions","Public Institution","")))</f>
        <v/>
      </c>
      <c r="C11" s="146" t="str">
        <f>IF(Instructions!F24="Large Commercial &amp; Industrial Solutions","Large-Lighting",IF(Instructions!F24="Small Commercial Solutions","Small", IF(Instructions!F24="Publicly Funded Institutions","Public-Lighting","")))</f>
        <v/>
      </c>
      <c r="D11" s="147">
        <f>Total_Incentive</f>
        <v>0</v>
      </c>
    </row>
    <row r="12" spans="1:14" ht="23.5">
      <c r="A12"/>
      <c r="B12" s="140" t="s">
        <v>3914</v>
      </c>
      <c r="C12"/>
      <c r="D12"/>
      <c r="E12"/>
      <c r="F12"/>
      <c r="G12"/>
      <c r="H12"/>
      <c r="I12"/>
      <c r="J12"/>
      <c r="K12"/>
      <c r="L12"/>
      <c r="M12"/>
      <c r="N12"/>
    </row>
    <row r="13" spans="1:14" ht="18.5">
      <c r="A13"/>
      <c r="B13" s="148" t="s">
        <v>3915</v>
      </c>
      <c r="C13" s="149"/>
      <c r="D13" s="149"/>
      <c r="E13" s="149"/>
      <c r="F13" s="149"/>
      <c r="G13" s="149"/>
      <c r="H13" s="149"/>
      <c r="I13" s="149"/>
      <c r="J13"/>
      <c r="K13"/>
      <c r="L13"/>
      <c r="M13"/>
      <c r="N13"/>
    </row>
    <row r="14" spans="1:14" ht="15.5">
      <c r="A14"/>
      <c r="B14" s="141" t="s">
        <v>3916</v>
      </c>
      <c r="C14" s="141" t="s">
        <v>3917</v>
      </c>
      <c r="D14" s="141" t="s">
        <v>3918</v>
      </c>
      <c r="E14" s="141" t="s">
        <v>3919</v>
      </c>
      <c r="F14" s="141" t="s">
        <v>3920</v>
      </c>
      <c r="G14" s="141" t="s">
        <v>3888</v>
      </c>
      <c r="H14" s="141" t="s">
        <v>3921</v>
      </c>
      <c r="I14" s="141" t="s">
        <v>3922</v>
      </c>
      <c r="J14"/>
      <c r="K14" s="150"/>
      <c r="L14" s="150"/>
      <c r="M14" s="150"/>
      <c r="N14" s="150"/>
    </row>
    <row r="15" spans="1:14">
      <c r="A15" t="str">
        <f>IF(Measure1_Type&lt;&gt;0,"Improvements","")</f>
        <v/>
      </c>
      <c r="B15" s="225">
        <f>IF(Measure1_Type="1 to 6 Watt LED Screw-In replacing Incandescent/CFL", "6 Watt LED Screw-In replacing Incandescent/CFL", IF(Measure1_Type="7 to 11 Watt LED Screw-In replacing Incandescent/CFL", "11 Watt LED Screw-In replacing Incandescent/CFL", IF(Measure1_Type="12 to 17 Watt LED Screw-In replacing Incandescent/CFL", "13 Watt LED Screw-In replacing Incandescent/CFL", IF(Measure1_Type="18 or more Watt LED Screw-In replacing Incandescent/CFL", "18 Watt LED Screw-In replacing Incandescent/CFL", Measure1_Type))))</f>
        <v>0</v>
      </c>
      <c r="C15" s="151">
        <f>Measure1_Cost</f>
        <v>0</v>
      </c>
      <c r="D15" s="142">
        <f>Measure1_Quantity</f>
        <v>0</v>
      </c>
      <c r="E15" s="142" t="str">
        <f>IF(Measure1_Description&lt;&gt;"",Measure1_Description,"")</f>
        <v/>
      </c>
      <c r="F15" s="142" t="str">
        <f>IF(Measure1_ShortDescription&lt;&gt; "", Measure1_ShortDescription,"")</f>
        <v>Replace 0 with 0</v>
      </c>
      <c r="G15" s="142" t="str">
        <f>IF(Measure1_Status&lt;&gt;"",Measure1_Status, "Recommended")</f>
        <v>Recommended</v>
      </c>
      <c r="H15" s="142" t="str">
        <f>IF(Measure1_Comments&lt;&gt;"", Measure1_Comments,"")</f>
        <v/>
      </c>
      <c r="I15" s="142">
        <f>Measure1_ElectricCostSavings</f>
        <v>0</v>
      </c>
      <c r="J15"/>
      <c r="K15"/>
      <c r="L15"/>
      <c r="M15"/>
      <c r="N15"/>
    </row>
    <row r="16" spans="1:14" ht="15.5">
      <c r="A16" s="150"/>
      <c r="B16"/>
      <c r="C16" s="152" t="s">
        <v>3923</v>
      </c>
      <c r="D16" s="153"/>
      <c r="E16" s="153"/>
      <c r="F16" s="153"/>
      <c r="G16"/>
    </row>
    <row r="17" spans="1:14" ht="15.5">
      <c r="A17" s="150"/>
      <c r="B17"/>
      <c r="C17" s="141" t="s">
        <v>3895</v>
      </c>
      <c r="D17" s="138" t="s">
        <v>3896</v>
      </c>
      <c r="E17" s="138" t="s">
        <v>3897</v>
      </c>
      <c r="F17" s="138" t="s">
        <v>3898</v>
      </c>
      <c r="G17" s="138" t="s">
        <v>3899</v>
      </c>
      <c r="H17" s="138" t="s">
        <v>3900</v>
      </c>
      <c r="I17" s="138" t="s">
        <v>3901</v>
      </c>
      <c r="J17" s="141" t="s">
        <v>3902</v>
      </c>
      <c r="K17" s="141" t="s">
        <v>3904</v>
      </c>
      <c r="L17" s="141" t="s">
        <v>3903</v>
      </c>
    </row>
    <row r="18" spans="1:14">
      <c r="A18" s="150" t="str">
        <f>IF(Measure1_kWhSavings&lt;&gt;0,"ImprovementSavings","")</f>
        <v/>
      </c>
      <c r="B18"/>
      <c r="C18" s="142" t="s">
        <v>3890</v>
      </c>
      <c r="D18" s="150"/>
      <c r="E18" s="150"/>
      <c r="F18" s="150"/>
      <c r="G18" s="150"/>
      <c r="H18" s="150"/>
      <c r="I18" s="150"/>
      <c r="J18" s="154">
        <f>Measure1_kWhSavings*GECO_ELEC_RATIO</f>
        <v>0</v>
      </c>
      <c r="K18" s="154">
        <f>Measure1_DemandSavings</f>
        <v>0</v>
      </c>
      <c r="L18" s="154">
        <f>Measure1_ElectricCostSavings</f>
        <v>0</v>
      </c>
    </row>
    <row r="19" spans="1:14">
      <c r="A19" s="150"/>
      <c r="B19"/>
      <c r="C19" s="149" t="s">
        <v>3924</v>
      </c>
      <c r="D19" s="149"/>
      <c r="E19"/>
      <c r="F19"/>
      <c r="G19"/>
      <c r="H19"/>
      <c r="I19"/>
      <c r="J19"/>
      <c r="K19"/>
      <c r="L19"/>
      <c r="M19"/>
      <c r="N19"/>
    </row>
    <row r="20" spans="1:14">
      <c r="A20" s="150"/>
      <c r="B20"/>
      <c r="C20" s="138" t="s">
        <v>3925</v>
      </c>
      <c r="D20" s="138" t="s">
        <v>3813</v>
      </c>
      <c r="E20"/>
      <c r="F20"/>
      <c r="G20"/>
      <c r="H20"/>
      <c r="I20"/>
      <c r="J20"/>
      <c r="K20"/>
      <c r="L20"/>
      <c r="M20"/>
      <c r="N20"/>
    </row>
    <row r="21" spans="1:14">
      <c r="A21" s="135" t="str">
        <f>IF(Measure1_Size&lt;&gt;"","ImprovementAttributes","")</f>
        <v/>
      </c>
      <c r="C21" s="155" t="s">
        <v>3926</v>
      </c>
      <c r="D21" s="155">
        <f>Measure1_Size</f>
        <v>0</v>
      </c>
    </row>
    <row r="22" spans="1:14">
      <c r="A22" s="135" t="str">
        <f>IF(Measure1_Efficiency&lt;&gt;"","ImprovementAttributes","")</f>
        <v/>
      </c>
      <c r="C22" s="155" t="s">
        <v>3927</v>
      </c>
      <c r="D22" s="155">
        <f>Measure1_Efficiency</f>
        <v>0</v>
      </c>
    </row>
    <row r="23" spans="1:14">
      <c r="A23" s="135" t="str">
        <f>IF(Measure1_UsefulLife&lt;&gt;"","ImprovementAttributes","")</f>
        <v/>
      </c>
      <c r="C23" s="155" t="s">
        <v>3928</v>
      </c>
      <c r="D23" s="155">
        <f>Measure1_UsefulLife</f>
        <v>0</v>
      </c>
    </row>
    <row r="24" spans="1:14">
      <c r="A24" s="135" t="str">
        <f>IF(Measure1_SerialNumber&lt;&gt;"","ImprovementAttributes","")</f>
        <v/>
      </c>
      <c r="C24" s="155" t="s">
        <v>3929</v>
      </c>
      <c r="D24" s="155">
        <f>Measure1_SerialNumber</f>
        <v>0</v>
      </c>
    </row>
    <row r="25" spans="1:14">
      <c r="A25" s="135" t="str">
        <f>IF(Measure1_Age&lt;&gt;"","ImprovementAttributes","")</f>
        <v/>
      </c>
      <c r="C25" s="155" t="s">
        <v>3930</v>
      </c>
      <c r="D25" s="155">
        <f>Measure1_Age</f>
        <v>0</v>
      </c>
    </row>
    <row r="26" spans="1:14">
      <c r="A26" s="135" t="str">
        <f>IF(Measure1_Replaced&lt;&gt;"","ImprovementAttributes","")</f>
        <v/>
      </c>
      <c r="C26" s="155" t="s">
        <v>3931</v>
      </c>
      <c r="D26" s="155">
        <f>Measure1_Replaced</f>
        <v>0</v>
      </c>
    </row>
    <row r="27" spans="1:14">
      <c r="A27" s="135" t="str">
        <f>IF(Measure1_Payback&lt;&gt;0,"ImprovementAttributes","")</f>
        <v/>
      </c>
      <c r="C27" s="155" t="s">
        <v>3932</v>
      </c>
      <c r="D27" s="155">
        <f>Measure1_Payback</f>
        <v>0</v>
      </c>
    </row>
    <row r="28" spans="1:14">
      <c r="A28" s="135" t="str">
        <f>IF(Measure1_Incentive&lt;&gt;0,"ImprovementAttributes","")</f>
        <v/>
      </c>
      <c r="C28" s="155" t="s">
        <v>4004</v>
      </c>
      <c r="D28" s="155">
        <f>Measure1_Incentive</f>
        <v>0</v>
      </c>
    </row>
    <row r="29" spans="1:14" ht="18.5">
      <c r="A29"/>
      <c r="B29" s="148" t="s">
        <v>3933</v>
      </c>
      <c r="C29" s="149"/>
      <c r="D29" s="149"/>
      <c r="E29" s="149"/>
      <c r="F29" s="149"/>
      <c r="G29" s="149"/>
      <c r="H29" s="149"/>
      <c r="I29" s="149"/>
      <c r="J29"/>
      <c r="K29"/>
      <c r="L29"/>
      <c r="M29"/>
      <c r="N29"/>
    </row>
    <row r="30" spans="1:14">
      <c r="A30"/>
      <c r="B30" s="138" t="s">
        <v>3916</v>
      </c>
      <c r="C30" s="138" t="s">
        <v>3917</v>
      </c>
      <c r="D30" s="138" t="s">
        <v>3918</v>
      </c>
      <c r="E30" s="138" t="s">
        <v>3919</v>
      </c>
      <c r="F30" s="138" t="s">
        <v>3920</v>
      </c>
      <c r="G30" s="138" t="s">
        <v>3888</v>
      </c>
      <c r="H30" s="138" t="s">
        <v>3921</v>
      </c>
      <c r="I30" s="138" t="s">
        <v>3922</v>
      </c>
      <c r="J30"/>
      <c r="K30" s="150"/>
      <c r="L30" s="150"/>
      <c r="M30" s="150"/>
      <c r="N30" s="150"/>
    </row>
    <row r="31" spans="1:14">
      <c r="A31" t="str">
        <f>IF(Measure2_Type&lt;&gt;0,"Improvements","")</f>
        <v/>
      </c>
      <c r="B31" s="156">
        <f>IF(Measure2_Type="1 to 6 Watt LED Screw-In replacing Incandescent/CFL", "6 Watt LED Screw-In replacing Incandescent/CFL", IF(Measure2_Type="7 to 11 Watt LED Screw-In replacing Incandescent/CFL", "11 Watt LED Screw-In replacing Incandescent/CFL", IF(Measure2_Type="12 to 17 Watt LED Screw-In replacing Incandescent/CFL", "13 Watt LED Screw-In replacing Incandescent/CFL", IF(Measure2_Type="18 or more Watt LED Screw-In replacing Incandescent/CFL", "18 Watt LED Screw-In replacing Incandescent/CFL", Measure2_Type))))</f>
        <v>0</v>
      </c>
      <c r="C31" s="151">
        <f>Measure2_Cost</f>
        <v>0</v>
      </c>
      <c r="D31" s="142">
        <f>Measure2_Quantity</f>
        <v>0</v>
      </c>
      <c r="E31" s="142" t="str">
        <f>IF(Measure2_Description&lt;&gt;"",Measure2_Description,"")</f>
        <v/>
      </c>
      <c r="F31" s="142" t="e">
        <f>IF(Measure2_ShortDescription&lt;&gt; "", Measure2_ShortDescription,"")</f>
        <v>#N/A</v>
      </c>
      <c r="G31" s="142" t="str">
        <f>IF(Measure2_Status&lt;&gt;"",Measure2_Status, "Recommended")</f>
        <v>Recommended</v>
      </c>
      <c r="H31" s="142" t="str">
        <f>IF(Measure2_Comments&lt;&gt;"", Measure2_Comments,"")</f>
        <v/>
      </c>
      <c r="I31" s="142">
        <f>Measure2_ElectricCostSavings</f>
        <v>0</v>
      </c>
      <c r="J31"/>
      <c r="K31"/>
      <c r="L31"/>
      <c r="M31"/>
      <c r="N31"/>
    </row>
    <row r="32" spans="1:14" ht="15.5">
      <c r="A32" s="150"/>
      <c r="B32"/>
      <c r="C32" s="152" t="s">
        <v>3923</v>
      </c>
      <c r="D32" s="153"/>
      <c r="E32" s="153"/>
      <c r="F32" s="153"/>
      <c r="G32" s="153"/>
      <c r="H32" s="153"/>
      <c r="I32" s="153"/>
      <c r="J32" s="153"/>
      <c r="K32" s="153"/>
      <c r="L32" s="153"/>
    </row>
    <row r="33" spans="1:14">
      <c r="A33" s="150"/>
      <c r="B33"/>
      <c r="C33" s="138" t="s">
        <v>3895</v>
      </c>
      <c r="D33" s="138" t="s">
        <v>3896</v>
      </c>
      <c r="E33" s="138" t="s">
        <v>3897</v>
      </c>
      <c r="F33" s="138" t="s">
        <v>3898</v>
      </c>
      <c r="G33" s="138" t="s">
        <v>3899</v>
      </c>
      <c r="H33" s="138" t="s">
        <v>3900</v>
      </c>
      <c r="I33" s="138" t="s">
        <v>3901</v>
      </c>
      <c r="J33" s="138" t="s">
        <v>3934</v>
      </c>
      <c r="K33" s="138" t="s">
        <v>3904</v>
      </c>
      <c r="L33" s="138" t="s">
        <v>3903</v>
      </c>
    </row>
    <row r="34" spans="1:14">
      <c r="A34" s="150" t="str">
        <f>IF(Measure2_kWhSavings&lt;&gt;0,"ImprovementSavings","")</f>
        <v/>
      </c>
      <c r="B34"/>
      <c r="C34" s="142" t="s">
        <v>3890</v>
      </c>
      <c r="D34" s="150"/>
      <c r="E34" s="150"/>
      <c r="F34" s="150"/>
      <c r="G34" s="150"/>
      <c r="H34" s="150"/>
      <c r="I34" s="150"/>
      <c r="J34" s="142">
        <f>Measure2_kWhSavings*GECO_ELEC_RATIO</f>
        <v>0</v>
      </c>
      <c r="K34" s="142">
        <f>Measure2_DemandSavings</f>
        <v>0</v>
      </c>
      <c r="L34" s="142">
        <f>Measure2_ElectricCostSavings</f>
        <v>0</v>
      </c>
    </row>
    <row r="35" spans="1:14">
      <c r="A35" s="150"/>
      <c r="B35"/>
      <c r="C35" s="149" t="s">
        <v>3924</v>
      </c>
      <c r="D35" s="149"/>
      <c r="E35"/>
      <c r="F35"/>
      <c r="G35"/>
      <c r="H35"/>
      <c r="I35"/>
      <c r="J35"/>
      <c r="K35"/>
      <c r="L35"/>
      <c r="M35"/>
      <c r="N35"/>
    </row>
    <row r="36" spans="1:14">
      <c r="A36" s="150"/>
      <c r="B36"/>
      <c r="C36" s="138" t="s">
        <v>3925</v>
      </c>
      <c r="D36" s="138" t="s">
        <v>3813</v>
      </c>
      <c r="E36"/>
      <c r="F36"/>
      <c r="G36"/>
      <c r="H36"/>
      <c r="I36"/>
      <c r="J36"/>
      <c r="K36"/>
      <c r="L36"/>
      <c r="M36"/>
      <c r="N36"/>
    </row>
    <row r="37" spans="1:14">
      <c r="A37" s="135" t="str">
        <f>IF(Measure2_Size&lt;&gt;"","ImprovementAttributes","")</f>
        <v/>
      </c>
      <c r="C37" s="155" t="s">
        <v>3926</v>
      </c>
      <c r="D37" s="155">
        <f>Measure2_Size</f>
        <v>0</v>
      </c>
    </row>
    <row r="38" spans="1:14">
      <c r="A38" s="135" t="str">
        <f>IF(Measure2_Efficiency&lt;&gt;"","ImprovementAttributes","")</f>
        <v/>
      </c>
      <c r="C38" s="155" t="s">
        <v>3927</v>
      </c>
      <c r="D38" s="155">
        <f>Measure2_Efficiency</f>
        <v>0</v>
      </c>
    </row>
    <row r="39" spans="1:14">
      <c r="A39" s="135" t="str">
        <f>IF(Measure2_UsefulLife&lt;&gt;"","ImprovementAttributes","")</f>
        <v/>
      </c>
      <c r="C39" s="155" t="s">
        <v>3928</v>
      </c>
      <c r="D39" s="155">
        <f>Measure2_UsefulLife</f>
        <v>0</v>
      </c>
    </row>
    <row r="40" spans="1:14">
      <c r="A40" s="135" t="str">
        <f>IF(Measure2_SerialNumber&lt;&gt;"","ImprovementAttributes","")</f>
        <v/>
      </c>
      <c r="C40" s="155" t="s">
        <v>3929</v>
      </c>
      <c r="D40" s="155">
        <f>Measure2_SerialNumber</f>
        <v>0</v>
      </c>
    </row>
    <row r="41" spans="1:14">
      <c r="A41" s="135" t="str">
        <f>IF(Measure2_Age&lt;&gt;"","ImprovementAttributes","")</f>
        <v/>
      </c>
      <c r="C41" s="155" t="s">
        <v>3930</v>
      </c>
      <c r="D41" s="155">
        <f>Measure2_Age</f>
        <v>0</v>
      </c>
    </row>
    <row r="42" spans="1:14">
      <c r="A42" s="135" t="str">
        <f>IF(Measure2_Replaced&lt;&gt;"","ImprovementAttributes","")</f>
        <v/>
      </c>
      <c r="C42" s="155" t="s">
        <v>3931</v>
      </c>
      <c r="D42" s="155">
        <f>Measure2_Replaced</f>
        <v>0</v>
      </c>
    </row>
    <row r="43" spans="1:14">
      <c r="A43" s="135" t="str">
        <f>IF(Measure2_Payback&lt;&gt;0,"ImprovementAttributes","")</f>
        <v/>
      </c>
      <c r="C43" s="155" t="s">
        <v>3932</v>
      </c>
      <c r="D43" s="155">
        <f>Measure2_Payback</f>
        <v>0</v>
      </c>
    </row>
    <row r="44" spans="1:14">
      <c r="A44" s="135" t="str">
        <f>IF(Measure2_Incentive&lt;&gt;0,"ImprovementAttributes","")</f>
        <v/>
      </c>
      <c r="C44" s="155" t="s">
        <v>4004</v>
      </c>
      <c r="D44" s="155">
        <f>Measure2_Incentive</f>
        <v>0</v>
      </c>
    </row>
    <row r="45" spans="1:14" ht="18.5">
      <c r="A45"/>
      <c r="B45" s="148" t="s">
        <v>3935</v>
      </c>
      <c r="C45" s="149"/>
      <c r="D45" s="149"/>
      <c r="E45" s="149"/>
      <c r="F45" s="149"/>
      <c r="G45" s="149"/>
      <c r="H45" s="149"/>
      <c r="I45" s="149"/>
      <c r="J45"/>
      <c r="K45"/>
      <c r="L45"/>
      <c r="M45"/>
      <c r="N45"/>
    </row>
    <row r="46" spans="1:14">
      <c r="A46"/>
      <c r="B46" s="138" t="s">
        <v>3916</v>
      </c>
      <c r="C46" s="138" t="s">
        <v>3917</v>
      </c>
      <c r="D46" s="138" t="s">
        <v>3918</v>
      </c>
      <c r="E46" s="138" t="s">
        <v>3919</v>
      </c>
      <c r="F46" s="138" t="s">
        <v>3920</v>
      </c>
      <c r="G46" s="138" t="s">
        <v>3888</v>
      </c>
      <c r="H46" s="138" t="s">
        <v>3921</v>
      </c>
      <c r="I46" s="138" t="s">
        <v>3922</v>
      </c>
      <c r="J46"/>
      <c r="K46" s="150"/>
      <c r="L46" s="150"/>
      <c r="M46" s="150"/>
      <c r="N46" s="150"/>
    </row>
    <row r="47" spans="1:14">
      <c r="A47" t="str">
        <f>IF(Measure3_Type&lt;&gt;0,"Improvements","")</f>
        <v/>
      </c>
      <c r="B47" s="156">
        <f>IF(Measure3_Type="1 to 6 Watt LED Screw-In replacing Incandescent/CFL", "6 Watt LED Screw-In replacing Incandescent/CFL", IF(Measure3_Type="7 to 11 Watt LED Screw-In replacing Incandescent/CFL", "11 Watt LED Screw-In replacing Incandescent/CFL", IF(Measure3_Type="12 to 17 Watt LED Screw-In replacing Incandescent/CFL", "13 Watt LED Screw-In replacing Incandescent/CFL", IF(Measure3_Type="18 or more Watt LED Screw-In replacing Incandescent/CFL", "18 Watt LED Screw-In replacing Incandescent/CFL", Measure3_Type))))</f>
        <v>0</v>
      </c>
      <c r="C47" s="151">
        <f>Measure3_Cost</f>
        <v>0</v>
      </c>
      <c r="D47" s="142">
        <f>Measure3_Quantity</f>
        <v>0</v>
      </c>
      <c r="E47" s="142" t="str">
        <f>IF(Measure3_Description&lt;&gt;"",Measure3_Description,"")</f>
        <v/>
      </c>
      <c r="F47" s="142" t="e">
        <f>IF(Measure3_ShortDescription&lt;&gt; "", Measure3_ShortDescription,"")</f>
        <v>#N/A</v>
      </c>
      <c r="G47" s="142" t="str">
        <f>IF(Measure3_Status&lt;&gt;"",Measure3_Status, "Recommended")</f>
        <v>Recommended</v>
      </c>
      <c r="H47" s="142" t="str">
        <f>IF(Measure3_Comments&lt;&gt;"", Measure3_Comments,"")</f>
        <v/>
      </c>
      <c r="I47" s="142">
        <f>Measure3_ElectricCostSavings</f>
        <v>0</v>
      </c>
      <c r="J47"/>
      <c r="K47"/>
      <c r="L47"/>
      <c r="M47"/>
      <c r="N47"/>
    </row>
    <row r="48" spans="1:14" ht="15.5">
      <c r="A48" s="150"/>
      <c r="B48"/>
      <c r="C48" s="152" t="s">
        <v>3923</v>
      </c>
      <c r="D48" s="153"/>
      <c r="E48" s="153"/>
      <c r="F48" s="153"/>
      <c r="G48" s="153"/>
      <c r="H48" s="153"/>
      <c r="I48" s="153"/>
      <c r="J48" s="153"/>
      <c r="K48" s="153"/>
      <c r="L48" s="153"/>
      <c r="M48"/>
    </row>
    <row r="49" spans="1:14">
      <c r="A49" s="150"/>
      <c r="B49"/>
      <c r="C49" s="138" t="s">
        <v>3895</v>
      </c>
      <c r="D49" s="138" t="s">
        <v>3896</v>
      </c>
      <c r="E49" s="138" t="s">
        <v>3897</v>
      </c>
      <c r="F49" s="138" t="s">
        <v>3898</v>
      </c>
      <c r="G49" s="138" t="s">
        <v>3899</v>
      </c>
      <c r="H49" s="138" t="s">
        <v>3900</v>
      </c>
      <c r="I49" s="138" t="s">
        <v>3901</v>
      </c>
      <c r="J49" s="138" t="s">
        <v>3936</v>
      </c>
      <c r="K49" s="138" t="s">
        <v>3904</v>
      </c>
      <c r="L49" s="138" t="s">
        <v>3937</v>
      </c>
    </row>
    <row r="50" spans="1:14">
      <c r="A50" s="150" t="str">
        <f>IF(Measure3_kWhSavings&lt;&gt;0,"ImprovementSavings","")</f>
        <v/>
      </c>
      <c r="B50"/>
      <c r="C50" s="142" t="s">
        <v>3890</v>
      </c>
      <c r="D50" s="150"/>
      <c r="E50" s="150"/>
      <c r="F50" s="150"/>
      <c r="G50" s="150"/>
      <c r="H50" s="150"/>
      <c r="I50" s="150"/>
      <c r="J50" s="142">
        <f>Measure3_kWhSavings*GECO_ELEC_RATIO</f>
        <v>0</v>
      </c>
      <c r="K50" s="142">
        <f>Measure3_DemandSavings</f>
        <v>0</v>
      </c>
      <c r="L50" s="142">
        <f>Measure3_ElectricCostSavings</f>
        <v>0</v>
      </c>
    </row>
    <row r="51" spans="1:14">
      <c r="A51" s="150"/>
      <c r="B51"/>
      <c r="C51" s="149" t="s">
        <v>3924</v>
      </c>
      <c r="D51" s="149"/>
      <c r="E51"/>
      <c r="F51"/>
      <c r="G51"/>
      <c r="H51"/>
      <c r="I51"/>
      <c r="J51"/>
      <c r="K51"/>
      <c r="L51"/>
      <c r="M51"/>
      <c r="N51"/>
    </row>
    <row r="52" spans="1:14">
      <c r="A52" s="150"/>
      <c r="B52"/>
      <c r="C52" s="138" t="s">
        <v>3925</v>
      </c>
      <c r="D52" s="138" t="s">
        <v>3813</v>
      </c>
      <c r="E52"/>
      <c r="F52"/>
      <c r="G52"/>
      <c r="H52"/>
      <c r="I52"/>
      <c r="J52"/>
      <c r="K52"/>
      <c r="L52"/>
      <c r="M52"/>
      <c r="N52"/>
    </row>
    <row r="53" spans="1:14">
      <c r="A53" s="135" t="str">
        <f>IF(Measure3_Size&lt;&gt;"","ImprovementAttributes","")</f>
        <v/>
      </c>
      <c r="C53" s="155" t="s">
        <v>3926</v>
      </c>
      <c r="D53" s="155">
        <f>Measure3_Size</f>
        <v>0</v>
      </c>
    </row>
    <row r="54" spans="1:14">
      <c r="A54" s="135" t="str">
        <f>IF(Measure3_Efficiency&lt;&gt;"","ImprovementAttributes","")</f>
        <v/>
      </c>
      <c r="C54" s="155" t="s">
        <v>3927</v>
      </c>
      <c r="D54" s="155">
        <f>Measure3_Efficiency</f>
        <v>0</v>
      </c>
    </row>
    <row r="55" spans="1:14">
      <c r="A55" s="135" t="str">
        <f>IF(Measure3_UsefulLife&lt;&gt;"","ImprovementAttributes","")</f>
        <v/>
      </c>
      <c r="C55" s="155" t="s">
        <v>3928</v>
      </c>
      <c r="D55" s="155">
        <f>Measure3_UsefulLife</f>
        <v>0</v>
      </c>
    </row>
    <row r="56" spans="1:14">
      <c r="A56" s="135" t="str">
        <f>IF(Measure3_SerialNumber&lt;&gt;"","ImprovementAttributes","")</f>
        <v/>
      </c>
      <c r="C56" s="155" t="s">
        <v>3929</v>
      </c>
      <c r="D56" s="155">
        <f>Measure3_SerialNumber</f>
        <v>0</v>
      </c>
    </row>
    <row r="57" spans="1:14">
      <c r="A57" s="135" t="str">
        <f>IF(Measure3_Age&lt;&gt;"","ImprovementAttributes","")</f>
        <v/>
      </c>
      <c r="C57" s="155" t="s">
        <v>3930</v>
      </c>
      <c r="D57" s="155">
        <f>Measure3_Age</f>
        <v>0</v>
      </c>
    </row>
    <row r="58" spans="1:14">
      <c r="A58" s="135" t="str">
        <f>IF(Measure3_Replaced&lt;&gt;"","ImprovementAttributes","")</f>
        <v/>
      </c>
      <c r="C58" s="155" t="s">
        <v>3931</v>
      </c>
      <c r="D58" s="155">
        <f>Measure3_Replaced</f>
        <v>0</v>
      </c>
    </row>
    <row r="59" spans="1:14">
      <c r="A59" s="135" t="str">
        <f>IF(Measure3_Payback&lt;&gt;0,"ImprovementAttributes","")</f>
        <v/>
      </c>
      <c r="C59" s="155" t="s">
        <v>3932</v>
      </c>
      <c r="D59" s="155">
        <f>Measure3_Payback</f>
        <v>0</v>
      </c>
    </row>
    <row r="60" spans="1:14">
      <c r="A60" s="135" t="str">
        <f>IF(Measure3_Incentive&lt;&gt;0,"ImprovementAttributes","")</f>
        <v/>
      </c>
      <c r="C60" s="155" t="s">
        <v>4004</v>
      </c>
      <c r="D60" s="155">
        <f>Measure3_Incentive</f>
        <v>0</v>
      </c>
    </row>
    <row r="61" spans="1:14" ht="18.5">
      <c r="A61"/>
      <c r="B61" s="148" t="s">
        <v>3938</v>
      </c>
      <c r="C61" s="149"/>
      <c r="D61" s="149"/>
      <c r="E61" s="149"/>
      <c r="F61" s="149"/>
      <c r="G61" s="149"/>
      <c r="H61" s="149"/>
      <c r="I61" s="149"/>
      <c r="J61"/>
      <c r="K61"/>
      <c r="L61"/>
      <c r="M61"/>
      <c r="N61"/>
    </row>
    <row r="62" spans="1:14">
      <c r="A62"/>
      <c r="B62" s="138" t="s">
        <v>3916</v>
      </c>
      <c r="C62" s="138" t="s">
        <v>3917</v>
      </c>
      <c r="D62" s="138" t="s">
        <v>3918</v>
      </c>
      <c r="E62" s="138" t="s">
        <v>3919</v>
      </c>
      <c r="F62" s="138" t="s">
        <v>3920</v>
      </c>
      <c r="G62" s="138" t="s">
        <v>3888</v>
      </c>
      <c r="H62" s="138" t="s">
        <v>3921</v>
      </c>
      <c r="I62" s="138" t="s">
        <v>3922</v>
      </c>
      <c r="J62"/>
      <c r="K62" s="150"/>
      <c r="L62" s="150"/>
      <c r="M62" s="150"/>
      <c r="N62" s="150"/>
    </row>
    <row r="63" spans="1:14">
      <c r="A63" t="str">
        <f>IF(Measure4_Type&lt;&gt;0,"Improvements","")</f>
        <v/>
      </c>
      <c r="B63" s="156">
        <f>IF(Measure4_Type="1 to 6 Watt LED Screw-In replacing Incandescent/CFL", "6 Watt LED Screw-In replacing Incandescent/CFL", IF(Measure4_Type="7 to 11 Watt LED Screw-In replacing Incandescent/CFL", "11 Watt LED Screw-In replacing Incandescent/CFL", IF(Measure4_Type="12 to 17 Watt LED Screw-In replacing Incandescent/CFL", "13 Watt LED Screw-In replacing Incandescent/CFL", IF(Measure4_Type="18 or more Watt LED Screw-In replacing Incandescent/CFL", "18 Watt LED Screw-In replacing Incandescent/CFL", Measure4_Type))))</f>
        <v>0</v>
      </c>
      <c r="C63" s="151">
        <f>Measure4_Cost</f>
        <v>0</v>
      </c>
      <c r="D63" s="142">
        <f>Measure4_Quantity</f>
        <v>0</v>
      </c>
      <c r="E63" s="142" t="str">
        <f>IF(Measure4_Description&lt;&gt;"",Measure4_Description,"")</f>
        <v/>
      </c>
      <c r="F63" s="142" t="e">
        <f>IF(Measure4_ShortDescription&lt;&gt; "", Measure4_ShortDescription,"")</f>
        <v>#N/A</v>
      </c>
      <c r="G63" s="142" t="str">
        <f>IF(Measure4_Status&lt;&gt;"",Measure4_Status, "Recommended")</f>
        <v>Recommended</v>
      </c>
      <c r="H63" s="142" t="str">
        <f>IF(Measure4_Comments&lt;&gt;"", Measure4_Comments,"")</f>
        <v/>
      </c>
      <c r="I63" s="142">
        <f>Measure4_ElectricCostSavings</f>
        <v>0</v>
      </c>
      <c r="J63"/>
      <c r="K63"/>
      <c r="L63"/>
      <c r="M63"/>
      <c r="N63"/>
    </row>
    <row r="64" spans="1:14" ht="15.5">
      <c r="A64" s="150"/>
      <c r="B64"/>
      <c r="C64" s="152" t="s">
        <v>3923</v>
      </c>
      <c r="D64" s="153"/>
      <c r="E64" s="153"/>
      <c r="F64" s="153"/>
      <c r="G64" s="153"/>
      <c r="H64" s="153"/>
      <c r="I64" s="153"/>
      <c r="J64" s="153"/>
      <c r="K64" s="153"/>
      <c r="L64" s="153"/>
      <c r="M64"/>
    </row>
    <row r="65" spans="1:14">
      <c r="A65" s="150"/>
      <c r="B65"/>
      <c r="C65" s="138" t="s">
        <v>3895</v>
      </c>
      <c r="D65" s="138" t="s">
        <v>3896</v>
      </c>
      <c r="E65" s="138" t="s">
        <v>3897</v>
      </c>
      <c r="F65" s="138" t="s">
        <v>3898</v>
      </c>
      <c r="G65" s="138" t="s">
        <v>3899</v>
      </c>
      <c r="H65" s="138" t="s">
        <v>3900</v>
      </c>
      <c r="I65" s="138" t="s">
        <v>3901</v>
      </c>
      <c r="J65" s="138" t="s">
        <v>3936</v>
      </c>
      <c r="K65" s="138" t="s">
        <v>3904</v>
      </c>
      <c r="L65" s="138" t="s">
        <v>3937</v>
      </c>
    </row>
    <row r="66" spans="1:14">
      <c r="A66" s="150" t="str">
        <f>IF(Measure4_kWhSavings&lt;&gt;0,"ImprovementSavings","")</f>
        <v/>
      </c>
      <c r="B66"/>
      <c r="C66" s="142" t="s">
        <v>3890</v>
      </c>
      <c r="D66" s="150"/>
      <c r="E66" s="150"/>
      <c r="F66" s="150"/>
      <c r="G66" s="150"/>
      <c r="H66" s="150"/>
      <c r="I66" s="150"/>
      <c r="J66" s="142">
        <f>Measure4_kWhSavings*GECO_ELEC_RATIO</f>
        <v>0</v>
      </c>
      <c r="K66" s="142">
        <f>Measure4_DemandSavings</f>
        <v>0</v>
      </c>
      <c r="L66" s="142">
        <f>Measure4_ElectricCostSavings</f>
        <v>0</v>
      </c>
    </row>
    <row r="67" spans="1:14">
      <c r="A67" s="150"/>
      <c r="B67"/>
      <c r="C67" s="149" t="s">
        <v>3924</v>
      </c>
      <c r="D67" s="149"/>
      <c r="E67"/>
      <c r="F67"/>
      <c r="G67"/>
      <c r="H67"/>
      <c r="I67"/>
      <c r="J67"/>
      <c r="K67"/>
      <c r="L67"/>
      <c r="M67"/>
      <c r="N67"/>
    </row>
    <row r="68" spans="1:14">
      <c r="A68" s="150"/>
      <c r="B68"/>
      <c r="C68" s="138" t="s">
        <v>3925</v>
      </c>
      <c r="D68" s="138" t="s">
        <v>3813</v>
      </c>
      <c r="E68"/>
      <c r="F68"/>
      <c r="G68"/>
      <c r="H68"/>
      <c r="I68"/>
      <c r="J68"/>
      <c r="K68"/>
      <c r="L68"/>
      <c r="M68"/>
      <c r="N68"/>
    </row>
    <row r="69" spans="1:14">
      <c r="A69" s="135" t="str">
        <f>IF(Measure4_Size&lt;&gt;"","ImprovementAttributes","")</f>
        <v/>
      </c>
      <c r="C69" s="155" t="s">
        <v>3926</v>
      </c>
      <c r="D69" s="155">
        <f>Measure4_Size</f>
        <v>0</v>
      </c>
    </row>
    <row r="70" spans="1:14">
      <c r="A70" s="135" t="str">
        <f>IF(Measure4_Efficiency&lt;&gt;"","ImprovementAttributes","")</f>
        <v/>
      </c>
      <c r="C70" s="155" t="s">
        <v>3927</v>
      </c>
      <c r="D70" s="155">
        <f>Measure4_Efficiency</f>
        <v>0</v>
      </c>
    </row>
    <row r="71" spans="1:14">
      <c r="A71" s="135" t="str">
        <f>IF(Measure4_UsefulLife&lt;&gt;"","ImprovementAttributes","")</f>
        <v/>
      </c>
      <c r="C71" s="155" t="s">
        <v>3928</v>
      </c>
      <c r="D71" s="155">
        <f>Measure4_UsefulLife</f>
        <v>0</v>
      </c>
    </row>
    <row r="72" spans="1:14">
      <c r="A72" s="135" t="str">
        <f>IF(Measure4_SerialNumber&lt;&gt;"","ImprovementAttributes","")</f>
        <v/>
      </c>
      <c r="C72" s="155" t="s">
        <v>3929</v>
      </c>
      <c r="D72" s="155">
        <f>Measure4_SerialNumber</f>
        <v>0</v>
      </c>
    </row>
    <row r="73" spans="1:14">
      <c r="A73" s="135" t="str">
        <f>IF(Measure4_Age&lt;&gt;"","ImprovementAttributes","")</f>
        <v/>
      </c>
      <c r="C73" s="155" t="s">
        <v>3930</v>
      </c>
      <c r="D73" s="155">
        <f>Measure4_Age</f>
        <v>0</v>
      </c>
    </row>
    <row r="74" spans="1:14">
      <c r="A74" s="135" t="str">
        <f>IF(Measure4_Replaced&lt;&gt;"","ImprovementAttributes","")</f>
        <v/>
      </c>
      <c r="C74" s="155" t="s">
        <v>3931</v>
      </c>
      <c r="D74" s="155">
        <f>Measure4_Replaced</f>
        <v>0</v>
      </c>
    </row>
    <row r="75" spans="1:14">
      <c r="A75" s="135" t="str">
        <f>IF(Measure4_Payback&lt;&gt;0,"ImprovementAttributes","")</f>
        <v/>
      </c>
      <c r="C75" s="155" t="s">
        <v>3932</v>
      </c>
      <c r="D75" s="155">
        <f>Measure4_Payback</f>
        <v>0</v>
      </c>
    </row>
    <row r="76" spans="1:14">
      <c r="A76" s="135" t="str">
        <f>IF(Measure4_Incentive&lt;&gt;0,"ImprovementAttributes","")</f>
        <v/>
      </c>
      <c r="C76" s="155" t="s">
        <v>4004</v>
      </c>
      <c r="D76" s="155">
        <f>Measure4_Incentive</f>
        <v>0</v>
      </c>
    </row>
    <row r="77" spans="1:14" ht="18.5">
      <c r="A77"/>
      <c r="B77" s="148" t="s">
        <v>3939</v>
      </c>
      <c r="C77" s="149"/>
      <c r="D77" s="149"/>
      <c r="E77" s="149"/>
      <c r="F77" s="149"/>
      <c r="G77" s="149"/>
      <c r="H77" s="149"/>
      <c r="I77" s="149"/>
      <c r="J77"/>
      <c r="K77"/>
      <c r="L77"/>
      <c r="M77"/>
      <c r="N77"/>
    </row>
    <row r="78" spans="1:14">
      <c r="A78"/>
      <c r="B78" s="138" t="s">
        <v>3916</v>
      </c>
      <c r="C78" s="138" t="s">
        <v>3917</v>
      </c>
      <c r="D78" s="138" t="s">
        <v>3918</v>
      </c>
      <c r="E78" s="138" t="s">
        <v>3919</v>
      </c>
      <c r="F78" s="138" t="s">
        <v>3920</v>
      </c>
      <c r="G78" s="138" t="s">
        <v>3888</v>
      </c>
      <c r="H78" s="138" t="s">
        <v>3921</v>
      </c>
      <c r="I78" s="138" t="s">
        <v>3922</v>
      </c>
      <c r="J78"/>
      <c r="K78" s="150"/>
      <c r="L78" s="150"/>
      <c r="M78" s="150"/>
      <c r="N78" s="150"/>
    </row>
    <row r="79" spans="1:14">
      <c r="A79" t="str">
        <f>IF(Measure5_Type&lt;&gt;0,"Improvements","")</f>
        <v/>
      </c>
      <c r="B79" s="156">
        <f>IF(Measure5_Type="1 to 6 Watt LED Screw-In replacing Incandescent/CFL", "6 Watt LED Screw-In replacing Incandescent/CFL", IF(Measure5_Type="7 to 11 Watt LED Screw-In replacing Incandescent/CFL", "11 Watt LED Screw-In replacing Incandescent/CFL", IF(Measure5_Type="12 to 17 Watt LED Screw-In replacing Incandescent/CFL", "13 Watt LED Screw-In replacing Incandescent/CFL", IF(Measure5_Type="18 or more Watt LED Screw-In replacing Incandescent/CFL", "18 Watt LED Screw-In replacing Incandescent/CFL", Measure5_Type))))</f>
        <v>0</v>
      </c>
      <c r="C79" s="151">
        <f>Measure5_Cost</f>
        <v>0</v>
      </c>
      <c r="D79" s="142">
        <f>Measure5_Quantity</f>
        <v>0</v>
      </c>
      <c r="E79" s="142" t="str">
        <f>IF(Measure5_Description&lt;&gt;"",Measure5_Description,"")</f>
        <v/>
      </c>
      <c r="F79" s="142" t="e">
        <f>IF(Measure5_ShortDescription&lt;&gt; "", Measure5_ShortDescription,"")</f>
        <v>#N/A</v>
      </c>
      <c r="G79" s="142" t="str">
        <f>IF(Measure5_Status&lt;&gt;"",Measure5_Status, "Recommended")</f>
        <v>Recommended</v>
      </c>
      <c r="H79" s="142" t="str">
        <f>IF(Measure5_Comments&lt;&gt;"", Measure5_Comments,"")</f>
        <v/>
      </c>
      <c r="I79" s="142">
        <f>Measure5_ElectricCostSavings</f>
        <v>0</v>
      </c>
      <c r="J79"/>
      <c r="K79"/>
      <c r="L79"/>
      <c r="M79"/>
      <c r="N79"/>
    </row>
    <row r="80" spans="1:14" ht="15.5">
      <c r="A80" s="150"/>
      <c r="B80"/>
      <c r="C80" s="152" t="s">
        <v>3923</v>
      </c>
      <c r="D80" s="153"/>
      <c r="E80" s="153"/>
      <c r="F80" s="153"/>
      <c r="G80" s="153"/>
      <c r="H80" s="153"/>
      <c r="I80" s="153"/>
      <c r="J80" s="153"/>
      <c r="K80" s="153"/>
      <c r="L80" s="153"/>
      <c r="M80"/>
    </row>
    <row r="81" spans="1:14">
      <c r="A81" s="150"/>
      <c r="B81"/>
      <c r="C81" s="138" t="s">
        <v>3895</v>
      </c>
      <c r="D81" s="138" t="s">
        <v>3896</v>
      </c>
      <c r="E81" s="138" t="s">
        <v>3897</v>
      </c>
      <c r="F81" s="138" t="s">
        <v>3898</v>
      </c>
      <c r="G81" s="138" t="s">
        <v>3899</v>
      </c>
      <c r="H81" s="138" t="s">
        <v>3900</v>
      </c>
      <c r="I81" s="138" t="s">
        <v>3901</v>
      </c>
      <c r="J81" s="138" t="s">
        <v>3936</v>
      </c>
      <c r="K81" s="138" t="s">
        <v>3904</v>
      </c>
      <c r="L81" s="138" t="s">
        <v>3937</v>
      </c>
    </row>
    <row r="82" spans="1:14">
      <c r="A82" s="150" t="str">
        <f>IF(Measure5_kWhSavings&lt;&gt;0,"ImprovementSavings","")</f>
        <v/>
      </c>
      <c r="B82"/>
      <c r="C82" s="142" t="s">
        <v>3890</v>
      </c>
      <c r="D82" s="150"/>
      <c r="E82" s="150"/>
      <c r="F82" s="150"/>
      <c r="G82" s="150"/>
      <c r="H82" s="150"/>
      <c r="I82" s="150"/>
      <c r="J82" s="142">
        <f>Measure5_kWhSavings*GECO_ELEC_RATIO</f>
        <v>0</v>
      </c>
      <c r="K82" s="142">
        <f>Measure5_DemandSavings</f>
        <v>0</v>
      </c>
      <c r="L82" s="142">
        <f>Measure5_ElectricCostSavings</f>
        <v>0</v>
      </c>
    </row>
    <row r="83" spans="1:14">
      <c r="A83" s="150"/>
      <c r="B83"/>
      <c r="C83" s="149" t="s">
        <v>3924</v>
      </c>
      <c r="D83" s="149"/>
      <c r="E83"/>
      <c r="F83"/>
      <c r="G83"/>
      <c r="H83"/>
      <c r="I83"/>
      <c r="J83"/>
      <c r="K83"/>
      <c r="L83"/>
      <c r="M83"/>
      <c r="N83"/>
    </row>
    <row r="84" spans="1:14">
      <c r="A84" s="150"/>
      <c r="B84"/>
      <c r="C84" s="138" t="s">
        <v>3925</v>
      </c>
      <c r="D84" s="138" t="s">
        <v>3813</v>
      </c>
      <c r="E84"/>
      <c r="F84"/>
      <c r="G84"/>
      <c r="H84"/>
      <c r="I84"/>
      <c r="J84"/>
      <c r="K84"/>
      <c r="L84"/>
      <c r="M84"/>
      <c r="N84"/>
    </row>
    <row r="85" spans="1:14">
      <c r="A85" s="135" t="str">
        <f>IF(Measure5_Size&lt;&gt;"","ImprovementAttributes","")</f>
        <v/>
      </c>
      <c r="C85" s="155" t="s">
        <v>3926</v>
      </c>
      <c r="D85" s="155">
        <f>Measure5_Size</f>
        <v>0</v>
      </c>
    </row>
    <row r="86" spans="1:14">
      <c r="A86" s="135" t="str">
        <f>IF(Measure5_Efficiency&lt;&gt;"","ImprovementAttributes","")</f>
        <v/>
      </c>
      <c r="C86" s="155" t="s">
        <v>3927</v>
      </c>
      <c r="D86" s="155">
        <f>Measure5_Efficiency</f>
        <v>0</v>
      </c>
    </row>
    <row r="87" spans="1:14">
      <c r="A87" s="135" t="str">
        <f>IF(Measure5_UsefulLife&lt;&gt;"","ImprovementAttributes","")</f>
        <v/>
      </c>
      <c r="C87" s="155" t="s">
        <v>3928</v>
      </c>
      <c r="D87" s="155">
        <f>Measure5_UsefulLife</f>
        <v>0</v>
      </c>
    </row>
    <row r="88" spans="1:14">
      <c r="A88" s="135" t="str">
        <f>IF(Measure5_SerialNumber&lt;&gt;"","ImprovementAttributes","")</f>
        <v/>
      </c>
      <c r="C88" s="155" t="s">
        <v>3929</v>
      </c>
      <c r="D88" s="155">
        <f>Measure5_SerialNumber</f>
        <v>0</v>
      </c>
    </row>
    <row r="89" spans="1:14">
      <c r="A89" s="135" t="str">
        <f>IF(Measure5_Age&lt;&gt;"","ImprovementAttributes","")</f>
        <v/>
      </c>
      <c r="C89" s="155" t="s">
        <v>3930</v>
      </c>
      <c r="D89" s="155">
        <f>Measure5_Age</f>
        <v>0</v>
      </c>
    </row>
    <row r="90" spans="1:14">
      <c r="A90" s="135" t="str">
        <f>IF(Measure5_Replaced&lt;&gt;"","ImprovementAttributes","")</f>
        <v/>
      </c>
      <c r="C90" s="155" t="s">
        <v>3931</v>
      </c>
      <c r="D90" s="155">
        <f>Measure5_Replaced</f>
        <v>0</v>
      </c>
    </row>
    <row r="91" spans="1:14">
      <c r="A91" s="135" t="str">
        <f>IF(Measure5_Payback&lt;&gt;0,"ImprovementAttributes","")</f>
        <v/>
      </c>
      <c r="C91" s="155" t="s">
        <v>3932</v>
      </c>
      <c r="D91" s="155">
        <f>Measure5_Payback</f>
        <v>0</v>
      </c>
    </row>
    <row r="92" spans="1:14">
      <c r="A92" s="135" t="str">
        <f>IF(Measure5_Incentive&lt;&gt;0,"ImprovementAttributes","")</f>
        <v/>
      </c>
      <c r="C92" s="155" t="s">
        <v>4004</v>
      </c>
      <c r="D92" s="155">
        <f>Measure5_Incentive</f>
        <v>0</v>
      </c>
    </row>
    <row r="93" spans="1:14" ht="18.5">
      <c r="A93"/>
      <c r="B93" s="148" t="s">
        <v>3940</v>
      </c>
      <c r="C93" s="149"/>
      <c r="D93" s="149"/>
      <c r="E93" s="149"/>
      <c r="F93" s="149"/>
      <c r="G93" s="149"/>
      <c r="H93" s="149"/>
      <c r="I93" s="149"/>
      <c r="J93"/>
      <c r="K93"/>
      <c r="L93"/>
      <c r="M93"/>
      <c r="N93"/>
    </row>
    <row r="94" spans="1:14">
      <c r="A94"/>
      <c r="B94" s="138" t="s">
        <v>3916</v>
      </c>
      <c r="C94" s="138" t="s">
        <v>3917</v>
      </c>
      <c r="D94" s="138" t="s">
        <v>3918</v>
      </c>
      <c r="E94" s="138" t="s">
        <v>3919</v>
      </c>
      <c r="F94" s="138" t="s">
        <v>3920</v>
      </c>
      <c r="G94" s="138" t="s">
        <v>3888</v>
      </c>
      <c r="H94" s="138" t="s">
        <v>3921</v>
      </c>
      <c r="I94" s="138" t="s">
        <v>3922</v>
      </c>
      <c r="J94"/>
      <c r="K94" s="150"/>
      <c r="L94" s="150"/>
      <c r="M94" s="150"/>
      <c r="N94" s="150"/>
    </row>
    <row r="95" spans="1:14">
      <c r="A95" t="str">
        <f>IF(Measure6_Type&lt;&gt;0,"Improvements","")</f>
        <v/>
      </c>
      <c r="B95" s="156">
        <f>IF(Measure6_Type="1 to 6 Watt LED Screw-In replacing Incandescent/CFL", "6 Watt LED Screw-In replacing Incandescent/CFL", IF(Measure6_Type="7 to 11 Watt LED Screw-In replacing Incandescent/CFL", "11 Watt LED Screw-In replacing Incandescent/CFL", IF(Measure6_Type="12 to 17 Watt LED Screw-In replacing Incandescent/CFL", "13 Watt LED Screw-In replacing Incandescent/CFL", IF(Measure6_Type="18 or more Watt LED Screw-In replacing Incandescent/CFL", "18 Watt LED Screw-In replacing Incandescent/CFL", Measure6_Type))))</f>
        <v>0</v>
      </c>
      <c r="C95" s="151">
        <f>Measure6_Cost</f>
        <v>0</v>
      </c>
      <c r="D95" s="142">
        <f>Measure6_Quantity</f>
        <v>0</v>
      </c>
      <c r="E95" s="142" t="str">
        <f>IF(Measure6_Description&lt;&gt;"",Measure6_Description,"")</f>
        <v/>
      </c>
      <c r="F95" s="142" t="e">
        <f>IF(Measure6_ShortDescription&lt;&gt; "", Measure6_ShortDescription,"")</f>
        <v>#N/A</v>
      </c>
      <c r="G95" s="142" t="str">
        <f>IF(Measure6_Status&lt;&gt;"",Measure6_Status, "Recommended")</f>
        <v>Recommended</v>
      </c>
      <c r="H95" s="142" t="str">
        <f>IF(Measure6_Comments&lt;&gt;"", Measure6_Comments,"")</f>
        <v/>
      </c>
      <c r="I95" s="142">
        <f>Measure6_ElectricCostSavings</f>
        <v>0</v>
      </c>
      <c r="J95"/>
      <c r="K95"/>
      <c r="L95"/>
      <c r="M95"/>
      <c r="N95"/>
    </row>
    <row r="96" spans="1:14" ht="15.5">
      <c r="A96" s="150"/>
      <c r="B96"/>
      <c r="C96" s="152" t="s">
        <v>3923</v>
      </c>
      <c r="D96" s="153"/>
      <c r="E96" s="153"/>
      <c r="F96" s="153"/>
      <c r="G96" s="153"/>
      <c r="H96" s="153"/>
      <c r="I96" s="153"/>
      <c r="J96" s="153"/>
      <c r="K96" s="153"/>
      <c r="L96" s="153"/>
      <c r="M96"/>
    </row>
    <row r="97" spans="1:14">
      <c r="A97" s="150"/>
      <c r="B97"/>
      <c r="C97" s="138" t="s">
        <v>3895</v>
      </c>
      <c r="D97" s="138" t="s">
        <v>3896</v>
      </c>
      <c r="E97" s="138" t="s">
        <v>3897</v>
      </c>
      <c r="F97" s="138" t="s">
        <v>3898</v>
      </c>
      <c r="G97" s="138" t="s">
        <v>3899</v>
      </c>
      <c r="H97" s="138" t="s">
        <v>3900</v>
      </c>
      <c r="I97" s="138" t="s">
        <v>3901</v>
      </c>
      <c r="J97" s="138" t="s">
        <v>3936</v>
      </c>
      <c r="K97" s="138" t="s">
        <v>3904</v>
      </c>
      <c r="L97" s="138" t="s">
        <v>3937</v>
      </c>
    </row>
    <row r="98" spans="1:14">
      <c r="A98" s="150" t="str">
        <f>IF(Measure6_kWhSavings&lt;&gt;0,"ImprovementSavings","")</f>
        <v/>
      </c>
      <c r="B98"/>
      <c r="C98" s="142" t="s">
        <v>3890</v>
      </c>
      <c r="D98" s="150"/>
      <c r="E98" s="150"/>
      <c r="F98" s="150"/>
      <c r="G98" s="150"/>
      <c r="H98" s="150"/>
      <c r="I98" s="150"/>
      <c r="J98" s="142">
        <f>Measure6_kWhSavings*GECO_ELEC_RATIO</f>
        <v>0</v>
      </c>
      <c r="K98" s="142">
        <f>Measure6_DemandSavings</f>
        <v>0</v>
      </c>
      <c r="L98" s="142">
        <f>Measure6_ElectricCostSavings</f>
        <v>0</v>
      </c>
    </row>
    <row r="99" spans="1:14">
      <c r="A99" s="150"/>
      <c r="B99"/>
      <c r="C99" s="149" t="s">
        <v>3924</v>
      </c>
      <c r="D99" s="149"/>
      <c r="E99"/>
      <c r="F99"/>
      <c r="G99"/>
      <c r="H99"/>
      <c r="I99"/>
      <c r="J99"/>
      <c r="K99"/>
      <c r="L99"/>
      <c r="M99"/>
      <c r="N99"/>
    </row>
    <row r="100" spans="1:14">
      <c r="A100" s="150"/>
      <c r="B100"/>
      <c r="C100" s="138" t="s">
        <v>3925</v>
      </c>
      <c r="D100" s="138" t="s">
        <v>3813</v>
      </c>
      <c r="E100"/>
      <c r="F100"/>
      <c r="G100"/>
      <c r="H100"/>
      <c r="I100"/>
      <c r="J100"/>
      <c r="K100"/>
      <c r="L100"/>
      <c r="M100"/>
      <c r="N100"/>
    </row>
    <row r="101" spans="1:14">
      <c r="A101" s="135" t="str">
        <f>IF(Measure6_Size&lt;&gt;"","ImprovementAttributes","")</f>
        <v/>
      </c>
      <c r="C101" s="155" t="s">
        <v>3926</v>
      </c>
      <c r="D101" s="155">
        <f>Measure6_Size</f>
        <v>0</v>
      </c>
    </row>
    <row r="102" spans="1:14">
      <c r="A102" s="135" t="str">
        <f>IF(Measure6_Efficiency&lt;&gt;"","ImprovementAttributes","")</f>
        <v/>
      </c>
      <c r="C102" s="155" t="s">
        <v>3927</v>
      </c>
      <c r="D102" s="155">
        <f>Measure6_Efficiency</f>
        <v>0</v>
      </c>
    </row>
    <row r="103" spans="1:14">
      <c r="A103" s="135" t="str">
        <f>IF(Measure6_UsefulLife&lt;&gt;"","ImprovementAttributes","")</f>
        <v/>
      </c>
      <c r="C103" s="155" t="s">
        <v>3928</v>
      </c>
      <c r="D103" s="155">
        <f>Measure6_UsefulLife</f>
        <v>0</v>
      </c>
    </row>
    <row r="104" spans="1:14">
      <c r="A104" s="135" t="str">
        <f>IF(Measure6_SerialNumber&lt;&gt;"","ImprovementAttributes","")</f>
        <v/>
      </c>
      <c r="C104" s="155" t="s">
        <v>3929</v>
      </c>
      <c r="D104" s="155">
        <f>Measure6_SerialNumber</f>
        <v>0</v>
      </c>
    </row>
    <row r="105" spans="1:14">
      <c r="A105" s="135" t="str">
        <f>IF(Measure6_Age&lt;&gt;"","ImprovementAttributes","")</f>
        <v/>
      </c>
      <c r="C105" s="155" t="s">
        <v>3930</v>
      </c>
      <c r="D105" s="155">
        <f>Measure6_Age</f>
        <v>0</v>
      </c>
    </row>
    <row r="106" spans="1:14">
      <c r="A106" s="135" t="str">
        <f>IF(Measure6_Replaced&lt;&gt;"","ImprovementAttributes","")</f>
        <v/>
      </c>
      <c r="C106" s="155" t="s">
        <v>3931</v>
      </c>
      <c r="D106" s="155">
        <f>Measure6_Replaced</f>
        <v>0</v>
      </c>
    </row>
    <row r="107" spans="1:14">
      <c r="A107" s="135" t="str">
        <f>IF(Measure6_Payback&lt;&gt;0,"ImprovementAttributes","")</f>
        <v/>
      </c>
      <c r="C107" s="155" t="s">
        <v>3932</v>
      </c>
      <c r="D107" s="155">
        <f>Measure6_Payback</f>
        <v>0</v>
      </c>
    </row>
    <row r="108" spans="1:14">
      <c r="A108" s="135" t="str">
        <f>IF(Measure6_Incentive&lt;&gt;0,"ImprovementAttributes","")</f>
        <v/>
      </c>
      <c r="C108" s="155" t="s">
        <v>4004</v>
      </c>
      <c r="D108" s="155">
        <f>Measure6_Incentive</f>
        <v>0</v>
      </c>
    </row>
    <row r="109" spans="1:14" ht="18.5">
      <c r="A109"/>
      <c r="B109" s="148" t="s">
        <v>3941</v>
      </c>
      <c r="C109" s="149"/>
      <c r="D109" s="149"/>
      <c r="E109" s="149"/>
      <c r="F109" s="149"/>
      <c r="G109" s="149"/>
      <c r="H109" s="149"/>
      <c r="I109" s="149"/>
      <c r="J109"/>
      <c r="K109"/>
      <c r="L109"/>
      <c r="M109"/>
      <c r="N109"/>
    </row>
    <row r="110" spans="1:14">
      <c r="A110"/>
      <c r="B110" s="138" t="s">
        <v>3916</v>
      </c>
      <c r="C110" s="138" t="s">
        <v>3917</v>
      </c>
      <c r="D110" s="138" t="s">
        <v>3918</v>
      </c>
      <c r="E110" s="138" t="s">
        <v>3919</v>
      </c>
      <c r="F110" s="138" t="s">
        <v>3920</v>
      </c>
      <c r="G110" s="138" t="s">
        <v>3888</v>
      </c>
      <c r="H110" s="138" t="s">
        <v>3921</v>
      </c>
      <c r="I110" s="138" t="s">
        <v>3922</v>
      </c>
      <c r="J110"/>
      <c r="K110" s="150"/>
      <c r="L110" s="150"/>
      <c r="M110" s="150"/>
      <c r="N110" s="150"/>
    </row>
    <row r="111" spans="1:14">
      <c r="A111" t="str">
        <f>IF(Measure7_Type&lt;&gt;0,"Improvements","")</f>
        <v/>
      </c>
      <c r="B111" s="156">
        <f>IF(Measure7_Type="1 to 6 Watt LED Screw-In replacing Incandescent/CFL", "6 Watt LED Screw-In replacing Incandescent/CFL", IF(Measure7_Type="7 to 11 Watt LED Screw-In replacing Incandescent/CFL", "11 Watt LED Screw-In replacing Incandescent/CFL", IF(Measure7_Type="12 to 17 Watt LED Screw-In replacing Incandescent/CFL", "13 Watt LED Screw-In replacing Incandescent/CFL", IF(Measure7_Type="18 or more Watt LED Screw-In replacing Incandescent/CFL", "18 Watt LED Screw-In replacing Incandescent/CFL", Measure7_Type))))</f>
        <v>0</v>
      </c>
      <c r="C111" s="151">
        <f>Measure7_Cost</f>
        <v>0</v>
      </c>
      <c r="D111" s="142">
        <f>Measure7_Quantity</f>
        <v>0</v>
      </c>
      <c r="E111" s="142" t="str">
        <f>IF(Measure7_Description&lt;&gt;"",Measure7_Description,"")</f>
        <v/>
      </c>
      <c r="F111" s="142" t="e">
        <f>IF(Measure7_ShortDescription&lt;&gt; "", Measure7_ShortDescription,"")</f>
        <v>#N/A</v>
      </c>
      <c r="G111" s="142" t="str">
        <f>IF(Measure7_Status&lt;&gt;"",Measure7_Status, "Recommended")</f>
        <v>Recommended</v>
      </c>
      <c r="H111" s="142" t="str">
        <f>IF(Measure7_Comments&lt;&gt;"", Measure7_Comments,"")</f>
        <v/>
      </c>
      <c r="I111" s="142">
        <f>Measure7_ElectricCostSavings</f>
        <v>0</v>
      </c>
      <c r="J111"/>
      <c r="K111"/>
      <c r="L111"/>
      <c r="M111"/>
      <c r="N111"/>
    </row>
    <row r="112" spans="1:14" ht="15.5">
      <c r="A112" s="150"/>
      <c r="B112"/>
      <c r="C112" s="152" t="s">
        <v>3923</v>
      </c>
      <c r="D112" s="153"/>
      <c r="E112" s="153"/>
      <c r="F112" s="153"/>
      <c r="G112" s="153"/>
      <c r="H112" s="153"/>
      <c r="I112" s="153"/>
      <c r="J112" s="153"/>
      <c r="K112" s="153"/>
      <c r="L112" s="153"/>
      <c r="M112"/>
    </row>
    <row r="113" spans="1:14">
      <c r="A113" s="150"/>
      <c r="B113"/>
      <c r="C113" s="138" t="s">
        <v>3895</v>
      </c>
      <c r="D113" s="138" t="s">
        <v>3896</v>
      </c>
      <c r="E113" s="138" t="s">
        <v>3897</v>
      </c>
      <c r="F113" s="138" t="s">
        <v>3898</v>
      </c>
      <c r="G113" s="138" t="s">
        <v>3899</v>
      </c>
      <c r="H113" s="138" t="s">
        <v>3900</v>
      </c>
      <c r="I113" s="138" t="s">
        <v>3901</v>
      </c>
      <c r="J113" s="138" t="s">
        <v>3936</v>
      </c>
      <c r="K113" s="138" t="s">
        <v>3904</v>
      </c>
      <c r="L113" s="138" t="s">
        <v>3937</v>
      </c>
    </row>
    <row r="114" spans="1:14">
      <c r="A114" s="150" t="str">
        <f>IF(Measure7_kWhSavings&lt;&gt;0,"ImprovementSavings","")</f>
        <v/>
      </c>
      <c r="B114"/>
      <c r="C114" s="142" t="s">
        <v>3890</v>
      </c>
      <c r="D114" s="150"/>
      <c r="E114" s="150"/>
      <c r="F114" s="150"/>
      <c r="G114" s="150"/>
      <c r="H114" s="150"/>
      <c r="I114" s="150"/>
      <c r="J114" s="142">
        <f>Measure7_kWhSavings*GECO_ELEC_RATIO</f>
        <v>0</v>
      </c>
      <c r="K114" s="142">
        <f>Measure7_DemandSavings</f>
        <v>0</v>
      </c>
      <c r="L114" s="142">
        <f>Measure7_ElectricCostSavings</f>
        <v>0</v>
      </c>
    </row>
    <row r="115" spans="1:14">
      <c r="A115" s="150"/>
      <c r="B115"/>
      <c r="C115" s="149" t="s">
        <v>3924</v>
      </c>
      <c r="D115" s="149"/>
      <c r="E115"/>
      <c r="F115"/>
      <c r="G115"/>
      <c r="H115"/>
      <c r="I115"/>
      <c r="J115"/>
      <c r="K115"/>
      <c r="L115"/>
      <c r="M115"/>
      <c r="N115"/>
    </row>
    <row r="116" spans="1:14">
      <c r="A116" s="150"/>
      <c r="B116"/>
      <c r="C116" s="138" t="s">
        <v>3925</v>
      </c>
      <c r="D116" s="138" t="s">
        <v>3813</v>
      </c>
      <c r="E116"/>
      <c r="F116"/>
      <c r="G116"/>
      <c r="H116"/>
      <c r="I116"/>
      <c r="J116"/>
      <c r="K116"/>
      <c r="L116"/>
      <c r="M116"/>
      <c r="N116"/>
    </row>
    <row r="117" spans="1:14">
      <c r="A117" s="135" t="str">
        <f>IF(Measure7_Size&lt;&gt;"","ImprovementAttributes","")</f>
        <v/>
      </c>
      <c r="C117" s="155" t="s">
        <v>3926</v>
      </c>
      <c r="D117" s="155">
        <f>Measure7_Size</f>
        <v>0</v>
      </c>
    </row>
    <row r="118" spans="1:14">
      <c r="A118" s="135" t="str">
        <f>IF(Measure7_Efficiency&lt;&gt;"","ImprovementAttributes","")</f>
        <v/>
      </c>
      <c r="C118" s="155" t="s">
        <v>3927</v>
      </c>
      <c r="D118" s="155">
        <f>Measure7_Efficiency</f>
        <v>0</v>
      </c>
    </row>
    <row r="119" spans="1:14">
      <c r="A119" s="135" t="str">
        <f>IF(Measure7_UsefulLife&lt;&gt;"","ImprovementAttributes","")</f>
        <v/>
      </c>
      <c r="C119" s="155" t="s">
        <v>3928</v>
      </c>
      <c r="D119" s="155">
        <f>Measure7_UsefulLife</f>
        <v>0</v>
      </c>
    </row>
    <row r="120" spans="1:14">
      <c r="A120" s="135" t="str">
        <f>IF(Measure7_SerialNumber&lt;&gt;"","ImprovementAttributes","")</f>
        <v/>
      </c>
      <c r="C120" s="155" t="s">
        <v>3929</v>
      </c>
      <c r="D120" s="155">
        <f>Measure7_SerialNumber</f>
        <v>0</v>
      </c>
    </row>
    <row r="121" spans="1:14">
      <c r="A121" s="135" t="str">
        <f>IF(Measure7_Age&lt;&gt;"","ImprovementAttributes","")</f>
        <v/>
      </c>
      <c r="C121" s="155" t="s">
        <v>3930</v>
      </c>
      <c r="D121" s="155">
        <f>Measure7_Age</f>
        <v>0</v>
      </c>
    </row>
    <row r="122" spans="1:14">
      <c r="A122" s="135" t="str">
        <f>IF(Measure7_Replaced&lt;&gt;"","ImprovementAttributes","")</f>
        <v/>
      </c>
      <c r="C122" s="155" t="s">
        <v>3931</v>
      </c>
      <c r="D122" s="155">
        <f>Measure7_Replaced</f>
        <v>0</v>
      </c>
    </row>
    <row r="123" spans="1:14">
      <c r="A123" s="135" t="str">
        <f>IF(Measure7_Payback&lt;&gt;0,"ImprovementAttributes","")</f>
        <v/>
      </c>
      <c r="C123" s="155" t="s">
        <v>3932</v>
      </c>
      <c r="D123" s="155">
        <f>Measure7_Payback</f>
        <v>0</v>
      </c>
    </row>
    <row r="124" spans="1:14">
      <c r="A124" s="135" t="str">
        <f>IF(Measure7_Incentive&lt;&gt;0,"ImprovementAttributes","")</f>
        <v/>
      </c>
      <c r="C124" s="155" t="s">
        <v>4004</v>
      </c>
      <c r="D124" s="155">
        <f>Measure7_Incentive</f>
        <v>0</v>
      </c>
    </row>
    <row r="125" spans="1:14" ht="18.5">
      <c r="A125"/>
      <c r="B125" s="148" t="s">
        <v>3942</v>
      </c>
      <c r="C125" s="149"/>
      <c r="D125" s="149"/>
      <c r="E125" s="149"/>
      <c r="F125" s="149"/>
      <c r="G125" s="149"/>
      <c r="H125" s="149"/>
      <c r="I125" s="149"/>
      <c r="J125"/>
      <c r="K125"/>
      <c r="L125"/>
      <c r="M125"/>
      <c r="N125"/>
    </row>
    <row r="126" spans="1:14">
      <c r="A126"/>
      <c r="B126" s="138" t="s">
        <v>3916</v>
      </c>
      <c r="C126" s="138" t="s">
        <v>3917</v>
      </c>
      <c r="D126" s="138" t="s">
        <v>3918</v>
      </c>
      <c r="E126" s="138" t="s">
        <v>3919</v>
      </c>
      <c r="F126" s="138" t="s">
        <v>3920</v>
      </c>
      <c r="G126" s="138" t="s">
        <v>3888</v>
      </c>
      <c r="H126" s="138" t="s">
        <v>3921</v>
      </c>
      <c r="I126" s="138" t="s">
        <v>3922</v>
      </c>
      <c r="J126"/>
      <c r="K126" s="150"/>
      <c r="L126" s="150"/>
      <c r="M126" s="150"/>
      <c r="N126" s="150"/>
    </row>
    <row r="127" spans="1:14">
      <c r="A127" t="str">
        <f>IF(Measure8_Type&lt;&gt;0,"Improvements","")</f>
        <v/>
      </c>
      <c r="B127" s="156">
        <f>IF(Measure8_Type="1 to 6 Watt LED Screw-In replacing Incandescent/CFL", "6 Watt LED Screw-In replacing Incandescent/CFL", IF(Measure8_Type="7 to 11 Watt LED Screw-In replacing Incandescent/CFL", "11 Watt LED Screw-In replacing Incandescent/CFL", IF(Measure8_Type="12 to 17 Watt LED Screw-In replacing Incandescent/CFL", "13 Watt LED Screw-In replacing Incandescent/CFL", IF(Measure8_Type="18 or more Watt LED Screw-In replacing Incandescent/CFL", "18 Watt LED Screw-In replacing Incandescent/CFL", Measure8_Type))))</f>
        <v>0</v>
      </c>
      <c r="C127" s="151">
        <f>Measure8_Cost</f>
        <v>0</v>
      </c>
      <c r="D127" s="142">
        <f>Measure8_Quantity</f>
        <v>0</v>
      </c>
      <c r="E127" s="142" t="str">
        <f>IF(Measure8_Description&lt;&gt;"",Measure8_Description,"")</f>
        <v/>
      </c>
      <c r="F127" s="142" t="e">
        <f>IF(Measure8_ShortDescription&lt;&gt; "", Measure8_ShortDescription,"")</f>
        <v>#N/A</v>
      </c>
      <c r="G127" s="142" t="str">
        <f>IF(Measure8_Status&lt;&gt;"",Measure8_Status, "Recommended")</f>
        <v>Recommended</v>
      </c>
      <c r="H127" s="142" t="str">
        <f>IF(Measure8_Comments&lt;&gt;"", Measure8_Comments,"")</f>
        <v/>
      </c>
      <c r="I127" s="142">
        <f>Measure8_ElectricCostSavings</f>
        <v>0</v>
      </c>
      <c r="J127"/>
      <c r="K127"/>
      <c r="L127"/>
      <c r="M127"/>
      <c r="N127"/>
    </row>
    <row r="128" spans="1:14" ht="15.5">
      <c r="A128" s="150"/>
      <c r="B128"/>
      <c r="C128" s="152" t="s">
        <v>3923</v>
      </c>
      <c r="D128" s="153"/>
      <c r="E128" s="153"/>
      <c r="F128" s="153"/>
      <c r="G128" s="153"/>
      <c r="H128" s="153"/>
      <c r="I128" s="153"/>
      <c r="J128" s="153"/>
      <c r="K128" s="153"/>
      <c r="L128" s="153"/>
      <c r="M128"/>
    </row>
    <row r="129" spans="1:14">
      <c r="A129" s="150"/>
      <c r="B129"/>
      <c r="C129" s="138" t="s">
        <v>3895</v>
      </c>
      <c r="D129" s="138" t="s">
        <v>3896</v>
      </c>
      <c r="E129" s="138" t="s">
        <v>3897</v>
      </c>
      <c r="F129" s="138" t="s">
        <v>3898</v>
      </c>
      <c r="G129" s="138" t="s">
        <v>3899</v>
      </c>
      <c r="H129" s="138" t="s">
        <v>3900</v>
      </c>
      <c r="I129" s="138" t="s">
        <v>3901</v>
      </c>
      <c r="J129" s="138" t="s">
        <v>3936</v>
      </c>
      <c r="K129" s="138" t="s">
        <v>3904</v>
      </c>
      <c r="L129" s="138" t="s">
        <v>3937</v>
      </c>
    </row>
    <row r="130" spans="1:14">
      <c r="A130" s="150" t="str">
        <f>IF(Measure8_kWhSavings&lt;&gt;0,"ImprovementSavings","")</f>
        <v/>
      </c>
      <c r="B130"/>
      <c r="C130" s="142" t="s">
        <v>3890</v>
      </c>
      <c r="D130" s="150"/>
      <c r="E130" s="150"/>
      <c r="F130" s="150"/>
      <c r="G130" s="150"/>
      <c r="H130" s="150"/>
      <c r="I130" s="150"/>
      <c r="J130" s="142">
        <f>Measure8_kWhSavings*GECO_ELEC_RATIO</f>
        <v>0</v>
      </c>
      <c r="K130" s="142">
        <f>Measure8_DemandSavings</f>
        <v>0</v>
      </c>
      <c r="L130" s="142">
        <f>Measure8_ElectricCostSavings</f>
        <v>0</v>
      </c>
    </row>
    <row r="131" spans="1:14">
      <c r="A131" s="150"/>
      <c r="B131"/>
      <c r="C131" s="149" t="s">
        <v>3924</v>
      </c>
      <c r="D131" s="149"/>
      <c r="E131"/>
      <c r="F131"/>
      <c r="G131"/>
      <c r="H131"/>
      <c r="I131"/>
      <c r="J131"/>
      <c r="L131"/>
      <c r="M131"/>
      <c r="N131"/>
    </row>
    <row r="132" spans="1:14">
      <c r="A132" s="150"/>
      <c r="B132"/>
      <c r="C132" s="138" t="s">
        <v>3925</v>
      </c>
      <c r="D132" s="138" t="s">
        <v>3813</v>
      </c>
      <c r="E132"/>
      <c r="F132"/>
      <c r="G132"/>
      <c r="H132"/>
      <c r="I132"/>
      <c r="J132"/>
      <c r="K132"/>
      <c r="L132"/>
      <c r="M132"/>
      <c r="N132"/>
    </row>
    <row r="133" spans="1:14">
      <c r="A133" s="135" t="str">
        <f>IF(Measure8_Size&lt;&gt;"","ImprovementAttributes","")</f>
        <v/>
      </c>
      <c r="C133" s="155" t="s">
        <v>3926</v>
      </c>
      <c r="D133" s="155">
        <f>Measure8_Size</f>
        <v>0</v>
      </c>
    </row>
    <row r="134" spans="1:14">
      <c r="A134" s="135" t="str">
        <f>IF(Measure8_Efficiency&lt;&gt;"","ImprovementAttributes","")</f>
        <v/>
      </c>
      <c r="C134" s="155" t="s">
        <v>3927</v>
      </c>
      <c r="D134" s="155">
        <f>Measure8_Efficiency</f>
        <v>0</v>
      </c>
    </row>
    <row r="135" spans="1:14">
      <c r="A135" s="135" t="str">
        <f>IF(Measure8_UsefulLife&lt;&gt;"","ImprovementAttributes","")</f>
        <v/>
      </c>
      <c r="C135" s="155" t="s">
        <v>3928</v>
      </c>
      <c r="D135" s="155">
        <f>Measure8_UsefulLife</f>
        <v>0</v>
      </c>
    </row>
    <row r="136" spans="1:14">
      <c r="A136" s="135" t="str">
        <f>IF(Measure8_SerialNumber&lt;&gt;"","ImprovementAttributes","")</f>
        <v/>
      </c>
      <c r="C136" s="155" t="s">
        <v>3929</v>
      </c>
      <c r="D136" s="155">
        <f>Measure8_SerialNumber</f>
        <v>0</v>
      </c>
    </row>
    <row r="137" spans="1:14">
      <c r="A137" s="135" t="str">
        <f>IF(Measure8_Age&lt;&gt;"","ImprovementAttributes","")</f>
        <v/>
      </c>
      <c r="C137" s="155" t="s">
        <v>3930</v>
      </c>
      <c r="D137" s="155">
        <f>Measure8_Age</f>
        <v>0</v>
      </c>
    </row>
    <row r="138" spans="1:14">
      <c r="A138" s="135" t="str">
        <f>IF(Measure8_Replaced&lt;&gt;"","ImprovementAttributes","")</f>
        <v/>
      </c>
      <c r="C138" s="155" t="s">
        <v>3931</v>
      </c>
      <c r="D138" s="155">
        <f>Measure8_Replaced</f>
        <v>0</v>
      </c>
    </row>
    <row r="139" spans="1:14">
      <c r="A139" s="135" t="str">
        <f>IF(Measure8_Payback&lt;&gt;0,"ImprovementAttributes","")</f>
        <v/>
      </c>
      <c r="C139" s="155" t="s">
        <v>3932</v>
      </c>
      <c r="D139" s="155">
        <f>Measure8_Payback</f>
        <v>0</v>
      </c>
    </row>
    <row r="140" spans="1:14">
      <c r="A140" s="135" t="str">
        <f>IF(Measure8_Incentive&lt;&gt;0,"ImprovementAttributes","")</f>
        <v/>
      </c>
      <c r="C140" s="155" t="s">
        <v>4004</v>
      </c>
      <c r="D140" s="155">
        <f>Measure8_Incentive</f>
        <v>0</v>
      </c>
    </row>
    <row r="141" spans="1:14" ht="18.5">
      <c r="A141"/>
      <c r="B141" s="148" t="s">
        <v>3943</v>
      </c>
      <c r="C141" s="149"/>
      <c r="D141" s="149"/>
      <c r="E141" s="149"/>
      <c r="F141" s="149"/>
      <c r="G141" s="149"/>
      <c r="H141" s="149"/>
      <c r="I141" s="149"/>
      <c r="J141"/>
      <c r="K141"/>
      <c r="L141"/>
      <c r="M141"/>
      <c r="N141"/>
    </row>
    <row r="142" spans="1:14">
      <c r="A142"/>
      <c r="B142" s="138" t="s">
        <v>3916</v>
      </c>
      <c r="C142" s="138" t="s">
        <v>3917</v>
      </c>
      <c r="D142" s="138" t="s">
        <v>3918</v>
      </c>
      <c r="E142" s="138" t="s">
        <v>3919</v>
      </c>
      <c r="F142" s="138" t="s">
        <v>3920</v>
      </c>
      <c r="G142" s="138" t="s">
        <v>3888</v>
      </c>
      <c r="H142" s="138" t="s">
        <v>3921</v>
      </c>
      <c r="I142" s="138" t="s">
        <v>3922</v>
      </c>
      <c r="J142"/>
      <c r="K142" s="150"/>
      <c r="L142" s="150"/>
      <c r="M142" s="150"/>
      <c r="N142" s="150"/>
    </row>
    <row r="143" spans="1:14">
      <c r="A143" t="str">
        <f>IF(Measure9_Type&lt;&gt;0,"Improvements","")</f>
        <v/>
      </c>
      <c r="B143" s="156">
        <f>IF(Measure9_Type="1 to 6 Watt LED Screw-In replacing Incandescent/CFL", "6 Watt LED Screw-In replacing Incandescent/CFL", IF(Measure9_Type="7 to 11 Watt LED Screw-In replacing Incandescent/CFL", "11 Watt LED Screw-In replacing Incandescent/CFL", IF(Measure9_Type="12 to 17 Watt LED Screw-In replacing Incandescent/CFL", "13 Watt LED Screw-In replacing Incandescent/CFL", IF(Measure9_Type="18 or more Watt LED Screw-In replacing Incandescent/CFL", "18 Watt LED Screw-In replacing Incandescent/CFL", Measure9_Type))))</f>
        <v>0</v>
      </c>
      <c r="C143" s="151">
        <f>Measure9_Cost</f>
        <v>0</v>
      </c>
      <c r="D143" s="142">
        <f>Measure9_Quantity</f>
        <v>0</v>
      </c>
      <c r="E143" s="142" t="str">
        <f>IF(Measure9_Description&lt;&gt;"",Measure9_Description,"")</f>
        <v/>
      </c>
      <c r="F143" s="142" t="e">
        <f>IF(Measure9_ShortDescription&lt;&gt; "", Measure9_ShortDescription,"")</f>
        <v>#N/A</v>
      </c>
      <c r="G143" s="142" t="str">
        <f>IF(Measure9_Status&lt;&gt;"",Measure9_Status, "Recommended")</f>
        <v>Recommended</v>
      </c>
      <c r="H143" s="142" t="str">
        <f>IF(Measure9_Comments&lt;&gt;"", Measure9_Comments,"")</f>
        <v/>
      </c>
      <c r="I143" s="142">
        <f>Measure9_ElectricCostSavings</f>
        <v>0</v>
      </c>
      <c r="J143"/>
      <c r="K143"/>
      <c r="L143"/>
      <c r="M143"/>
      <c r="N143"/>
    </row>
    <row r="144" spans="1:14" ht="15.5">
      <c r="A144" s="150"/>
      <c r="B144"/>
      <c r="C144" s="152" t="s">
        <v>3923</v>
      </c>
      <c r="D144" s="153"/>
      <c r="E144" s="153"/>
      <c r="F144" s="153"/>
      <c r="G144" s="153"/>
      <c r="H144" s="153"/>
      <c r="I144" s="153"/>
      <c r="J144" s="153"/>
      <c r="K144" s="153"/>
      <c r="L144" s="153"/>
      <c r="M144"/>
    </row>
    <row r="145" spans="1:14">
      <c r="A145" s="150"/>
      <c r="B145"/>
      <c r="C145" s="138" t="s">
        <v>3895</v>
      </c>
      <c r="D145" s="138" t="s">
        <v>3896</v>
      </c>
      <c r="E145" s="138" t="s">
        <v>3897</v>
      </c>
      <c r="F145" s="138" t="s">
        <v>3898</v>
      </c>
      <c r="G145" s="138" t="s">
        <v>3899</v>
      </c>
      <c r="H145" s="138" t="s">
        <v>3900</v>
      </c>
      <c r="I145" s="138" t="s">
        <v>3901</v>
      </c>
      <c r="J145" s="138" t="s">
        <v>3936</v>
      </c>
      <c r="K145" s="138" t="s">
        <v>3904</v>
      </c>
      <c r="L145" s="138" t="s">
        <v>3937</v>
      </c>
    </row>
    <row r="146" spans="1:14">
      <c r="A146" s="150" t="str">
        <f>IF(Measure9_kWhSavings&lt;&gt;0,"ImprovementSavings","")</f>
        <v/>
      </c>
      <c r="B146"/>
      <c r="C146" s="142" t="s">
        <v>3890</v>
      </c>
      <c r="D146" s="150"/>
      <c r="E146" s="150"/>
      <c r="F146" s="150"/>
      <c r="G146" s="150"/>
      <c r="H146" s="150"/>
      <c r="I146" s="150"/>
      <c r="J146" s="142">
        <f>Measure9_kWhSavings*GECO_ELEC_RATIO</f>
        <v>0</v>
      </c>
      <c r="K146" s="142">
        <f>Measure9_DemandSavings</f>
        <v>0</v>
      </c>
      <c r="L146" s="142">
        <f>Measure9_ElectricCostSavings</f>
        <v>0</v>
      </c>
    </row>
    <row r="147" spans="1:14">
      <c r="A147" s="150"/>
      <c r="B147"/>
      <c r="C147" s="149" t="s">
        <v>3924</v>
      </c>
      <c r="D147" s="149"/>
      <c r="E147"/>
      <c r="F147"/>
      <c r="G147"/>
      <c r="H147"/>
      <c r="I147"/>
      <c r="J147"/>
      <c r="K147"/>
      <c r="L147"/>
      <c r="M147"/>
      <c r="N147"/>
    </row>
    <row r="148" spans="1:14">
      <c r="A148" s="150"/>
      <c r="B148"/>
      <c r="C148" s="138" t="s">
        <v>3925</v>
      </c>
      <c r="D148" s="138" t="s">
        <v>3813</v>
      </c>
      <c r="E148"/>
      <c r="F148"/>
      <c r="G148"/>
      <c r="H148"/>
      <c r="I148"/>
      <c r="J148"/>
      <c r="K148"/>
      <c r="L148"/>
      <c r="M148"/>
      <c r="N148"/>
    </row>
    <row r="149" spans="1:14">
      <c r="A149" s="135" t="str">
        <f>IF(Measure9_Size&lt;&gt;"","ImprovementAttributes","")</f>
        <v/>
      </c>
      <c r="C149" s="155" t="s">
        <v>3926</v>
      </c>
      <c r="D149" s="155">
        <f>Measure9_Size</f>
        <v>0</v>
      </c>
    </row>
    <row r="150" spans="1:14">
      <c r="A150" s="135" t="str">
        <f>IF(Measure9_Efficiency&lt;&gt;"","ImprovementAttributes","")</f>
        <v/>
      </c>
      <c r="C150" s="155" t="s">
        <v>3927</v>
      </c>
      <c r="D150" s="155">
        <f>Measure9_Efficiency</f>
        <v>0</v>
      </c>
    </row>
    <row r="151" spans="1:14">
      <c r="A151" s="135" t="str">
        <f>IF(Measure9_UsefulLife&lt;&gt;"","ImprovementAttributes","")</f>
        <v/>
      </c>
      <c r="C151" s="155" t="s">
        <v>3928</v>
      </c>
      <c r="D151" s="155">
        <f>Measure9_UsefulLife</f>
        <v>0</v>
      </c>
    </row>
    <row r="152" spans="1:14">
      <c r="A152" s="135" t="str">
        <f>IF(Measure9_SerialNumber&lt;&gt;"","ImprovementAttributes","")</f>
        <v/>
      </c>
      <c r="C152" s="155" t="s">
        <v>3929</v>
      </c>
      <c r="D152" s="155">
        <f>Measure9_SerialNumber</f>
        <v>0</v>
      </c>
    </row>
    <row r="153" spans="1:14">
      <c r="A153" s="135" t="str">
        <f>IF(Measure9_Age&lt;&gt;"","ImprovementAttributes","")</f>
        <v/>
      </c>
      <c r="C153" s="155" t="s">
        <v>3930</v>
      </c>
      <c r="D153" s="155">
        <f>Measure9_Age</f>
        <v>0</v>
      </c>
    </row>
    <row r="154" spans="1:14">
      <c r="A154" s="135" t="str">
        <f>IF(Measure9_Replaced&lt;&gt;"","ImprovementAttributes","")</f>
        <v/>
      </c>
      <c r="C154" s="155" t="s">
        <v>3931</v>
      </c>
      <c r="D154" s="155">
        <f>Measure9_Replaced</f>
        <v>0</v>
      </c>
    </row>
    <row r="155" spans="1:14">
      <c r="A155" s="135" t="str">
        <f>IF(Measure9_Payback&lt;&gt;0,"ImprovementAttributes","")</f>
        <v/>
      </c>
      <c r="C155" s="155" t="s">
        <v>3932</v>
      </c>
      <c r="D155" s="155">
        <f>Measure9_Payback</f>
        <v>0</v>
      </c>
    </row>
    <row r="156" spans="1:14">
      <c r="A156" s="135" t="str">
        <f>IF(Measure9_Incentive&lt;&gt;0,"ImprovementAttributes","")</f>
        <v/>
      </c>
      <c r="C156" s="155" t="s">
        <v>4004</v>
      </c>
      <c r="D156" s="155">
        <f>Measure9_Incentive</f>
        <v>0</v>
      </c>
    </row>
    <row r="157" spans="1:14" ht="18.5">
      <c r="A157"/>
      <c r="B157" s="148" t="s">
        <v>3944</v>
      </c>
      <c r="C157" s="149"/>
      <c r="D157" s="149"/>
      <c r="E157" s="149"/>
      <c r="F157" s="149"/>
      <c r="G157" s="149"/>
      <c r="H157" s="149"/>
      <c r="I157" s="149"/>
      <c r="J157"/>
      <c r="K157"/>
      <c r="L157"/>
      <c r="M157"/>
      <c r="N157"/>
    </row>
    <row r="158" spans="1:14">
      <c r="A158"/>
      <c r="B158" s="138" t="s">
        <v>3916</v>
      </c>
      <c r="C158" s="138" t="s">
        <v>3917</v>
      </c>
      <c r="D158" s="138" t="s">
        <v>3918</v>
      </c>
      <c r="E158" s="138" t="s">
        <v>3919</v>
      </c>
      <c r="F158" s="138" t="s">
        <v>3920</v>
      </c>
      <c r="G158" s="138" t="s">
        <v>3888</v>
      </c>
      <c r="H158" s="138" t="s">
        <v>3921</v>
      </c>
      <c r="I158" s="138" t="s">
        <v>3922</v>
      </c>
      <c r="J158"/>
      <c r="K158" s="150"/>
      <c r="L158" s="150"/>
      <c r="M158" s="150"/>
      <c r="N158" s="150"/>
    </row>
    <row r="159" spans="1:14">
      <c r="A159" t="str">
        <f>IF(Measure10_Type&lt;&gt;0,"Improvements","")</f>
        <v/>
      </c>
      <c r="B159" s="156">
        <f>IF(Measure10_Type="1 to 6 Watt LED Screw-In replacing Incandescent/CFL", "6 Watt LED Screw-In replacing Incandescent/CFL", IF(Measure10_Type="7 to 11 Watt LED Screw-In replacing Incandescent/CFL", "11 Watt LED Screw-In replacing Incandescent/CFL", IF(Measure10_Type="12 to 17 Watt LED Screw-In replacing Incandescent/CFL", "13 Watt LED Screw-In replacing Incandescent/CFL", IF(Measure10_Type="18 or more Watt LED Screw-In replacing Incandescent/CFL", "18 Watt LED Screw-In replacing Incandescent/CFL", Measure10_Type))))</f>
        <v>0</v>
      </c>
      <c r="C159" s="151">
        <f>Measure10_Cost</f>
        <v>0</v>
      </c>
      <c r="D159" s="142">
        <f>Measure10_Quantity</f>
        <v>0</v>
      </c>
      <c r="E159" s="142" t="str">
        <f>IF(Measure10_Description&lt;&gt;"",Measure10_Description,"")</f>
        <v/>
      </c>
      <c r="F159" s="142" t="e">
        <f>IF(Measure10_ShortDescription&lt;&gt; "", Measure10_ShortDescription,"")</f>
        <v>#N/A</v>
      </c>
      <c r="G159" s="142" t="str">
        <f>IF(Measure10_Status&lt;&gt;"",Measure10_Status, "Recommended")</f>
        <v>Recommended</v>
      </c>
      <c r="H159" s="142" t="str">
        <f>IF(Measure10_Comments&lt;&gt;"", Measure10_Comments,"")</f>
        <v/>
      </c>
      <c r="I159" s="142">
        <f>Measure10_ElectricCostSavings</f>
        <v>0</v>
      </c>
      <c r="J159"/>
      <c r="K159"/>
      <c r="L159"/>
      <c r="M159"/>
      <c r="N159"/>
    </row>
    <row r="160" spans="1:14" ht="15.5">
      <c r="A160" s="150"/>
      <c r="B160"/>
      <c r="C160" s="152" t="s">
        <v>3923</v>
      </c>
      <c r="D160" s="153"/>
      <c r="E160" s="153"/>
      <c r="F160" s="153"/>
      <c r="G160" s="153"/>
      <c r="H160" s="153"/>
      <c r="I160" s="153"/>
      <c r="J160" s="153"/>
      <c r="K160" s="153"/>
      <c r="L160" s="153"/>
      <c r="M160"/>
    </row>
    <row r="161" spans="1:14">
      <c r="A161" s="150"/>
      <c r="B161"/>
      <c r="C161" s="138" t="s">
        <v>3895</v>
      </c>
      <c r="D161" s="138" t="s">
        <v>3896</v>
      </c>
      <c r="E161" s="138" t="s">
        <v>3897</v>
      </c>
      <c r="F161" s="138" t="s">
        <v>3898</v>
      </c>
      <c r="G161" s="138" t="s">
        <v>3899</v>
      </c>
      <c r="H161" s="138" t="s">
        <v>3900</v>
      </c>
      <c r="I161" s="138" t="s">
        <v>3901</v>
      </c>
      <c r="J161" s="138" t="s">
        <v>3936</v>
      </c>
      <c r="K161" s="138" t="s">
        <v>3904</v>
      </c>
      <c r="L161" s="138" t="s">
        <v>3937</v>
      </c>
    </row>
    <row r="162" spans="1:14">
      <c r="A162" s="150" t="str">
        <f>IF(Measure10_kWhSavings&lt;&gt;0,"ImprovementSavings","")</f>
        <v/>
      </c>
      <c r="B162"/>
      <c r="C162" s="142" t="s">
        <v>3890</v>
      </c>
      <c r="D162" s="150"/>
      <c r="E162" s="150"/>
      <c r="F162" s="150"/>
      <c r="G162" s="150"/>
      <c r="H162" s="150"/>
      <c r="I162" s="150"/>
      <c r="J162" s="142">
        <f>Measure10_kWhSavings*GECO_ELEC_RATIO</f>
        <v>0</v>
      </c>
      <c r="K162" s="142">
        <f>Measure10_DemandSavings</f>
        <v>0</v>
      </c>
      <c r="L162" s="142">
        <f>Measure10_ElectricCostSavings</f>
        <v>0</v>
      </c>
    </row>
    <row r="163" spans="1:14">
      <c r="A163" s="150"/>
      <c r="B163"/>
      <c r="C163" s="149" t="s">
        <v>3924</v>
      </c>
      <c r="D163" s="149"/>
      <c r="E163"/>
      <c r="F163"/>
      <c r="G163"/>
      <c r="H163"/>
      <c r="I163"/>
      <c r="J163"/>
      <c r="K163"/>
      <c r="L163"/>
      <c r="M163"/>
    </row>
    <row r="164" spans="1:14">
      <c r="A164" s="150"/>
      <c r="B164"/>
      <c r="C164" s="138" t="s">
        <v>3925</v>
      </c>
      <c r="D164" s="138" t="s">
        <v>3813</v>
      </c>
      <c r="E164"/>
      <c r="F164"/>
      <c r="G164"/>
      <c r="H164"/>
      <c r="I164"/>
      <c r="J164"/>
      <c r="K164"/>
      <c r="L164"/>
      <c r="M164"/>
      <c r="N164"/>
    </row>
    <row r="165" spans="1:14">
      <c r="A165" s="135" t="str">
        <f>IF(Measure10_Size&lt;&gt;"","ImprovementAttributes","")</f>
        <v/>
      </c>
      <c r="C165" s="155" t="s">
        <v>3926</v>
      </c>
      <c r="D165" s="155">
        <f>Measure10_Size</f>
        <v>0</v>
      </c>
    </row>
    <row r="166" spans="1:14">
      <c r="A166" s="135" t="str">
        <f>IF(Measure10_Efficiency&lt;&gt;"","ImprovementAttributes","")</f>
        <v/>
      </c>
      <c r="C166" s="155" t="s">
        <v>3927</v>
      </c>
      <c r="D166" s="155">
        <f>Measure10_Efficiency</f>
        <v>0</v>
      </c>
    </row>
    <row r="167" spans="1:14">
      <c r="A167" s="135" t="str">
        <f>IF(Measure10_UsefulLife&lt;&gt;"","ImprovementAttributes","")</f>
        <v/>
      </c>
      <c r="C167" s="155" t="s">
        <v>3928</v>
      </c>
      <c r="D167" s="155">
        <f>Measure10_UsefulLife</f>
        <v>0</v>
      </c>
    </row>
    <row r="168" spans="1:14">
      <c r="A168" s="135" t="str">
        <f>IF(Measure10_SerialNumber&lt;&gt;"","ImprovementAttributes","")</f>
        <v/>
      </c>
      <c r="C168" s="155" t="s">
        <v>3929</v>
      </c>
      <c r="D168" s="155">
        <f>Measure10_SerialNumber</f>
        <v>0</v>
      </c>
    </row>
    <row r="169" spans="1:14">
      <c r="A169" s="135" t="str">
        <f>IF(Measure10_Age&lt;&gt;"","ImprovementAttributes","")</f>
        <v/>
      </c>
      <c r="C169" s="155" t="s">
        <v>3930</v>
      </c>
      <c r="D169" s="155">
        <f>Measure10_Age</f>
        <v>0</v>
      </c>
    </row>
    <row r="170" spans="1:14">
      <c r="A170" s="135" t="str">
        <f>IF(Measure10_Replaced&lt;&gt;"","ImprovementAttributes","")</f>
        <v/>
      </c>
      <c r="C170" s="155" t="s">
        <v>3931</v>
      </c>
      <c r="D170" s="155">
        <f>Measure10_Replaced</f>
        <v>0</v>
      </c>
    </row>
    <row r="171" spans="1:14">
      <c r="A171" s="135" t="str">
        <f>IF(Measure10_Payback&lt;&gt;0,"ImprovementAttributes","")</f>
        <v/>
      </c>
      <c r="C171" s="155" t="s">
        <v>3932</v>
      </c>
      <c r="D171" s="155">
        <f>Measure10_Payback</f>
        <v>0</v>
      </c>
    </row>
    <row r="172" spans="1:14">
      <c r="A172" s="135" t="str">
        <f>IF(Measure10_Incentive&lt;&gt;0,"ImprovementAttributes","")</f>
        <v/>
      </c>
      <c r="C172" s="155" t="s">
        <v>4004</v>
      </c>
      <c r="D172" s="155">
        <f>Measure10_Incentive</f>
        <v>0</v>
      </c>
    </row>
    <row r="173" spans="1:14" ht="18.5">
      <c r="A173"/>
      <c r="B173" s="148" t="s">
        <v>3945</v>
      </c>
      <c r="C173" s="149"/>
      <c r="D173" s="149"/>
      <c r="E173" s="149"/>
      <c r="F173" s="149"/>
      <c r="G173" s="149"/>
      <c r="H173" s="149"/>
      <c r="I173" s="149"/>
      <c r="J173"/>
      <c r="K173"/>
      <c r="L173"/>
      <c r="M173"/>
      <c r="N173"/>
    </row>
    <row r="174" spans="1:14">
      <c r="A174"/>
      <c r="B174" s="138" t="s">
        <v>3916</v>
      </c>
      <c r="C174" s="138" t="s">
        <v>3917</v>
      </c>
      <c r="D174" s="138" t="s">
        <v>3918</v>
      </c>
      <c r="E174" s="138" t="s">
        <v>3919</v>
      </c>
      <c r="F174" s="138" t="s">
        <v>3920</v>
      </c>
      <c r="G174" s="138" t="s">
        <v>3888</v>
      </c>
      <c r="H174" s="138" t="s">
        <v>3921</v>
      </c>
      <c r="I174" s="138" t="s">
        <v>3922</v>
      </c>
      <c r="J174"/>
      <c r="K174" s="150"/>
      <c r="L174" s="150"/>
      <c r="M174" s="150"/>
      <c r="N174" s="150"/>
    </row>
    <row r="175" spans="1:14">
      <c r="A175" t="str">
        <f>IF(Measure11_Type&lt;&gt;0,"Improvements","")</f>
        <v/>
      </c>
      <c r="B175" s="156">
        <f>IF(Measure11_Type="1 to 6 Watt LED Screw-In replacing Incandescent/CFL", "6 Watt LED Screw-In replacing Incandescent/CFL", IF(Measure11_Type="7 to 11 Watt LED Screw-In replacing Incandescent/CFL", "11 Watt LED Screw-In replacing Incandescent/CFL", IF(Measure11_Type="12 to 17 Watt LED Screw-In replacing Incandescent/CFL", "13 Watt LED Screw-In replacing Incandescent/CFL", IF(Measure11_Type="18 or more Watt LED Screw-In replacing Incandescent/CFL", "18 Watt LED Screw-In replacing Incandescent/CFL", Measure11_Type))))</f>
        <v>0</v>
      </c>
      <c r="C175" s="151">
        <f>Measure11_Cost</f>
        <v>0</v>
      </c>
      <c r="D175" s="142">
        <f>Measure11_Quantity</f>
        <v>0</v>
      </c>
      <c r="E175" s="142" t="str">
        <f>IF(Measure11_Description&lt;&gt;"",Measure11_Description,"")</f>
        <v/>
      </c>
      <c r="F175" s="142" t="e">
        <f>IF(Measure11_ShortDescription&lt;&gt; "", Measure11_ShortDescription,"")</f>
        <v>#N/A</v>
      </c>
      <c r="G175" s="142" t="str">
        <f>IF(Measure11_Status&lt;&gt;"",Measure11_Status, "Recommended")</f>
        <v>Recommended</v>
      </c>
      <c r="H175" s="142" t="str">
        <f>IF(Measure11_Comments&lt;&gt;"", Measure11_Comments,"")</f>
        <v/>
      </c>
      <c r="I175" s="142">
        <f>Measure11_ElectricCostSavings</f>
        <v>0</v>
      </c>
      <c r="J175"/>
      <c r="K175"/>
      <c r="L175"/>
      <c r="M175"/>
      <c r="N175"/>
    </row>
    <row r="176" spans="1:14" ht="15.5">
      <c r="A176" s="150"/>
      <c r="B176"/>
      <c r="C176" s="152" t="s">
        <v>3923</v>
      </c>
      <c r="D176" s="153"/>
      <c r="E176" s="153"/>
      <c r="F176" s="153"/>
      <c r="G176" s="153"/>
      <c r="H176" s="153"/>
      <c r="I176" s="153"/>
      <c r="J176" s="153"/>
      <c r="K176" s="153"/>
      <c r="L176" s="153"/>
      <c r="M176"/>
    </row>
    <row r="177" spans="1:14">
      <c r="A177" s="150"/>
      <c r="B177"/>
      <c r="C177" s="138" t="s">
        <v>3895</v>
      </c>
      <c r="D177" s="138" t="s">
        <v>3896</v>
      </c>
      <c r="E177" s="138" t="s">
        <v>3897</v>
      </c>
      <c r="F177" s="138" t="s">
        <v>3898</v>
      </c>
      <c r="G177" s="138" t="s">
        <v>3899</v>
      </c>
      <c r="H177" s="138" t="s">
        <v>3900</v>
      </c>
      <c r="I177" s="138" t="s">
        <v>3901</v>
      </c>
      <c r="J177" s="138" t="s">
        <v>3936</v>
      </c>
      <c r="K177" s="138" t="s">
        <v>3904</v>
      </c>
      <c r="L177" s="138" t="s">
        <v>3937</v>
      </c>
    </row>
    <row r="178" spans="1:14">
      <c r="A178" s="150" t="str">
        <f>IF(Measure11_kWhSavings&lt;&gt;0,"ImprovementSavings","")</f>
        <v/>
      </c>
      <c r="B178"/>
      <c r="C178" s="142" t="s">
        <v>3890</v>
      </c>
      <c r="D178" s="150"/>
      <c r="E178" s="150"/>
      <c r="F178" s="150"/>
      <c r="G178" s="150"/>
      <c r="H178" s="150"/>
      <c r="I178" s="150"/>
      <c r="J178" s="142">
        <f>Measure11_kWhSavings*GECO_ELEC_RATIO</f>
        <v>0</v>
      </c>
      <c r="K178" s="142">
        <f>Measure11_DemandSavings</f>
        <v>0</v>
      </c>
      <c r="L178" s="142">
        <f>Measure11_ElectricCostSavings</f>
        <v>0</v>
      </c>
    </row>
    <row r="179" spans="1:14">
      <c r="A179" s="150"/>
      <c r="B179"/>
      <c r="C179" s="149" t="s">
        <v>3924</v>
      </c>
      <c r="D179" s="149"/>
      <c r="E179"/>
      <c r="F179"/>
      <c r="G179"/>
      <c r="H179"/>
      <c r="I179"/>
      <c r="J179"/>
      <c r="K179"/>
      <c r="L179"/>
      <c r="M179"/>
      <c r="N179"/>
    </row>
    <row r="180" spans="1:14">
      <c r="A180" s="150"/>
      <c r="B180"/>
      <c r="C180" s="138" t="s">
        <v>3925</v>
      </c>
      <c r="D180" s="138" t="s">
        <v>3813</v>
      </c>
      <c r="E180"/>
      <c r="F180"/>
      <c r="G180"/>
      <c r="H180"/>
      <c r="I180"/>
      <c r="J180"/>
      <c r="K180"/>
      <c r="L180"/>
      <c r="M180"/>
      <c r="N180"/>
    </row>
    <row r="181" spans="1:14">
      <c r="A181" s="135" t="str">
        <f>IF(Measure11_Size&lt;&gt;"","ImprovementAttributes","")</f>
        <v/>
      </c>
      <c r="C181" s="155" t="s">
        <v>3926</v>
      </c>
      <c r="D181" s="155">
        <f>Measure11_Size</f>
        <v>0</v>
      </c>
    </row>
    <row r="182" spans="1:14">
      <c r="A182" s="135" t="str">
        <f>IF(Measure11_Efficiency&lt;&gt;"","ImprovementAttributes","")</f>
        <v/>
      </c>
      <c r="C182" s="155" t="s">
        <v>3927</v>
      </c>
      <c r="D182" s="155">
        <f>Measure11_Efficiency</f>
        <v>0</v>
      </c>
    </row>
    <row r="183" spans="1:14">
      <c r="A183" s="135" t="str">
        <f>IF(Measure11_UsefulLife&lt;&gt;"","ImprovementAttributes","")</f>
        <v/>
      </c>
      <c r="C183" s="155" t="s">
        <v>3928</v>
      </c>
      <c r="D183" s="155">
        <f>Measure11_UsefulLife</f>
        <v>0</v>
      </c>
    </row>
    <row r="184" spans="1:14">
      <c r="A184" s="135" t="str">
        <f>IF(Measure11_SerialNumber&lt;&gt;"","ImprovementAttributes","")</f>
        <v/>
      </c>
      <c r="C184" s="155" t="s">
        <v>3929</v>
      </c>
      <c r="D184" s="155">
        <f>Measure11_SerialNumber</f>
        <v>0</v>
      </c>
    </row>
    <row r="185" spans="1:14">
      <c r="A185" s="135" t="str">
        <f>IF(Measure11_Age&lt;&gt;"","ImprovementAttributes","")</f>
        <v/>
      </c>
      <c r="C185" s="155" t="s">
        <v>3930</v>
      </c>
      <c r="D185" s="155">
        <f>Measure11_Age</f>
        <v>0</v>
      </c>
    </row>
    <row r="186" spans="1:14">
      <c r="A186" s="135" t="str">
        <f>IF(Measure11_Replaced&lt;&gt;"","ImprovementAttributes","")</f>
        <v/>
      </c>
      <c r="C186" s="155" t="s">
        <v>3931</v>
      </c>
      <c r="D186" s="155">
        <f>Measure11_Replaced</f>
        <v>0</v>
      </c>
    </row>
    <row r="187" spans="1:14">
      <c r="A187" s="135" t="str">
        <f>IF(Measure11_Payback&lt;&gt;0,"ImprovementAttributes","")</f>
        <v/>
      </c>
      <c r="C187" s="155" t="s">
        <v>3932</v>
      </c>
      <c r="D187" s="155">
        <f>Measure11_Payback</f>
        <v>0</v>
      </c>
    </row>
    <row r="188" spans="1:14">
      <c r="A188" s="135" t="str">
        <f>IF(Measure11_Incentive&lt;&gt;0,"ImprovementAttributes","")</f>
        <v/>
      </c>
      <c r="C188" s="155" t="s">
        <v>4004</v>
      </c>
      <c r="D188" s="155">
        <f>Measure11_Incentive</f>
        <v>0</v>
      </c>
    </row>
    <row r="189" spans="1:14" ht="18.5">
      <c r="A189"/>
      <c r="B189" s="148" t="s">
        <v>3946</v>
      </c>
      <c r="C189" s="149"/>
      <c r="D189" s="149"/>
      <c r="E189" s="149"/>
      <c r="F189" s="149"/>
      <c r="G189" s="149"/>
      <c r="H189" s="149"/>
      <c r="I189" s="149"/>
      <c r="J189"/>
      <c r="K189"/>
      <c r="L189"/>
      <c r="M189"/>
      <c r="N189"/>
    </row>
    <row r="190" spans="1:14">
      <c r="A190"/>
      <c r="B190" s="138" t="s">
        <v>3916</v>
      </c>
      <c r="C190" s="138" t="s">
        <v>3917</v>
      </c>
      <c r="D190" s="138" t="s">
        <v>3918</v>
      </c>
      <c r="E190" s="138" t="s">
        <v>3919</v>
      </c>
      <c r="F190" s="138" t="s">
        <v>3920</v>
      </c>
      <c r="G190" s="138" t="s">
        <v>3888</v>
      </c>
      <c r="H190" s="138" t="s">
        <v>3921</v>
      </c>
      <c r="I190" s="138" t="s">
        <v>3922</v>
      </c>
      <c r="J190"/>
      <c r="K190" s="150"/>
      <c r="L190" s="150"/>
      <c r="M190" s="150"/>
      <c r="N190" s="150"/>
    </row>
    <row r="191" spans="1:14">
      <c r="A191" t="str">
        <f>IF(Measure12_Type&lt;&gt;0,"Improvements","")</f>
        <v/>
      </c>
      <c r="B191" s="156">
        <f>IF(Measure12_Type="1 to 6 Watt LED Screw-In replacing Incandescent/CFL", "6 Watt LED Screw-In replacing Incandescent/CFL", IF(Measure12_Type="7 to 11 Watt LED Screw-In replacing Incandescent/CFL", "11 Watt LED Screw-In replacing Incandescent/CFL", IF(Measure12_Type="12 to 17 Watt LED Screw-In replacing Incandescent/CFL", "13 Watt LED Screw-In replacing Incandescent/CFL", IF(Measure12_Type="18 or more Watt LED Screw-In replacing Incandescent/CFL", "18 Watt LED Screw-In replacing Incandescent/CFL", Measure12_Type))))</f>
        <v>0</v>
      </c>
      <c r="C191" s="151">
        <f>Measure12_Cost</f>
        <v>0</v>
      </c>
      <c r="D191" s="142">
        <f>Measure12_Quantity</f>
        <v>0</v>
      </c>
      <c r="E191" s="142" t="str">
        <f>IF(Measure12_Description&lt;&gt;"",Measure12_Description,"")</f>
        <v/>
      </c>
      <c r="F191" s="142" t="e">
        <f>IF(Measure12_ShortDescription&lt;&gt; "", Measure12_ShortDescription,"")</f>
        <v>#N/A</v>
      </c>
      <c r="G191" s="142" t="str">
        <f>IF(Measure12_Status&lt;&gt;"",Measure12_Status, "Recommended")</f>
        <v>Recommended</v>
      </c>
      <c r="H191" s="142" t="str">
        <f>IF(Measure12_Comments&lt;&gt;"", Measure12_Comments,"")</f>
        <v/>
      </c>
      <c r="I191" s="142">
        <f>Measure12_ElectricCostSavings</f>
        <v>0</v>
      </c>
      <c r="J191"/>
      <c r="K191"/>
      <c r="L191"/>
      <c r="M191"/>
      <c r="N191"/>
    </row>
    <row r="192" spans="1:14" ht="15.5">
      <c r="A192" s="150"/>
      <c r="B192"/>
      <c r="C192" s="152" t="s">
        <v>3923</v>
      </c>
      <c r="D192" s="153"/>
      <c r="E192" s="153"/>
      <c r="F192" s="153"/>
      <c r="G192" s="153"/>
      <c r="H192" s="153"/>
      <c r="I192" s="153"/>
      <c r="J192" s="153"/>
      <c r="K192" s="153"/>
      <c r="L192" s="153"/>
      <c r="M192"/>
    </row>
    <row r="193" spans="1:14">
      <c r="A193" s="150"/>
      <c r="B193"/>
      <c r="C193" s="138" t="s">
        <v>3895</v>
      </c>
      <c r="D193" s="138" t="s">
        <v>3896</v>
      </c>
      <c r="E193" s="138" t="s">
        <v>3897</v>
      </c>
      <c r="F193" s="138" t="s">
        <v>3898</v>
      </c>
      <c r="G193" s="138" t="s">
        <v>3899</v>
      </c>
      <c r="H193" s="138" t="s">
        <v>3900</v>
      </c>
      <c r="I193" s="138" t="s">
        <v>3901</v>
      </c>
      <c r="J193" s="138" t="s">
        <v>3936</v>
      </c>
      <c r="K193" s="138" t="s">
        <v>3904</v>
      </c>
      <c r="L193" s="138" t="s">
        <v>3937</v>
      </c>
    </row>
    <row r="194" spans="1:14">
      <c r="A194" s="150" t="str">
        <f>IF(Measure12_kWhSavings&lt;&gt;0,"ImprovementSavings","")</f>
        <v/>
      </c>
      <c r="B194"/>
      <c r="C194" s="142" t="s">
        <v>3890</v>
      </c>
      <c r="D194" s="150"/>
      <c r="E194" s="150"/>
      <c r="F194" s="150"/>
      <c r="G194" s="150"/>
      <c r="H194" s="150"/>
      <c r="I194" s="150"/>
      <c r="J194" s="142">
        <f>Measure12_kWhSavings*GECO_ELEC_RATIO</f>
        <v>0</v>
      </c>
      <c r="K194" s="142">
        <f>Measure12_DemandSavings</f>
        <v>0</v>
      </c>
      <c r="L194" s="142">
        <f>Measure12_ElectricCostSavings</f>
        <v>0</v>
      </c>
    </row>
    <row r="195" spans="1:14">
      <c r="A195" s="150"/>
      <c r="B195"/>
      <c r="C195" s="149" t="s">
        <v>3924</v>
      </c>
      <c r="D195" s="149"/>
      <c r="E195"/>
      <c r="F195"/>
      <c r="G195"/>
      <c r="H195"/>
      <c r="I195"/>
      <c r="J195"/>
      <c r="K195"/>
      <c r="L195"/>
      <c r="M195"/>
      <c r="N195"/>
    </row>
    <row r="196" spans="1:14">
      <c r="A196" s="150"/>
      <c r="B196"/>
      <c r="C196" s="138" t="s">
        <v>3925</v>
      </c>
      <c r="D196" s="138" t="s">
        <v>3813</v>
      </c>
      <c r="E196"/>
      <c r="F196"/>
      <c r="G196"/>
      <c r="H196"/>
      <c r="I196"/>
      <c r="J196"/>
      <c r="K196"/>
      <c r="L196"/>
      <c r="M196"/>
      <c r="N196"/>
    </row>
    <row r="197" spans="1:14">
      <c r="A197" s="135" t="str">
        <f>IF(Measure12_Size&lt;&gt;"","ImprovementAttributes","")</f>
        <v/>
      </c>
      <c r="C197" s="155" t="s">
        <v>3926</v>
      </c>
      <c r="D197" s="155">
        <f>Measure12_Size</f>
        <v>0</v>
      </c>
    </row>
    <row r="198" spans="1:14">
      <c r="A198" s="135" t="str">
        <f>IF(Measure12_Efficiency&lt;&gt;"","ImprovementAttributes","")</f>
        <v/>
      </c>
      <c r="C198" s="155" t="s">
        <v>3927</v>
      </c>
      <c r="D198" s="155">
        <f>Measure12_Efficiency</f>
        <v>0</v>
      </c>
    </row>
    <row r="199" spans="1:14">
      <c r="A199" s="135" t="str">
        <f>IF(Measure12_UsefulLife&lt;&gt;"","ImprovementAttributes","")</f>
        <v/>
      </c>
      <c r="C199" s="155" t="s">
        <v>3928</v>
      </c>
      <c r="D199" s="155">
        <f>Measure12_UsefulLife</f>
        <v>0</v>
      </c>
    </row>
    <row r="200" spans="1:14">
      <c r="A200" s="135" t="str">
        <f>IF(Measure12_SerialNumber&lt;&gt;"","ImprovementAttributes","")</f>
        <v/>
      </c>
      <c r="C200" s="155" t="s">
        <v>3929</v>
      </c>
      <c r="D200" s="155">
        <f>Measure12_SerialNumber</f>
        <v>0</v>
      </c>
    </row>
    <row r="201" spans="1:14">
      <c r="A201" s="135" t="str">
        <f>IF(Measure12_Age&lt;&gt;"","ImprovementAttributes","")</f>
        <v/>
      </c>
      <c r="C201" s="155" t="s">
        <v>3930</v>
      </c>
      <c r="D201" s="155">
        <f>Measure12_Age</f>
        <v>0</v>
      </c>
    </row>
    <row r="202" spans="1:14">
      <c r="A202" s="135" t="str">
        <f>IF(Measure12_Replaced&lt;&gt;"","ImprovementAttributes","")</f>
        <v/>
      </c>
      <c r="C202" s="155" t="s">
        <v>3931</v>
      </c>
      <c r="D202" s="155">
        <f>Measure12_Replaced</f>
        <v>0</v>
      </c>
    </row>
    <row r="203" spans="1:14">
      <c r="A203" s="135" t="str">
        <f>IF(Measure12_Payback&lt;&gt;0,"ImprovementAttributes","")</f>
        <v/>
      </c>
      <c r="C203" s="155" t="s">
        <v>3932</v>
      </c>
      <c r="D203" s="155">
        <f>Measure12_Payback</f>
        <v>0</v>
      </c>
    </row>
    <row r="204" spans="1:14">
      <c r="A204" s="135" t="str">
        <f>IF(Measure12_Incentive&lt;&gt;0,"ImprovementAttributes","")</f>
        <v/>
      </c>
      <c r="C204" s="155" t="s">
        <v>4004</v>
      </c>
      <c r="D204" s="155">
        <f>Measure12_Incentive</f>
        <v>0</v>
      </c>
    </row>
    <row r="205" spans="1:14" ht="18.5">
      <c r="A205"/>
      <c r="B205" s="148" t="s">
        <v>3947</v>
      </c>
      <c r="C205" s="149"/>
      <c r="D205" s="149"/>
      <c r="E205" s="149"/>
      <c r="F205" s="149"/>
      <c r="G205" s="149"/>
      <c r="H205" s="149"/>
      <c r="I205" s="149"/>
      <c r="J205"/>
      <c r="K205"/>
      <c r="L205"/>
      <c r="M205"/>
      <c r="N205"/>
    </row>
    <row r="206" spans="1:14">
      <c r="A206"/>
      <c r="B206" s="138" t="s">
        <v>3916</v>
      </c>
      <c r="C206" s="138" t="s">
        <v>3917</v>
      </c>
      <c r="D206" s="138" t="s">
        <v>3918</v>
      </c>
      <c r="E206" s="138" t="s">
        <v>3919</v>
      </c>
      <c r="F206" s="138" t="s">
        <v>3920</v>
      </c>
      <c r="G206" s="138" t="s">
        <v>3888</v>
      </c>
      <c r="H206" s="138" t="s">
        <v>3921</v>
      </c>
      <c r="I206" s="138" t="s">
        <v>3922</v>
      </c>
      <c r="J206"/>
      <c r="K206" s="150"/>
      <c r="L206" s="150"/>
      <c r="M206" s="150"/>
      <c r="N206" s="150"/>
    </row>
    <row r="207" spans="1:14">
      <c r="A207" t="str">
        <f>IF(Measure13_Type&lt;&gt;0,"Improvements","")</f>
        <v/>
      </c>
      <c r="B207" s="156">
        <f>IF(Measure13_Type="1 to 6 Watt LED Screw-In replacing Incandescent/CFL", "6 Watt LED Screw-In replacing Incandescent/CFL", IF(Measure13_Type="7 to 11 Watt LED Screw-In replacing Incandescent/CFL", "11 Watt LED Screw-In replacing Incandescent/CFL", IF(Measure13_Type="12 to 17 Watt LED Screw-In replacing Incandescent/CFL", "13 Watt LED Screw-In replacing Incandescent/CFL", IF(Measure13_Type="18 or more Watt LED Screw-In replacing Incandescent/CFL", "18 Watt LED Screw-In replacing Incandescent/CFL", Measure13_Type))))</f>
        <v>0</v>
      </c>
      <c r="C207" s="151">
        <f>Measure13_Cost</f>
        <v>0</v>
      </c>
      <c r="D207" s="142">
        <f>Measure13_Quantity</f>
        <v>0</v>
      </c>
      <c r="E207" s="142" t="str">
        <f>IF(Measure13_Description&lt;&gt;"",Measure13_Description,"")</f>
        <v/>
      </c>
      <c r="F207" s="142" t="e">
        <f>IF(Measure13_ShortDescription&lt;&gt; "", Measure13_ShortDescription,"")</f>
        <v>#N/A</v>
      </c>
      <c r="G207" s="142" t="str">
        <f>IF(Measure13_Status&lt;&gt;"",Measure13_Status, "Recommended")</f>
        <v>Recommended</v>
      </c>
      <c r="H207" s="142" t="str">
        <f>IF(Measure13_Comments&lt;&gt;"", Measure13_Comments,"")</f>
        <v/>
      </c>
      <c r="I207" s="142">
        <f>Measure13_ElectricCostSavings</f>
        <v>0</v>
      </c>
      <c r="J207"/>
      <c r="K207"/>
      <c r="L207"/>
      <c r="M207"/>
      <c r="N207"/>
    </row>
    <row r="208" spans="1:14" ht="15.5">
      <c r="A208" s="150"/>
      <c r="B208"/>
      <c r="C208" s="152" t="s">
        <v>3923</v>
      </c>
      <c r="D208" s="153"/>
      <c r="E208" s="153"/>
      <c r="F208" s="153"/>
      <c r="G208" s="153"/>
      <c r="H208" s="153"/>
      <c r="I208" s="153"/>
      <c r="J208" s="153"/>
      <c r="K208" s="153"/>
      <c r="L208" s="153"/>
      <c r="M208"/>
    </row>
    <row r="209" spans="1:14">
      <c r="A209" s="150"/>
      <c r="B209"/>
      <c r="C209" s="138" t="s">
        <v>3895</v>
      </c>
      <c r="D209" s="138" t="s">
        <v>3896</v>
      </c>
      <c r="E209" s="138" t="s">
        <v>3897</v>
      </c>
      <c r="F209" s="138" t="s">
        <v>3898</v>
      </c>
      <c r="G209" s="138" t="s">
        <v>3899</v>
      </c>
      <c r="H209" s="138" t="s">
        <v>3900</v>
      </c>
      <c r="I209" s="138" t="s">
        <v>3901</v>
      </c>
      <c r="J209" s="138" t="s">
        <v>3936</v>
      </c>
      <c r="K209" s="138" t="s">
        <v>3904</v>
      </c>
      <c r="L209" s="138" t="s">
        <v>3937</v>
      </c>
    </row>
    <row r="210" spans="1:14">
      <c r="A210" s="150" t="str">
        <f>IF(Measure13_kWhSavings&lt;&gt;0,"ImprovementSavings","")</f>
        <v/>
      </c>
      <c r="B210"/>
      <c r="C210" s="142" t="s">
        <v>3890</v>
      </c>
      <c r="D210" s="150"/>
      <c r="E210" s="150"/>
      <c r="F210" s="150"/>
      <c r="G210" s="150"/>
      <c r="H210" s="150"/>
      <c r="I210" s="150"/>
      <c r="J210" s="142">
        <f>Measure13_kWhSavings*GECO_ELEC_RATIO</f>
        <v>0</v>
      </c>
      <c r="K210" s="142">
        <f>Measure13_DemandSavings</f>
        <v>0</v>
      </c>
      <c r="L210" s="142">
        <f>Measure13_ElectricCostSavings</f>
        <v>0</v>
      </c>
    </row>
    <row r="211" spans="1:14">
      <c r="A211" s="150"/>
      <c r="B211"/>
      <c r="C211" s="149" t="s">
        <v>3924</v>
      </c>
      <c r="D211" s="149"/>
      <c r="E211"/>
      <c r="F211"/>
      <c r="G211"/>
      <c r="H211"/>
      <c r="I211"/>
      <c r="J211"/>
      <c r="K211"/>
      <c r="L211"/>
      <c r="M211"/>
      <c r="N211"/>
    </row>
    <row r="212" spans="1:14">
      <c r="A212" s="150"/>
      <c r="B212"/>
      <c r="C212" s="138" t="s">
        <v>3925</v>
      </c>
      <c r="D212" s="138" t="s">
        <v>3813</v>
      </c>
      <c r="E212"/>
      <c r="F212"/>
      <c r="G212"/>
      <c r="H212"/>
      <c r="I212"/>
      <c r="J212"/>
      <c r="K212"/>
      <c r="L212"/>
      <c r="M212"/>
      <c r="N212"/>
    </row>
    <row r="213" spans="1:14">
      <c r="A213" s="135" t="str">
        <f>IF(Measure13_Size&lt;&gt;"","ImprovementAttributes","")</f>
        <v/>
      </c>
      <c r="C213" s="155" t="s">
        <v>3926</v>
      </c>
      <c r="D213" s="155">
        <f>Measure13_Size</f>
        <v>0</v>
      </c>
    </row>
    <row r="214" spans="1:14">
      <c r="A214" s="135" t="str">
        <f>IF(Measure13_Efficiency&lt;&gt;"","ImprovementAttributes","")</f>
        <v/>
      </c>
      <c r="C214" s="155" t="s">
        <v>3927</v>
      </c>
      <c r="D214" s="155">
        <f>Measure13_Efficiency</f>
        <v>0</v>
      </c>
    </row>
    <row r="215" spans="1:14">
      <c r="A215" s="135" t="str">
        <f>IF(Measure13_UsefulLife&lt;&gt;"","ImprovementAttributes","")</f>
        <v/>
      </c>
      <c r="C215" s="155" t="s">
        <v>3928</v>
      </c>
      <c r="D215" s="155">
        <f>Measure13_UsefulLife</f>
        <v>0</v>
      </c>
    </row>
    <row r="216" spans="1:14">
      <c r="A216" s="135" t="str">
        <f>IF(Measure13_SerialNumber&lt;&gt;"","ImprovementAttributes","")</f>
        <v/>
      </c>
      <c r="C216" s="155" t="s">
        <v>3929</v>
      </c>
      <c r="D216" s="155">
        <f>Measure13_SerialNumber</f>
        <v>0</v>
      </c>
    </row>
    <row r="217" spans="1:14">
      <c r="A217" s="135" t="str">
        <f>IF(Measure13_Age&lt;&gt;"","ImprovementAttributes","")</f>
        <v/>
      </c>
      <c r="C217" s="155" t="s">
        <v>3930</v>
      </c>
      <c r="D217" s="155">
        <f>Measure13_Age</f>
        <v>0</v>
      </c>
    </row>
    <row r="218" spans="1:14">
      <c r="A218" s="135" t="str">
        <f>IF(Measure13_Replaced&lt;&gt;"","ImprovementAttributes","")</f>
        <v/>
      </c>
      <c r="C218" s="155" t="s">
        <v>3931</v>
      </c>
      <c r="D218" s="155">
        <f>Measure13_Replaced</f>
        <v>0</v>
      </c>
    </row>
    <row r="219" spans="1:14">
      <c r="A219" s="135" t="str">
        <f>IF(Measure13_Payback&lt;&gt;0,"ImprovementAttributes","")</f>
        <v/>
      </c>
      <c r="C219" s="155" t="s">
        <v>3932</v>
      </c>
      <c r="D219" s="155">
        <f>Measure13_Payback</f>
        <v>0</v>
      </c>
    </row>
    <row r="220" spans="1:14">
      <c r="A220" s="135" t="str">
        <f>IF(Measure13_Incentive&lt;&gt;0,"ImprovementAttributes","")</f>
        <v/>
      </c>
      <c r="C220" s="155" t="s">
        <v>4004</v>
      </c>
      <c r="D220" s="155">
        <f>Measure13_Incentive</f>
        <v>0</v>
      </c>
    </row>
    <row r="221" spans="1:14" ht="18.5">
      <c r="A221"/>
      <c r="B221" s="148" t="s">
        <v>3948</v>
      </c>
      <c r="C221" s="149"/>
      <c r="D221" s="149"/>
      <c r="E221" s="149"/>
      <c r="F221" s="149"/>
      <c r="G221" s="149"/>
      <c r="H221" s="149"/>
      <c r="I221" s="149"/>
      <c r="J221"/>
      <c r="K221"/>
      <c r="L221"/>
      <c r="M221"/>
      <c r="N221"/>
    </row>
    <row r="222" spans="1:14">
      <c r="A222"/>
      <c r="B222" s="138" t="s">
        <v>3916</v>
      </c>
      <c r="C222" s="138" t="s">
        <v>3917</v>
      </c>
      <c r="D222" s="138" t="s">
        <v>3918</v>
      </c>
      <c r="E222" s="138" t="s">
        <v>3919</v>
      </c>
      <c r="F222" s="138" t="s">
        <v>3920</v>
      </c>
      <c r="G222" s="138" t="s">
        <v>3888</v>
      </c>
      <c r="H222" s="138" t="s">
        <v>3921</v>
      </c>
      <c r="I222" s="138" t="s">
        <v>3922</v>
      </c>
      <c r="J222"/>
      <c r="K222" s="150"/>
      <c r="L222" s="150"/>
      <c r="M222" s="150"/>
      <c r="N222" s="150"/>
    </row>
    <row r="223" spans="1:14">
      <c r="A223" t="str">
        <f>IF(Measure14_Type&lt;&gt;0,"Improvements","")</f>
        <v/>
      </c>
      <c r="B223" s="156">
        <f>IF(Measure14_Type="1 to 6 Watt LED Screw-In replacing Incandescent/CFL", "6 Watt LED Screw-In replacing Incandescent/CFL", IF(Measure14_Type="7 to 11 Watt LED Screw-In replacing Incandescent/CFL", "11 Watt LED Screw-In replacing Incandescent/CFL", IF(Measure14_Type="12 to 17 Watt LED Screw-In replacing Incandescent/CFL", "13 Watt LED Screw-In replacing Incandescent/CFL", IF(Measure14_Type="18 or more Watt LED Screw-In replacing Incandescent/CFL", "18 Watt LED Screw-In replacing Incandescent/CFL", Measure14_Type))))</f>
        <v>0</v>
      </c>
      <c r="C223" s="151">
        <f>Measure14_Cost</f>
        <v>0</v>
      </c>
      <c r="D223" s="142">
        <f>Measure14_Quantity</f>
        <v>0</v>
      </c>
      <c r="E223" s="142" t="str">
        <f>IF(Measure14_Description&lt;&gt;"",Measure14_Description,"")</f>
        <v/>
      </c>
      <c r="F223" s="142" t="e">
        <f>IF(Measure14_ShortDescription&lt;&gt; "", Measure14_ShortDescription,"")</f>
        <v>#N/A</v>
      </c>
      <c r="G223" s="142" t="str">
        <f>IF(Measure14_Status&lt;&gt;"",Measure14_Status, "Recommended")</f>
        <v>Recommended</v>
      </c>
      <c r="H223" s="142" t="str">
        <f>IF(Measure14_Comments&lt;&gt;"", Measure14_Comments,"")</f>
        <v/>
      </c>
      <c r="I223" s="142">
        <f>Measure14_ElectricCostSavings</f>
        <v>0</v>
      </c>
      <c r="J223"/>
      <c r="K223"/>
      <c r="L223"/>
      <c r="M223"/>
      <c r="N223"/>
    </row>
    <row r="224" spans="1:14" ht="15.5">
      <c r="A224" s="150"/>
      <c r="B224"/>
      <c r="C224" s="152" t="s">
        <v>3923</v>
      </c>
      <c r="D224" s="153"/>
      <c r="E224" s="153"/>
      <c r="F224" s="153"/>
      <c r="G224" s="153"/>
      <c r="H224" s="153"/>
      <c r="I224" s="153"/>
      <c r="J224" s="153"/>
      <c r="K224" s="153"/>
      <c r="L224" s="153"/>
      <c r="M224"/>
    </row>
    <row r="225" spans="1:14">
      <c r="A225" s="150"/>
      <c r="B225"/>
      <c r="C225" s="138" t="s">
        <v>3895</v>
      </c>
      <c r="D225" s="138" t="s">
        <v>3896</v>
      </c>
      <c r="E225" s="138" t="s">
        <v>3897</v>
      </c>
      <c r="F225" s="138" t="s">
        <v>3898</v>
      </c>
      <c r="G225" s="138" t="s">
        <v>3899</v>
      </c>
      <c r="H225" s="138" t="s">
        <v>3900</v>
      </c>
      <c r="I225" s="138" t="s">
        <v>3901</v>
      </c>
      <c r="J225" s="138" t="s">
        <v>3936</v>
      </c>
      <c r="K225" s="138" t="s">
        <v>3904</v>
      </c>
      <c r="L225" s="138" t="s">
        <v>3937</v>
      </c>
    </row>
    <row r="226" spans="1:14">
      <c r="A226" s="150" t="str">
        <f>IF(Measure14_kWhSavings&lt;&gt;0,"ImprovementSavings","")</f>
        <v/>
      </c>
      <c r="B226"/>
      <c r="C226" s="142" t="s">
        <v>3890</v>
      </c>
      <c r="D226" s="150"/>
      <c r="E226" s="150"/>
      <c r="F226" s="150"/>
      <c r="G226" s="150"/>
      <c r="H226" s="150"/>
      <c r="I226" s="150"/>
      <c r="J226" s="142">
        <f>Measure14_kWhSavings*GECO_ELEC_RATIO</f>
        <v>0</v>
      </c>
      <c r="K226" s="142">
        <f>Measure14_DemandSavings</f>
        <v>0</v>
      </c>
      <c r="L226" s="142">
        <f>Measure14_ElectricCostSavings</f>
        <v>0</v>
      </c>
    </row>
    <row r="227" spans="1:14">
      <c r="A227" s="150"/>
      <c r="B227"/>
      <c r="C227" s="149" t="s">
        <v>3924</v>
      </c>
      <c r="D227" s="149"/>
      <c r="E227"/>
      <c r="F227"/>
      <c r="G227"/>
      <c r="H227"/>
      <c r="I227"/>
      <c r="J227"/>
      <c r="K227"/>
      <c r="L227"/>
      <c r="M227"/>
      <c r="N227"/>
    </row>
    <row r="228" spans="1:14">
      <c r="A228" s="150"/>
      <c r="B228"/>
      <c r="C228" s="138" t="s">
        <v>3925</v>
      </c>
      <c r="D228" s="138" t="s">
        <v>3813</v>
      </c>
      <c r="E228"/>
      <c r="F228"/>
      <c r="G228"/>
      <c r="H228"/>
      <c r="I228"/>
      <c r="J228"/>
      <c r="K228"/>
      <c r="L228"/>
      <c r="M228"/>
      <c r="N228"/>
    </row>
    <row r="229" spans="1:14">
      <c r="A229" s="135" t="str">
        <f>IF(Measure14_Size&lt;&gt;"","ImprovementAttributes","")</f>
        <v/>
      </c>
      <c r="C229" s="155" t="s">
        <v>3926</v>
      </c>
      <c r="D229" s="155">
        <f>Measure14_Size</f>
        <v>0</v>
      </c>
    </row>
    <row r="230" spans="1:14">
      <c r="A230" s="135" t="str">
        <f>IF(Measure14_Efficiency&lt;&gt;"","ImprovementAttributes","")</f>
        <v/>
      </c>
      <c r="C230" s="155" t="s">
        <v>3927</v>
      </c>
      <c r="D230" s="155">
        <f>Measure14_Efficiency</f>
        <v>0</v>
      </c>
    </row>
    <row r="231" spans="1:14">
      <c r="A231" s="135" t="str">
        <f>IF(Measure14_UsefulLife&lt;&gt;"","ImprovementAttributes","")</f>
        <v/>
      </c>
      <c r="C231" s="155" t="s">
        <v>3928</v>
      </c>
      <c r="D231" s="155">
        <f>Measure14_UsefulLife</f>
        <v>0</v>
      </c>
    </row>
    <row r="232" spans="1:14">
      <c r="A232" s="135" t="str">
        <f>IF(Measure14_SerialNumber&lt;&gt;"","ImprovementAttributes","")</f>
        <v/>
      </c>
      <c r="C232" s="155" t="s">
        <v>3929</v>
      </c>
      <c r="D232" s="155">
        <f>Measure14_SerialNumber</f>
        <v>0</v>
      </c>
    </row>
    <row r="233" spans="1:14">
      <c r="A233" s="135" t="str">
        <f>IF(Measure14_Age&lt;&gt;"","ImprovementAttributes","")</f>
        <v/>
      </c>
      <c r="C233" s="155" t="s">
        <v>3930</v>
      </c>
      <c r="D233" s="155">
        <f>Measure14_Age</f>
        <v>0</v>
      </c>
    </row>
    <row r="234" spans="1:14">
      <c r="A234" s="135" t="str">
        <f>IF(Measure14_Replaced&lt;&gt;"","ImprovementAttributes","")</f>
        <v/>
      </c>
      <c r="C234" s="155" t="s">
        <v>3931</v>
      </c>
      <c r="D234" s="155">
        <f>Measure14_Replaced</f>
        <v>0</v>
      </c>
    </row>
    <row r="235" spans="1:14">
      <c r="A235" s="135" t="str">
        <f>IF(Measure14_Payback&lt;&gt;0,"ImprovementAttributes","")</f>
        <v/>
      </c>
      <c r="C235" s="155" t="s">
        <v>3932</v>
      </c>
      <c r="D235" s="155">
        <f>Measure14_Payback</f>
        <v>0</v>
      </c>
    </row>
    <row r="236" spans="1:14">
      <c r="A236" s="135" t="str">
        <f>IF(Measure14_Incentive&lt;&gt;0,"ImprovementAttributes","")</f>
        <v/>
      </c>
      <c r="C236" s="155" t="s">
        <v>4004</v>
      </c>
      <c r="D236" s="155">
        <f>Measure14_Incentive</f>
        <v>0</v>
      </c>
    </row>
    <row r="237" spans="1:14" ht="18.5">
      <c r="A237"/>
      <c r="B237" s="148" t="s">
        <v>3949</v>
      </c>
      <c r="C237" s="149"/>
      <c r="D237" s="149"/>
      <c r="E237" s="149"/>
      <c r="F237" s="149"/>
      <c r="G237" s="149"/>
      <c r="H237" s="149"/>
      <c r="I237" s="149"/>
      <c r="J237"/>
      <c r="K237"/>
      <c r="L237"/>
      <c r="M237"/>
      <c r="N237"/>
    </row>
    <row r="238" spans="1:14">
      <c r="A238"/>
      <c r="B238" s="138" t="s">
        <v>3916</v>
      </c>
      <c r="C238" s="138" t="s">
        <v>3917</v>
      </c>
      <c r="D238" s="138" t="s">
        <v>3918</v>
      </c>
      <c r="E238" s="138" t="s">
        <v>3919</v>
      </c>
      <c r="F238" s="138" t="s">
        <v>3920</v>
      </c>
      <c r="G238" s="138" t="s">
        <v>3888</v>
      </c>
      <c r="H238" s="138" t="s">
        <v>3921</v>
      </c>
      <c r="I238" s="138" t="s">
        <v>3922</v>
      </c>
      <c r="J238"/>
      <c r="K238" s="150"/>
      <c r="L238" s="150"/>
      <c r="M238" s="150"/>
      <c r="N238" s="150"/>
    </row>
    <row r="239" spans="1:14">
      <c r="A239" t="str">
        <f>IF(Measure15_Type&lt;&gt;0,"Improvements","")</f>
        <v/>
      </c>
      <c r="B239" s="156">
        <f>IF(Measure15_Type="1 to 6 Watt LED Screw-In replacing Incandescent/CFL", "6 Watt LED Screw-In replacing Incandescent/CFL", IF(Measure15_Type="7 to 11 Watt LED Screw-In replacing Incandescent/CFL", "11 Watt LED Screw-In replacing Incandescent/CFL", IF(Measure15_Type="12 to 17 Watt LED Screw-In replacing Incandescent/CFL", "13 Watt LED Screw-In replacing Incandescent/CFL", IF(Measure15_Type="18 or more Watt LED Screw-In replacing Incandescent/CFL", "18 Watt LED Screw-In replacing Incandescent/CFL", Measure15_Type))))</f>
        <v>0</v>
      </c>
      <c r="C239" s="151">
        <f>Measure15_Cost</f>
        <v>0</v>
      </c>
      <c r="D239" s="142">
        <f>Measure15_Quantity</f>
        <v>0</v>
      </c>
      <c r="E239" s="142" t="str">
        <f>IF(Measure15_Description&lt;&gt;"",Measure15_Description,"")</f>
        <v/>
      </c>
      <c r="F239" s="142" t="e">
        <f>IF(Measure15_ShortDescription&lt;&gt; "", Measure15_ShortDescription,"")</f>
        <v>#N/A</v>
      </c>
      <c r="G239" s="142" t="str">
        <f>IF(Measure15_Status&lt;&gt;"",Measure15_Status, "Recommended")</f>
        <v>Recommended</v>
      </c>
      <c r="H239" s="142" t="str">
        <f>IF(Measure15_Comments&lt;&gt;"", Measure15_Comments,"")</f>
        <v/>
      </c>
      <c r="I239" s="142">
        <f>Measure15_ElectricCostSavings</f>
        <v>0</v>
      </c>
      <c r="J239"/>
      <c r="K239"/>
      <c r="L239"/>
      <c r="M239"/>
      <c r="N239"/>
    </row>
    <row r="240" spans="1:14" ht="15.5">
      <c r="A240" s="150"/>
      <c r="B240"/>
      <c r="C240" s="152" t="s">
        <v>3923</v>
      </c>
      <c r="D240" s="153"/>
      <c r="E240" s="153"/>
      <c r="F240" s="153"/>
      <c r="G240" s="153"/>
      <c r="H240" s="153"/>
      <c r="I240" s="153"/>
      <c r="J240" s="153"/>
      <c r="K240" s="153"/>
      <c r="L240" s="153"/>
      <c r="M240"/>
    </row>
    <row r="241" spans="1:14">
      <c r="A241" s="150"/>
      <c r="B241"/>
      <c r="C241" s="138" t="s">
        <v>3895</v>
      </c>
      <c r="D241" s="138" t="s">
        <v>3896</v>
      </c>
      <c r="E241" s="138" t="s">
        <v>3897</v>
      </c>
      <c r="F241" s="138" t="s">
        <v>3898</v>
      </c>
      <c r="G241" s="138" t="s">
        <v>3899</v>
      </c>
      <c r="H241" s="138" t="s">
        <v>3900</v>
      </c>
      <c r="I241" s="138" t="s">
        <v>3901</v>
      </c>
      <c r="J241" s="138" t="s">
        <v>3936</v>
      </c>
      <c r="K241" s="138" t="s">
        <v>3904</v>
      </c>
      <c r="L241" s="138" t="s">
        <v>3937</v>
      </c>
    </row>
    <row r="242" spans="1:14">
      <c r="A242" s="150" t="str">
        <f>IF(Measure15_kWhSavings&lt;&gt;0,"ImprovementSavings","")</f>
        <v/>
      </c>
      <c r="B242"/>
      <c r="C242" s="142" t="s">
        <v>3890</v>
      </c>
      <c r="D242" s="150"/>
      <c r="E242" s="150"/>
      <c r="F242" s="150"/>
      <c r="G242" s="150"/>
      <c r="H242" s="150"/>
      <c r="I242" s="150"/>
      <c r="J242" s="142">
        <f>Measure15_kWhSavings*GECO_ELEC_RATIO</f>
        <v>0</v>
      </c>
      <c r="K242" s="142">
        <f>Measure15_DemandSavings</f>
        <v>0</v>
      </c>
      <c r="L242" s="142">
        <f>Measure15_ElectricCostSavings</f>
        <v>0</v>
      </c>
    </row>
    <row r="243" spans="1:14">
      <c r="A243" s="150"/>
      <c r="B243"/>
      <c r="C243" s="149" t="s">
        <v>3924</v>
      </c>
      <c r="D243" s="149"/>
      <c r="E243"/>
      <c r="F243"/>
      <c r="G243"/>
      <c r="H243"/>
      <c r="I243"/>
      <c r="J243"/>
      <c r="K243"/>
      <c r="L243"/>
      <c r="M243"/>
      <c r="N243"/>
    </row>
    <row r="244" spans="1:14">
      <c r="A244" s="150"/>
      <c r="B244"/>
      <c r="C244" s="138" t="s">
        <v>3925</v>
      </c>
      <c r="D244" s="138" t="s">
        <v>3813</v>
      </c>
      <c r="E244"/>
      <c r="F244"/>
      <c r="G244"/>
      <c r="H244"/>
      <c r="I244"/>
      <c r="J244"/>
      <c r="K244"/>
      <c r="L244"/>
      <c r="M244"/>
      <c r="N244"/>
    </row>
    <row r="245" spans="1:14">
      <c r="A245" s="135" t="str">
        <f>IF(Measure15_Size&lt;&gt;"","ImprovementAttributes","")</f>
        <v/>
      </c>
      <c r="C245" s="155" t="s">
        <v>3926</v>
      </c>
      <c r="D245" s="155">
        <f>Measure15_Size</f>
        <v>0</v>
      </c>
    </row>
    <row r="246" spans="1:14">
      <c r="A246" s="135" t="str">
        <f>IF(Measure15_Efficiency&lt;&gt;"","ImprovementAttributes","")</f>
        <v/>
      </c>
      <c r="C246" s="155" t="s">
        <v>3927</v>
      </c>
      <c r="D246" s="155">
        <f>Measure15_Efficiency</f>
        <v>0</v>
      </c>
    </row>
    <row r="247" spans="1:14">
      <c r="A247" s="135" t="str">
        <f>IF(Measure15_UsefulLife&lt;&gt;"","ImprovementAttributes","")</f>
        <v/>
      </c>
      <c r="C247" s="155" t="s">
        <v>3928</v>
      </c>
      <c r="D247" s="155">
        <f>Measure15_UsefulLife</f>
        <v>0</v>
      </c>
    </row>
    <row r="248" spans="1:14">
      <c r="A248" s="135" t="str">
        <f>IF(Measure15_SerialNumber&lt;&gt;"","ImprovementAttributes","")</f>
        <v/>
      </c>
      <c r="C248" s="155" t="s">
        <v>3929</v>
      </c>
      <c r="D248" s="155">
        <f>Measure15_SerialNumber</f>
        <v>0</v>
      </c>
    </row>
    <row r="249" spans="1:14">
      <c r="A249" s="135" t="str">
        <f>IF(Measure15_Age&lt;&gt;"","ImprovementAttributes","")</f>
        <v/>
      </c>
      <c r="C249" s="155" t="s">
        <v>3930</v>
      </c>
      <c r="D249" s="155">
        <f>Measure15_Age</f>
        <v>0</v>
      </c>
    </row>
    <row r="250" spans="1:14">
      <c r="A250" s="135" t="str">
        <f>IF(Measure15_Replaced&lt;&gt;"","ImprovementAttributes","")</f>
        <v/>
      </c>
      <c r="C250" s="155" t="s">
        <v>3931</v>
      </c>
      <c r="D250" s="155">
        <f>Measure15_Replaced</f>
        <v>0</v>
      </c>
    </row>
    <row r="251" spans="1:14">
      <c r="A251" s="135" t="str">
        <f>IF(Measure15_Payback&lt;&gt;0,"ImprovementAttributes","")</f>
        <v/>
      </c>
      <c r="C251" s="155" t="s">
        <v>3932</v>
      </c>
      <c r="D251" s="155">
        <f>Measure15_Payback</f>
        <v>0</v>
      </c>
    </row>
    <row r="252" spans="1:14">
      <c r="A252" s="135" t="str">
        <f>IF(Measure15_Incentive&lt;&gt;0,"ImprovementAttributes","")</f>
        <v/>
      </c>
      <c r="C252" s="155" t="s">
        <v>4004</v>
      </c>
      <c r="D252" s="155">
        <f>Measure15_Incentive</f>
        <v>0</v>
      </c>
    </row>
    <row r="253" spans="1:14" ht="18.5">
      <c r="A253"/>
      <c r="B253" s="148" t="s">
        <v>3950</v>
      </c>
      <c r="C253" s="149"/>
      <c r="D253" s="149"/>
      <c r="E253" s="149"/>
      <c r="F253" s="149"/>
      <c r="G253" s="149"/>
      <c r="H253" s="149"/>
      <c r="I253" s="149"/>
      <c r="J253"/>
      <c r="K253"/>
      <c r="L253"/>
      <c r="M253"/>
      <c r="N253"/>
    </row>
    <row r="254" spans="1:14">
      <c r="A254"/>
      <c r="B254" s="138" t="s">
        <v>3916</v>
      </c>
      <c r="C254" s="138" t="s">
        <v>3917</v>
      </c>
      <c r="D254" s="138" t="s">
        <v>3918</v>
      </c>
      <c r="E254" s="138" t="s">
        <v>3919</v>
      </c>
      <c r="F254" s="138" t="s">
        <v>3920</v>
      </c>
      <c r="G254" s="138" t="s">
        <v>3888</v>
      </c>
      <c r="H254" s="138" t="s">
        <v>3921</v>
      </c>
      <c r="I254" s="138" t="s">
        <v>3922</v>
      </c>
      <c r="J254"/>
      <c r="K254" s="150"/>
      <c r="L254" s="150"/>
      <c r="M254" s="150"/>
      <c r="N254" s="150"/>
    </row>
    <row r="255" spans="1:14">
      <c r="A255" t="str">
        <f>IF(Measure16_Type&lt;&gt;0,"Improvements","")</f>
        <v/>
      </c>
      <c r="B255" s="156">
        <f>IF(Measure16_Type="1 to 6 Watt LED Screw-In replacing Incandescent/CFL", "6 Watt LED Screw-In replacing Incandescent/CFL", IF(Measure16_Type="7 to 11 Watt LED Screw-In replacing Incandescent/CFL", "11 Watt LED Screw-In replacing Incandescent/CFL", IF(Measure16_Type="12 to 17 Watt LED Screw-In replacing Incandescent/CFL", "13 Watt LED Screw-In replacing Incandescent/CFL", IF(Measure16_Type="18 or more Watt LED Screw-In replacing Incandescent/CFL", "18 Watt LED Screw-In replacing Incandescent/CFL", Measure16_Type))))</f>
        <v>0</v>
      </c>
      <c r="C255" s="151">
        <f>Measure16_Cost</f>
        <v>0</v>
      </c>
      <c r="D255" s="142">
        <f>Measure16_Quantity</f>
        <v>0</v>
      </c>
      <c r="E255" s="142" t="str">
        <f>IF(Measure16_Description&lt;&gt;"",Measure16_Description,"")</f>
        <v/>
      </c>
      <c r="F255" s="142" t="e">
        <f>IF(Measure16_ShortDescription&lt;&gt; "", Measure16_ShortDescription,"")</f>
        <v>#N/A</v>
      </c>
      <c r="G255" s="142" t="str">
        <f>IF(Measure16_Status&lt;&gt;"",Measure16_Status, "Recommended")</f>
        <v>Recommended</v>
      </c>
      <c r="H255" s="142" t="str">
        <f>IF(Measure16_Comments&lt;&gt;"", Measure16_Comments,"")</f>
        <v/>
      </c>
      <c r="I255" s="142">
        <f>Measure16_ElectricCostSavings</f>
        <v>0</v>
      </c>
      <c r="J255"/>
      <c r="K255"/>
      <c r="L255"/>
      <c r="M255"/>
      <c r="N255"/>
    </row>
    <row r="256" spans="1:14" ht="15.5">
      <c r="A256" s="150"/>
      <c r="B256"/>
      <c r="C256" s="152" t="s">
        <v>3923</v>
      </c>
      <c r="D256" s="153"/>
      <c r="E256" s="153"/>
      <c r="F256" s="153"/>
      <c r="G256" s="153"/>
      <c r="H256" s="153"/>
      <c r="I256" s="153"/>
      <c r="J256" s="153"/>
      <c r="K256" s="153"/>
      <c r="L256" s="153"/>
      <c r="M256"/>
    </row>
    <row r="257" spans="1:14">
      <c r="A257" s="150"/>
      <c r="B257"/>
      <c r="C257" s="138" t="s">
        <v>3895</v>
      </c>
      <c r="D257" s="138" t="s">
        <v>3896</v>
      </c>
      <c r="E257" s="138" t="s">
        <v>3897</v>
      </c>
      <c r="F257" s="138" t="s">
        <v>3898</v>
      </c>
      <c r="G257" s="138" t="s">
        <v>3899</v>
      </c>
      <c r="H257" s="138" t="s">
        <v>3900</v>
      </c>
      <c r="I257" s="138" t="s">
        <v>3901</v>
      </c>
      <c r="J257" s="138" t="s">
        <v>3936</v>
      </c>
      <c r="K257" s="138" t="s">
        <v>3904</v>
      </c>
      <c r="L257" s="138" t="s">
        <v>3937</v>
      </c>
    </row>
    <row r="258" spans="1:14">
      <c r="A258" s="150" t="str">
        <f>IF(Measure16_kWhSavings&lt;&gt;0,"ImprovementSavings","")</f>
        <v/>
      </c>
      <c r="B258"/>
      <c r="C258" s="142" t="s">
        <v>3890</v>
      </c>
      <c r="D258" s="150"/>
      <c r="E258" s="150"/>
      <c r="F258" s="150"/>
      <c r="G258" s="150"/>
      <c r="H258" s="150"/>
      <c r="I258" s="150"/>
      <c r="J258" s="142">
        <f>Measure16_kWhSavings*GECO_ELEC_RATIO</f>
        <v>0</v>
      </c>
      <c r="K258" s="142">
        <f>Measure16_DemandSavings</f>
        <v>0</v>
      </c>
      <c r="L258" s="142">
        <f>Measure16_ElectricCostSavings</f>
        <v>0</v>
      </c>
    </row>
    <row r="259" spans="1:14">
      <c r="A259" s="150"/>
      <c r="B259"/>
      <c r="C259" s="149" t="s">
        <v>3924</v>
      </c>
      <c r="D259" s="149"/>
      <c r="E259"/>
      <c r="F259"/>
      <c r="G259"/>
      <c r="H259"/>
      <c r="I259"/>
      <c r="J259"/>
      <c r="K259"/>
      <c r="L259"/>
      <c r="M259"/>
      <c r="N259"/>
    </row>
    <row r="260" spans="1:14">
      <c r="A260" s="150"/>
      <c r="B260"/>
      <c r="C260" s="138" t="s">
        <v>3925</v>
      </c>
      <c r="D260" s="138" t="s">
        <v>3813</v>
      </c>
      <c r="E260"/>
      <c r="F260"/>
      <c r="G260"/>
      <c r="H260"/>
      <c r="I260"/>
      <c r="J260"/>
      <c r="K260"/>
      <c r="L260"/>
      <c r="M260"/>
      <c r="N260"/>
    </row>
    <row r="261" spans="1:14">
      <c r="A261" s="135" t="str">
        <f>IF(Measure16_Size&lt;&gt;"","ImprovementAttributes","")</f>
        <v/>
      </c>
      <c r="C261" s="155" t="s">
        <v>3926</v>
      </c>
      <c r="D261" s="155">
        <f>Measure16_Size</f>
        <v>0</v>
      </c>
    </row>
    <row r="262" spans="1:14">
      <c r="A262" s="135" t="str">
        <f>IF(Measure16_Efficiency&lt;&gt;"","ImprovementAttributes","")</f>
        <v/>
      </c>
      <c r="C262" s="155" t="s">
        <v>3927</v>
      </c>
      <c r="D262" s="155">
        <f>Measure16_Efficiency</f>
        <v>0</v>
      </c>
    </row>
    <row r="263" spans="1:14">
      <c r="A263" s="135" t="str">
        <f>IF(Measure16_UsefulLife&lt;&gt;"","ImprovementAttributes","")</f>
        <v/>
      </c>
      <c r="C263" s="155" t="s">
        <v>3928</v>
      </c>
      <c r="D263" s="155">
        <f>Measure16_UsefulLife</f>
        <v>0</v>
      </c>
    </row>
    <row r="264" spans="1:14">
      <c r="A264" s="135" t="str">
        <f>IF(Measure16_SerialNumber&lt;&gt;"","ImprovementAttributes","")</f>
        <v/>
      </c>
      <c r="C264" s="155" t="s">
        <v>3929</v>
      </c>
      <c r="D264" s="155">
        <f>Measure16_SerialNumber</f>
        <v>0</v>
      </c>
    </row>
    <row r="265" spans="1:14">
      <c r="A265" s="135" t="str">
        <f>IF(Measure16_Age&lt;&gt;"","ImprovementAttributes","")</f>
        <v/>
      </c>
      <c r="C265" s="155" t="s">
        <v>3930</v>
      </c>
      <c r="D265" s="155">
        <f>Measure16_Age</f>
        <v>0</v>
      </c>
    </row>
    <row r="266" spans="1:14">
      <c r="A266" s="135" t="str">
        <f>IF(Measure16_Replaced&lt;&gt;"","ImprovementAttributes","")</f>
        <v/>
      </c>
      <c r="C266" s="155" t="s">
        <v>3931</v>
      </c>
      <c r="D266" s="155">
        <f>Measure16_Replaced</f>
        <v>0</v>
      </c>
    </row>
    <row r="267" spans="1:14">
      <c r="A267" s="135" t="str">
        <f>IF(Measure16_Payback&lt;&gt;0,"ImprovementAttributes","")</f>
        <v/>
      </c>
      <c r="C267" s="155" t="s">
        <v>3932</v>
      </c>
      <c r="D267" s="155">
        <f>Measure16_Payback</f>
        <v>0</v>
      </c>
    </row>
    <row r="268" spans="1:14">
      <c r="A268" s="135" t="str">
        <f>IF(Measure16_Incentive&lt;&gt;0,"ImprovementAttributes","")</f>
        <v/>
      </c>
      <c r="C268" s="155" t="s">
        <v>4004</v>
      </c>
      <c r="D268" s="155">
        <f>Measure16_Incentive</f>
        <v>0</v>
      </c>
    </row>
    <row r="269" spans="1:14" ht="18.5">
      <c r="A269"/>
      <c r="B269" s="148" t="s">
        <v>3951</v>
      </c>
      <c r="C269" s="149"/>
      <c r="D269" s="149"/>
      <c r="E269" s="149"/>
      <c r="F269" s="149"/>
      <c r="G269" s="149"/>
      <c r="H269" s="149"/>
      <c r="I269" s="149"/>
      <c r="J269"/>
      <c r="K269"/>
      <c r="L269"/>
      <c r="M269"/>
      <c r="N269"/>
    </row>
    <row r="270" spans="1:14">
      <c r="A270"/>
      <c r="B270" s="138" t="s">
        <v>3916</v>
      </c>
      <c r="C270" s="138" t="s">
        <v>3917</v>
      </c>
      <c r="D270" s="138" t="s">
        <v>3918</v>
      </c>
      <c r="E270" s="138" t="s">
        <v>3919</v>
      </c>
      <c r="F270" s="138" t="s">
        <v>3920</v>
      </c>
      <c r="G270" s="138" t="s">
        <v>3888</v>
      </c>
      <c r="H270" s="138" t="s">
        <v>3921</v>
      </c>
      <c r="I270" s="138" t="s">
        <v>3922</v>
      </c>
      <c r="J270"/>
      <c r="K270" s="150"/>
      <c r="L270" s="150"/>
      <c r="M270" s="150"/>
      <c r="N270" s="150"/>
    </row>
    <row r="271" spans="1:14">
      <c r="A271" t="str">
        <f>IF(Measure17_Type&lt;&gt;0,"Improvements","")</f>
        <v/>
      </c>
      <c r="B271" s="156">
        <f>IF(Measure17_Type="1 to 6 Watt LED Screw-In replacing Incandescent/CFL", "6 Watt LED Screw-In replacing Incandescent/CFL", IF(Measure17_Type="7 to 11 Watt LED Screw-In replacing Incandescent/CFL", "11 Watt LED Screw-In replacing Incandescent/CFL", IF(Measure17_Type="12 to 17 Watt LED Screw-In replacing Incandescent/CFL", "13 Watt LED Screw-In replacing Incandescent/CFL", IF(Measure17_Type="18 or more Watt LED Screw-In replacing Incandescent/CFL", "18 Watt LED Screw-In replacing Incandescent/CFL", Measure17_Type))))</f>
        <v>0</v>
      </c>
      <c r="C271" s="151">
        <f>Measure17_Cost</f>
        <v>0</v>
      </c>
      <c r="D271" s="142">
        <f>Measure17_Quantity</f>
        <v>0</v>
      </c>
      <c r="E271" s="142" t="str">
        <f>IF(Measure17_Description&lt;&gt;"",Measure17_Description,"")</f>
        <v/>
      </c>
      <c r="F271" s="142" t="e">
        <f>IF(Measure17_ShortDescription&lt;&gt; "", Measure17_ShortDescription,"")</f>
        <v>#N/A</v>
      </c>
      <c r="G271" s="142" t="str">
        <f>IF(Measure17_Status&lt;&gt;"",Measure17_Status, "Recommended")</f>
        <v>Recommended</v>
      </c>
      <c r="H271" s="142" t="str">
        <f>IF(Measure17_Comments&lt;&gt;"", Measure17_Comments,"")</f>
        <v/>
      </c>
      <c r="I271" s="142">
        <f>Measure17_ElectricCostSavings</f>
        <v>0</v>
      </c>
      <c r="J271"/>
      <c r="K271"/>
      <c r="L271"/>
      <c r="M271"/>
      <c r="N271"/>
    </row>
    <row r="272" spans="1:14" ht="15.5">
      <c r="A272" s="150"/>
      <c r="B272"/>
      <c r="C272" s="152" t="s">
        <v>3923</v>
      </c>
      <c r="D272" s="153"/>
      <c r="E272" s="153"/>
      <c r="F272" s="153"/>
      <c r="G272" s="153"/>
      <c r="H272" s="153"/>
      <c r="I272" s="153"/>
      <c r="J272" s="153"/>
      <c r="K272" s="153"/>
      <c r="L272" s="153"/>
      <c r="M272"/>
    </row>
    <row r="273" spans="1:14">
      <c r="A273" s="150"/>
      <c r="B273"/>
      <c r="C273" s="138" t="s">
        <v>3895</v>
      </c>
      <c r="D273" s="138" t="s">
        <v>3896</v>
      </c>
      <c r="E273" s="138" t="s">
        <v>3897</v>
      </c>
      <c r="F273" s="138" t="s">
        <v>3898</v>
      </c>
      <c r="G273" s="138" t="s">
        <v>3899</v>
      </c>
      <c r="H273" s="138" t="s">
        <v>3900</v>
      </c>
      <c r="I273" s="138" t="s">
        <v>3901</v>
      </c>
      <c r="J273" s="138" t="s">
        <v>3936</v>
      </c>
      <c r="K273" s="138" t="s">
        <v>3904</v>
      </c>
      <c r="L273" s="138" t="s">
        <v>3937</v>
      </c>
    </row>
    <row r="274" spans="1:14">
      <c r="A274" s="150" t="str">
        <f>IF(Measure17_kWhSavings&lt;&gt;0,"ImprovementSavings","")</f>
        <v/>
      </c>
      <c r="B274"/>
      <c r="C274" s="142" t="s">
        <v>3890</v>
      </c>
      <c r="D274" s="150"/>
      <c r="E274" s="150"/>
      <c r="F274" s="150"/>
      <c r="G274" s="150"/>
      <c r="H274" s="150"/>
      <c r="I274" s="150"/>
      <c r="J274" s="142">
        <f>Measure17_kWhSavings*GECO_ELEC_RATIO</f>
        <v>0</v>
      </c>
      <c r="K274" s="142">
        <f>Measure17_DemandSavings</f>
        <v>0</v>
      </c>
      <c r="L274" s="142">
        <f>Measure17_ElectricCostSavings</f>
        <v>0</v>
      </c>
    </row>
    <row r="275" spans="1:14">
      <c r="A275" s="150"/>
      <c r="B275"/>
      <c r="C275" s="149" t="s">
        <v>3924</v>
      </c>
      <c r="D275" s="149"/>
      <c r="E275"/>
      <c r="F275"/>
      <c r="G275"/>
      <c r="H275"/>
      <c r="I275"/>
      <c r="J275"/>
      <c r="K275"/>
      <c r="L275"/>
      <c r="M275"/>
    </row>
    <row r="276" spans="1:14">
      <c r="A276" s="150"/>
      <c r="B276"/>
      <c r="C276" s="138" t="s">
        <v>3925</v>
      </c>
      <c r="D276" s="138" t="s">
        <v>3813</v>
      </c>
      <c r="E276"/>
      <c r="F276"/>
      <c r="G276"/>
      <c r="H276"/>
      <c r="I276"/>
      <c r="J276"/>
      <c r="K276"/>
      <c r="L276"/>
      <c r="M276"/>
      <c r="N276"/>
    </row>
    <row r="277" spans="1:14">
      <c r="A277" s="135" t="str">
        <f>IF(Measure17_Size&lt;&gt;"","ImprovementAttributes","")</f>
        <v/>
      </c>
      <c r="C277" s="155" t="s">
        <v>3926</v>
      </c>
      <c r="D277" s="155">
        <f>Measure17_Size</f>
        <v>0</v>
      </c>
    </row>
    <row r="278" spans="1:14">
      <c r="A278" s="135" t="str">
        <f>IF(Measure17_Efficiency&lt;&gt;"","ImprovementAttributes","")</f>
        <v/>
      </c>
      <c r="C278" s="155" t="s">
        <v>3927</v>
      </c>
      <c r="D278" s="155">
        <f>Measure17_Efficiency</f>
        <v>0</v>
      </c>
    </row>
    <row r="279" spans="1:14">
      <c r="A279" s="135" t="str">
        <f>IF(Measure17_UsefulLife&lt;&gt;"","ImprovementAttributes","")</f>
        <v/>
      </c>
      <c r="C279" s="155" t="s">
        <v>3928</v>
      </c>
      <c r="D279" s="155">
        <f>Measure17_UsefulLife</f>
        <v>0</v>
      </c>
    </row>
    <row r="280" spans="1:14">
      <c r="A280" s="135" t="str">
        <f>IF(Measure17_SerialNumber&lt;&gt;"","ImprovementAttributes","")</f>
        <v/>
      </c>
      <c r="C280" s="155" t="s">
        <v>3929</v>
      </c>
      <c r="D280" s="155">
        <f>Measure17_SerialNumber</f>
        <v>0</v>
      </c>
    </row>
    <row r="281" spans="1:14">
      <c r="A281" s="135" t="str">
        <f>IF(Measure17_Age&lt;&gt;"","ImprovementAttributes","")</f>
        <v/>
      </c>
      <c r="C281" s="155" t="s">
        <v>3930</v>
      </c>
      <c r="D281" s="155">
        <f>Measure17_Age</f>
        <v>0</v>
      </c>
    </row>
    <row r="282" spans="1:14">
      <c r="A282" s="135" t="str">
        <f>IF(Measure17_Replaced&lt;&gt;"","ImprovementAttributes","")</f>
        <v/>
      </c>
      <c r="C282" s="155" t="s">
        <v>3931</v>
      </c>
      <c r="D282" s="155">
        <f>Measure17_Replaced</f>
        <v>0</v>
      </c>
    </row>
    <row r="283" spans="1:14">
      <c r="A283" s="135" t="str">
        <f>IF(Measure17_Payback&lt;&gt;0,"ImprovementAttributes","")</f>
        <v/>
      </c>
      <c r="C283" s="155" t="s">
        <v>3932</v>
      </c>
      <c r="D283" s="155">
        <f>Measure17_Payback</f>
        <v>0</v>
      </c>
    </row>
    <row r="284" spans="1:14">
      <c r="A284" s="135" t="str">
        <f>IF(Measure17_Incentive&lt;&gt;0,"ImprovementAttributes","")</f>
        <v/>
      </c>
      <c r="C284" s="155" t="s">
        <v>4004</v>
      </c>
      <c r="D284" s="155">
        <f>Measure17_Incentive</f>
        <v>0</v>
      </c>
    </row>
    <row r="285" spans="1:14" ht="18.5">
      <c r="A285"/>
      <c r="B285" s="148" t="s">
        <v>3952</v>
      </c>
      <c r="C285" s="149"/>
      <c r="D285" s="149"/>
      <c r="E285" s="149"/>
      <c r="F285" s="149"/>
      <c r="G285" s="149"/>
      <c r="H285" s="149"/>
      <c r="I285" s="149"/>
      <c r="J285"/>
      <c r="K285"/>
      <c r="L285"/>
      <c r="M285"/>
      <c r="N285"/>
    </row>
    <row r="286" spans="1:14">
      <c r="A286"/>
      <c r="B286" s="138" t="s">
        <v>3916</v>
      </c>
      <c r="C286" s="138" t="s">
        <v>3917</v>
      </c>
      <c r="D286" s="138" t="s">
        <v>3918</v>
      </c>
      <c r="E286" s="138" t="s">
        <v>3919</v>
      </c>
      <c r="F286" s="138" t="s">
        <v>3920</v>
      </c>
      <c r="G286" s="138" t="s">
        <v>3888</v>
      </c>
      <c r="H286" s="138" t="s">
        <v>3921</v>
      </c>
      <c r="I286" s="138" t="s">
        <v>3922</v>
      </c>
      <c r="J286"/>
      <c r="K286" s="150"/>
      <c r="L286" s="150"/>
      <c r="M286" s="150"/>
      <c r="N286" s="150"/>
    </row>
    <row r="287" spans="1:14">
      <c r="A287" t="str">
        <f>IF(Measure18_Type&lt;&gt;0,"Improvements","")</f>
        <v/>
      </c>
      <c r="B287" s="156">
        <f>IF(Measure18_Type="1 to 6 Watt LED Screw-In replacing Incandescent/CFL", "6 Watt LED Screw-In replacing Incandescent/CFL", IF(Measure18_Type="7 to 11 Watt LED Screw-In replacing Incandescent/CFL", "11 Watt LED Screw-In replacing Incandescent/CFL", IF(Measure18_Type="12 to 17 Watt LED Screw-In replacing Incandescent/CFL", "13 Watt LED Screw-In replacing Incandescent/CFL", IF(Measure18_Type="18 or more Watt LED Screw-In replacing Incandescent/CFL", "18 Watt LED Screw-In replacing Incandescent/CFL", Measure18_Type))))</f>
        <v>0</v>
      </c>
      <c r="C287" s="151">
        <f>Measure18_Cost</f>
        <v>0</v>
      </c>
      <c r="D287" s="142">
        <f>Measure18_Quantity</f>
        <v>0</v>
      </c>
      <c r="E287" s="142" t="str">
        <f>IF(Measure18_Description&lt;&gt;"",Measure18_Description,"")</f>
        <v/>
      </c>
      <c r="F287" s="142" t="e">
        <f>IF(Measure18_ShortDescription&lt;&gt; "", Measure18_ShortDescription,"")</f>
        <v>#N/A</v>
      </c>
      <c r="G287" s="142" t="str">
        <f>IF(Measure18_Status&lt;&gt;"",Measure18_Status, "Recommended")</f>
        <v>Recommended</v>
      </c>
      <c r="H287" s="142" t="str">
        <f>IF(Measure18_Comments&lt;&gt;"", Measure18_Comments,"")</f>
        <v/>
      </c>
      <c r="I287" s="142">
        <f>Measure18_ElectricCostSavings</f>
        <v>0</v>
      </c>
      <c r="J287"/>
      <c r="K287"/>
      <c r="L287"/>
      <c r="M287"/>
      <c r="N287"/>
    </row>
    <row r="288" spans="1:14" ht="15.5">
      <c r="A288" s="150"/>
      <c r="B288"/>
      <c r="C288" s="152" t="s">
        <v>3923</v>
      </c>
      <c r="D288" s="153"/>
      <c r="E288" s="153"/>
      <c r="F288" s="153"/>
      <c r="G288" s="153"/>
      <c r="H288" s="153"/>
      <c r="I288" s="153"/>
      <c r="J288" s="153"/>
      <c r="K288" s="153"/>
      <c r="L288" s="153"/>
      <c r="M288"/>
    </row>
    <row r="289" spans="1:14">
      <c r="A289" s="150"/>
      <c r="B289"/>
      <c r="C289" s="138" t="s">
        <v>3895</v>
      </c>
      <c r="D289" s="138" t="s">
        <v>3896</v>
      </c>
      <c r="E289" s="138" t="s">
        <v>3897</v>
      </c>
      <c r="F289" s="138" t="s">
        <v>3898</v>
      </c>
      <c r="G289" s="138" t="s">
        <v>3899</v>
      </c>
      <c r="H289" s="138" t="s">
        <v>3900</v>
      </c>
      <c r="I289" s="138" t="s">
        <v>3901</v>
      </c>
      <c r="J289" s="138" t="s">
        <v>3936</v>
      </c>
      <c r="K289" s="138" t="s">
        <v>3904</v>
      </c>
      <c r="L289" s="138" t="s">
        <v>3937</v>
      </c>
    </row>
    <row r="290" spans="1:14">
      <c r="A290" s="150" t="str">
        <f>IF(Measure18_kWhSavings&lt;&gt;0,"ImprovementSavings","")</f>
        <v/>
      </c>
      <c r="B290"/>
      <c r="C290" s="142" t="s">
        <v>3890</v>
      </c>
      <c r="D290" s="150"/>
      <c r="E290" s="150"/>
      <c r="F290" s="150"/>
      <c r="G290" s="150"/>
      <c r="H290" s="150"/>
      <c r="I290" s="150"/>
      <c r="J290" s="142">
        <f>Measure18_kWhSavings*GECO_ELEC_RATIO</f>
        <v>0</v>
      </c>
      <c r="K290" s="142">
        <f>Measure18_DemandSavings</f>
        <v>0</v>
      </c>
      <c r="L290" s="142">
        <f>Measure18_ElectricCostSavings</f>
        <v>0</v>
      </c>
    </row>
    <row r="291" spans="1:14">
      <c r="A291" s="150"/>
      <c r="B291"/>
      <c r="C291" s="149" t="s">
        <v>3924</v>
      </c>
      <c r="D291" s="149"/>
      <c r="E291"/>
      <c r="F291"/>
      <c r="G291"/>
      <c r="H291"/>
      <c r="I291"/>
      <c r="J291"/>
      <c r="K291"/>
      <c r="L291"/>
      <c r="M291"/>
      <c r="N291"/>
    </row>
    <row r="292" spans="1:14">
      <c r="A292" s="150"/>
      <c r="B292"/>
      <c r="C292" s="138" t="s">
        <v>3925</v>
      </c>
      <c r="D292" s="138" t="s">
        <v>3813</v>
      </c>
      <c r="E292"/>
      <c r="F292"/>
      <c r="G292"/>
      <c r="H292"/>
      <c r="I292"/>
      <c r="J292"/>
      <c r="K292"/>
      <c r="L292"/>
      <c r="M292"/>
      <c r="N292"/>
    </row>
    <row r="293" spans="1:14">
      <c r="A293" s="135" t="str">
        <f>IF(Measure18_Size&lt;&gt;"","ImprovementAttributes","")</f>
        <v/>
      </c>
      <c r="C293" s="155" t="s">
        <v>3926</v>
      </c>
      <c r="D293" s="155">
        <f>Measure18_Size</f>
        <v>0</v>
      </c>
    </row>
    <row r="294" spans="1:14">
      <c r="A294" s="135" t="str">
        <f>IF(Measure18_Efficiency&lt;&gt;"","ImprovementAttributes","")</f>
        <v/>
      </c>
      <c r="C294" s="155" t="s">
        <v>3927</v>
      </c>
      <c r="D294" s="155">
        <f>Measure18_Efficiency</f>
        <v>0</v>
      </c>
    </row>
    <row r="295" spans="1:14">
      <c r="A295" s="135" t="str">
        <f>IF(Measure18_UsefulLife&lt;&gt;"","ImprovementAttributes","")</f>
        <v/>
      </c>
      <c r="C295" s="155" t="s">
        <v>3928</v>
      </c>
      <c r="D295" s="155">
        <f>Measure18_UsefulLife</f>
        <v>0</v>
      </c>
    </row>
    <row r="296" spans="1:14">
      <c r="A296" s="135" t="str">
        <f>IF(Measure18_SerialNumber&lt;&gt;"","ImprovementAttributes","")</f>
        <v/>
      </c>
      <c r="C296" s="155" t="s">
        <v>3929</v>
      </c>
      <c r="D296" s="155">
        <f>Measure18_SerialNumber</f>
        <v>0</v>
      </c>
    </row>
    <row r="297" spans="1:14">
      <c r="A297" s="135" t="str">
        <f>IF(Measure18_Age&lt;&gt;"","ImprovementAttributes","")</f>
        <v/>
      </c>
      <c r="C297" s="155" t="s">
        <v>3930</v>
      </c>
      <c r="D297" s="155">
        <f>Measure18_Age</f>
        <v>0</v>
      </c>
    </row>
    <row r="298" spans="1:14">
      <c r="A298" s="135" t="str">
        <f>IF(Measure18_Replaced&lt;&gt;"","ImprovementAttributes","")</f>
        <v/>
      </c>
      <c r="C298" s="155" t="s">
        <v>3931</v>
      </c>
      <c r="D298" s="155">
        <f>Measure18_Replaced</f>
        <v>0</v>
      </c>
    </row>
    <row r="299" spans="1:14">
      <c r="A299" s="135" t="str">
        <f>IF(Measure18_Payback&lt;&gt;0,"ImprovementAttributes","")</f>
        <v/>
      </c>
      <c r="C299" s="155" t="s">
        <v>3932</v>
      </c>
      <c r="D299" s="155">
        <f>Measure18_Payback</f>
        <v>0</v>
      </c>
    </row>
    <row r="300" spans="1:14">
      <c r="A300" s="135" t="str">
        <f>IF(Measure18_Incentive&lt;&gt;0,"ImprovementAttributes","")</f>
        <v/>
      </c>
      <c r="C300" s="155" t="s">
        <v>4004</v>
      </c>
      <c r="D300" s="155">
        <f>Measure18_Incentive</f>
        <v>0</v>
      </c>
    </row>
    <row r="301" spans="1:14" ht="18.5">
      <c r="A301"/>
      <c r="B301" s="148" t="s">
        <v>3953</v>
      </c>
      <c r="C301" s="149"/>
      <c r="D301" s="149"/>
      <c r="E301" s="149"/>
      <c r="F301" s="149"/>
      <c r="G301" s="149"/>
      <c r="H301" s="149"/>
      <c r="I301" s="149"/>
      <c r="J301"/>
      <c r="K301"/>
      <c r="L301"/>
      <c r="M301"/>
      <c r="N301"/>
    </row>
    <row r="302" spans="1:14">
      <c r="A302"/>
      <c r="B302" s="138" t="s">
        <v>3916</v>
      </c>
      <c r="C302" s="138" t="s">
        <v>3917</v>
      </c>
      <c r="D302" s="138" t="s">
        <v>3918</v>
      </c>
      <c r="E302" s="138" t="s">
        <v>3919</v>
      </c>
      <c r="F302" s="138" t="s">
        <v>3920</v>
      </c>
      <c r="G302" s="138" t="s">
        <v>3888</v>
      </c>
      <c r="H302" s="138" t="s">
        <v>3921</v>
      </c>
      <c r="I302" s="138" t="s">
        <v>3922</v>
      </c>
      <c r="J302"/>
      <c r="K302" s="150"/>
      <c r="L302" s="150"/>
      <c r="M302" s="150"/>
      <c r="N302" s="150"/>
    </row>
    <row r="303" spans="1:14">
      <c r="A303" t="str">
        <f>IF(Measure19_Type&lt;&gt;0,"Improvements","")</f>
        <v/>
      </c>
      <c r="B303" s="156">
        <f>IF(Measure19_Type="1 to 6 Watt LED Screw-In replacing Incandescent/CFL", "6 Watt LED Screw-In replacing Incandescent/CFL", IF(Measure19_Type="7 to 11 Watt LED Screw-In replacing Incandescent/CFL", "11 Watt LED Screw-In replacing Incandescent/CFL", IF(Measure19_Type="12 to 17 Watt LED Screw-In replacing Incandescent/CFL", "13 Watt LED Screw-In replacing Incandescent/CFL", IF(Measure19_Type="18 or more Watt LED Screw-In replacing Incandescent/CFL", "18 Watt LED Screw-In replacing Incandescent/CFL", Measure19_Type))))</f>
        <v>0</v>
      </c>
      <c r="C303" s="151">
        <f>Measure19_Cost</f>
        <v>0</v>
      </c>
      <c r="D303" s="142">
        <f>Measure19_Quantity</f>
        <v>0</v>
      </c>
      <c r="E303" s="142" t="str">
        <f>IF(Measure19_Description&lt;&gt;"",Measure19_Description,"")</f>
        <v/>
      </c>
      <c r="F303" s="142" t="e">
        <f>IF(Measure19_ShortDescription&lt;&gt; "", Measure19_ShortDescription,"")</f>
        <v>#N/A</v>
      </c>
      <c r="G303" s="142" t="str">
        <f>IF(Measure19_Status&lt;&gt;"",Measure19_Status, "Recommended")</f>
        <v>Recommended</v>
      </c>
      <c r="H303" s="142" t="str">
        <f>IF(Measure19_Comments&lt;&gt;"", Measure19_Comments,"")</f>
        <v/>
      </c>
      <c r="I303" s="142">
        <f>Measure19_ElectricCostSavings</f>
        <v>0</v>
      </c>
      <c r="J303"/>
      <c r="K303"/>
      <c r="L303"/>
      <c r="M303"/>
      <c r="N303"/>
    </row>
    <row r="304" spans="1:14" ht="15.5">
      <c r="A304" s="150"/>
      <c r="B304"/>
      <c r="C304" s="152" t="s">
        <v>3923</v>
      </c>
      <c r="D304" s="153"/>
      <c r="E304" s="153"/>
      <c r="F304" s="153"/>
      <c r="G304" s="153"/>
      <c r="H304" s="153"/>
      <c r="I304" s="153"/>
      <c r="J304" s="153"/>
      <c r="K304" s="153"/>
      <c r="L304" s="153"/>
      <c r="M304"/>
    </row>
    <row r="305" spans="1:14">
      <c r="A305" s="150"/>
      <c r="B305"/>
      <c r="C305" s="138" t="s">
        <v>3895</v>
      </c>
      <c r="D305" s="138" t="s">
        <v>3896</v>
      </c>
      <c r="E305" s="138" t="s">
        <v>3897</v>
      </c>
      <c r="F305" s="138" t="s">
        <v>3898</v>
      </c>
      <c r="G305" s="138" t="s">
        <v>3899</v>
      </c>
      <c r="H305" s="138" t="s">
        <v>3900</v>
      </c>
      <c r="I305" s="138" t="s">
        <v>3901</v>
      </c>
      <c r="J305" s="138" t="s">
        <v>3936</v>
      </c>
      <c r="K305" s="138" t="s">
        <v>3904</v>
      </c>
      <c r="L305" s="138" t="s">
        <v>3937</v>
      </c>
    </row>
    <row r="306" spans="1:14">
      <c r="A306" s="150" t="str">
        <f>IF(Measure19_kWhSavings&lt;&gt;0,"ImprovementSavings","")</f>
        <v/>
      </c>
      <c r="B306"/>
      <c r="C306" s="142" t="s">
        <v>3890</v>
      </c>
      <c r="D306" s="150"/>
      <c r="E306" s="150"/>
      <c r="F306" s="150"/>
      <c r="G306" s="150"/>
      <c r="H306" s="150"/>
      <c r="I306" s="150"/>
      <c r="J306" s="142">
        <f>Measure19_kWhSavings*GECO_ELEC_RATIO</f>
        <v>0</v>
      </c>
      <c r="K306" s="142">
        <f>Measure19_DemandSavings</f>
        <v>0</v>
      </c>
      <c r="L306" s="142">
        <f>Measure19_ElectricCostSavings</f>
        <v>0</v>
      </c>
    </row>
    <row r="307" spans="1:14">
      <c r="A307" s="150"/>
      <c r="B307"/>
      <c r="C307" s="149" t="s">
        <v>3924</v>
      </c>
      <c r="D307" s="149"/>
      <c r="E307"/>
      <c r="F307"/>
      <c r="G307"/>
      <c r="H307"/>
      <c r="I307"/>
      <c r="J307"/>
      <c r="K307"/>
      <c r="L307"/>
      <c r="M307"/>
      <c r="N307"/>
    </row>
    <row r="308" spans="1:14">
      <c r="A308" s="150"/>
      <c r="B308"/>
      <c r="C308" s="138" t="s">
        <v>3925</v>
      </c>
      <c r="D308" s="138" t="s">
        <v>3813</v>
      </c>
      <c r="E308"/>
      <c r="F308"/>
      <c r="G308"/>
      <c r="H308"/>
      <c r="I308"/>
      <c r="J308"/>
      <c r="K308"/>
      <c r="L308"/>
      <c r="M308"/>
      <c r="N308"/>
    </row>
    <row r="309" spans="1:14">
      <c r="A309" s="135" t="str">
        <f>IF(Measure19_Size&lt;&gt;"","ImprovementAttributes","")</f>
        <v/>
      </c>
      <c r="C309" s="155" t="s">
        <v>3926</v>
      </c>
      <c r="D309" s="155">
        <f>Measure19_Size</f>
        <v>0</v>
      </c>
    </row>
    <row r="310" spans="1:14">
      <c r="A310" s="135" t="str">
        <f>IF(Measure19_Efficiency&lt;&gt;"","ImprovementAttributes","")</f>
        <v/>
      </c>
      <c r="C310" s="155" t="s">
        <v>3927</v>
      </c>
      <c r="D310" s="155">
        <f>Measure19_Efficiency</f>
        <v>0</v>
      </c>
    </row>
    <row r="311" spans="1:14">
      <c r="A311" s="135" t="str">
        <f>IF(Measure19_UsefulLife&lt;&gt;"","ImprovementAttributes","")</f>
        <v/>
      </c>
      <c r="C311" s="155" t="s">
        <v>3928</v>
      </c>
      <c r="D311" s="155">
        <f>Measure19_UsefulLife</f>
        <v>0</v>
      </c>
    </row>
    <row r="312" spans="1:14">
      <c r="A312" s="135" t="str">
        <f>IF(Measure19_SerialNumber&lt;&gt;"","ImprovementAttributes","")</f>
        <v/>
      </c>
      <c r="C312" s="155" t="s">
        <v>3929</v>
      </c>
      <c r="D312" s="155">
        <f>Measure19_SerialNumber</f>
        <v>0</v>
      </c>
    </row>
    <row r="313" spans="1:14">
      <c r="A313" s="135" t="str">
        <f>IF(Measure19_Age&lt;&gt;"","ImprovementAttributes","")</f>
        <v/>
      </c>
      <c r="C313" s="155" t="s">
        <v>3930</v>
      </c>
      <c r="D313" s="155">
        <f>Measure19_Age</f>
        <v>0</v>
      </c>
    </row>
    <row r="314" spans="1:14">
      <c r="A314" s="135" t="str">
        <f>IF(Measure19_Replaced&lt;&gt;"","ImprovementAttributes","")</f>
        <v/>
      </c>
      <c r="C314" s="155" t="s">
        <v>3931</v>
      </c>
      <c r="D314" s="155">
        <f>Measure19_Replaced</f>
        <v>0</v>
      </c>
    </row>
    <row r="315" spans="1:14">
      <c r="A315" s="135" t="str">
        <f>IF(Measure19_Payback&lt;&gt;0,"ImprovementAttributes","")</f>
        <v/>
      </c>
      <c r="C315" s="155" t="s">
        <v>3932</v>
      </c>
      <c r="D315" s="155">
        <f>Measure19_Payback</f>
        <v>0</v>
      </c>
    </row>
    <row r="316" spans="1:14">
      <c r="A316" s="135" t="str">
        <f>IF(Measure19_Incentive&lt;&gt;0,"ImprovementAttributes","")</f>
        <v/>
      </c>
      <c r="C316" s="155" t="s">
        <v>4004</v>
      </c>
      <c r="D316" s="155">
        <f>Measure19_Incentive</f>
        <v>0</v>
      </c>
    </row>
    <row r="317" spans="1:14" ht="18.5">
      <c r="A317"/>
      <c r="B317" s="148" t="s">
        <v>3954</v>
      </c>
      <c r="C317" s="149"/>
      <c r="D317" s="149"/>
      <c r="E317" s="149"/>
      <c r="F317" s="149"/>
      <c r="G317" s="149"/>
      <c r="H317" s="149"/>
      <c r="I317" s="149"/>
      <c r="J317"/>
      <c r="K317"/>
      <c r="L317"/>
      <c r="M317"/>
      <c r="N317"/>
    </row>
    <row r="318" spans="1:14">
      <c r="A318"/>
      <c r="B318" s="138" t="s">
        <v>3916</v>
      </c>
      <c r="C318" s="138" t="s">
        <v>3917</v>
      </c>
      <c r="D318" s="138" t="s">
        <v>3918</v>
      </c>
      <c r="E318" s="138" t="s">
        <v>3919</v>
      </c>
      <c r="F318" s="138" t="s">
        <v>3920</v>
      </c>
      <c r="G318" s="138" t="s">
        <v>3888</v>
      </c>
      <c r="H318" s="138" t="s">
        <v>3921</v>
      </c>
      <c r="I318" s="138" t="s">
        <v>3922</v>
      </c>
      <c r="J318"/>
      <c r="K318" s="150"/>
      <c r="L318" s="150"/>
      <c r="M318" s="150"/>
      <c r="N318" s="150"/>
    </row>
    <row r="319" spans="1:14">
      <c r="A319" t="str">
        <f>IF(Measure20_Type&lt;&gt;0,"Improvements","")</f>
        <v/>
      </c>
      <c r="B319" s="156">
        <f>IF(Measure20_Type="1 to 6 Watt LED Screw-In replacing Incandescent/CFL", "6 Watt LED Screw-In replacing Incandescent/CFL", IF(Measure20_Type="7 to 11 Watt LED Screw-In replacing Incandescent/CFL", "11 Watt LED Screw-In replacing Incandescent/CFL", IF(Measure20_Type="12 to 17 Watt LED Screw-In replacing Incandescent/CFL", "13 Watt LED Screw-In replacing Incandescent/CFL", IF(Measure20_Type="18 or more Watt LED Screw-In replacing Incandescent/CFL", "18 Watt LED Screw-In replacing Incandescent/CFL", Measure20_Type))))</f>
        <v>0</v>
      </c>
      <c r="C319" s="151">
        <f>Measure20_Cost</f>
        <v>0</v>
      </c>
      <c r="D319" s="142">
        <f>Measure20_Quantity</f>
        <v>0</v>
      </c>
      <c r="E319" s="142" t="str">
        <f>IF(Measure20_Description&lt;&gt;"",Measure20_Description,"")</f>
        <v/>
      </c>
      <c r="F319" s="142" t="e">
        <f>IF(Measure20_ShortDescription&lt;&gt; "", Measure20_ShortDescription,"")</f>
        <v>#N/A</v>
      </c>
      <c r="G319" s="142" t="str">
        <f>IF(Measure20_Status&lt;&gt;"",Measure20_Status, "Recommended")</f>
        <v>Recommended</v>
      </c>
      <c r="H319" s="142" t="str">
        <f>IF(Measure20_Comments&lt;&gt;"", Measure20_Comments,"")</f>
        <v/>
      </c>
      <c r="I319" s="142">
        <f>Measure20_ElectricCostSavings</f>
        <v>0</v>
      </c>
      <c r="J319"/>
      <c r="K319"/>
      <c r="L319"/>
      <c r="M319"/>
      <c r="N319"/>
    </row>
    <row r="320" spans="1:14" ht="15.5">
      <c r="A320" s="150"/>
      <c r="B320"/>
      <c r="C320" s="152" t="s">
        <v>3923</v>
      </c>
      <c r="D320" s="153"/>
      <c r="E320" s="153"/>
      <c r="F320" s="153"/>
      <c r="G320" s="153"/>
      <c r="H320" s="153"/>
      <c r="I320" s="153"/>
      <c r="J320" s="153"/>
      <c r="K320" s="153"/>
      <c r="L320" s="153"/>
      <c r="M320"/>
    </row>
    <row r="321" spans="1:14">
      <c r="A321" s="150"/>
      <c r="B321"/>
      <c r="C321" s="138" t="s">
        <v>3895</v>
      </c>
      <c r="D321" s="138" t="s">
        <v>3896</v>
      </c>
      <c r="E321" s="138" t="s">
        <v>3897</v>
      </c>
      <c r="F321" s="138" t="s">
        <v>3898</v>
      </c>
      <c r="G321" s="138" t="s">
        <v>3899</v>
      </c>
      <c r="H321" s="138" t="s">
        <v>3900</v>
      </c>
      <c r="I321" s="138" t="s">
        <v>3901</v>
      </c>
      <c r="J321" s="138" t="s">
        <v>3936</v>
      </c>
      <c r="K321" s="138" t="s">
        <v>3904</v>
      </c>
      <c r="L321" s="138" t="s">
        <v>3937</v>
      </c>
    </row>
    <row r="322" spans="1:14">
      <c r="A322" s="150" t="str">
        <f>IF(Measure20_kWhSavings&lt;&gt;0,"ImprovementSavings","")</f>
        <v/>
      </c>
      <c r="B322"/>
      <c r="C322" s="142" t="s">
        <v>3890</v>
      </c>
      <c r="D322" s="150"/>
      <c r="E322" s="150"/>
      <c r="F322" s="150"/>
      <c r="G322" s="150"/>
      <c r="H322" s="150"/>
      <c r="I322" s="150"/>
      <c r="J322" s="142">
        <f>Measure20_kWhSavings*GECO_ELEC_RATIO</f>
        <v>0</v>
      </c>
      <c r="K322" s="142">
        <f>Measure20_DemandSavings</f>
        <v>0</v>
      </c>
      <c r="L322" s="142">
        <f>Measure20_ElectricCostSavings</f>
        <v>0</v>
      </c>
    </row>
    <row r="323" spans="1:14">
      <c r="A323" s="150"/>
      <c r="B323"/>
      <c r="C323" s="149" t="s">
        <v>3924</v>
      </c>
      <c r="D323" s="149"/>
      <c r="E323"/>
      <c r="F323"/>
      <c r="G323"/>
      <c r="H323"/>
      <c r="I323"/>
      <c r="J323"/>
      <c r="K323"/>
      <c r="L323"/>
      <c r="M323"/>
    </row>
    <row r="324" spans="1:14">
      <c r="A324" s="150"/>
      <c r="B324"/>
      <c r="C324" s="138" t="s">
        <v>3925</v>
      </c>
      <c r="D324" s="138" t="s">
        <v>3813</v>
      </c>
      <c r="E324"/>
      <c r="F324"/>
      <c r="G324"/>
      <c r="H324"/>
      <c r="I324"/>
      <c r="J324"/>
      <c r="K324"/>
      <c r="L324"/>
      <c r="M324"/>
      <c r="N324"/>
    </row>
    <row r="325" spans="1:14">
      <c r="A325" s="135" t="str">
        <f>IF(Measure20_Size&lt;&gt;"","ImprovementAttributes","")</f>
        <v/>
      </c>
      <c r="C325" s="155" t="s">
        <v>3926</v>
      </c>
      <c r="D325" s="155">
        <f>Measure20_Size</f>
        <v>0</v>
      </c>
    </row>
    <row r="326" spans="1:14">
      <c r="A326" s="135" t="str">
        <f>IF(Measure20_Efficiency&lt;&gt;"","ImprovementAttributes","")</f>
        <v/>
      </c>
      <c r="C326" s="155" t="s">
        <v>3927</v>
      </c>
      <c r="D326" s="155">
        <f>Measure20_Efficiency</f>
        <v>0</v>
      </c>
    </row>
    <row r="327" spans="1:14">
      <c r="A327" s="135" t="str">
        <f>IF(Measure20_UsefulLife&lt;&gt;"","ImprovementAttributes","")</f>
        <v/>
      </c>
      <c r="C327" s="155" t="s">
        <v>3928</v>
      </c>
      <c r="D327" s="155">
        <f>Measure20_UsefulLife</f>
        <v>0</v>
      </c>
    </row>
    <row r="328" spans="1:14">
      <c r="A328" s="135" t="str">
        <f>IF(Measure20_SerialNumber&lt;&gt;"","ImprovementAttributes","")</f>
        <v/>
      </c>
      <c r="C328" s="155" t="s">
        <v>3929</v>
      </c>
      <c r="D328" s="155">
        <f>Measure20_SerialNumber</f>
        <v>0</v>
      </c>
    </row>
    <row r="329" spans="1:14">
      <c r="A329" s="135" t="str">
        <f>IF(Measure20_Age&lt;&gt;"","ImprovementAttributes","")</f>
        <v/>
      </c>
      <c r="C329" s="155" t="s">
        <v>3930</v>
      </c>
      <c r="D329" s="155">
        <f>Measure20_Age</f>
        <v>0</v>
      </c>
    </row>
    <row r="330" spans="1:14">
      <c r="A330" s="135" t="str">
        <f>IF(Measure20_Replaced&lt;&gt;"","ImprovementAttributes","")</f>
        <v/>
      </c>
      <c r="C330" s="155" t="s">
        <v>3931</v>
      </c>
      <c r="D330" s="155">
        <f>Measure20_Replaced</f>
        <v>0</v>
      </c>
    </row>
    <row r="331" spans="1:14">
      <c r="A331" s="135" t="str">
        <f>IF(Measure20_Payback&lt;&gt;0,"ImprovementAttributes","")</f>
        <v/>
      </c>
      <c r="C331" s="155" t="s">
        <v>3932</v>
      </c>
      <c r="D331" s="155">
        <f>Measure20_Payback</f>
        <v>0</v>
      </c>
    </row>
    <row r="332" spans="1:14">
      <c r="A332" s="135" t="str">
        <f>IF(Measure20_Incentive&lt;&gt;0,"ImprovementAttributes","")</f>
        <v/>
      </c>
      <c r="C332" s="155" t="s">
        <v>4004</v>
      </c>
      <c r="D332" s="155">
        <f>Measure20_Incentive</f>
        <v>0</v>
      </c>
    </row>
    <row r="333" spans="1:14" ht="18.5">
      <c r="A333"/>
      <c r="B333" s="148" t="s">
        <v>3955</v>
      </c>
      <c r="C333" s="149"/>
      <c r="D333" s="149"/>
      <c r="E333" s="149"/>
      <c r="F333" s="149"/>
      <c r="G333" s="149"/>
      <c r="H333" s="149"/>
      <c r="I333" s="149"/>
      <c r="J333"/>
      <c r="K333"/>
      <c r="L333"/>
      <c r="M333"/>
      <c r="N333"/>
    </row>
    <row r="334" spans="1:14">
      <c r="A334"/>
      <c r="B334" s="138" t="s">
        <v>3916</v>
      </c>
      <c r="C334" s="138" t="s">
        <v>3917</v>
      </c>
      <c r="D334" s="138" t="s">
        <v>3918</v>
      </c>
      <c r="E334" s="138" t="s">
        <v>3919</v>
      </c>
      <c r="F334" s="138" t="s">
        <v>3920</v>
      </c>
      <c r="G334" s="138" t="s">
        <v>3888</v>
      </c>
      <c r="H334" s="138" t="s">
        <v>3921</v>
      </c>
      <c r="I334" s="138" t="s">
        <v>3922</v>
      </c>
      <c r="J334"/>
      <c r="K334" s="150"/>
      <c r="L334" s="150"/>
      <c r="M334" s="150"/>
      <c r="N334" s="150"/>
    </row>
    <row r="335" spans="1:14">
      <c r="A335" t="str">
        <f>IF(Measure21_Type&lt;&gt;0,"Improvements","")</f>
        <v/>
      </c>
      <c r="B335" s="156">
        <f>IF(Measure21_Type="1 to 6 Watt LED Screw-In replacing Incandescent/CFL", "6 Watt LED Screw-In replacing Incandescent/CFL", IF(Measure21_Type="7 to 11 Watt LED Screw-In replacing Incandescent/CFL", "11 Watt LED Screw-In replacing Incandescent/CFL", IF(Measure21_Type="12 to 17 Watt LED Screw-In replacing Incandescent/CFL", "13 Watt LED Screw-In replacing Incandescent/CFL", IF(Measure21_Type="18 or more Watt LED Screw-In replacing Incandescent/CFL", "18 Watt LED Screw-In replacing Incandescent/CFL", Measure21_Type))))</f>
        <v>0</v>
      </c>
      <c r="C335" s="151">
        <f>Measure21_Cost</f>
        <v>0</v>
      </c>
      <c r="D335" s="142">
        <f>Measure21_Quantity</f>
        <v>0</v>
      </c>
      <c r="E335" s="142" t="str">
        <f>IF(Measure21_Description&lt;&gt;"",Measure21_Description,"")</f>
        <v/>
      </c>
      <c r="F335" s="142" t="e">
        <f>IF(Measure21_ShortDescription&lt;&gt; "", Measure21_ShortDescription,"")</f>
        <v>#N/A</v>
      </c>
      <c r="G335" s="142" t="str">
        <f>IF(Measure21_Status&lt;&gt;"",Measure21_Status, "Recommended")</f>
        <v>Recommended</v>
      </c>
      <c r="H335" s="142" t="str">
        <f>IF(Measure21_Comments&lt;&gt;"", Measure21_Comments,"")</f>
        <v/>
      </c>
      <c r="I335" s="142">
        <f>Measure21_ElectricCostSavings</f>
        <v>0</v>
      </c>
      <c r="J335"/>
      <c r="K335"/>
      <c r="L335"/>
      <c r="M335"/>
      <c r="N335"/>
    </row>
    <row r="336" spans="1:14" ht="15.5">
      <c r="A336" s="150"/>
      <c r="B336"/>
      <c r="C336" s="152" t="s">
        <v>3923</v>
      </c>
      <c r="D336" s="153"/>
      <c r="E336" s="153"/>
      <c r="F336" s="153"/>
      <c r="G336" s="153"/>
      <c r="H336" s="153"/>
      <c r="I336" s="153"/>
      <c r="J336" s="153"/>
      <c r="K336" s="153"/>
      <c r="L336" s="153"/>
      <c r="M336"/>
    </row>
    <row r="337" spans="1:14">
      <c r="A337" s="150"/>
      <c r="B337"/>
      <c r="C337" s="138" t="s">
        <v>3895</v>
      </c>
      <c r="D337" s="138" t="s">
        <v>3896</v>
      </c>
      <c r="E337" s="138" t="s">
        <v>3897</v>
      </c>
      <c r="F337" s="138" t="s">
        <v>3898</v>
      </c>
      <c r="G337" s="138" t="s">
        <v>3899</v>
      </c>
      <c r="H337" s="138" t="s">
        <v>3900</v>
      </c>
      <c r="I337" s="138" t="s">
        <v>3901</v>
      </c>
      <c r="J337" s="138" t="s">
        <v>3936</v>
      </c>
      <c r="K337" s="138" t="s">
        <v>3904</v>
      </c>
      <c r="L337" s="138" t="s">
        <v>3937</v>
      </c>
    </row>
    <row r="338" spans="1:14">
      <c r="A338" s="150" t="str">
        <f>IF(Measure21_kWhSavings&lt;&gt;0,"ImprovementSavings","")</f>
        <v/>
      </c>
      <c r="B338"/>
      <c r="C338" s="142" t="s">
        <v>3890</v>
      </c>
      <c r="D338" s="150"/>
      <c r="E338" s="150"/>
      <c r="F338" s="150"/>
      <c r="G338" s="150"/>
      <c r="H338" s="150"/>
      <c r="I338" s="150"/>
      <c r="J338" s="142">
        <f>Measure21_kWhSavings*GECO_ELEC_RATIO</f>
        <v>0</v>
      </c>
      <c r="K338" s="142">
        <f>Measure21_DemandSavings</f>
        <v>0</v>
      </c>
      <c r="L338" s="142">
        <f>Measure21_ElectricCostSavings</f>
        <v>0</v>
      </c>
    </row>
    <row r="339" spans="1:14">
      <c r="A339" s="150"/>
      <c r="B339"/>
      <c r="C339" s="149" t="s">
        <v>3924</v>
      </c>
      <c r="D339" s="149"/>
      <c r="E339"/>
      <c r="F339"/>
      <c r="G339"/>
      <c r="H339"/>
      <c r="I339"/>
      <c r="J339"/>
      <c r="K339"/>
      <c r="L339"/>
      <c r="M339"/>
      <c r="N339"/>
    </row>
    <row r="340" spans="1:14">
      <c r="A340" s="150"/>
      <c r="B340"/>
      <c r="C340" s="138" t="s">
        <v>3925</v>
      </c>
      <c r="D340" s="138" t="s">
        <v>3813</v>
      </c>
      <c r="E340"/>
      <c r="F340"/>
      <c r="G340"/>
      <c r="H340"/>
      <c r="I340"/>
      <c r="J340"/>
      <c r="K340"/>
      <c r="L340"/>
      <c r="M340"/>
      <c r="N340"/>
    </row>
    <row r="341" spans="1:14">
      <c r="A341" s="135" t="str">
        <f>IF(Measure21_Size&lt;&gt;"","ImprovementAttributes","")</f>
        <v/>
      </c>
      <c r="C341" s="155" t="s">
        <v>3926</v>
      </c>
      <c r="D341" s="155">
        <f>Measure21_Size</f>
        <v>0</v>
      </c>
    </row>
    <row r="342" spans="1:14">
      <c r="A342" s="135" t="str">
        <f>IF(Measure21_Efficiency&lt;&gt;"","ImprovementAttributes","")</f>
        <v/>
      </c>
      <c r="C342" s="155" t="s">
        <v>3927</v>
      </c>
      <c r="D342" s="155">
        <f>Measure21_Efficiency</f>
        <v>0</v>
      </c>
    </row>
    <row r="343" spans="1:14">
      <c r="A343" s="135" t="str">
        <f>IF(Measure21_UsefulLife&lt;&gt;"","ImprovementAttributes","")</f>
        <v/>
      </c>
      <c r="C343" s="155" t="s">
        <v>3928</v>
      </c>
      <c r="D343" s="155">
        <f>Measure21_UsefulLife</f>
        <v>0</v>
      </c>
    </row>
    <row r="344" spans="1:14">
      <c r="A344" s="135" t="str">
        <f>IF(Measure21_SerialNumber&lt;&gt;"","ImprovementAttributes","")</f>
        <v/>
      </c>
      <c r="C344" s="155" t="s">
        <v>3929</v>
      </c>
      <c r="D344" s="155">
        <f>Measure21_SerialNumber</f>
        <v>0</v>
      </c>
    </row>
    <row r="345" spans="1:14">
      <c r="A345" s="135" t="str">
        <f>IF(Measure21_Age&lt;&gt;"","ImprovementAttributes","")</f>
        <v/>
      </c>
      <c r="C345" s="155" t="s">
        <v>3930</v>
      </c>
      <c r="D345" s="155">
        <f>Measure21_Age</f>
        <v>0</v>
      </c>
    </row>
    <row r="346" spans="1:14">
      <c r="A346" s="135" t="str">
        <f>IF(Measure21_Replaced&lt;&gt;"","ImprovementAttributes","")</f>
        <v/>
      </c>
      <c r="C346" s="155" t="s">
        <v>3931</v>
      </c>
      <c r="D346" s="155">
        <f>Measure21_Replaced</f>
        <v>0</v>
      </c>
    </row>
    <row r="347" spans="1:14">
      <c r="A347" s="135" t="str">
        <f>IF(Measure21_Payback&lt;&gt;0,"ImprovementAttributes","")</f>
        <v/>
      </c>
      <c r="C347" s="155" t="s">
        <v>3932</v>
      </c>
      <c r="D347" s="155">
        <f>Measure21_Payback</f>
        <v>0</v>
      </c>
    </row>
    <row r="348" spans="1:14">
      <c r="A348" s="135" t="str">
        <f>IF(Measure21_Incentive&lt;&gt;0,"ImprovementAttributes","")</f>
        <v/>
      </c>
      <c r="C348" s="155" t="s">
        <v>4004</v>
      </c>
      <c r="D348" s="155">
        <f>Measure21_Incentive</f>
        <v>0</v>
      </c>
    </row>
    <row r="349" spans="1:14" ht="18.5">
      <c r="A349"/>
      <c r="B349" s="148" t="s">
        <v>3956</v>
      </c>
      <c r="C349" s="149"/>
      <c r="D349" s="149"/>
      <c r="E349" s="149"/>
      <c r="F349" s="149"/>
      <c r="G349" s="149"/>
      <c r="H349" s="149"/>
      <c r="I349" s="149"/>
      <c r="J349"/>
      <c r="K349"/>
      <c r="L349"/>
      <c r="M349"/>
      <c r="N349"/>
    </row>
    <row r="350" spans="1:14">
      <c r="A350"/>
      <c r="B350" s="138" t="s">
        <v>3916</v>
      </c>
      <c r="C350" s="138" t="s">
        <v>3917</v>
      </c>
      <c r="D350" s="138" t="s">
        <v>3918</v>
      </c>
      <c r="E350" s="138" t="s">
        <v>3919</v>
      </c>
      <c r="F350" s="138" t="s">
        <v>3920</v>
      </c>
      <c r="G350" s="138" t="s">
        <v>3888</v>
      </c>
      <c r="H350" s="138" t="s">
        <v>3921</v>
      </c>
      <c r="I350" s="138" t="s">
        <v>3922</v>
      </c>
      <c r="J350"/>
      <c r="K350" s="150"/>
      <c r="L350" s="150"/>
      <c r="M350" s="150"/>
      <c r="N350" s="150"/>
    </row>
    <row r="351" spans="1:14">
      <c r="A351" t="str">
        <f>IF(Measure22_Type&lt;&gt;0,"Improvements","")</f>
        <v/>
      </c>
      <c r="B351" s="156">
        <f>IF(Measure22_Type="1 to 6 Watt LED Screw-In replacing Incandescent/CFL", "6 Watt LED Screw-In replacing Incandescent/CFL", IF(Measure22_Type="7 to 11 Watt LED Screw-In replacing Incandescent/CFL", "11 Watt LED Screw-In replacing Incandescent/CFL", IF(Measure22_Type="12 to 17 Watt LED Screw-In replacing Incandescent/CFL", "13 Watt LED Screw-In replacing Incandescent/CFL", IF(Measure22_Type="18 or more Watt LED Screw-In replacing Incandescent/CFL", "18 Watt LED Screw-In replacing Incandescent/CFL", Measure22_Type))))</f>
        <v>0</v>
      </c>
      <c r="C351" s="151">
        <f>Measure22_Cost</f>
        <v>0</v>
      </c>
      <c r="D351" s="142">
        <f>Measure22_Quantity</f>
        <v>0</v>
      </c>
      <c r="E351" s="142" t="str">
        <f>IF(Measure22_Description&lt;&gt;"",Measure22_Description,"")</f>
        <v/>
      </c>
      <c r="F351" s="142" t="e">
        <f>IF(Measure22_ShortDescription&lt;&gt; "", Measure22_ShortDescription,"")</f>
        <v>#N/A</v>
      </c>
      <c r="G351" s="142" t="str">
        <f>IF(Measure22_Status&lt;&gt;"",Measure22_Status, "Recommended")</f>
        <v>Recommended</v>
      </c>
      <c r="H351" s="142" t="str">
        <f>IF(Measure22_Comments&lt;&gt;"", Measure22_Comments,"")</f>
        <v/>
      </c>
      <c r="I351" s="142">
        <f>Measure22_ElectricCostSavings</f>
        <v>0</v>
      </c>
      <c r="J351"/>
      <c r="K351"/>
      <c r="L351"/>
      <c r="M351"/>
      <c r="N351"/>
    </row>
    <row r="352" spans="1:14" ht="15.5">
      <c r="A352" s="150"/>
      <c r="B352"/>
      <c r="C352" s="152" t="s">
        <v>3923</v>
      </c>
      <c r="D352" s="153"/>
      <c r="E352" s="153"/>
      <c r="F352" s="153"/>
      <c r="G352" s="153"/>
      <c r="H352" s="153"/>
      <c r="I352" s="153"/>
      <c r="J352" s="153"/>
      <c r="K352" s="153"/>
      <c r="L352" s="153"/>
      <c r="M352"/>
    </row>
    <row r="353" spans="1:14">
      <c r="A353" s="150"/>
      <c r="B353"/>
      <c r="C353" s="138" t="s">
        <v>3895</v>
      </c>
      <c r="D353" s="138" t="s">
        <v>3896</v>
      </c>
      <c r="E353" s="138" t="s">
        <v>3897</v>
      </c>
      <c r="F353" s="138" t="s">
        <v>3898</v>
      </c>
      <c r="G353" s="138" t="s">
        <v>3899</v>
      </c>
      <c r="H353" s="138" t="s">
        <v>3900</v>
      </c>
      <c r="I353" s="138" t="s">
        <v>3901</v>
      </c>
      <c r="J353" s="138" t="s">
        <v>3936</v>
      </c>
      <c r="K353" s="138" t="s">
        <v>3904</v>
      </c>
      <c r="L353" s="138" t="s">
        <v>3937</v>
      </c>
    </row>
    <row r="354" spans="1:14">
      <c r="A354" s="150" t="str">
        <f>IF(Measure22_kWhSavings&lt;&gt;0,"ImprovementSavings","")</f>
        <v/>
      </c>
      <c r="B354"/>
      <c r="C354" s="142" t="s">
        <v>3890</v>
      </c>
      <c r="D354" s="150"/>
      <c r="E354" s="150"/>
      <c r="F354" s="150"/>
      <c r="G354" s="150"/>
      <c r="H354" s="150"/>
      <c r="I354" s="150"/>
      <c r="J354" s="142">
        <f>Measure22_kWhSavings*GECO_ELEC_RATIO</f>
        <v>0</v>
      </c>
      <c r="K354" s="142">
        <f>Measure22_DemandSavings</f>
        <v>0</v>
      </c>
      <c r="L354" s="142">
        <f>Measure22_ElectricCostSavings</f>
        <v>0</v>
      </c>
    </row>
    <row r="355" spans="1:14">
      <c r="A355" s="150"/>
      <c r="B355"/>
      <c r="C355" s="149" t="s">
        <v>3924</v>
      </c>
      <c r="D355" s="149"/>
      <c r="E355"/>
      <c r="F355"/>
      <c r="G355"/>
      <c r="H355"/>
      <c r="I355"/>
      <c r="J355"/>
      <c r="K355"/>
      <c r="L355"/>
      <c r="M355"/>
      <c r="N355"/>
    </row>
    <row r="356" spans="1:14">
      <c r="A356" s="150"/>
      <c r="B356"/>
      <c r="C356" s="138" t="s">
        <v>3925</v>
      </c>
      <c r="D356" s="138" t="s">
        <v>3813</v>
      </c>
      <c r="E356"/>
      <c r="F356"/>
      <c r="G356"/>
      <c r="H356"/>
      <c r="I356"/>
      <c r="J356"/>
      <c r="K356"/>
      <c r="L356"/>
      <c r="M356"/>
      <c r="N356"/>
    </row>
    <row r="357" spans="1:14">
      <c r="A357" s="135" t="str">
        <f>IF(Measure22_Size&lt;&gt;"","ImprovementAttributes","")</f>
        <v/>
      </c>
      <c r="C357" s="155" t="s">
        <v>3926</v>
      </c>
      <c r="D357" s="155">
        <f>Measure22_Size</f>
        <v>0</v>
      </c>
    </row>
    <row r="358" spans="1:14">
      <c r="A358" s="135" t="str">
        <f>IF(Measure22_Efficiency&lt;&gt;"","ImprovementAttributes","")</f>
        <v/>
      </c>
      <c r="C358" s="155" t="s">
        <v>3927</v>
      </c>
      <c r="D358" s="155">
        <f>Measure22_Efficiency</f>
        <v>0</v>
      </c>
    </row>
    <row r="359" spans="1:14">
      <c r="A359" s="135" t="str">
        <f>IF(Measure22_UsefulLife&lt;&gt;"","ImprovementAttributes","")</f>
        <v/>
      </c>
      <c r="C359" s="155" t="s">
        <v>3928</v>
      </c>
      <c r="D359" s="155">
        <f>Measure22_UsefulLife</f>
        <v>0</v>
      </c>
    </row>
    <row r="360" spans="1:14">
      <c r="A360" s="135" t="str">
        <f>IF(Measure22_SerialNumber&lt;&gt;"","ImprovementAttributes","")</f>
        <v/>
      </c>
      <c r="C360" s="155" t="s">
        <v>3929</v>
      </c>
      <c r="D360" s="155">
        <f>Measure22_SerialNumber</f>
        <v>0</v>
      </c>
    </row>
    <row r="361" spans="1:14">
      <c r="A361" s="135" t="str">
        <f>IF(Measure22_Age&lt;&gt;"","ImprovementAttributes","")</f>
        <v/>
      </c>
      <c r="C361" s="155" t="s">
        <v>3930</v>
      </c>
      <c r="D361" s="155">
        <f>Measure22_Age</f>
        <v>0</v>
      </c>
    </row>
    <row r="362" spans="1:14">
      <c r="A362" s="135" t="str">
        <f>IF(Measure22_Replaced&lt;&gt;"","ImprovementAttributes","")</f>
        <v/>
      </c>
      <c r="C362" s="155" t="s">
        <v>3931</v>
      </c>
      <c r="D362" s="155">
        <f>Measure22_Replaced</f>
        <v>0</v>
      </c>
    </row>
    <row r="363" spans="1:14">
      <c r="A363" s="135" t="str">
        <f>IF(Measure22_Payback&lt;&gt;0,"ImprovementAttributes","")</f>
        <v/>
      </c>
      <c r="C363" s="155" t="s">
        <v>3932</v>
      </c>
      <c r="D363" s="155">
        <f>Measure22_Payback</f>
        <v>0</v>
      </c>
    </row>
    <row r="364" spans="1:14">
      <c r="A364" s="135" t="str">
        <f>IF(Measure22_Incentive&lt;&gt;0,"ImprovementAttributes","")</f>
        <v/>
      </c>
      <c r="C364" s="155" t="s">
        <v>4004</v>
      </c>
      <c r="D364" s="155">
        <f>Measure22_Incentive</f>
        <v>0</v>
      </c>
    </row>
    <row r="365" spans="1:14" ht="18.5">
      <c r="A365"/>
      <c r="B365" s="148" t="s">
        <v>3957</v>
      </c>
      <c r="C365" s="149"/>
      <c r="D365" s="149"/>
      <c r="E365" s="149"/>
      <c r="F365" s="149"/>
      <c r="G365" s="149"/>
      <c r="H365" s="149"/>
      <c r="I365" s="149"/>
      <c r="J365"/>
      <c r="K365"/>
      <c r="L365"/>
      <c r="M365"/>
      <c r="N365"/>
    </row>
    <row r="366" spans="1:14">
      <c r="A366"/>
      <c r="B366" s="138" t="s">
        <v>3916</v>
      </c>
      <c r="C366" s="138" t="s">
        <v>3917</v>
      </c>
      <c r="D366" s="138" t="s">
        <v>3918</v>
      </c>
      <c r="E366" s="138" t="s">
        <v>3919</v>
      </c>
      <c r="F366" s="138" t="s">
        <v>3920</v>
      </c>
      <c r="G366" s="138" t="s">
        <v>3888</v>
      </c>
      <c r="H366" s="138" t="s">
        <v>3921</v>
      </c>
      <c r="I366" s="138" t="s">
        <v>3922</v>
      </c>
      <c r="J366"/>
      <c r="K366" s="150"/>
      <c r="L366" s="150"/>
      <c r="M366" s="150"/>
      <c r="N366" s="150"/>
    </row>
    <row r="367" spans="1:14">
      <c r="A367" t="str">
        <f>IF(Measure23_Type&lt;&gt;0,"Improvements","")</f>
        <v/>
      </c>
      <c r="B367" s="156">
        <f>IF(Measure23_Type="1 to 6 Watt LED Screw-In replacing Incandescent/CFL", "6 Watt LED Screw-In replacing Incandescent/CFL", IF(Measure23_Type="7 to 11 Watt LED Screw-In replacing Incandescent/CFL", "11 Watt LED Screw-In replacing Incandescent/CFL", IF(Measure23_Type="12 to 17 Watt LED Screw-In replacing Incandescent/CFL", "13 Watt LED Screw-In replacing Incandescent/CFL", IF(Measure23_Type="18 or more Watt LED Screw-In replacing Incandescent/CFL", "18 Watt LED Screw-In replacing Incandescent/CFL", Measure23_Type))))</f>
        <v>0</v>
      </c>
      <c r="C367" s="151">
        <f>Measure23_Cost</f>
        <v>0</v>
      </c>
      <c r="D367" s="142">
        <f>Measure23_Quantity</f>
        <v>0</v>
      </c>
      <c r="E367" s="142" t="str">
        <f>IF(Measure23_Description&lt;&gt;"",Measure23_Description,"")</f>
        <v/>
      </c>
      <c r="F367" s="142" t="e">
        <f>IF(Measure23_ShortDescription&lt;&gt; "", Measure23_ShortDescription,"")</f>
        <v>#N/A</v>
      </c>
      <c r="G367" s="142" t="str">
        <f>IF(Measure23_Status&lt;&gt;"",Measure23_Status, "Recommended")</f>
        <v>Recommended</v>
      </c>
      <c r="H367" s="142" t="str">
        <f>IF(Measure23_Comments&lt;&gt;"", Measure23_Comments,"")</f>
        <v/>
      </c>
      <c r="I367" s="142">
        <f>Measure23_ElectricCostSavings</f>
        <v>0</v>
      </c>
      <c r="J367"/>
      <c r="K367"/>
      <c r="L367"/>
      <c r="M367"/>
      <c r="N367"/>
    </row>
    <row r="368" spans="1:14" ht="15.5">
      <c r="A368" s="150"/>
      <c r="B368"/>
      <c r="C368" s="152" t="s">
        <v>3923</v>
      </c>
      <c r="D368" s="153"/>
      <c r="E368" s="153"/>
      <c r="F368" s="153"/>
      <c r="G368" s="153"/>
      <c r="H368" s="153"/>
      <c r="I368" s="153"/>
      <c r="J368" s="153"/>
      <c r="K368" s="153"/>
      <c r="L368" s="153"/>
      <c r="M368"/>
    </row>
    <row r="369" spans="1:14">
      <c r="A369" s="150"/>
      <c r="B369"/>
      <c r="C369" s="138" t="s">
        <v>3895</v>
      </c>
      <c r="D369" s="138" t="s">
        <v>3896</v>
      </c>
      <c r="E369" s="138" t="s">
        <v>3897</v>
      </c>
      <c r="F369" s="138" t="s">
        <v>3898</v>
      </c>
      <c r="G369" s="138" t="s">
        <v>3899</v>
      </c>
      <c r="H369" s="138" t="s">
        <v>3900</v>
      </c>
      <c r="I369" s="138" t="s">
        <v>3901</v>
      </c>
      <c r="J369" s="138" t="s">
        <v>3936</v>
      </c>
      <c r="K369" s="138" t="s">
        <v>3904</v>
      </c>
      <c r="L369" s="138" t="s">
        <v>3937</v>
      </c>
    </row>
    <row r="370" spans="1:14">
      <c r="A370" s="150" t="str">
        <f>IF(Measure23_kWhSavings&lt;&gt;0,"ImprovementSavings","")</f>
        <v/>
      </c>
      <c r="B370"/>
      <c r="C370" s="142" t="s">
        <v>3890</v>
      </c>
      <c r="D370" s="150"/>
      <c r="E370" s="150"/>
      <c r="F370" s="150"/>
      <c r="G370" s="150"/>
      <c r="H370" s="150"/>
      <c r="I370" s="150"/>
      <c r="J370" s="142">
        <f>Measure23_kWhSavings*GECO_ELEC_RATIO</f>
        <v>0</v>
      </c>
      <c r="K370" s="142">
        <f>Measure23_DemandSavings</f>
        <v>0</v>
      </c>
      <c r="L370" s="142">
        <f>Measure23_ElectricCostSavings</f>
        <v>0</v>
      </c>
    </row>
    <row r="371" spans="1:14">
      <c r="A371" s="150"/>
      <c r="B371"/>
      <c r="C371" s="149" t="s">
        <v>3924</v>
      </c>
      <c r="D371" s="149"/>
      <c r="E371"/>
      <c r="F371"/>
      <c r="G371"/>
      <c r="H371"/>
      <c r="I371"/>
      <c r="J371"/>
      <c r="K371"/>
      <c r="L371"/>
      <c r="M371"/>
      <c r="N371"/>
    </row>
    <row r="372" spans="1:14">
      <c r="A372" s="150"/>
      <c r="B372"/>
      <c r="C372" s="138" t="s">
        <v>3925</v>
      </c>
      <c r="D372" s="138" t="s">
        <v>3813</v>
      </c>
      <c r="E372"/>
      <c r="F372"/>
      <c r="G372"/>
      <c r="H372"/>
      <c r="I372"/>
      <c r="J372"/>
      <c r="K372"/>
      <c r="L372"/>
      <c r="M372"/>
      <c r="N372"/>
    </row>
    <row r="373" spans="1:14">
      <c r="A373" s="135" t="str">
        <f>IF(Measure23_Size&lt;&gt;"","ImprovementAttributes","")</f>
        <v/>
      </c>
      <c r="C373" s="155" t="s">
        <v>3926</v>
      </c>
      <c r="D373" s="155">
        <f>Measure23_Size</f>
        <v>0</v>
      </c>
    </row>
    <row r="374" spans="1:14">
      <c r="A374" s="135" t="str">
        <f>IF(Measure23_Efficiency&lt;&gt;"","ImprovementAttributes","")</f>
        <v/>
      </c>
      <c r="C374" s="155" t="s">
        <v>3927</v>
      </c>
      <c r="D374" s="155">
        <f>Measure23_Efficiency</f>
        <v>0</v>
      </c>
    </row>
    <row r="375" spans="1:14">
      <c r="A375" s="135" t="str">
        <f>IF(Measure23_UsefulLife&lt;&gt;"","ImprovementAttributes","")</f>
        <v/>
      </c>
      <c r="C375" s="155" t="s">
        <v>3928</v>
      </c>
      <c r="D375" s="155">
        <f>Measure23_UsefulLife</f>
        <v>0</v>
      </c>
    </row>
    <row r="376" spans="1:14">
      <c r="A376" s="135" t="str">
        <f>IF(Measure23_SerialNumber&lt;&gt;"","ImprovementAttributes","")</f>
        <v/>
      </c>
      <c r="C376" s="155" t="s">
        <v>3929</v>
      </c>
      <c r="D376" s="155">
        <f>Measure23_SerialNumber</f>
        <v>0</v>
      </c>
    </row>
    <row r="377" spans="1:14">
      <c r="A377" s="135" t="str">
        <f>IF(Measure23_Age&lt;&gt;"","ImprovementAttributes","")</f>
        <v/>
      </c>
      <c r="C377" s="155" t="s">
        <v>3930</v>
      </c>
      <c r="D377" s="155">
        <f>Measure23_Age</f>
        <v>0</v>
      </c>
    </row>
    <row r="378" spans="1:14">
      <c r="A378" s="135" t="str">
        <f>IF(Measure23_Replaced&lt;&gt;"","ImprovementAttributes","")</f>
        <v/>
      </c>
      <c r="C378" s="155" t="s">
        <v>3931</v>
      </c>
      <c r="D378" s="155">
        <f>Measure23_Replaced</f>
        <v>0</v>
      </c>
    </row>
    <row r="379" spans="1:14">
      <c r="A379" s="135" t="str">
        <f>IF(Measure23_Payback&lt;&gt;0,"ImprovementAttributes","")</f>
        <v/>
      </c>
      <c r="C379" s="155" t="s">
        <v>3932</v>
      </c>
      <c r="D379" s="155">
        <f>Measure23_Payback</f>
        <v>0</v>
      </c>
    </row>
    <row r="380" spans="1:14">
      <c r="A380" s="135" t="str">
        <f>IF(Measure23_Incentive&lt;&gt;0,"ImprovementAttributes","")</f>
        <v/>
      </c>
      <c r="C380" s="155" t="s">
        <v>4004</v>
      </c>
      <c r="D380" s="155">
        <f>Measure23_Incentive</f>
        <v>0</v>
      </c>
    </row>
    <row r="381" spans="1:14" ht="18.5">
      <c r="A381"/>
      <c r="B381" s="148" t="s">
        <v>3958</v>
      </c>
      <c r="C381" s="149"/>
      <c r="D381" s="149"/>
      <c r="E381" s="149"/>
      <c r="F381" s="149"/>
      <c r="G381" s="149"/>
      <c r="H381" s="149"/>
      <c r="I381" s="149"/>
      <c r="J381"/>
      <c r="K381"/>
      <c r="L381"/>
      <c r="M381"/>
      <c r="N381"/>
    </row>
    <row r="382" spans="1:14">
      <c r="A382"/>
      <c r="B382" s="138" t="s">
        <v>3916</v>
      </c>
      <c r="C382" s="138" t="s">
        <v>3917</v>
      </c>
      <c r="D382" s="138" t="s">
        <v>3918</v>
      </c>
      <c r="E382" s="138" t="s">
        <v>3919</v>
      </c>
      <c r="F382" s="138" t="s">
        <v>3920</v>
      </c>
      <c r="G382" s="138" t="s">
        <v>3888</v>
      </c>
      <c r="H382" s="138" t="s">
        <v>3921</v>
      </c>
      <c r="I382" s="138" t="s">
        <v>3922</v>
      </c>
      <c r="J382"/>
      <c r="K382" s="150"/>
      <c r="L382" s="150"/>
      <c r="M382" s="150"/>
      <c r="N382" s="150"/>
    </row>
    <row r="383" spans="1:14">
      <c r="A383" t="str">
        <f>IF(Measure24_Type&lt;&gt;0,"Improvements","")</f>
        <v/>
      </c>
      <c r="B383" s="156">
        <f>IF(Measure24_Type="1 to 6 Watt LED Screw-In replacing Incandescent/CFL", "6 Watt LED Screw-In replacing Incandescent/CFL", IF(Measure24_Type="7 to 11 Watt LED Screw-In replacing Incandescent/CFL", "11 Watt LED Screw-In replacing Incandescent/CFL", IF(Measure24_Type="12 to 17 Watt LED Screw-In replacing Incandescent/CFL", "13 Watt LED Screw-In replacing Incandescent/CFL", IF(Measure24_Type="18 or more Watt LED Screw-In replacing Incandescent/CFL", "18 Watt LED Screw-In replacing Incandescent/CFL", Measure24_Type))))</f>
        <v>0</v>
      </c>
      <c r="C383" s="151">
        <f>Measure24_Cost</f>
        <v>0</v>
      </c>
      <c r="D383" s="142">
        <f>Measure24_Quantity</f>
        <v>0</v>
      </c>
      <c r="E383" s="142" t="str">
        <f>IF(Measure24_Description&lt;&gt;"",Measure24_Description,"")</f>
        <v/>
      </c>
      <c r="F383" s="142" t="e">
        <f>IF(Measure24_ShortDescription&lt;&gt; "", Measure24_ShortDescription,"")</f>
        <v>#N/A</v>
      </c>
      <c r="G383" s="142" t="str">
        <f>IF(Measure24_Status&lt;&gt;"",Measure24_Status, "Recommended")</f>
        <v>Recommended</v>
      </c>
      <c r="H383" s="142" t="str">
        <f>IF(Measure24_Comments&lt;&gt;"", Measure24_Comments,"")</f>
        <v/>
      </c>
      <c r="I383" s="142">
        <f>Measure24_ElectricCostSavings</f>
        <v>0</v>
      </c>
      <c r="J383"/>
      <c r="K383"/>
      <c r="L383"/>
      <c r="M383"/>
      <c r="N383"/>
    </row>
    <row r="384" spans="1:14" ht="15.5">
      <c r="A384" s="150"/>
      <c r="B384"/>
      <c r="C384" s="152" t="s">
        <v>3923</v>
      </c>
      <c r="D384" s="153"/>
      <c r="E384" s="153"/>
      <c r="F384" s="153"/>
      <c r="G384" s="153"/>
      <c r="H384" s="153"/>
      <c r="I384" s="153"/>
      <c r="J384" s="153"/>
      <c r="K384" s="153"/>
      <c r="L384" s="153"/>
      <c r="M384"/>
    </row>
    <row r="385" spans="1:14">
      <c r="A385" s="150"/>
      <c r="B385"/>
      <c r="C385" s="138" t="s">
        <v>3895</v>
      </c>
      <c r="D385" s="138" t="s">
        <v>3896</v>
      </c>
      <c r="E385" s="138" t="s">
        <v>3897</v>
      </c>
      <c r="F385" s="138" t="s">
        <v>3898</v>
      </c>
      <c r="G385" s="138" t="s">
        <v>3899</v>
      </c>
      <c r="H385" s="138" t="s">
        <v>3900</v>
      </c>
      <c r="I385" s="138" t="s">
        <v>3901</v>
      </c>
      <c r="J385" s="138" t="s">
        <v>3936</v>
      </c>
      <c r="K385" s="138" t="s">
        <v>3904</v>
      </c>
      <c r="L385" s="138" t="s">
        <v>3937</v>
      </c>
    </row>
    <row r="386" spans="1:14">
      <c r="A386" s="150" t="str">
        <f>IF(Measure24_kWhSavings&lt;&gt;0,"ImprovementSavings","")</f>
        <v/>
      </c>
      <c r="B386"/>
      <c r="C386" s="142" t="s">
        <v>3890</v>
      </c>
      <c r="D386" s="150"/>
      <c r="E386" s="150"/>
      <c r="F386" s="150"/>
      <c r="G386" s="150"/>
      <c r="H386" s="150"/>
      <c r="I386" s="150"/>
      <c r="J386" s="142">
        <f>Measure24_kWhSavings*GECO_ELEC_RATIO</f>
        <v>0</v>
      </c>
      <c r="K386" s="142">
        <f>Measure24_DemandSavings</f>
        <v>0</v>
      </c>
      <c r="L386" s="142">
        <f>Measure24_ElectricCostSavings</f>
        <v>0</v>
      </c>
    </row>
    <row r="387" spans="1:14">
      <c r="A387" s="150"/>
      <c r="B387"/>
      <c r="C387" s="149" t="s">
        <v>3924</v>
      </c>
      <c r="D387" s="149"/>
      <c r="E387"/>
      <c r="F387"/>
      <c r="G387"/>
      <c r="H387"/>
      <c r="I387"/>
      <c r="J387"/>
      <c r="K387"/>
      <c r="L387"/>
      <c r="M387"/>
      <c r="N387"/>
    </row>
    <row r="388" spans="1:14">
      <c r="A388" s="150"/>
      <c r="B388"/>
      <c r="C388" s="138" t="s">
        <v>3925</v>
      </c>
      <c r="D388" s="138" t="s">
        <v>3813</v>
      </c>
      <c r="E388"/>
      <c r="F388"/>
      <c r="G388"/>
      <c r="H388"/>
      <c r="I388"/>
      <c r="J388"/>
      <c r="K388"/>
      <c r="L388"/>
      <c r="M388"/>
      <c r="N388"/>
    </row>
    <row r="389" spans="1:14">
      <c r="A389" s="135" t="str">
        <f>IF(Measure24_Size&lt;&gt;"","ImprovementAttributes","")</f>
        <v/>
      </c>
      <c r="C389" s="155" t="s">
        <v>3926</v>
      </c>
      <c r="D389" s="155">
        <f>Measure24_Size</f>
        <v>0</v>
      </c>
    </row>
    <row r="390" spans="1:14">
      <c r="A390" s="135" t="str">
        <f>IF(Measure24_Efficiency&lt;&gt;"","ImprovementAttributes","")</f>
        <v/>
      </c>
      <c r="C390" s="155" t="s">
        <v>3927</v>
      </c>
      <c r="D390" s="155">
        <f>Measure24_Efficiency</f>
        <v>0</v>
      </c>
    </row>
    <row r="391" spans="1:14">
      <c r="A391" s="135" t="str">
        <f>IF(Measure24_UsefulLife&lt;&gt;"","ImprovementAttributes","")</f>
        <v/>
      </c>
      <c r="C391" s="155" t="s">
        <v>3928</v>
      </c>
      <c r="D391" s="155">
        <f>Measure24_UsefulLife</f>
        <v>0</v>
      </c>
    </row>
    <row r="392" spans="1:14">
      <c r="A392" s="135" t="str">
        <f>IF(Measure24_SerialNumber&lt;&gt;"","ImprovementAttributes","")</f>
        <v/>
      </c>
      <c r="C392" s="155" t="s">
        <v>3929</v>
      </c>
      <c r="D392" s="155">
        <f>Measure24_SerialNumber</f>
        <v>0</v>
      </c>
    </row>
    <row r="393" spans="1:14">
      <c r="A393" s="135" t="str">
        <f>IF(Measure24_Age&lt;&gt;"","ImprovementAttributes","")</f>
        <v/>
      </c>
      <c r="C393" s="155" t="s">
        <v>3930</v>
      </c>
      <c r="D393" s="155">
        <f>Measure24_Age</f>
        <v>0</v>
      </c>
    </row>
    <row r="394" spans="1:14">
      <c r="A394" s="135" t="str">
        <f>IF(Measure24_Replaced&lt;&gt;"","ImprovementAttributes","")</f>
        <v/>
      </c>
      <c r="C394" s="155" t="s">
        <v>3931</v>
      </c>
      <c r="D394" s="155">
        <f>Measure24_Replaced</f>
        <v>0</v>
      </c>
    </row>
    <row r="395" spans="1:14">
      <c r="A395" s="135" t="str">
        <f>IF(Measure24_Payback&lt;&gt;0,"ImprovementAttributes","")</f>
        <v/>
      </c>
      <c r="C395" s="155" t="s">
        <v>3932</v>
      </c>
      <c r="D395" s="155">
        <f>Measure24_Payback</f>
        <v>0</v>
      </c>
    </row>
    <row r="396" spans="1:14">
      <c r="A396" s="135" t="str">
        <f>IF(Measure24_Incentive&lt;&gt;0,"ImprovementAttributes","")</f>
        <v/>
      </c>
      <c r="C396" s="155" t="s">
        <v>4004</v>
      </c>
      <c r="D396" s="155">
        <f>Measure24_Incentive</f>
        <v>0</v>
      </c>
    </row>
    <row r="397" spans="1:14" ht="18.5">
      <c r="A397"/>
      <c r="B397" s="148" t="s">
        <v>3959</v>
      </c>
      <c r="C397" s="149"/>
      <c r="D397" s="149"/>
      <c r="E397" s="149"/>
      <c r="F397" s="149"/>
      <c r="G397" s="149"/>
      <c r="H397" s="149"/>
      <c r="I397" s="149"/>
      <c r="J397"/>
      <c r="K397"/>
      <c r="L397"/>
      <c r="M397"/>
      <c r="N397"/>
    </row>
    <row r="398" spans="1:14">
      <c r="A398"/>
      <c r="B398" s="138" t="s">
        <v>3916</v>
      </c>
      <c r="C398" s="138" t="s">
        <v>3917</v>
      </c>
      <c r="D398" s="138" t="s">
        <v>3918</v>
      </c>
      <c r="E398" s="138" t="s">
        <v>3919</v>
      </c>
      <c r="F398" s="138" t="s">
        <v>3920</v>
      </c>
      <c r="G398" s="138" t="s">
        <v>3888</v>
      </c>
      <c r="H398" s="138" t="s">
        <v>3921</v>
      </c>
      <c r="I398" s="138" t="s">
        <v>3922</v>
      </c>
      <c r="J398"/>
      <c r="K398" s="150"/>
      <c r="L398" s="150"/>
      <c r="M398" s="150"/>
      <c r="N398" s="150"/>
    </row>
    <row r="399" spans="1:14">
      <c r="A399" t="str">
        <f>IF(Measure25_Type&lt;&gt;0,"Improvements","")</f>
        <v/>
      </c>
      <c r="B399" s="156">
        <f>IF(Measure25_Type="1 to 6 Watt LED Screw-In replacing Incandescent/CFL", "6 Watt LED Screw-In replacing Incandescent/CFL", IF(Measure25_Type="7 to 11 Watt LED Screw-In replacing Incandescent/CFL", "11 Watt LED Screw-In replacing Incandescent/CFL", IF(Measure25_Type="12 to 17 Watt LED Screw-In replacing Incandescent/CFL", "13 Watt LED Screw-In replacing Incandescent/CFL", IF(Measure25_Type="18 or more Watt LED Screw-In replacing Incandescent/CFL", "18 Watt LED Screw-In replacing Incandescent/CFL", Measure25_Type))))</f>
        <v>0</v>
      </c>
      <c r="C399" s="151">
        <f>Measure25_Cost</f>
        <v>0</v>
      </c>
      <c r="D399" s="142">
        <f>Measure25_Quantity</f>
        <v>0</v>
      </c>
      <c r="E399" s="142" t="str">
        <f>IF(Measure25_Description&lt;&gt;"",Measure25_Description,"")</f>
        <v/>
      </c>
      <c r="F399" s="142" t="e">
        <f>IF(Measure25_ShortDescription&lt;&gt; "", Measure25_ShortDescription,"")</f>
        <v>#N/A</v>
      </c>
      <c r="G399" s="142" t="str">
        <f>IF(Measure25_Status&lt;&gt;"",Measure25_Status, "Recommended")</f>
        <v>Recommended</v>
      </c>
      <c r="H399" s="142" t="str">
        <f>IF(Measure25_Comments&lt;&gt;"", Measure25_Comments,"")</f>
        <v/>
      </c>
      <c r="I399" s="142">
        <f>Measure25_ElectricCostSavings</f>
        <v>0</v>
      </c>
      <c r="J399"/>
      <c r="K399"/>
      <c r="L399"/>
      <c r="M399"/>
      <c r="N399"/>
    </row>
    <row r="400" spans="1:14" ht="15.5">
      <c r="A400" s="150"/>
      <c r="B400"/>
      <c r="C400" s="152" t="s">
        <v>3923</v>
      </c>
      <c r="D400" s="153"/>
      <c r="E400" s="153"/>
      <c r="F400" s="153"/>
      <c r="G400" s="153"/>
      <c r="H400" s="153"/>
      <c r="I400" s="153"/>
      <c r="J400" s="153"/>
      <c r="K400" s="153"/>
      <c r="L400" s="153"/>
      <c r="M400"/>
    </row>
    <row r="401" spans="1:14">
      <c r="A401" s="150"/>
      <c r="B401"/>
      <c r="C401" s="138" t="s">
        <v>3895</v>
      </c>
      <c r="D401" s="138" t="s">
        <v>3896</v>
      </c>
      <c r="E401" s="138" t="s">
        <v>3897</v>
      </c>
      <c r="F401" s="138" t="s">
        <v>3898</v>
      </c>
      <c r="G401" s="138" t="s">
        <v>3899</v>
      </c>
      <c r="H401" s="138" t="s">
        <v>3900</v>
      </c>
      <c r="I401" s="138" t="s">
        <v>3901</v>
      </c>
      <c r="J401" s="138" t="s">
        <v>3936</v>
      </c>
      <c r="K401" s="138" t="s">
        <v>3904</v>
      </c>
      <c r="L401" s="138" t="s">
        <v>3937</v>
      </c>
    </row>
    <row r="402" spans="1:14">
      <c r="A402" s="150" t="str">
        <f>IF(Measure25_kWhSavings&lt;&gt;0,"ImprovementSavings","")</f>
        <v/>
      </c>
      <c r="B402"/>
      <c r="C402" s="142" t="s">
        <v>3890</v>
      </c>
      <c r="D402" s="150"/>
      <c r="E402" s="150"/>
      <c r="F402" s="150"/>
      <c r="G402" s="150"/>
      <c r="H402" s="150"/>
      <c r="I402" s="150"/>
      <c r="J402" s="142">
        <f>Measure25_kWhSavings*GECO_ELEC_RATIO</f>
        <v>0</v>
      </c>
      <c r="K402" s="142">
        <f>Measure25_DemandSavings</f>
        <v>0</v>
      </c>
      <c r="L402" s="142">
        <f>Measure25_ElectricCostSavings</f>
        <v>0</v>
      </c>
    </row>
    <row r="403" spans="1:14">
      <c r="A403" s="150"/>
      <c r="B403"/>
      <c r="C403" s="149" t="s">
        <v>3924</v>
      </c>
      <c r="D403" s="149"/>
      <c r="E403"/>
      <c r="F403"/>
      <c r="G403"/>
      <c r="H403"/>
      <c r="I403"/>
      <c r="J403"/>
      <c r="K403"/>
      <c r="L403"/>
      <c r="M403"/>
      <c r="N403"/>
    </row>
    <row r="404" spans="1:14">
      <c r="A404" s="150"/>
      <c r="B404"/>
      <c r="C404" s="138" t="s">
        <v>3925</v>
      </c>
      <c r="D404" s="138" t="s">
        <v>3813</v>
      </c>
      <c r="E404"/>
      <c r="F404"/>
      <c r="G404"/>
      <c r="H404"/>
      <c r="I404"/>
      <c r="J404"/>
      <c r="K404"/>
      <c r="L404"/>
      <c r="M404"/>
      <c r="N404"/>
    </row>
    <row r="405" spans="1:14">
      <c r="A405" s="135" t="str">
        <f>IF(Measure25_Size&lt;&gt;"","ImprovementAttributes","")</f>
        <v/>
      </c>
      <c r="C405" s="155" t="s">
        <v>3926</v>
      </c>
      <c r="D405" s="155">
        <f>Measure25_Size</f>
        <v>0</v>
      </c>
    </row>
    <row r="406" spans="1:14">
      <c r="A406" s="135" t="str">
        <f>IF(Measure25_Efficiency&lt;&gt;"","ImprovementAttributes","")</f>
        <v/>
      </c>
      <c r="C406" s="155" t="s">
        <v>3927</v>
      </c>
      <c r="D406" s="155">
        <f>Measure25_Efficiency</f>
        <v>0</v>
      </c>
    </row>
    <row r="407" spans="1:14">
      <c r="A407" s="135" t="str">
        <f>IF(Measure25_UsefulLife&lt;&gt;"","ImprovementAttributes","")</f>
        <v/>
      </c>
      <c r="C407" s="155" t="s">
        <v>3928</v>
      </c>
      <c r="D407" s="155">
        <f>Measure25_UsefulLife</f>
        <v>0</v>
      </c>
    </row>
    <row r="408" spans="1:14">
      <c r="A408" s="135" t="str">
        <f>IF(Measure25_SerialNumber&lt;&gt;"","ImprovementAttributes","")</f>
        <v/>
      </c>
      <c r="C408" s="155" t="s">
        <v>3929</v>
      </c>
      <c r="D408" s="155">
        <f>Measure25_SerialNumber</f>
        <v>0</v>
      </c>
    </row>
    <row r="409" spans="1:14">
      <c r="A409" s="135" t="str">
        <f>IF(Measure25_Age&lt;&gt;"","ImprovementAttributes","")</f>
        <v/>
      </c>
      <c r="C409" s="155" t="s">
        <v>3930</v>
      </c>
      <c r="D409" s="155">
        <f>Measure25_Age</f>
        <v>0</v>
      </c>
    </row>
    <row r="410" spans="1:14">
      <c r="A410" s="135" t="str">
        <f>IF(Measure25_Replaced&lt;&gt;"","ImprovementAttributes","")</f>
        <v/>
      </c>
      <c r="C410" s="155" t="s">
        <v>3931</v>
      </c>
      <c r="D410" s="155">
        <f>Measure25_Replaced</f>
        <v>0</v>
      </c>
    </row>
    <row r="411" spans="1:14">
      <c r="A411" s="135" t="str">
        <f>IF(Measure25_Payback&lt;&gt;0,"ImprovementAttributes","")</f>
        <v/>
      </c>
      <c r="C411" s="155" t="s">
        <v>3932</v>
      </c>
      <c r="D411" s="155">
        <f>Measure25_Payback</f>
        <v>0</v>
      </c>
    </row>
    <row r="412" spans="1:14">
      <c r="A412" s="135" t="str">
        <f>IF(Measure25_Incentive&lt;&gt;0,"ImprovementAttributes","")</f>
        <v/>
      </c>
      <c r="C412" s="155" t="s">
        <v>4004</v>
      </c>
      <c r="D412" s="155">
        <f>Measure25_Incentive</f>
        <v>0</v>
      </c>
    </row>
    <row r="413" spans="1:14" ht="18.5">
      <c r="A413"/>
      <c r="B413" s="148" t="s">
        <v>3960</v>
      </c>
      <c r="C413" s="149"/>
      <c r="D413" s="149"/>
      <c r="E413" s="149"/>
      <c r="F413" s="149"/>
      <c r="G413" s="149"/>
      <c r="H413" s="149"/>
      <c r="I413" s="149"/>
      <c r="J413"/>
      <c r="K413"/>
      <c r="L413"/>
      <c r="M413"/>
      <c r="N413"/>
    </row>
    <row r="414" spans="1:14">
      <c r="A414"/>
      <c r="B414" s="138" t="s">
        <v>3916</v>
      </c>
      <c r="C414" s="138" t="s">
        <v>3917</v>
      </c>
      <c r="D414" s="138" t="s">
        <v>3918</v>
      </c>
      <c r="E414" s="138" t="s">
        <v>3919</v>
      </c>
      <c r="F414" s="138" t="s">
        <v>3920</v>
      </c>
      <c r="G414" s="138" t="s">
        <v>3888</v>
      </c>
      <c r="H414" s="138" t="s">
        <v>3921</v>
      </c>
      <c r="I414" s="138" t="s">
        <v>3922</v>
      </c>
      <c r="J414"/>
      <c r="K414" s="150"/>
      <c r="L414" s="150"/>
      <c r="M414" s="150"/>
      <c r="N414" s="150"/>
    </row>
    <row r="415" spans="1:14">
      <c r="A415" t="str">
        <f>IF(Measure26_Type&lt;&gt;0,"Improvements","")</f>
        <v/>
      </c>
      <c r="B415" s="156">
        <f>IF(Measure26_Type="1 to 6 Watt LED Screw-In replacing Incandescent/CFL", "6 Watt LED Screw-In replacing Incandescent/CFL", IF(Measure26_Type="7 to 11 Watt LED Screw-In replacing Incandescent/CFL", "11 Watt LED Screw-In replacing Incandescent/CFL", IF(Measure26_Type="12 to 17 Watt LED Screw-In replacing Incandescent/CFL", "13 Watt LED Screw-In replacing Incandescent/CFL", IF(Measure26_Type="18 or more Watt LED Screw-In replacing Incandescent/CFL", "18 Watt LED Screw-In replacing Incandescent/CFL", Measure26_Type))))</f>
        <v>0</v>
      </c>
      <c r="C415" s="151">
        <f>Measure26_Cost</f>
        <v>0</v>
      </c>
      <c r="D415" s="142">
        <f>Measure26_Quantity</f>
        <v>0</v>
      </c>
      <c r="E415" s="142" t="str">
        <f>IF(Measure26_Description&lt;&gt;"",Measure26_Description,"")</f>
        <v/>
      </c>
      <c r="F415" s="142" t="e">
        <f>IF(Measure26_ShortDescription&lt;&gt; "", Measure26_ShortDescription,"")</f>
        <v>#N/A</v>
      </c>
      <c r="G415" s="142" t="str">
        <f>IF(Measure26_Status&lt;&gt;"",Measure26_Status, "Recommended")</f>
        <v>Recommended</v>
      </c>
      <c r="H415" s="142" t="str">
        <f>IF(Measure26_Comments&lt;&gt;"", Measure26_Comments,"")</f>
        <v/>
      </c>
      <c r="I415" s="142">
        <f>Measure26_ElectricCostSavings</f>
        <v>0</v>
      </c>
      <c r="J415"/>
      <c r="K415"/>
      <c r="L415"/>
      <c r="M415"/>
      <c r="N415"/>
    </row>
    <row r="416" spans="1:14" ht="15.5">
      <c r="A416" s="150"/>
      <c r="B416"/>
      <c r="C416" s="152" t="s">
        <v>3923</v>
      </c>
      <c r="D416" s="153"/>
      <c r="E416" s="153"/>
      <c r="F416" s="153"/>
      <c r="G416" s="153"/>
      <c r="H416" s="153"/>
      <c r="I416" s="153"/>
      <c r="J416" s="153"/>
      <c r="K416" s="153"/>
      <c r="L416" s="153"/>
      <c r="M416"/>
    </row>
    <row r="417" spans="1:14">
      <c r="A417" s="150"/>
      <c r="B417"/>
      <c r="C417" s="138" t="s">
        <v>3895</v>
      </c>
      <c r="D417" s="138" t="s">
        <v>3896</v>
      </c>
      <c r="E417" s="138" t="s">
        <v>3897</v>
      </c>
      <c r="F417" s="138" t="s">
        <v>3898</v>
      </c>
      <c r="G417" s="138" t="s">
        <v>3899</v>
      </c>
      <c r="H417" s="138" t="s">
        <v>3900</v>
      </c>
      <c r="I417" s="138" t="s">
        <v>3901</v>
      </c>
      <c r="J417" s="138" t="s">
        <v>3936</v>
      </c>
      <c r="K417" s="138" t="s">
        <v>3904</v>
      </c>
      <c r="L417" s="138" t="s">
        <v>3937</v>
      </c>
    </row>
    <row r="418" spans="1:14">
      <c r="A418" s="150" t="str">
        <f>IF(Measure26_kWhSavings&lt;&gt;0,"ImprovementSavings","")</f>
        <v/>
      </c>
      <c r="B418"/>
      <c r="C418" s="142" t="s">
        <v>3890</v>
      </c>
      <c r="D418" s="150"/>
      <c r="E418" s="150"/>
      <c r="F418" s="150"/>
      <c r="G418" s="150"/>
      <c r="H418" s="150"/>
      <c r="I418" s="150"/>
      <c r="J418" s="142">
        <f>Measure26_kWhSavings*GECO_ELEC_RATIO</f>
        <v>0</v>
      </c>
      <c r="K418" s="142">
        <f>Measure26_DemandSavings</f>
        <v>0</v>
      </c>
      <c r="L418" s="142">
        <f>Measure26_ElectricCostSavings</f>
        <v>0</v>
      </c>
    </row>
    <row r="419" spans="1:14">
      <c r="A419" s="150"/>
      <c r="B419"/>
      <c r="C419" s="149" t="s">
        <v>3924</v>
      </c>
      <c r="D419" s="149"/>
      <c r="E419"/>
      <c r="F419"/>
      <c r="G419"/>
      <c r="H419"/>
      <c r="I419"/>
      <c r="J419"/>
      <c r="K419"/>
      <c r="L419"/>
      <c r="M419"/>
      <c r="N419"/>
    </row>
    <row r="420" spans="1:14">
      <c r="A420" s="150"/>
      <c r="B420"/>
      <c r="C420" s="138" t="s">
        <v>3925</v>
      </c>
      <c r="D420" s="138" t="s">
        <v>3813</v>
      </c>
      <c r="E420"/>
      <c r="F420"/>
      <c r="G420"/>
      <c r="H420"/>
      <c r="I420"/>
      <c r="J420"/>
      <c r="K420"/>
      <c r="L420"/>
      <c r="M420"/>
      <c r="N420"/>
    </row>
    <row r="421" spans="1:14">
      <c r="A421" s="135" t="str">
        <f>IF(Measure26_Size&lt;&gt;"","ImprovementAttributes","")</f>
        <v/>
      </c>
      <c r="C421" s="155" t="s">
        <v>3926</v>
      </c>
      <c r="D421" s="155">
        <f>Measure26_Size</f>
        <v>0</v>
      </c>
    </row>
    <row r="422" spans="1:14">
      <c r="A422" s="135" t="str">
        <f>IF(Measure26_Efficiency&lt;&gt;"","ImprovementAttributes","")</f>
        <v/>
      </c>
      <c r="C422" s="155" t="s">
        <v>3927</v>
      </c>
      <c r="D422" s="155">
        <f>Measure26_Efficiency</f>
        <v>0</v>
      </c>
    </row>
    <row r="423" spans="1:14">
      <c r="A423" s="135" t="str">
        <f>IF(Measure26_UsefulLife&lt;&gt;"","ImprovementAttributes","")</f>
        <v/>
      </c>
      <c r="C423" s="155" t="s">
        <v>3928</v>
      </c>
      <c r="D423" s="155">
        <f>Measure26_UsefulLife</f>
        <v>0</v>
      </c>
    </row>
    <row r="424" spans="1:14">
      <c r="A424" s="135" t="str">
        <f>IF(Measure26_SerialNumber&lt;&gt;"","ImprovementAttributes","")</f>
        <v/>
      </c>
      <c r="C424" s="155" t="s">
        <v>3929</v>
      </c>
      <c r="D424" s="155">
        <f>Measure26_SerialNumber</f>
        <v>0</v>
      </c>
    </row>
    <row r="425" spans="1:14">
      <c r="A425" s="135" t="str">
        <f>IF(Measure26_Age&lt;&gt;"","ImprovementAttributes","")</f>
        <v/>
      </c>
      <c r="C425" s="155" t="s">
        <v>3930</v>
      </c>
      <c r="D425" s="155">
        <f>Measure26_Age</f>
        <v>0</v>
      </c>
    </row>
    <row r="426" spans="1:14">
      <c r="A426" s="135" t="str">
        <f>IF(Measure26_Replaced&lt;&gt;"","ImprovementAttributes","")</f>
        <v/>
      </c>
      <c r="C426" s="155" t="s">
        <v>3931</v>
      </c>
      <c r="D426" s="155">
        <f>Measure26_Replaced</f>
        <v>0</v>
      </c>
    </row>
    <row r="427" spans="1:14">
      <c r="A427" s="135" t="str">
        <f>IF(Measure26_Payback&lt;&gt;0,"ImprovementAttributes","")</f>
        <v/>
      </c>
      <c r="C427" s="155" t="s">
        <v>3932</v>
      </c>
      <c r="D427" s="155">
        <f>Measure26_Payback</f>
        <v>0</v>
      </c>
    </row>
    <row r="428" spans="1:14">
      <c r="A428" s="135" t="str">
        <f>IF(Measure26_Incentive&lt;&gt;0,"ImprovementAttributes","")</f>
        <v/>
      </c>
      <c r="C428" s="155" t="s">
        <v>4004</v>
      </c>
      <c r="D428" s="155">
        <f>Measure26_Incentive</f>
        <v>0</v>
      </c>
    </row>
    <row r="429" spans="1:14" ht="18.5">
      <c r="A429"/>
      <c r="B429" s="148" t="s">
        <v>3961</v>
      </c>
      <c r="C429" s="149"/>
      <c r="D429" s="149"/>
      <c r="E429" s="149"/>
      <c r="F429" s="149"/>
      <c r="G429" s="149"/>
      <c r="H429" s="149"/>
      <c r="I429" s="149"/>
      <c r="J429"/>
      <c r="K429"/>
      <c r="L429"/>
      <c r="M429"/>
      <c r="N429"/>
    </row>
    <row r="430" spans="1:14">
      <c r="A430"/>
      <c r="B430" s="138" t="s">
        <v>3916</v>
      </c>
      <c r="C430" s="138" t="s">
        <v>3917</v>
      </c>
      <c r="D430" s="138" t="s">
        <v>3918</v>
      </c>
      <c r="E430" s="138" t="s">
        <v>3919</v>
      </c>
      <c r="F430" s="138" t="s">
        <v>3920</v>
      </c>
      <c r="G430" s="138" t="s">
        <v>3888</v>
      </c>
      <c r="H430" s="138" t="s">
        <v>3921</v>
      </c>
      <c r="I430" s="138" t="s">
        <v>3922</v>
      </c>
      <c r="J430"/>
      <c r="K430" s="150"/>
      <c r="L430" s="150"/>
      <c r="M430" s="150"/>
      <c r="N430" s="150"/>
    </row>
    <row r="431" spans="1:14">
      <c r="A431" t="str">
        <f>IF(Measure27_Type&lt;&gt;0,"Improvements","")</f>
        <v/>
      </c>
      <c r="B431" s="156">
        <f>IF(Measure27_Type="1 to 6 Watt LED Screw-In replacing Incandescent/CFL", "6 Watt LED Screw-In replacing Incandescent/CFL", IF(Measure27_Type="7 to 11 Watt LED Screw-In replacing Incandescent/CFL", "11 Watt LED Screw-In replacing Incandescent/CFL", IF(Measure27_Type="12 to 17 Watt LED Screw-In replacing Incandescent/CFL", "13 Watt LED Screw-In replacing Incandescent/CFL", IF(Measure27_Type="18 or more Watt LED Screw-In replacing Incandescent/CFL", "18 Watt LED Screw-In replacing Incandescent/CFL", Measure27_Type))))</f>
        <v>0</v>
      </c>
      <c r="C431" s="151">
        <f>Measure27_Cost</f>
        <v>0</v>
      </c>
      <c r="D431" s="142">
        <f>Measure27_Quantity</f>
        <v>0</v>
      </c>
      <c r="E431" s="142" t="str">
        <f>IF(Measure27_Description&lt;&gt;"",Measure27_Description,"")</f>
        <v/>
      </c>
      <c r="F431" s="142" t="e">
        <f>IF(Measure27_ShortDescription&lt;&gt; "", Measure27_ShortDescription,"")</f>
        <v>#N/A</v>
      </c>
      <c r="G431" s="142" t="str">
        <f>IF(Measure27_Status&lt;&gt;"",Measure27_Status, "Recommended")</f>
        <v>Recommended</v>
      </c>
      <c r="H431" s="142" t="str">
        <f>IF(Measure27_Comments&lt;&gt;"", Measure27_Comments,"")</f>
        <v/>
      </c>
      <c r="I431" s="142">
        <f>Measure27_ElectricCostSavings</f>
        <v>0</v>
      </c>
      <c r="J431"/>
      <c r="K431"/>
      <c r="L431"/>
      <c r="M431"/>
      <c r="N431"/>
    </row>
    <row r="432" spans="1:14" ht="15.5">
      <c r="A432" s="150"/>
      <c r="B432"/>
      <c r="C432" s="152" t="s">
        <v>3923</v>
      </c>
      <c r="D432" s="153"/>
      <c r="E432" s="153"/>
      <c r="F432" s="153"/>
      <c r="G432" s="153"/>
      <c r="H432" s="153"/>
      <c r="I432" s="153"/>
      <c r="J432" s="153"/>
      <c r="K432" s="153"/>
      <c r="L432" s="153"/>
      <c r="M432"/>
    </row>
    <row r="433" spans="1:14">
      <c r="A433" s="150"/>
      <c r="B433"/>
      <c r="C433" s="138" t="s">
        <v>3895</v>
      </c>
      <c r="D433" s="138" t="s">
        <v>3896</v>
      </c>
      <c r="E433" s="138" t="s">
        <v>3897</v>
      </c>
      <c r="F433" s="138" t="s">
        <v>3898</v>
      </c>
      <c r="G433" s="138" t="s">
        <v>3899</v>
      </c>
      <c r="H433" s="138" t="s">
        <v>3900</v>
      </c>
      <c r="I433" s="138" t="s">
        <v>3901</v>
      </c>
      <c r="J433" s="138" t="s">
        <v>3936</v>
      </c>
      <c r="K433" s="138" t="s">
        <v>3904</v>
      </c>
      <c r="L433" s="138" t="s">
        <v>3937</v>
      </c>
    </row>
    <row r="434" spans="1:14">
      <c r="A434" s="150" t="str">
        <f>IF(Measure27_kWhSavings&lt;&gt;0,"ImprovementSavings","")</f>
        <v/>
      </c>
      <c r="B434"/>
      <c r="C434" s="142" t="s">
        <v>3890</v>
      </c>
      <c r="D434" s="150"/>
      <c r="E434" s="150"/>
      <c r="F434" s="150"/>
      <c r="G434" s="150"/>
      <c r="H434" s="150"/>
      <c r="I434" s="150"/>
      <c r="J434" s="142">
        <f>Measure27_kWhSavings*GECO_ELEC_RATIO</f>
        <v>0</v>
      </c>
      <c r="K434" s="142">
        <f>Measure27_DemandSavings</f>
        <v>0</v>
      </c>
      <c r="L434" s="142">
        <f>Measure27_ElectricCostSavings</f>
        <v>0</v>
      </c>
    </row>
    <row r="435" spans="1:14">
      <c r="A435" s="150"/>
      <c r="B435"/>
      <c r="C435" s="149" t="s">
        <v>3924</v>
      </c>
      <c r="D435" s="149"/>
      <c r="E435"/>
      <c r="F435"/>
      <c r="G435"/>
      <c r="H435"/>
      <c r="I435"/>
      <c r="J435"/>
      <c r="K435"/>
      <c r="L435"/>
      <c r="M435"/>
    </row>
    <row r="436" spans="1:14">
      <c r="A436" s="150"/>
      <c r="B436"/>
      <c r="C436" s="138" t="s">
        <v>3925</v>
      </c>
      <c r="D436" s="138" t="s">
        <v>3813</v>
      </c>
      <c r="E436"/>
      <c r="F436"/>
      <c r="G436"/>
      <c r="H436"/>
      <c r="I436"/>
      <c r="J436"/>
      <c r="K436"/>
      <c r="L436"/>
      <c r="M436"/>
      <c r="N436"/>
    </row>
    <row r="437" spans="1:14">
      <c r="A437" s="135" t="str">
        <f>IF(Measure27_Size&lt;&gt;"","ImprovementAttributes","")</f>
        <v/>
      </c>
      <c r="C437" s="155" t="s">
        <v>3926</v>
      </c>
      <c r="D437" s="155">
        <f>Measure27_Size</f>
        <v>0</v>
      </c>
    </row>
    <row r="438" spans="1:14">
      <c r="A438" s="135" t="str">
        <f>IF(Measure27_Efficiency&lt;&gt;"","ImprovementAttributes","")</f>
        <v/>
      </c>
      <c r="C438" s="155" t="s">
        <v>3927</v>
      </c>
      <c r="D438" s="155">
        <f>Measure27_Efficiency</f>
        <v>0</v>
      </c>
    </row>
    <row r="439" spans="1:14">
      <c r="A439" s="135" t="str">
        <f>IF(Measure27_UsefulLife&lt;&gt;"","ImprovementAttributes","")</f>
        <v/>
      </c>
      <c r="C439" s="155" t="s">
        <v>3928</v>
      </c>
      <c r="D439" s="155">
        <f>Measure27_UsefulLife</f>
        <v>0</v>
      </c>
    </row>
    <row r="440" spans="1:14">
      <c r="A440" s="135" t="str">
        <f>IF(Measure27_SerialNumber&lt;&gt;"","ImprovementAttributes","")</f>
        <v/>
      </c>
      <c r="C440" s="155" t="s">
        <v>3929</v>
      </c>
      <c r="D440" s="155">
        <f>Measure27_SerialNumber</f>
        <v>0</v>
      </c>
    </row>
    <row r="441" spans="1:14">
      <c r="A441" s="135" t="str">
        <f>IF(Measure27_Age&lt;&gt;"","ImprovementAttributes","")</f>
        <v/>
      </c>
      <c r="C441" s="155" t="s">
        <v>3930</v>
      </c>
      <c r="D441" s="155">
        <f>Measure27_Age</f>
        <v>0</v>
      </c>
    </row>
    <row r="442" spans="1:14">
      <c r="A442" s="135" t="str">
        <f>IF(Measure27_Replaced&lt;&gt;"","ImprovementAttributes","")</f>
        <v/>
      </c>
      <c r="C442" s="155" t="s">
        <v>3931</v>
      </c>
      <c r="D442" s="155">
        <f>Measure27_Replaced</f>
        <v>0</v>
      </c>
    </row>
    <row r="443" spans="1:14">
      <c r="A443" s="135" t="str">
        <f>IF(Measure27_Payback&lt;&gt;0,"ImprovementAttributes","")</f>
        <v/>
      </c>
      <c r="C443" s="155" t="s">
        <v>3932</v>
      </c>
      <c r="D443" s="155">
        <f>Measure27_Payback</f>
        <v>0</v>
      </c>
    </row>
    <row r="444" spans="1:14">
      <c r="A444" s="135" t="str">
        <f>IF(Measure27_Incentive&lt;&gt;0,"ImprovementAttributes","")</f>
        <v/>
      </c>
      <c r="C444" s="155" t="s">
        <v>4004</v>
      </c>
      <c r="D444" s="155">
        <f>Measure27_Incentive</f>
        <v>0</v>
      </c>
    </row>
    <row r="445" spans="1:14" ht="18.5">
      <c r="A445"/>
      <c r="B445" s="148" t="s">
        <v>3962</v>
      </c>
      <c r="C445" s="149"/>
      <c r="D445" s="149"/>
      <c r="E445" s="149"/>
      <c r="F445" s="149"/>
      <c r="G445" s="149"/>
      <c r="H445" s="149"/>
      <c r="I445" s="149"/>
      <c r="J445"/>
      <c r="K445"/>
      <c r="L445"/>
      <c r="M445"/>
      <c r="N445"/>
    </row>
    <row r="446" spans="1:14">
      <c r="A446"/>
      <c r="B446" s="138" t="s">
        <v>3916</v>
      </c>
      <c r="C446" s="138" t="s">
        <v>3917</v>
      </c>
      <c r="D446" s="138" t="s">
        <v>3918</v>
      </c>
      <c r="E446" s="138" t="s">
        <v>3919</v>
      </c>
      <c r="F446" s="138" t="s">
        <v>3920</v>
      </c>
      <c r="G446" s="138" t="s">
        <v>3888</v>
      </c>
      <c r="H446" s="138" t="s">
        <v>3921</v>
      </c>
      <c r="I446" s="138" t="s">
        <v>3922</v>
      </c>
      <c r="J446"/>
      <c r="K446" s="150"/>
      <c r="L446" s="150"/>
      <c r="M446" s="150"/>
      <c r="N446" s="150"/>
    </row>
    <row r="447" spans="1:14">
      <c r="A447" t="str">
        <f>IF(Measure28_Type&lt;&gt;0,"Improvements","")</f>
        <v/>
      </c>
      <c r="B447" s="156">
        <f>IF(Measure28_Type="1 to 6 Watt LED Screw-In replacing Incandescent/CFL", "6 Watt LED Screw-In replacing Incandescent/CFL", IF(Measure28_Type="7 to 11 Watt LED Screw-In replacing Incandescent/CFL", "11 Watt LED Screw-In replacing Incandescent/CFL", IF(Measure28_Type="12 to 17 Watt LED Screw-In replacing Incandescent/CFL", "13 Watt LED Screw-In replacing Incandescent/CFL", IF(Measure28_Type="18 or more Watt LED Screw-In replacing Incandescent/CFL", "18 Watt LED Screw-In replacing Incandescent/CFL", Measure28_Type))))</f>
        <v>0</v>
      </c>
      <c r="C447" s="151">
        <f>Measure28_Cost</f>
        <v>0</v>
      </c>
      <c r="D447" s="142">
        <f>Measure28_Quantity</f>
        <v>0</v>
      </c>
      <c r="E447" s="142" t="str">
        <f>IF(Measure28_Description&lt;&gt;"",Measure28_Description,"")</f>
        <v/>
      </c>
      <c r="F447" s="142" t="e">
        <f>IF(Measure28_ShortDescription&lt;&gt; "", Measure28_ShortDescription,"")</f>
        <v>#N/A</v>
      </c>
      <c r="G447" s="142" t="str">
        <f>IF(Measure28_Status&lt;&gt;"",Measure28_Status, "Recommended")</f>
        <v>Recommended</v>
      </c>
      <c r="H447" s="142" t="str">
        <f>IF(Measure28_Comments&lt;&gt;"", Measure28_Comments,"")</f>
        <v/>
      </c>
      <c r="I447" s="142">
        <f>Measure28_ElectricCostSavings</f>
        <v>0</v>
      </c>
      <c r="J447"/>
      <c r="K447"/>
      <c r="L447"/>
      <c r="M447"/>
      <c r="N447"/>
    </row>
    <row r="448" spans="1:14" ht="15.5">
      <c r="A448" s="150"/>
      <c r="B448"/>
      <c r="C448" s="152" t="s">
        <v>3923</v>
      </c>
      <c r="D448" s="153"/>
      <c r="E448" s="153"/>
      <c r="F448" s="153"/>
      <c r="G448" s="153"/>
      <c r="H448" s="153"/>
      <c r="I448" s="153"/>
      <c r="J448" s="153"/>
      <c r="K448" s="153"/>
      <c r="L448" s="153"/>
      <c r="M448"/>
    </row>
    <row r="449" spans="1:14">
      <c r="A449" s="150"/>
      <c r="B449"/>
      <c r="C449" s="138" t="s">
        <v>3895</v>
      </c>
      <c r="D449" s="138" t="s">
        <v>3896</v>
      </c>
      <c r="E449" s="138" t="s">
        <v>3897</v>
      </c>
      <c r="F449" s="138" t="s">
        <v>3898</v>
      </c>
      <c r="G449" s="138" t="s">
        <v>3899</v>
      </c>
      <c r="H449" s="138" t="s">
        <v>3900</v>
      </c>
      <c r="I449" s="138" t="s">
        <v>3901</v>
      </c>
      <c r="J449" s="138" t="s">
        <v>3936</v>
      </c>
      <c r="K449" s="138" t="s">
        <v>3904</v>
      </c>
      <c r="L449" s="138" t="s">
        <v>3937</v>
      </c>
    </row>
    <row r="450" spans="1:14">
      <c r="A450" s="150" t="str">
        <f>IF(Measure28_kWhSavings&lt;&gt;0,"ImprovementSavings","")</f>
        <v/>
      </c>
      <c r="B450"/>
      <c r="C450" s="142" t="s">
        <v>3890</v>
      </c>
      <c r="D450" s="150"/>
      <c r="E450" s="150"/>
      <c r="F450" s="150"/>
      <c r="G450" s="150"/>
      <c r="H450" s="150"/>
      <c r="I450" s="150"/>
      <c r="J450" s="142">
        <f>Measure28_kWhSavings*GECO_ELEC_RATIO</f>
        <v>0</v>
      </c>
      <c r="K450" s="142">
        <f>Measure28_DemandSavings</f>
        <v>0</v>
      </c>
      <c r="L450" s="142">
        <f>Measure28_ElectricCostSavings</f>
        <v>0</v>
      </c>
    </row>
    <row r="451" spans="1:14">
      <c r="A451" s="150"/>
      <c r="B451"/>
      <c r="C451" s="149" t="s">
        <v>3924</v>
      </c>
      <c r="D451" s="149"/>
      <c r="E451"/>
      <c r="F451"/>
      <c r="G451"/>
      <c r="H451"/>
      <c r="I451"/>
      <c r="J451"/>
      <c r="K451"/>
      <c r="L451"/>
      <c r="M451"/>
      <c r="N451"/>
    </row>
    <row r="452" spans="1:14">
      <c r="A452" s="150"/>
      <c r="B452"/>
      <c r="C452" s="138" t="s">
        <v>3925</v>
      </c>
      <c r="D452" s="138" t="s">
        <v>3813</v>
      </c>
      <c r="E452"/>
      <c r="F452"/>
      <c r="G452"/>
      <c r="H452"/>
      <c r="I452"/>
      <c r="J452"/>
      <c r="K452"/>
      <c r="L452"/>
      <c r="M452"/>
      <c r="N452"/>
    </row>
    <row r="453" spans="1:14">
      <c r="A453" s="135" t="str">
        <f>IF(Measure28_Size&lt;&gt;"","ImprovementAttributes","")</f>
        <v/>
      </c>
      <c r="C453" s="155" t="s">
        <v>3926</v>
      </c>
      <c r="D453" s="155">
        <f>Measure28_Size</f>
        <v>0</v>
      </c>
    </row>
    <row r="454" spans="1:14">
      <c r="A454" s="135" t="str">
        <f>IF(Measure28_Efficiency&lt;&gt;"","ImprovementAttributes","")</f>
        <v/>
      </c>
      <c r="C454" s="155" t="s">
        <v>3927</v>
      </c>
      <c r="D454" s="155">
        <f>Measure28_Efficiency</f>
        <v>0</v>
      </c>
    </row>
    <row r="455" spans="1:14">
      <c r="A455" s="135" t="str">
        <f>IF(Measure28_UsefulLife&lt;&gt;"","ImprovementAttributes","")</f>
        <v/>
      </c>
      <c r="C455" s="155" t="s">
        <v>3928</v>
      </c>
      <c r="D455" s="155">
        <f>Measure28_UsefulLife</f>
        <v>0</v>
      </c>
    </row>
    <row r="456" spans="1:14">
      <c r="A456" s="135" t="str">
        <f>IF(Measure28_SerialNumber&lt;&gt;"","ImprovementAttributes","")</f>
        <v/>
      </c>
      <c r="C456" s="155" t="s">
        <v>3929</v>
      </c>
      <c r="D456" s="155">
        <f>Measure28_SerialNumber</f>
        <v>0</v>
      </c>
    </row>
    <row r="457" spans="1:14">
      <c r="A457" s="135" t="str">
        <f>IF(Measure28_Age&lt;&gt;"","ImprovementAttributes","")</f>
        <v/>
      </c>
      <c r="C457" s="155" t="s">
        <v>3930</v>
      </c>
      <c r="D457" s="155">
        <f>Measure28_Age</f>
        <v>0</v>
      </c>
    </row>
    <row r="458" spans="1:14">
      <c r="A458" s="135" t="str">
        <f>IF(Measure28_Replaced&lt;&gt;"","ImprovementAttributes","")</f>
        <v/>
      </c>
      <c r="C458" s="155" t="s">
        <v>3931</v>
      </c>
      <c r="D458" s="155">
        <f>Measure28_Replaced</f>
        <v>0</v>
      </c>
    </row>
    <row r="459" spans="1:14">
      <c r="A459" s="135" t="str">
        <f>IF(Measure28_Payback&lt;&gt;0,"ImprovementAttributes","")</f>
        <v/>
      </c>
      <c r="C459" s="155" t="s">
        <v>3932</v>
      </c>
      <c r="D459" s="155">
        <f>Measure28_Payback</f>
        <v>0</v>
      </c>
    </row>
    <row r="460" spans="1:14">
      <c r="A460" s="135" t="str">
        <f>IF(Measure28_Incentive&lt;&gt;0,"ImprovementAttributes","")</f>
        <v/>
      </c>
      <c r="C460" s="155" t="s">
        <v>4004</v>
      </c>
      <c r="D460" s="155">
        <f>Measure28_Incentive</f>
        <v>0</v>
      </c>
    </row>
    <row r="461" spans="1:14" ht="18.5">
      <c r="A461"/>
      <c r="B461" s="148" t="s">
        <v>3963</v>
      </c>
      <c r="C461" s="149"/>
      <c r="D461" s="149"/>
      <c r="E461" s="149"/>
      <c r="F461" s="149"/>
      <c r="G461" s="149"/>
      <c r="H461" s="149"/>
      <c r="I461" s="149"/>
      <c r="J461"/>
      <c r="K461"/>
      <c r="L461"/>
      <c r="M461"/>
      <c r="N461"/>
    </row>
    <row r="462" spans="1:14">
      <c r="A462"/>
      <c r="B462" s="138" t="s">
        <v>3916</v>
      </c>
      <c r="C462" s="138" t="s">
        <v>3917</v>
      </c>
      <c r="D462" s="138" t="s">
        <v>3918</v>
      </c>
      <c r="E462" s="138" t="s">
        <v>3919</v>
      </c>
      <c r="F462" s="138" t="s">
        <v>3920</v>
      </c>
      <c r="G462" s="138" t="s">
        <v>3888</v>
      </c>
      <c r="H462" s="138" t="s">
        <v>3921</v>
      </c>
      <c r="I462" s="138" t="s">
        <v>3922</v>
      </c>
      <c r="J462"/>
      <c r="K462" s="150"/>
      <c r="L462" s="150"/>
      <c r="M462" s="150"/>
      <c r="N462" s="150"/>
    </row>
    <row r="463" spans="1:14">
      <c r="A463" t="str">
        <f>IF(Measure29_Type&lt;&gt;0,"Improvements","")</f>
        <v/>
      </c>
      <c r="B463" s="156">
        <f>IF(Measure29_Type="1 to 6 Watt LED Screw-In replacing Incandescent/CFL", "6 Watt LED Screw-In replacing Incandescent/CFL", IF(Measure29_Type="7 to 11 Watt LED Screw-In replacing Incandescent/CFL", "11 Watt LED Screw-In replacing Incandescent/CFL", IF(Measure29_Type="12 to 17 Watt LED Screw-In replacing Incandescent/CFL", "13 Watt LED Screw-In replacing Incandescent/CFL", IF(Measure29_Type="18 or more Watt LED Screw-In replacing Incandescent/CFL", "18 Watt LED Screw-In replacing Incandescent/CFL", Measure29_Type))))</f>
        <v>0</v>
      </c>
      <c r="C463" s="151">
        <f>Measure29_Cost</f>
        <v>0</v>
      </c>
      <c r="D463" s="142">
        <f>Measure29_Quantity</f>
        <v>0</v>
      </c>
      <c r="E463" s="142" t="str">
        <f>IF(Measure29_Description&lt;&gt;"",Measure29_Description,"")</f>
        <v/>
      </c>
      <c r="F463" s="142" t="e">
        <f>IF(Measure29_ShortDescription&lt;&gt; "", Measure29_ShortDescription,"")</f>
        <v>#N/A</v>
      </c>
      <c r="G463" s="142" t="str">
        <f>IF(Measure29_Status&lt;&gt;"",Measure29_Status, "Recommended")</f>
        <v>Recommended</v>
      </c>
      <c r="H463" s="142" t="str">
        <f>IF(Measure29_Comments&lt;&gt;"", Measure29_Comments,"")</f>
        <v/>
      </c>
      <c r="I463" s="142">
        <f>Measure29_ElectricCostSavings</f>
        <v>0</v>
      </c>
      <c r="J463"/>
      <c r="K463"/>
      <c r="L463"/>
      <c r="M463"/>
      <c r="N463"/>
    </row>
    <row r="464" spans="1:14" ht="15.5">
      <c r="A464" s="150"/>
      <c r="B464"/>
      <c r="C464" s="152" t="s">
        <v>3923</v>
      </c>
      <c r="D464" s="153"/>
      <c r="E464" s="153"/>
      <c r="F464" s="153"/>
      <c r="G464" s="153"/>
      <c r="H464" s="153"/>
      <c r="I464" s="153"/>
      <c r="J464" s="153"/>
      <c r="K464" s="153"/>
      <c r="L464" s="153"/>
      <c r="M464"/>
    </row>
    <row r="465" spans="1:14">
      <c r="A465" s="150"/>
      <c r="B465"/>
      <c r="C465" s="138" t="s">
        <v>3895</v>
      </c>
      <c r="D465" s="138" t="s">
        <v>3896</v>
      </c>
      <c r="E465" s="138" t="s">
        <v>3897</v>
      </c>
      <c r="F465" s="138" t="s">
        <v>3898</v>
      </c>
      <c r="G465" s="138" t="s">
        <v>3899</v>
      </c>
      <c r="H465" s="138" t="s">
        <v>3900</v>
      </c>
      <c r="I465" s="138" t="s">
        <v>3901</v>
      </c>
      <c r="J465" s="138" t="s">
        <v>3936</v>
      </c>
      <c r="K465" s="138" t="s">
        <v>3904</v>
      </c>
      <c r="L465" s="138" t="s">
        <v>3937</v>
      </c>
    </row>
    <row r="466" spans="1:14">
      <c r="A466" s="150" t="str">
        <f>IF(Measure29_kWhSavings&lt;&gt;0,"ImprovementSavings","")</f>
        <v/>
      </c>
      <c r="B466"/>
      <c r="C466" s="142" t="s">
        <v>3890</v>
      </c>
      <c r="D466" s="150"/>
      <c r="E466" s="150"/>
      <c r="F466" s="150"/>
      <c r="G466" s="150"/>
      <c r="H466" s="150"/>
      <c r="I466" s="150"/>
      <c r="J466" s="142">
        <f>Measure29_kWhSavings*GECO_ELEC_RATIO</f>
        <v>0</v>
      </c>
      <c r="K466" s="142">
        <f>Measure29_DemandSavings</f>
        <v>0</v>
      </c>
      <c r="L466" s="142">
        <f>Measure29_ElectricCostSavings</f>
        <v>0</v>
      </c>
    </row>
    <row r="467" spans="1:14">
      <c r="A467" s="150"/>
      <c r="B467"/>
      <c r="C467" s="149" t="s">
        <v>3924</v>
      </c>
      <c r="D467" s="149"/>
      <c r="E467"/>
      <c r="F467"/>
      <c r="G467"/>
      <c r="H467"/>
      <c r="I467"/>
      <c r="J467"/>
      <c r="K467"/>
      <c r="L467"/>
      <c r="M467"/>
      <c r="N467"/>
    </row>
    <row r="468" spans="1:14">
      <c r="A468" s="150"/>
      <c r="B468"/>
      <c r="C468" s="138" t="s">
        <v>3925</v>
      </c>
      <c r="D468" s="138" t="s">
        <v>3813</v>
      </c>
      <c r="E468"/>
      <c r="F468"/>
      <c r="G468"/>
      <c r="H468"/>
      <c r="I468"/>
      <c r="J468"/>
      <c r="K468"/>
      <c r="L468"/>
      <c r="M468"/>
      <c r="N468"/>
    </row>
    <row r="469" spans="1:14">
      <c r="A469" s="135" t="str">
        <f>IF(Measure29_Size&lt;&gt;"","ImprovementAttributes","")</f>
        <v/>
      </c>
      <c r="C469" s="155" t="s">
        <v>3926</v>
      </c>
      <c r="D469" s="155">
        <f>Measure29_Size</f>
        <v>0</v>
      </c>
    </row>
    <row r="470" spans="1:14">
      <c r="A470" s="135" t="str">
        <f>IF(Measure29_Efficiency&lt;&gt;"","ImprovementAttributes","")</f>
        <v/>
      </c>
      <c r="C470" s="155" t="s">
        <v>3927</v>
      </c>
      <c r="D470" s="155">
        <f>Measure29_Efficiency</f>
        <v>0</v>
      </c>
    </row>
    <row r="471" spans="1:14">
      <c r="A471" s="135" t="str">
        <f>IF(Measure29_UsefulLife&lt;&gt;"","ImprovementAttributes","")</f>
        <v/>
      </c>
      <c r="C471" s="155" t="s">
        <v>3928</v>
      </c>
      <c r="D471" s="155">
        <f>Measure29_UsefulLife</f>
        <v>0</v>
      </c>
    </row>
    <row r="472" spans="1:14">
      <c r="A472" s="135" t="str">
        <f>IF(Measure29_SerialNumber&lt;&gt;"","ImprovementAttributes","")</f>
        <v/>
      </c>
      <c r="C472" s="155" t="s">
        <v>3929</v>
      </c>
      <c r="D472" s="155">
        <f>Measure29_SerialNumber</f>
        <v>0</v>
      </c>
    </row>
    <row r="473" spans="1:14">
      <c r="A473" s="135" t="str">
        <f>IF(Measure29_Age&lt;&gt;"","ImprovementAttributes","")</f>
        <v/>
      </c>
      <c r="C473" s="155" t="s">
        <v>3930</v>
      </c>
      <c r="D473" s="155">
        <f>Measure29_Age</f>
        <v>0</v>
      </c>
    </row>
    <row r="474" spans="1:14">
      <c r="A474" s="135" t="str">
        <f>IF(Measure29_Replaced&lt;&gt;"","ImprovementAttributes","")</f>
        <v/>
      </c>
      <c r="C474" s="155" t="s">
        <v>3931</v>
      </c>
      <c r="D474" s="155">
        <f>Measure29_Replaced</f>
        <v>0</v>
      </c>
    </row>
    <row r="475" spans="1:14">
      <c r="A475" s="135" t="str">
        <f>IF(Measure29_Payback&lt;&gt;0,"ImprovementAttributes","")</f>
        <v/>
      </c>
      <c r="C475" s="155" t="s">
        <v>3932</v>
      </c>
      <c r="D475" s="155">
        <f>Measure29_Payback</f>
        <v>0</v>
      </c>
    </row>
    <row r="476" spans="1:14">
      <c r="A476" s="135" t="str">
        <f>IF(Measure29_Incentive&lt;&gt;0,"ImprovementAttributes","")</f>
        <v/>
      </c>
      <c r="C476" s="155" t="s">
        <v>4004</v>
      </c>
      <c r="D476" s="155">
        <f>Measure29_Incentive</f>
        <v>0</v>
      </c>
    </row>
    <row r="477" spans="1:14" ht="18.5">
      <c r="A477"/>
      <c r="B477" s="148" t="s">
        <v>3964</v>
      </c>
      <c r="C477" s="149"/>
      <c r="D477" s="149"/>
      <c r="E477" s="149"/>
      <c r="F477" s="149"/>
      <c r="G477" s="149"/>
      <c r="H477" s="149"/>
      <c r="I477" s="149"/>
      <c r="J477"/>
      <c r="K477"/>
      <c r="L477"/>
      <c r="M477"/>
      <c r="N477"/>
    </row>
    <row r="478" spans="1:14">
      <c r="A478"/>
      <c r="B478" s="138" t="s">
        <v>3916</v>
      </c>
      <c r="C478" s="138" t="s">
        <v>3917</v>
      </c>
      <c r="D478" s="138" t="s">
        <v>3918</v>
      </c>
      <c r="E478" s="138" t="s">
        <v>3919</v>
      </c>
      <c r="F478" s="138" t="s">
        <v>3920</v>
      </c>
      <c r="G478" s="138" t="s">
        <v>3888</v>
      </c>
      <c r="H478" s="138" t="s">
        <v>3921</v>
      </c>
      <c r="I478" s="138" t="s">
        <v>3922</v>
      </c>
      <c r="J478"/>
      <c r="K478" s="150"/>
      <c r="L478" s="150"/>
      <c r="M478" s="150"/>
      <c r="N478" s="150"/>
    </row>
    <row r="479" spans="1:14">
      <c r="A479" t="str">
        <f>IF(Measure30_Type&lt;&gt;0,"Improvements","")</f>
        <v/>
      </c>
      <c r="B479" s="156">
        <f>IF(Measure30_Type="1 to 6 Watt LED Screw-In replacing Incandescent/CFL", "6 Watt LED Screw-In replacing Incandescent/CFL", IF(Measure30_Type="7 to 11 Watt LED Screw-In replacing Incandescent/CFL", "11 Watt LED Screw-In replacing Incandescent/CFL", IF(Measure30_Type="12 to 17 Watt LED Screw-In replacing Incandescent/CFL", "13 Watt LED Screw-In replacing Incandescent/CFL", IF(Measure30_Type="18 or more Watt LED Screw-In replacing Incandescent/CFL", "18 Watt LED Screw-In replacing Incandescent/CFL", Measure30_Type))))</f>
        <v>0</v>
      </c>
      <c r="C479" s="151">
        <f>Measure30_Cost</f>
        <v>0</v>
      </c>
      <c r="D479" s="142">
        <f>Measure30_Quantity</f>
        <v>0</v>
      </c>
      <c r="E479" s="142" t="str">
        <f>IF(Measure30_Description&lt;&gt;"",Measure30_Description,"")</f>
        <v/>
      </c>
      <c r="F479" s="142" t="e">
        <f>IF(Measure30_ShortDescription&lt;&gt; "", Measure30_ShortDescription,"")</f>
        <v>#N/A</v>
      </c>
      <c r="G479" s="142" t="str">
        <f>IF(Measure30_Status&lt;&gt;"",Measure30_Status, "Recommended")</f>
        <v>Recommended</v>
      </c>
      <c r="H479" s="142" t="str">
        <f>IF(Measure30_Comments&lt;&gt;"", Measure30_Comments,"")</f>
        <v/>
      </c>
      <c r="I479" s="142">
        <f>Measure30_ElectricCostSavings</f>
        <v>0</v>
      </c>
      <c r="J479"/>
      <c r="K479"/>
      <c r="L479"/>
      <c r="M479"/>
      <c r="N479"/>
    </row>
    <row r="480" spans="1:14" ht="15.5">
      <c r="A480" s="150"/>
      <c r="B480"/>
      <c r="C480" s="152" t="s">
        <v>3923</v>
      </c>
      <c r="D480" s="153"/>
      <c r="E480" s="153"/>
      <c r="F480" s="153"/>
      <c r="G480" s="153"/>
      <c r="H480" s="153"/>
      <c r="I480" s="153"/>
      <c r="J480" s="153"/>
      <c r="K480" s="153"/>
      <c r="L480" s="153"/>
      <c r="M480"/>
    </row>
    <row r="481" spans="1:14">
      <c r="A481" s="150"/>
      <c r="B481"/>
      <c r="C481" s="138" t="s">
        <v>3895</v>
      </c>
      <c r="D481" s="138" t="s">
        <v>3896</v>
      </c>
      <c r="E481" s="138" t="s">
        <v>3897</v>
      </c>
      <c r="F481" s="138" t="s">
        <v>3898</v>
      </c>
      <c r="G481" s="138" t="s">
        <v>3899</v>
      </c>
      <c r="H481" s="138" t="s">
        <v>3900</v>
      </c>
      <c r="I481" s="138" t="s">
        <v>3901</v>
      </c>
      <c r="J481" s="138" t="s">
        <v>3936</v>
      </c>
      <c r="K481" s="138" t="s">
        <v>3904</v>
      </c>
      <c r="L481" s="138" t="s">
        <v>3937</v>
      </c>
    </row>
    <row r="482" spans="1:14">
      <c r="A482" s="150" t="str">
        <f>IF(Measure30_kWhSavings&lt;&gt;0,"ImprovementSavings","")</f>
        <v/>
      </c>
      <c r="B482"/>
      <c r="C482" s="142" t="s">
        <v>3890</v>
      </c>
      <c r="D482" s="150"/>
      <c r="E482" s="150"/>
      <c r="F482" s="150"/>
      <c r="G482" s="150"/>
      <c r="H482" s="150"/>
      <c r="I482" s="150"/>
      <c r="J482" s="142">
        <f>Measure30_kWhSavings*GECO_ELEC_RATIO</f>
        <v>0</v>
      </c>
      <c r="K482" s="142">
        <f>Measure30_DemandSavings</f>
        <v>0</v>
      </c>
      <c r="L482" s="142">
        <f>Measure30_ElectricCostSavings</f>
        <v>0</v>
      </c>
    </row>
    <row r="483" spans="1:14">
      <c r="A483" s="150"/>
      <c r="B483"/>
      <c r="C483" s="149" t="s">
        <v>3924</v>
      </c>
      <c r="D483" s="149"/>
      <c r="E483"/>
      <c r="F483"/>
      <c r="G483"/>
      <c r="H483"/>
      <c r="I483"/>
      <c r="J483"/>
      <c r="K483"/>
      <c r="L483"/>
      <c r="M483"/>
    </row>
    <row r="484" spans="1:14">
      <c r="A484" s="150"/>
      <c r="B484"/>
      <c r="C484" s="138" t="s">
        <v>3925</v>
      </c>
      <c r="D484" s="138" t="s">
        <v>3813</v>
      </c>
      <c r="E484"/>
      <c r="F484"/>
      <c r="G484"/>
      <c r="H484"/>
      <c r="I484"/>
      <c r="J484"/>
      <c r="K484"/>
      <c r="L484"/>
      <c r="M484"/>
      <c r="N484"/>
    </row>
    <row r="485" spans="1:14">
      <c r="A485" s="135" t="str">
        <f>IF(Measure30_Size&lt;&gt;"","ImprovementAttributes","")</f>
        <v/>
      </c>
      <c r="C485" s="155" t="s">
        <v>3926</v>
      </c>
      <c r="D485" s="155">
        <f>Measure30_Size</f>
        <v>0</v>
      </c>
    </row>
    <row r="486" spans="1:14">
      <c r="A486" s="135" t="str">
        <f>IF(Measure30_Efficiency&lt;&gt;"","ImprovementAttributes","")</f>
        <v/>
      </c>
      <c r="C486" s="155" t="s">
        <v>3927</v>
      </c>
      <c r="D486" s="155">
        <f>Measure30_Efficiency</f>
        <v>0</v>
      </c>
    </row>
    <row r="487" spans="1:14">
      <c r="A487" s="135" t="str">
        <f>IF(Measure30_UsefulLife&lt;&gt;"","ImprovementAttributes","")</f>
        <v/>
      </c>
      <c r="C487" s="155" t="s">
        <v>3928</v>
      </c>
      <c r="D487" s="155">
        <f>Measure30_UsefulLife</f>
        <v>0</v>
      </c>
    </row>
    <row r="488" spans="1:14">
      <c r="A488" s="135" t="str">
        <f>IF(Measure30_SerialNumber&lt;&gt;"","ImprovementAttributes","")</f>
        <v/>
      </c>
      <c r="C488" s="155" t="s">
        <v>3929</v>
      </c>
      <c r="D488" s="155">
        <f>Measure30_SerialNumber</f>
        <v>0</v>
      </c>
    </row>
    <row r="489" spans="1:14">
      <c r="A489" s="135" t="str">
        <f>IF(Measure30_Age&lt;&gt;"","ImprovementAttributes","")</f>
        <v/>
      </c>
      <c r="C489" s="155" t="s">
        <v>3930</v>
      </c>
      <c r="D489" s="155">
        <f>Measure30_Age</f>
        <v>0</v>
      </c>
    </row>
    <row r="490" spans="1:14">
      <c r="A490" s="135" t="str">
        <f>IF(Measure30_Replaced&lt;&gt;"","ImprovementAttributes","")</f>
        <v/>
      </c>
      <c r="C490" s="155" t="s">
        <v>3931</v>
      </c>
      <c r="D490" s="155">
        <f>Measure30_Replaced</f>
        <v>0</v>
      </c>
    </row>
    <row r="491" spans="1:14">
      <c r="A491" s="135" t="str">
        <f>IF(Measure30_Payback&lt;&gt;0,"ImprovementAttributes","")</f>
        <v/>
      </c>
      <c r="C491" s="155" t="s">
        <v>3932</v>
      </c>
      <c r="D491" s="155">
        <f>Measure30_Payback</f>
        <v>0</v>
      </c>
    </row>
    <row r="492" spans="1:14">
      <c r="A492" s="135" t="str">
        <f>IF(Measure30_Incentive&lt;&gt;0,"ImprovementAttributes","")</f>
        <v/>
      </c>
      <c r="C492" s="155" t="s">
        <v>4004</v>
      </c>
      <c r="D492" s="155">
        <f>Measure30_Incentive</f>
        <v>0</v>
      </c>
    </row>
    <row r="493" spans="1:14" ht="18.5">
      <c r="A493"/>
      <c r="B493" s="148" t="s">
        <v>3965</v>
      </c>
      <c r="C493" s="149"/>
      <c r="D493" s="149"/>
      <c r="E493" s="149"/>
      <c r="F493" s="149"/>
      <c r="G493" s="149"/>
      <c r="H493" s="149"/>
      <c r="I493" s="149"/>
      <c r="J493"/>
      <c r="K493"/>
      <c r="L493"/>
      <c r="M493"/>
      <c r="N493"/>
    </row>
    <row r="494" spans="1:14">
      <c r="A494"/>
      <c r="B494" s="138" t="s">
        <v>3916</v>
      </c>
      <c r="C494" s="138" t="s">
        <v>3917</v>
      </c>
      <c r="D494" s="138" t="s">
        <v>3918</v>
      </c>
      <c r="E494" s="138" t="s">
        <v>3919</v>
      </c>
      <c r="F494" s="138" t="s">
        <v>3920</v>
      </c>
      <c r="G494" s="138" t="s">
        <v>3888</v>
      </c>
      <c r="H494" s="138" t="s">
        <v>3921</v>
      </c>
      <c r="I494" s="138" t="s">
        <v>3922</v>
      </c>
      <c r="J494"/>
      <c r="K494" s="150"/>
      <c r="L494" s="150"/>
      <c r="M494" s="150"/>
      <c r="N494" s="150"/>
    </row>
    <row r="495" spans="1:14">
      <c r="A495" t="str">
        <f>IF(Measure31_Type&lt;&gt;0,"Improvements","")</f>
        <v/>
      </c>
      <c r="B495" s="156">
        <f>IF(Measure31_Type="1 to 6 Watt LED Screw-In replacing Incandescent/CFL", "6 Watt LED Screw-In replacing Incandescent/CFL", IF(Measure31_Type="7 to 11 Watt LED Screw-In replacing Incandescent/CFL", "11 Watt LED Screw-In replacing Incandescent/CFL", IF(Measure31_Type="12 to 17 Watt LED Screw-In replacing Incandescent/CFL", "13 Watt LED Screw-In replacing Incandescent/CFL", IF(Measure31_Type="18 or more Watt LED Screw-In replacing Incandescent/CFL", "18 Watt LED Screw-In replacing Incandescent/CFL", Measure31_Type))))</f>
        <v>0</v>
      </c>
      <c r="C495" s="151">
        <f>Measure31_Cost</f>
        <v>0</v>
      </c>
      <c r="D495" s="142">
        <f>Measure31_Quantity</f>
        <v>0</v>
      </c>
      <c r="E495" s="142" t="str">
        <f>IF(Measure31_Description&lt;&gt;"",Measure31_Description,"")</f>
        <v/>
      </c>
      <c r="F495" s="142" t="e">
        <f>IF(Measure31_ShortDescription&lt;&gt; "", Measure31_ShortDescription,"")</f>
        <v>#N/A</v>
      </c>
      <c r="G495" s="142" t="str">
        <f>IF(Measure31_Status&lt;&gt;"",Measure31_Status, "Recommended")</f>
        <v>Recommended</v>
      </c>
      <c r="H495" s="142" t="str">
        <f>IF(Measure31_Comments&lt;&gt;"", Measure31_Comments,"")</f>
        <v/>
      </c>
      <c r="I495" s="142">
        <f>Measure31_ElectricCostSavings</f>
        <v>0</v>
      </c>
      <c r="J495"/>
      <c r="K495"/>
      <c r="L495"/>
      <c r="M495"/>
      <c r="N495"/>
    </row>
    <row r="496" spans="1:14" ht="15.5">
      <c r="A496" s="150"/>
      <c r="B496"/>
      <c r="C496" s="152" t="s">
        <v>3923</v>
      </c>
      <c r="D496" s="153"/>
      <c r="E496" s="153"/>
      <c r="F496" s="153"/>
      <c r="G496" s="153"/>
      <c r="H496" s="153"/>
      <c r="I496" s="153"/>
      <c r="J496" s="153"/>
      <c r="K496" s="153"/>
      <c r="L496" s="153"/>
      <c r="M496"/>
    </row>
    <row r="497" spans="1:14">
      <c r="A497" s="150"/>
      <c r="B497"/>
      <c r="C497" s="138" t="s">
        <v>3895</v>
      </c>
      <c r="D497" s="138" t="s">
        <v>3896</v>
      </c>
      <c r="E497" s="138" t="s">
        <v>3897</v>
      </c>
      <c r="F497" s="138" t="s">
        <v>3898</v>
      </c>
      <c r="G497" s="138" t="s">
        <v>3899</v>
      </c>
      <c r="H497" s="138" t="s">
        <v>3900</v>
      </c>
      <c r="I497" s="138" t="s">
        <v>3901</v>
      </c>
      <c r="J497" s="138" t="s">
        <v>3936</v>
      </c>
      <c r="K497" s="138" t="s">
        <v>3904</v>
      </c>
      <c r="L497" s="138" t="s">
        <v>3937</v>
      </c>
    </row>
    <row r="498" spans="1:14">
      <c r="A498" s="150" t="str">
        <f>IF(Measure31_kWhSavings&lt;&gt;0,"ImprovementSavings","")</f>
        <v/>
      </c>
      <c r="B498"/>
      <c r="C498" s="142" t="s">
        <v>3890</v>
      </c>
      <c r="D498" s="150"/>
      <c r="E498" s="150"/>
      <c r="F498" s="150"/>
      <c r="G498" s="150"/>
      <c r="H498" s="150"/>
      <c r="I498" s="150"/>
      <c r="J498" s="142">
        <f>Measure31_kWhSavings*GECO_ELEC_RATIO</f>
        <v>0</v>
      </c>
      <c r="K498" s="142">
        <f>Measure31_DemandSavings</f>
        <v>0</v>
      </c>
      <c r="L498" s="142">
        <f>Measure31_ElectricCostSavings</f>
        <v>0</v>
      </c>
    </row>
    <row r="499" spans="1:14">
      <c r="A499" s="150"/>
      <c r="B499"/>
      <c r="C499" s="149" t="s">
        <v>3924</v>
      </c>
      <c r="D499" s="149"/>
      <c r="E499"/>
      <c r="F499"/>
      <c r="G499"/>
      <c r="H499"/>
      <c r="I499"/>
      <c r="J499"/>
      <c r="K499"/>
      <c r="L499"/>
      <c r="M499"/>
      <c r="N499"/>
    </row>
    <row r="500" spans="1:14">
      <c r="A500" s="150"/>
      <c r="B500"/>
      <c r="C500" s="138" t="s">
        <v>3925</v>
      </c>
      <c r="D500" s="138" t="s">
        <v>3813</v>
      </c>
      <c r="E500"/>
      <c r="F500"/>
      <c r="G500"/>
      <c r="H500"/>
      <c r="I500"/>
      <c r="J500"/>
      <c r="K500"/>
      <c r="L500"/>
      <c r="M500"/>
      <c r="N500"/>
    </row>
    <row r="501" spans="1:14">
      <c r="A501" s="135" t="str">
        <f>IF(Measure31_Size&lt;&gt;"","ImprovementAttributes","")</f>
        <v/>
      </c>
      <c r="C501" s="155" t="s">
        <v>3926</v>
      </c>
      <c r="D501" s="155">
        <f>Measure31_Size</f>
        <v>0</v>
      </c>
    </row>
    <row r="502" spans="1:14">
      <c r="A502" s="135" t="str">
        <f>IF(Measure31_Efficiency&lt;&gt;"","ImprovementAttributes","")</f>
        <v/>
      </c>
      <c r="C502" s="155" t="s">
        <v>3927</v>
      </c>
      <c r="D502" s="155">
        <f>Measure31_Efficiency</f>
        <v>0</v>
      </c>
    </row>
    <row r="503" spans="1:14">
      <c r="A503" s="135" t="str">
        <f>IF(Measure31_UsefulLife&lt;&gt;"","ImprovementAttributes","")</f>
        <v/>
      </c>
      <c r="C503" s="155" t="s">
        <v>3928</v>
      </c>
      <c r="D503" s="155">
        <f>Measure31_UsefulLife</f>
        <v>0</v>
      </c>
    </row>
    <row r="504" spans="1:14">
      <c r="A504" s="135" t="str">
        <f>IF(Measure31_SerialNumber&lt;&gt;"","ImprovementAttributes","")</f>
        <v/>
      </c>
      <c r="C504" s="155" t="s">
        <v>3929</v>
      </c>
      <c r="D504" s="155">
        <f>Measure31_SerialNumber</f>
        <v>0</v>
      </c>
    </row>
    <row r="505" spans="1:14">
      <c r="A505" s="135" t="str">
        <f>IF(Measure31_Age&lt;&gt;"","ImprovementAttributes","")</f>
        <v/>
      </c>
      <c r="C505" s="155" t="s">
        <v>3930</v>
      </c>
      <c r="D505" s="155">
        <f>Measure31_Age</f>
        <v>0</v>
      </c>
    </row>
    <row r="506" spans="1:14">
      <c r="A506" s="135" t="str">
        <f>IF(Measure31_Replaced&lt;&gt;"","ImprovementAttributes","")</f>
        <v/>
      </c>
      <c r="C506" s="155" t="s">
        <v>3931</v>
      </c>
      <c r="D506" s="155">
        <f>Measure31_Replaced</f>
        <v>0</v>
      </c>
    </row>
    <row r="507" spans="1:14">
      <c r="A507" s="135" t="str">
        <f>IF(Measure31_Payback&lt;&gt;0,"ImprovementAttributes","")</f>
        <v/>
      </c>
      <c r="C507" s="155" t="s">
        <v>3932</v>
      </c>
      <c r="D507" s="155">
        <f>Measure31_Payback</f>
        <v>0</v>
      </c>
    </row>
    <row r="508" spans="1:14">
      <c r="A508" s="135" t="str">
        <f>IF(Measure31_Incentive&lt;&gt;0,"ImprovementAttributes","")</f>
        <v/>
      </c>
      <c r="C508" s="155" t="s">
        <v>4004</v>
      </c>
      <c r="D508" s="155">
        <f>Measure31_Incentive</f>
        <v>0</v>
      </c>
    </row>
    <row r="509" spans="1:14" ht="18.5">
      <c r="A509"/>
      <c r="B509" s="148" t="s">
        <v>3966</v>
      </c>
      <c r="C509" s="149"/>
      <c r="D509" s="149"/>
      <c r="E509" s="149"/>
      <c r="F509" s="149"/>
      <c r="G509" s="149"/>
      <c r="H509" s="149"/>
      <c r="I509" s="149"/>
      <c r="J509"/>
      <c r="K509"/>
      <c r="L509"/>
      <c r="M509"/>
      <c r="N509"/>
    </row>
    <row r="510" spans="1:14">
      <c r="A510"/>
      <c r="B510" s="138" t="s">
        <v>3916</v>
      </c>
      <c r="C510" s="138" t="s">
        <v>3917</v>
      </c>
      <c r="D510" s="138" t="s">
        <v>3918</v>
      </c>
      <c r="E510" s="138" t="s">
        <v>3919</v>
      </c>
      <c r="F510" s="138" t="s">
        <v>3920</v>
      </c>
      <c r="G510" s="138" t="s">
        <v>3888</v>
      </c>
      <c r="H510" s="138" t="s">
        <v>3921</v>
      </c>
      <c r="I510" s="138" t="s">
        <v>3922</v>
      </c>
      <c r="J510"/>
      <c r="K510" s="150"/>
      <c r="L510" s="150"/>
      <c r="M510" s="150"/>
      <c r="N510" s="150"/>
    </row>
    <row r="511" spans="1:14">
      <c r="A511" t="str">
        <f>IF(Measure32_Type&lt;&gt;0,"Improvements","")</f>
        <v/>
      </c>
      <c r="B511" s="156">
        <f>IF(Measure32_Type="1 to 6 Watt LED Screw-In replacing Incandescent/CFL", "6 Watt LED Screw-In replacing Incandescent/CFL", IF(Measure32_Type="7 to 11 Watt LED Screw-In replacing Incandescent/CFL", "11 Watt LED Screw-In replacing Incandescent/CFL", IF(Measure32_Type="12 to 17 Watt LED Screw-In replacing Incandescent/CFL", "13 Watt LED Screw-In replacing Incandescent/CFL", IF(Measure32_Type="18 or more Watt LED Screw-In replacing Incandescent/CFL", "18 Watt LED Screw-In replacing Incandescent/CFL", Measure32_Type))))</f>
        <v>0</v>
      </c>
      <c r="C511" s="151">
        <f>Measure32_Cost</f>
        <v>0</v>
      </c>
      <c r="D511" s="142">
        <f>Measure32_Quantity</f>
        <v>0</v>
      </c>
      <c r="E511" s="142" t="str">
        <f>IF(Measure32_Description&lt;&gt;"",Measure32_Description,"")</f>
        <v/>
      </c>
      <c r="F511" s="142" t="e">
        <f>IF(Measure32_ShortDescription&lt;&gt; "", Measure32_ShortDescription,"")</f>
        <v>#N/A</v>
      </c>
      <c r="G511" s="142" t="str">
        <f>IF(Measure32_Status&lt;&gt;"",Measure32_Status, "Recommended")</f>
        <v>Recommended</v>
      </c>
      <c r="H511" s="142" t="str">
        <f>IF(Measure32_Comments&lt;&gt;"", Measure32_Comments,"")</f>
        <v/>
      </c>
      <c r="I511" s="142">
        <f>Measure32_ElectricCostSavings</f>
        <v>0</v>
      </c>
      <c r="J511"/>
      <c r="K511"/>
      <c r="L511"/>
      <c r="M511"/>
      <c r="N511"/>
    </row>
    <row r="512" spans="1:14" ht="15.5">
      <c r="A512" s="150"/>
      <c r="B512"/>
      <c r="C512" s="152" t="s">
        <v>3923</v>
      </c>
      <c r="D512" s="153"/>
      <c r="E512" s="153"/>
      <c r="F512" s="153"/>
      <c r="G512" s="153"/>
      <c r="H512" s="153"/>
      <c r="I512" s="153"/>
      <c r="J512" s="153"/>
      <c r="K512" s="153"/>
      <c r="L512" s="153"/>
      <c r="M512"/>
    </row>
    <row r="513" spans="1:14">
      <c r="A513" s="150"/>
      <c r="B513"/>
      <c r="C513" s="138" t="s">
        <v>3895</v>
      </c>
      <c r="D513" s="138" t="s">
        <v>3896</v>
      </c>
      <c r="E513" s="138" t="s">
        <v>3897</v>
      </c>
      <c r="F513" s="138" t="s">
        <v>3898</v>
      </c>
      <c r="G513" s="138" t="s">
        <v>3899</v>
      </c>
      <c r="H513" s="138" t="s">
        <v>3900</v>
      </c>
      <c r="I513" s="138" t="s">
        <v>3901</v>
      </c>
      <c r="J513" s="138" t="s">
        <v>3936</v>
      </c>
      <c r="K513" s="138" t="s">
        <v>3904</v>
      </c>
      <c r="L513" s="138" t="s">
        <v>3937</v>
      </c>
    </row>
    <row r="514" spans="1:14">
      <c r="A514" s="150" t="str">
        <f>IF(Measure32_kWhSavings&lt;&gt;0,"ImprovementSavings","")</f>
        <v/>
      </c>
      <c r="B514"/>
      <c r="C514" s="142" t="s">
        <v>3890</v>
      </c>
      <c r="D514" s="150"/>
      <c r="E514" s="150"/>
      <c r="F514" s="150"/>
      <c r="G514" s="150"/>
      <c r="H514" s="150"/>
      <c r="I514" s="150"/>
      <c r="J514" s="142">
        <f>Measure32_kWhSavings*GECO_ELEC_RATIO</f>
        <v>0</v>
      </c>
      <c r="K514" s="142">
        <f>Measure32_DemandSavings</f>
        <v>0</v>
      </c>
      <c r="L514" s="142">
        <f>Measure32_ElectricCostSavings</f>
        <v>0</v>
      </c>
    </row>
    <row r="515" spans="1:14">
      <c r="A515" s="150"/>
      <c r="B515"/>
      <c r="C515" s="149" t="s">
        <v>3924</v>
      </c>
      <c r="D515" s="149"/>
      <c r="E515"/>
      <c r="F515"/>
      <c r="G515"/>
      <c r="H515"/>
      <c r="I515"/>
      <c r="J515"/>
      <c r="K515"/>
      <c r="L515"/>
      <c r="M515"/>
      <c r="N515"/>
    </row>
    <row r="516" spans="1:14">
      <c r="A516" s="150"/>
      <c r="B516"/>
      <c r="C516" s="138" t="s">
        <v>3925</v>
      </c>
      <c r="D516" s="138" t="s">
        <v>3813</v>
      </c>
      <c r="E516"/>
      <c r="F516"/>
      <c r="G516"/>
      <c r="H516"/>
      <c r="I516"/>
      <c r="J516"/>
      <c r="K516"/>
      <c r="L516"/>
      <c r="M516"/>
      <c r="N516"/>
    </row>
    <row r="517" spans="1:14">
      <c r="A517" s="135" t="str">
        <f>IF(Measure32_Size&lt;&gt;"","ImprovementAttributes","")</f>
        <v/>
      </c>
      <c r="C517" s="155" t="s">
        <v>3926</v>
      </c>
      <c r="D517" s="155">
        <f>Measure32_Size</f>
        <v>0</v>
      </c>
    </row>
    <row r="518" spans="1:14">
      <c r="A518" s="135" t="str">
        <f>IF(Measure32_Efficiency&lt;&gt;"","ImprovementAttributes","")</f>
        <v/>
      </c>
      <c r="C518" s="155" t="s">
        <v>3927</v>
      </c>
      <c r="D518" s="155">
        <f>Measure32_Efficiency</f>
        <v>0</v>
      </c>
    </row>
    <row r="519" spans="1:14">
      <c r="A519" s="135" t="str">
        <f>IF(Measure32_UsefulLife&lt;&gt;"","ImprovementAttributes","")</f>
        <v/>
      </c>
      <c r="C519" s="155" t="s">
        <v>3928</v>
      </c>
      <c r="D519" s="155">
        <f>Measure32_UsefulLife</f>
        <v>0</v>
      </c>
    </row>
    <row r="520" spans="1:14">
      <c r="A520" s="135" t="str">
        <f>IF(Measure32_SerialNumber&lt;&gt;"","ImprovementAttributes","")</f>
        <v/>
      </c>
      <c r="C520" s="155" t="s">
        <v>3929</v>
      </c>
      <c r="D520" s="155">
        <f>Measure32_SerialNumber</f>
        <v>0</v>
      </c>
    </row>
    <row r="521" spans="1:14">
      <c r="A521" s="135" t="str">
        <f>IF(Measure32_Age&lt;&gt;"","ImprovementAttributes","")</f>
        <v/>
      </c>
      <c r="C521" s="155" t="s">
        <v>3930</v>
      </c>
      <c r="D521" s="155">
        <f>Measure32_Age</f>
        <v>0</v>
      </c>
    </row>
    <row r="522" spans="1:14">
      <c r="A522" s="135" t="str">
        <f>IF(Measure32_Replaced&lt;&gt;"","ImprovementAttributes","")</f>
        <v/>
      </c>
      <c r="C522" s="155" t="s">
        <v>3931</v>
      </c>
      <c r="D522" s="155">
        <f>Measure32_Replaced</f>
        <v>0</v>
      </c>
    </row>
    <row r="523" spans="1:14">
      <c r="A523" s="135" t="str">
        <f>IF(Measure32_Payback&lt;&gt;0,"ImprovementAttributes","")</f>
        <v/>
      </c>
      <c r="C523" s="155" t="s">
        <v>3932</v>
      </c>
      <c r="D523" s="155">
        <f>Measure32_Payback</f>
        <v>0</v>
      </c>
    </row>
    <row r="524" spans="1:14">
      <c r="A524" s="135" t="str">
        <f>IF(Measure32_Incentive&lt;&gt;0,"ImprovementAttributes","")</f>
        <v/>
      </c>
      <c r="C524" s="155" t="s">
        <v>4004</v>
      </c>
      <c r="D524" s="155">
        <f>Measure32_Incentive</f>
        <v>0</v>
      </c>
    </row>
    <row r="525" spans="1:14" ht="18.5">
      <c r="A525"/>
      <c r="B525" s="148" t="s">
        <v>3967</v>
      </c>
      <c r="C525" s="149"/>
      <c r="D525" s="149"/>
      <c r="E525" s="149"/>
      <c r="F525" s="149"/>
      <c r="G525" s="149"/>
      <c r="H525" s="149"/>
      <c r="I525" s="149"/>
      <c r="J525"/>
      <c r="K525"/>
      <c r="L525"/>
      <c r="M525"/>
      <c r="N525"/>
    </row>
    <row r="526" spans="1:14">
      <c r="A526"/>
      <c r="B526" s="138" t="s">
        <v>3916</v>
      </c>
      <c r="C526" s="138" t="s">
        <v>3917</v>
      </c>
      <c r="D526" s="138" t="s">
        <v>3918</v>
      </c>
      <c r="E526" s="138" t="s">
        <v>3919</v>
      </c>
      <c r="F526" s="138" t="s">
        <v>3920</v>
      </c>
      <c r="G526" s="138" t="s">
        <v>3888</v>
      </c>
      <c r="H526" s="138" t="s">
        <v>3921</v>
      </c>
      <c r="I526" s="138" t="s">
        <v>3922</v>
      </c>
      <c r="J526"/>
      <c r="K526" s="150"/>
      <c r="L526" s="150"/>
      <c r="M526" s="150"/>
      <c r="N526" s="150"/>
    </row>
    <row r="527" spans="1:14">
      <c r="A527" t="str">
        <f>IF(Measure33_Type&lt;&gt;0,"Improvements","")</f>
        <v/>
      </c>
      <c r="B527" s="156">
        <f>IF(Measure33_Type="1 to 6 Watt LED Screw-In replacing Incandescent/CFL", "6 Watt LED Screw-In replacing Incandescent/CFL", IF(Measure33_Type="7 to 11 Watt LED Screw-In replacing Incandescent/CFL", "11 Watt LED Screw-In replacing Incandescent/CFL", IF(Measure33_Type="12 to 17 Watt LED Screw-In replacing Incandescent/CFL", "13 Watt LED Screw-In replacing Incandescent/CFL", IF(Measure33_Type="18 or more Watt LED Screw-In replacing Incandescent/CFL", "18 Watt LED Screw-In replacing Incandescent/CFL", Measure33_Type))))</f>
        <v>0</v>
      </c>
      <c r="C527" s="151">
        <f>Measure33_Cost</f>
        <v>0</v>
      </c>
      <c r="D527" s="142">
        <f>Measure33_Quantity</f>
        <v>0</v>
      </c>
      <c r="E527" s="142" t="str">
        <f>IF(Measure33_Description&lt;&gt;"",Measure33_Description,"")</f>
        <v/>
      </c>
      <c r="F527" s="142" t="e">
        <f>IF(Measure33_ShortDescription&lt;&gt; "", Measure33_ShortDescription,"")</f>
        <v>#N/A</v>
      </c>
      <c r="G527" s="142" t="str">
        <f>IF(Measure33_Status&lt;&gt;"",Measure33_Status, "Recommended")</f>
        <v>Recommended</v>
      </c>
      <c r="H527" s="142" t="str">
        <f>IF(Measure33_Comments&lt;&gt;"", Measure33_Comments,"")</f>
        <v/>
      </c>
      <c r="I527" s="142">
        <f>Measure33_ElectricCostSavings</f>
        <v>0</v>
      </c>
      <c r="J527"/>
      <c r="K527"/>
      <c r="L527"/>
      <c r="M527"/>
      <c r="N527"/>
    </row>
    <row r="528" spans="1:14" ht="15.5">
      <c r="A528" s="150"/>
      <c r="B528"/>
      <c r="C528" s="152" t="s">
        <v>3923</v>
      </c>
      <c r="D528" s="153"/>
      <c r="E528" s="153"/>
      <c r="F528" s="153"/>
      <c r="G528" s="153"/>
      <c r="H528" s="153"/>
      <c r="I528" s="153"/>
      <c r="J528" s="153"/>
      <c r="K528" s="153"/>
      <c r="L528" s="153"/>
      <c r="M528"/>
    </row>
    <row r="529" spans="1:14">
      <c r="A529" s="150"/>
      <c r="B529"/>
      <c r="C529" s="138" t="s">
        <v>3895</v>
      </c>
      <c r="D529" s="138" t="s">
        <v>3896</v>
      </c>
      <c r="E529" s="138" t="s">
        <v>3897</v>
      </c>
      <c r="F529" s="138" t="s">
        <v>3898</v>
      </c>
      <c r="G529" s="138" t="s">
        <v>3899</v>
      </c>
      <c r="H529" s="138" t="s">
        <v>3900</v>
      </c>
      <c r="I529" s="138" t="s">
        <v>3901</v>
      </c>
      <c r="J529" s="138" t="s">
        <v>3936</v>
      </c>
      <c r="K529" s="138" t="s">
        <v>3904</v>
      </c>
      <c r="L529" s="138" t="s">
        <v>3937</v>
      </c>
    </row>
    <row r="530" spans="1:14">
      <c r="A530" s="150" t="str">
        <f>IF(Measure33_kWhSavings&lt;&gt;0,"ImprovementSavings","")</f>
        <v/>
      </c>
      <c r="B530"/>
      <c r="C530" s="142" t="s">
        <v>3890</v>
      </c>
      <c r="D530" s="150"/>
      <c r="E530" s="150"/>
      <c r="F530" s="150"/>
      <c r="G530" s="150"/>
      <c r="H530" s="150"/>
      <c r="I530" s="150"/>
      <c r="J530" s="142">
        <f>Measure33_kWhSavings*GECO_ELEC_RATIO</f>
        <v>0</v>
      </c>
      <c r="K530" s="142">
        <f>Measure33_DemandSavings</f>
        <v>0</v>
      </c>
      <c r="L530" s="142">
        <f>Measure33_ElectricCostSavings</f>
        <v>0</v>
      </c>
    </row>
    <row r="531" spans="1:14">
      <c r="A531" s="150"/>
      <c r="B531"/>
      <c r="C531" s="149" t="s">
        <v>3924</v>
      </c>
      <c r="D531" s="149"/>
      <c r="E531"/>
      <c r="F531"/>
      <c r="G531"/>
      <c r="H531"/>
      <c r="I531"/>
      <c r="J531"/>
      <c r="K531"/>
      <c r="L531"/>
      <c r="M531"/>
      <c r="N531"/>
    </row>
    <row r="532" spans="1:14">
      <c r="A532" s="150"/>
      <c r="B532"/>
      <c r="C532" s="138" t="s">
        <v>3925</v>
      </c>
      <c r="D532" s="138" t="s">
        <v>3813</v>
      </c>
      <c r="E532"/>
      <c r="F532"/>
      <c r="G532"/>
      <c r="H532"/>
      <c r="I532"/>
      <c r="J532"/>
      <c r="K532"/>
      <c r="L532"/>
      <c r="M532"/>
      <c r="N532"/>
    </row>
    <row r="533" spans="1:14">
      <c r="A533" s="135" t="str">
        <f>IF(Measure33_Size&lt;&gt;"","ImprovementAttributes","")</f>
        <v/>
      </c>
      <c r="C533" s="155" t="s">
        <v>3926</v>
      </c>
      <c r="D533" s="155">
        <f>Measure33_Size</f>
        <v>0</v>
      </c>
    </row>
    <row r="534" spans="1:14">
      <c r="A534" s="135" t="str">
        <f>IF(Measure33_Efficiency&lt;&gt;"","ImprovementAttributes","")</f>
        <v/>
      </c>
      <c r="C534" s="155" t="s">
        <v>3927</v>
      </c>
      <c r="D534" s="155">
        <f>Measure33_Efficiency</f>
        <v>0</v>
      </c>
    </row>
    <row r="535" spans="1:14">
      <c r="A535" s="135" t="str">
        <f>IF(Measure33_UsefulLife&lt;&gt;"","ImprovementAttributes","")</f>
        <v/>
      </c>
      <c r="C535" s="155" t="s">
        <v>3928</v>
      </c>
      <c r="D535" s="155">
        <f>Measure33_UsefulLife</f>
        <v>0</v>
      </c>
    </row>
    <row r="536" spans="1:14">
      <c r="A536" s="135" t="str">
        <f>IF(Measure33_SerialNumber&lt;&gt;"","ImprovementAttributes","")</f>
        <v/>
      </c>
      <c r="C536" s="155" t="s">
        <v>3929</v>
      </c>
      <c r="D536" s="155">
        <f>Measure33_SerialNumber</f>
        <v>0</v>
      </c>
    </row>
    <row r="537" spans="1:14">
      <c r="A537" s="135" t="str">
        <f>IF(Measure33_Age&lt;&gt;"","ImprovementAttributes","")</f>
        <v/>
      </c>
      <c r="C537" s="155" t="s">
        <v>3930</v>
      </c>
      <c r="D537" s="155">
        <f>Measure33_Age</f>
        <v>0</v>
      </c>
    </row>
    <row r="538" spans="1:14">
      <c r="A538" s="135" t="str">
        <f>IF(Measure33_Replaced&lt;&gt;"","ImprovementAttributes","")</f>
        <v/>
      </c>
      <c r="C538" s="155" t="s">
        <v>3931</v>
      </c>
      <c r="D538" s="155">
        <f>Measure33_Replaced</f>
        <v>0</v>
      </c>
    </row>
    <row r="539" spans="1:14">
      <c r="A539" s="135" t="str">
        <f>IF(Measure33_Payback&lt;&gt;0,"ImprovementAttributes","")</f>
        <v/>
      </c>
      <c r="C539" s="155" t="s">
        <v>3932</v>
      </c>
      <c r="D539" s="155">
        <f>Measure33_Payback</f>
        <v>0</v>
      </c>
    </row>
    <row r="540" spans="1:14">
      <c r="A540" s="135" t="str">
        <f>IF(Measure33_Incentive&lt;&gt;0,"ImprovementAttributes","")</f>
        <v/>
      </c>
      <c r="C540" s="155" t="s">
        <v>4004</v>
      </c>
      <c r="D540" s="155">
        <f>Measure33_Incentive</f>
        <v>0</v>
      </c>
    </row>
    <row r="541" spans="1:14" ht="18.5">
      <c r="A541"/>
      <c r="B541" s="148" t="s">
        <v>3968</v>
      </c>
      <c r="C541" s="149"/>
      <c r="D541" s="149"/>
      <c r="E541" s="149"/>
      <c r="F541" s="149"/>
      <c r="G541" s="149"/>
      <c r="H541" s="149"/>
      <c r="I541" s="149"/>
      <c r="J541"/>
      <c r="K541"/>
      <c r="L541"/>
      <c r="M541"/>
      <c r="N541"/>
    </row>
    <row r="542" spans="1:14">
      <c r="A542"/>
      <c r="B542" s="138" t="s">
        <v>3916</v>
      </c>
      <c r="C542" s="138" t="s">
        <v>3917</v>
      </c>
      <c r="D542" s="138" t="s">
        <v>3918</v>
      </c>
      <c r="E542" s="138" t="s">
        <v>3919</v>
      </c>
      <c r="F542" s="138" t="s">
        <v>3920</v>
      </c>
      <c r="G542" s="138" t="s">
        <v>3888</v>
      </c>
      <c r="H542" s="138" t="s">
        <v>3921</v>
      </c>
      <c r="I542" s="138" t="s">
        <v>3922</v>
      </c>
      <c r="J542"/>
      <c r="K542" s="150"/>
      <c r="L542" s="150"/>
      <c r="M542" s="150"/>
      <c r="N542" s="150"/>
    </row>
    <row r="543" spans="1:14">
      <c r="A543" t="str">
        <f>IF(Measure34_Type&lt;&gt;0,"Improvements","")</f>
        <v/>
      </c>
      <c r="B543" s="156">
        <f>IF(Measure34_Type="1 to 6 Watt LED Screw-In replacing Incandescent/CFL", "6 Watt LED Screw-In replacing Incandescent/CFL", IF(Measure34_Type="7 to 11 Watt LED Screw-In replacing Incandescent/CFL", "11 Watt LED Screw-In replacing Incandescent/CFL", IF(Measure34_Type="12 to 17 Watt LED Screw-In replacing Incandescent/CFL", "13 Watt LED Screw-In replacing Incandescent/CFL", IF(Measure34_Type="18 or more Watt LED Screw-In replacing Incandescent/CFL", "18 Watt LED Screw-In replacing Incandescent/CFL", Measure34_Type))))</f>
        <v>0</v>
      </c>
      <c r="C543" s="151">
        <f>Measure34_Cost</f>
        <v>0</v>
      </c>
      <c r="D543" s="142">
        <f>Measure34_Quantity</f>
        <v>0</v>
      </c>
      <c r="E543" s="142" t="str">
        <f>IF(Measure34_Description&lt;&gt;"",Measure34_Description,"")</f>
        <v/>
      </c>
      <c r="F543" s="142" t="e">
        <f>IF(Measure34_ShortDescription&lt;&gt; "", Measure34_ShortDescription,"")</f>
        <v>#N/A</v>
      </c>
      <c r="G543" s="142" t="str">
        <f>IF(Measure34_Status&lt;&gt;"",Measure34_Status, "Recommended")</f>
        <v>Recommended</v>
      </c>
      <c r="H543" s="142" t="str">
        <f>IF(Measure34_Comments&lt;&gt;"", Measure34_Comments,"")</f>
        <v/>
      </c>
      <c r="I543" s="142">
        <f>Measure34_ElectricCostSavings</f>
        <v>0</v>
      </c>
      <c r="J543"/>
      <c r="K543"/>
      <c r="L543"/>
      <c r="M543"/>
      <c r="N543"/>
    </row>
    <row r="544" spans="1:14" ht="15.5">
      <c r="A544" s="150"/>
      <c r="B544"/>
      <c r="C544" s="152" t="s">
        <v>3923</v>
      </c>
      <c r="D544" s="153"/>
      <c r="E544" s="153"/>
      <c r="F544" s="153"/>
      <c r="G544" s="153"/>
      <c r="H544" s="153"/>
      <c r="I544" s="153"/>
      <c r="J544" s="153"/>
      <c r="K544" s="153"/>
      <c r="L544" s="153"/>
      <c r="M544"/>
    </row>
    <row r="545" spans="1:14">
      <c r="A545" s="150"/>
      <c r="B545"/>
      <c r="C545" s="138" t="s">
        <v>3895</v>
      </c>
      <c r="D545" s="138" t="s">
        <v>3896</v>
      </c>
      <c r="E545" s="138" t="s">
        <v>3897</v>
      </c>
      <c r="F545" s="138" t="s">
        <v>3898</v>
      </c>
      <c r="G545" s="138" t="s">
        <v>3899</v>
      </c>
      <c r="H545" s="138" t="s">
        <v>3900</v>
      </c>
      <c r="I545" s="138" t="s">
        <v>3901</v>
      </c>
      <c r="J545" s="138" t="s">
        <v>3936</v>
      </c>
      <c r="K545" s="138" t="s">
        <v>3904</v>
      </c>
      <c r="L545" s="138" t="s">
        <v>3937</v>
      </c>
    </row>
    <row r="546" spans="1:14">
      <c r="A546" s="150" t="str">
        <f>IF(Measure34_kWhSavings&lt;&gt;0,"ImprovementSavings","")</f>
        <v/>
      </c>
      <c r="B546"/>
      <c r="C546" s="142" t="s">
        <v>3890</v>
      </c>
      <c r="D546" s="150"/>
      <c r="E546" s="150"/>
      <c r="F546" s="150"/>
      <c r="G546" s="150"/>
      <c r="H546" s="150"/>
      <c r="I546" s="150"/>
      <c r="J546" s="142">
        <f>Measure34_kWhSavings*GECO_ELEC_RATIO</f>
        <v>0</v>
      </c>
      <c r="K546" s="142">
        <f>Measure34_DemandSavings</f>
        <v>0</v>
      </c>
      <c r="L546" s="142">
        <f>Measure34_ElectricCostSavings</f>
        <v>0</v>
      </c>
    </row>
    <row r="547" spans="1:14">
      <c r="A547" s="150"/>
      <c r="B547"/>
      <c r="C547" s="149" t="s">
        <v>3924</v>
      </c>
      <c r="D547" s="149"/>
      <c r="E547"/>
      <c r="F547"/>
      <c r="G547"/>
      <c r="H547"/>
      <c r="I547"/>
      <c r="J547"/>
      <c r="K547"/>
      <c r="L547"/>
      <c r="M547"/>
      <c r="N547"/>
    </row>
    <row r="548" spans="1:14">
      <c r="A548" s="150"/>
      <c r="B548"/>
      <c r="C548" s="138" t="s">
        <v>3925</v>
      </c>
      <c r="D548" s="138" t="s">
        <v>3813</v>
      </c>
      <c r="E548"/>
      <c r="F548"/>
      <c r="G548"/>
      <c r="H548"/>
      <c r="I548"/>
      <c r="J548"/>
      <c r="K548"/>
      <c r="L548"/>
      <c r="M548"/>
      <c r="N548"/>
    </row>
    <row r="549" spans="1:14">
      <c r="A549" s="135" t="str">
        <f>IF(Measure34_Size&lt;&gt;"","ImprovementAttributes","")</f>
        <v/>
      </c>
      <c r="C549" s="155" t="s">
        <v>3926</v>
      </c>
      <c r="D549" s="155">
        <f>Measure34_Size</f>
        <v>0</v>
      </c>
    </row>
    <row r="550" spans="1:14">
      <c r="A550" s="135" t="str">
        <f>IF(Measure34_Efficiency&lt;&gt;"","ImprovementAttributes","")</f>
        <v/>
      </c>
      <c r="C550" s="155" t="s">
        <v>3927</v>
      </c>
      <c r="D550" s="155">
        <f>Measure34_Efficiency</f>
        <v>0</v>
      </c>
    </row>
    <row r="551" spans="1:14">
      <c r="A551" s="135" t="str">
        <f>IF(Measure34_UsefulLife&lt;&gt;"","ImprovementAttributes","")</f>
        <v/>
      </c>
      <c r="C551" s="155" t="s">
        <v>3928</v>
      </c>
      <c r="D551" s="155">
        <f>Measure34_UsefulLife</f>
        <v>0</v>
      </c>
    </row>
    <row r="552" spans="1:14">
      <c r="A552" s="135" t="str">
        <f>IF(Measure34_SerialNumber&lt;&gt;"","ImprovementAttributes","")</f>
        <v/>
      </c>
      <c r="C552" s="155" t="s">
        <v>3929</v>
      </c>
      <c r="D552" s="155">
        <f>Measure34_SerialNumber</f>
        <v>0</v>
      </c>
    </row>
    <row r="553" spans="1:14">
      <c r="A553" s="135" t="str">
        <f>IF(Measure34_Age&lt;&gt;"","ImprovementAttributes","")</f>
        <v/>
      </c>
      <c r="C553" s="155" t="s">
        <v>3930</v>
      </c>
      <c r="D553" s="155">
        <f>Measure34_Age</f>
        <v>0</v>
      </c>
    </row>
    <row r="554" spans="1:14">
      <c r="A554" s="135" t="str">
        <f>IF(Measure34_Replaced&lt;&gt;"","ImprovementAttributes","")</f>
        <v/>
      </c>
      <c r="C554" s="155" t="s">
        <v>3931</v>
      </c>
      <c r="D554" s="155">
        <f>Measure34_Replaced</f>
        <v>0</v>
      </c>
    </row>
    <row r="555" spans="1:14">
      <c r="A555" s="135" t="str">
        <f>IF(Measure34_Payback&lt;&gt;0,"ImprovementAttributes","")</f>
        <v/>
      </c>
      <c r="C555" s="155" t="s">
        <v>3932</v>
      </c>
      <c r="D555" s="155">
        <f>Measure34_Payback</f>
        <v>0</v>
      </c>
    </row>
    <row r="556" spans="1:14">
      <c r="A556" s="135" t="str">
        <f>IF(Measure34_Incentive&lt;&gt;0,"ImprovementAttributes","")</f>
        <v/>
      </c>
      <c r="C556" s="155" t="s">
        <v>4004</v>
      </c>
      <c r="D556" s="155">
        <f>Measure34_Incentive</f>
        <v>0</v>
      </c>
    </row>
    <row r="557" spans="1:14" ht="18.5">
      <c r="A557"/>
      <c r="B557" s="148" t="s">
        <v>3969</v>
      </c>
      <c r="C557" s="149"/>
      <c r="D557" s="149"/>
      <c r="E557" s="149"/>
      <c r="F557" s="149"/>
      <c r="G557" s="149"/>
      <c r="H557" s="149"/>
      <c r="I557" s="149"/>
      <c r="J557"/>
      <c r="K557"/>
      <c r="L557"/>
      <c r="M557"/>
      <c r="N557"/>
    </row>
    <row r="558" spans="1:14">
      <c r="A558"/>
      <c r="B558" s="138" t="s">
        <v>3916</v>
      </c>
      <c r="C558" s="138" t="s">
        <v>3917</v>
      </c>
      <c r="D558" s="138" t="s">
        <v>3918</v>
      </c>
      <c r="E558" s="138" t="s">
        <v>3919</v>
      </c>
      <c r="F558" s="138" t="s">
        <v>3920</v>
      </c>
      <c r="G558" s="138" t="s">
        <v>3888</v>
      </c>
      <c r="H558" s="138" t="s">
        <v>3921</v>
      </c>
      <c r="I558" s="138" t="s">
        <v>3922</v>
      </c>
      <c r="J558"/>
      <c r="K558" s="150"/>
      <c r="L558" s="150"/>
      <c r="M558" s="150"/>
      <c r="N558" s="150"/>
    </row>
    <row r="559" spans="1:14">
      <c r="A559" t="str">
        <f>IF(Measure35_Type&lt;&gt;0,"Improvements","")</f>
        <v/>
      </c>
      <c r="B559" s="156">
        <f>IF(Measure35_Type="1 to 6 Watt LED Screw-In replacing Incandescent/CFL", "6 Watt LED Screw-In replacing Incandescent/CFL", IF(Measure31_Type="7 to 11 Watt LED Screw-In replacing Incandescent/CFL", "11 Watt LED Screw-In replacing Incandescent/CFL", IF(Measure35_Type="12 to 17 Watt LED Screw-In replacing Incandescent/CFL", "13 Watt LED Screw-In replacing Incandescent/CFL", IF(Measure35_Type="18 or more Watt LED Screw-In replacing Incandescent/CFL", "18 Watt LED Screw-In replacing Incandescent/CFL", Measure35_Type))))</f>
        <v>0</v>
      </c>
      <c r="C559" s="151">
        <f>Measure35_Cost</f>
        <v>0</v>
      </c>
      <c r="D559" s="142">
        <f>Measure35_Quantity</f>
        <v>0</v>
      </c>
      <c r="E559" s="142" t="str">
        <f>IF(Measure35_Description&lt;&gt;"",Measure35_Description,"")</f>
        <v/>
      </c>
      <c r="F559" s="142" t="e">
        <f>IF(Measure35_ShortDescription&lt;&gt; "", Measure35_ShortDescription,"")</f>
        <v>#N/A</v>
      </c>
      <c r="G559" s="142" t="str">
        <f>IF(Measure35_Status&lt;&gt;"",Measure35_Status, "Recommended")</f>
        <v>Recommended</v>
      </c>
      <c r="H559" s="142" t="str">
        <f>IF(Measure35_Comments&lt;&gt;"", Measure35_Comments,"")</f>
        <v/>
      </c>
      <c r="I559" s="142">
        <f>Measure35_ElectricCostSavings</f>
        <v>0</v>
      </c>
      <c r="J559"/>
      <c r="K559"/>
      <c r="L559"/>
      <c r="M559"/>
      <c r="N559"/>
    </row>
    <row r="560" spans="1:14" ht="15.5">
      <c r="A560" s="150"/>
      <c r="B560"/>
      <c r="C560" s="152" t="s">
        <v>3923</v>
      </c>
      <c r="D560" s="153"/>
      <c r="E560" s="153"/>
      <c r="F560" s="153"/>
      <c r="G560" s="153"/>
      <c r="H560" s="153"/>
      <c r="I560" s="153"/>
      <c r="J560" s="153"/>
      <c r="K560" s="153"/>
      <c r="L560" s="153"/>
      <c r="M560"/>
    </row>
    <row r="561" spans="1:14">
      <c r="A561" s="150"/>
      <c r="B561"/>
      <c r="C561" s="138" t="s">
        <v>3895</v>
      </c>
      <c r="D561" s="138" t="s">
        <v>3896</v>
      </c>
      <c r="E561" s="138" t="s">
        <v>3897</v>
      </c>
      <c r="F561" s="138" t="s">
        <v>3898</v>
      </c>
      <c r="G561" s="138" t="s">
        <v>3899</v>
      </c>
      <c r="H561" s="138" t="s">
        <v>3900</v>
      </c>
      <c r="I561" s="138" t="s">
        <v>3901</v>
      </c>
      <c r="J561" s="138" t="s">
        <v>3936</v>
      </c>
      <c r="K561" s="138" t="s">
        <v>3904</v>
      </c>
      <c r="L561" s="138" t="s">
        <v>3937</v>
      </c>
    </row>
    <row r="562" spans="1:14">
      <c r="A562" s="150" t="str">
        <f>IF(Measure35_kWhSavings&lt;&gt;0,"ImprovementSavings","")</f>
        <v/>
      </c>
      <c r="B562"/>
      <c r="C562" s="142" t="s">
        <v>3890</v>
      </c>
      <c r="D562" s="150"/>
      <c r="E562" s="150"/>
      <c r="F562" s="150"/>
      <c r="G562" s="150"/>
      <c r="H562" s="150"/>
      <c r="I562" s="150"/>
      <c r="J562" s="142">
        <f>Measure35_kWhSavings*GECO_ELEC_RATIO</f>
        <v>0</v>
      </c>
      <c r="K562" s="142">
        <f>Measure35_DemandSavings</f>
        <v>0</v>
      </c>
      <c r="L562" s="142">
        <f>Measure35_ElectricCostSavings</f>
        <v>0</v>
      </c>
    </row>
    <row r="563" spans="1:14">
      <c r="A563" s="150"/>
      <c r="B563"/>
      <c r="C563" s="149" t="s">
        <v>3924</v>
      </c>
      <c r="D563" s="149"/>
      <c r="E563"/>
      <c r="F563"/>
      <c r="G563"/>
      <c r="H563"/>
      <c r="I563"/>
      <c r="J563"/>
      <c r="K563"/>
      <c r="L563"/>
      <c r="M563"/>
      <c r="N563"/>
    </row>
    <row r="564" spans="1:14">
      <c r="A564" s="150"/>
      <c r="B564"/>
      <c r="C564" s="138" t="s">
        <v>3925</v>
      </c>
      <c r="D564" s="138" t="s">
        <v>3813</v>
      </c>
      <c r="E564"/>
      <c r="F564"/>
      <c r="G564"/>
      <c r="H564"/>
      <c r="I564"/>
      <c r="J564"/>
      <c r="K564"/>
      <c r="L564"/>
      <c r="M564"/>
      <c r="N564"/>
    </row>
    <row r="565" spans="1:14">
      <c r="A565" s="135" t="str">
        <f>IF(Measure35_Size&lt;&gt;"","ImprovementAttributes","")</f>
        <v/>
      </c>
      <c r="C565" s="155" t="s">
        <v>3926</v>
      </c>
      <c r="D565" s="155">
        <f>Measure35_Size</f>
        <v>0</v>
      </c>
    </row>
    <row r="566" spans="1:14">
      <c r="A566" s="135" t="str">
        <f>IF(Measure35_Efficiency&lt;&gt;"","ImprovementAttributes","")</f>
        <v/>
      </c>
      <c r="C566" s="155" t="s">
        <v>3927</v>
      </c>
      <c r="D566" s="155">
        <f>Measure35_Efficiency</f>
        <v>0</v>
      </c>
    </row>
    <row r="567" spans="1:14">
      <c r="A567" s="135" t="str">
        <f>IF(Measure35_UsefulLife&lt;&gt;"","ImprovementAttributes","")</f>
        <v/>
      </c>
      <c r="C567" s="155" t="s">
        <v>3928</v>
      </c>
      <c r="D567" s="155">
        <f>Measure35_UsefulLife</f>
        <v>0</v>
      </c>
    </row>
    <row r="568" spans="1:14">
      <c r="A568" s="135" t="str">
        <f>IF(Measure35_SerialNumber&lt;&gt;"","ImprovementAttributes","")</f>
        <v/>
      </c>
      <c r="C568" s="155" t="s">
        <v>3929</v>
      </c>
      <c r="D568" s="155">
        <f>Measure35_SerialNumber</f>
        <v>0</v>
      </c>
    </row>
    <row r="569" spans="1:14">
      <c r="A569" s="135" t="str">
        <f>IF(Measure35_Age&lt;&gt;"","ImprovementAttributes","")</f>
        <v/>
      </c>
      <c r="C569" s="155" t="s">
        <v>3930</v>
      </c>
      <c r="D569" s="155">
        <f>Measure35_Age</f>
        <v>0</v>
      </c>
    </row>
    <row r="570" spans="1:14">
      <c r="A570" s="135" t="str">
        <f>IF(Measure35_Replaced&lt;&gt;"","ImprovementAttributes","")</f>
        <v/>
      </c>
      <c r="C570" s="155" t="s">
        <v>3931</v>
      </c>
      <c r="D570" s="155">
        <f>Measure35_Replaced</f>
        <v>0</v>
      </c>
    </row>
    <row r="571" spans="1:14">
      <c r="A571" s="135" t="str">
        <f>IF(Measure35_Payback&lt;&gt;0,"ImprovementAttributes","")</f>
        <v/>
      </c>
      <c r="C571" s="155" t="s">
        <v>3932</v>
      </c>
      <c r="D571" s="155">
        <f>Measure35_Payback</f>
        <v>0</v>
      </c>
    </row>
    <row r="572" spans="1:14">
      <c r="A572" s="135" t="str">
        <f>IF(Measure35_Incentive&lt;&gt;0,"ImprovementAttributes","")</f>
        <v/>
      </c>
      <c r="C572" s="155" t="s">
        <v>4004</v>
      </c>
      <c r="D572" s="155">
        <f>Measure35_Incentive</f>
        <v>0</v>
      </c>
    </row>
    <row r="573" spans="1:14" ht="18.5">
      <c r="A573"/>
      <c r="B573" s="148" t="s">
        <v>3970</v>
      </c>
      <c r="C573" s="149"/>
      <c r="D573" s="149"/>
      <c r="E573" s="149"/>
      <c r="F573" s="149"/>
      <c r="G573" s="149"/>
      <c r="H573" s="149"/>
      <c r="I573" s="149"/>
      <c r="J573"/>
      <c r="K573"/>
      <c r="L573"/>
      <c r="M573"/>
      <c r="N573"/>
    </row>
    <row r="574" spans="1:14">
      <c r="A574"/>
      <c r="B574" s="138" t="s">
        <v>3916</v>
      </c>
      <c r="C574" s="138" t="s">
        <v>3917</v>
      </c>
      <c r="D574" s="138" t="s">
        <v>3918</v>
      </c>
      <c r="E574" s="138" t="s">
        <v>3919</v>
      </c>
      <c r="F574" s="138" t="s">
        <v>3920</v>
      </c>
      <c r="G574" s="138" t="s">
        <v>3888</v>
      </c>
      <c r="H574" s="138" t="s">
        <v>3921</v>
      </c>
      <c r="I574" s="138" t="s">
        <v>3922</v>
      </c>
      <c r="J574"/>
      <c r="K574" s="150"/>
      <c r="L574" s="150"/>
      <c r="M574" s="150"/>
      <c r="N574" s="150"/>
    </row>
    <row r="575" spans="1:14">
      <c r="A575" t="str">
        <f>IF(Measure36_Type&lt;&gt;0,"Improvements","")</f>
        <v/>
      </c>
      <c r="B575" s="156">
        <f>IF(Measure36_Type="1 to 6 Watt LED Screw-In replacing Incandescent/CFL", "6 Watt LED Screw-In replacing Incandescent/CFL", IF(Measure36_Type="7 to 11 Watt LED Screw-In replacing Incandescent/CFL", "11 Watt LED Screw-In replacing Incandescent/CFL", IF(Measure36_Type="12 to 17 Watt LED Screw-In replacing Incandescent/CFL", "13 Watt LED Screw-In replacing Incandescent/CFL", IF(Measure36_Type="18 or more Watt LED Screw-In replacing Incandescent/CFL", "18 Watt LED Screw-In replacing Incandescent/CFL", Measure36_Type))))</f>
        <v>0</v>
      </c>
      <c r="C575" s="151">
        <f>Measure36_Cost</f>
        <v>0</v>
      </c>
      <c r="D575" s="142">
        <f>Measure36_Quantity</f>
        <v>0</v>
      </c>
      <c r="E575" s="142" t="str">
        <f>IF(Measure36_Description&lt;&gt;"",Measure36_Description,"")</f>
        <v/>
      </c>
      <c r="F575" s="142" t="e">
        <f>IF(Measure36_ShortDescription&lt;&gt; "", Measure36_ShortDescription,"")</f>
        <v>#N/A</v>
      </c>
      <c r="G575" s="142" t="str">
        <f>IF(Measure36_Status&lt;&gt;"",Measure36_Status, "Recommended")</f>
        <v>Recommended</v>
      </c>
      <c r="H575" s="142" t="str">
        <f>IF(Measure36_Comments&lt;&gt;"", Measure36_Comments,"")</f>
        <v/>
      </c>
      <c r="I575" s="142">
        <f>Measure36_ElectricCostSavings</f>
        <v>0</v>
      </c>
      <c r="J575"/>
      <c r="K575"/>
      <c r="L575"/>
      <c r="M575"/>
      <c r="N575"/>
    </row>
    <row r="576" spans="1:14" ht="15.5">
      <c r="A576" s="150"/>
      <c r="B576"/>
      <c r="C576" s="152" t="s">
        <v>3923</v>
      </c>
      <c r="D576" s="153"/>
      <c r="E576" s="153"/>
      <c r="F576" s="153"/>
      <c r="G576" s="153"/>
      <c r="H576" s="153"/>
      <c r="I576" s="153"/>
      <c r="J576" s="153"/>
      <c r="K576" s="153"/>
      <c r="L576" s="153"/>
      <c r="M576"/>
    </row>
    <row r="577" spans="1:14">
      <c r="A577" s="150"/>
      <c r="B577"/>
      <c r="C577" s="138" t="s">
        <v>3895</v>
      </c>
      <c r="D577" s="138" t="s">
        <v>3896</v>
      </c>
      <c r="E577" s="138" t="s">
        <v>3897</v>
      </c>
      <c r="F577" s="138" t="s">
        <v>3898</v>
      </c>
      <c r="G577" s="138" t="s">
        <v>3899</v>
      </c>
      <c r="H577" s="138" t="s">
        <v>3900</v>
      </c>
      <c r="I577" s="138" t="s">
        <v>3901</v>
      </c>
      <c r="J577" s="138" t="s">
        <v>3936</v>
      </c>
      <c r="K577" s="138" t="s">
        <v>3904</v>
      </c>
      <c r="L577" s="138" t="s">
        <v>3937</v>
      </c>
    </row>
    <row r="578" spans="1:14">
      <c r="A578" s="150" t="str">
        <f>IF(Measure36_kWhSavings&lt;&gt;0,"ImprovementSavings","")</f>
        <v/>
      </c>
      <c r="B578"/>
      <c r="C578" s="142" t="s">
        <v>3890</v>
      </c>
      <c r="D578" s="150"/>
      <c r="E578" s="150"/>
      <c r="F578" s="150"/>
      <c r="G578" s="150"/>
      <c r="H578" s="150"/>
      <c r="I578" s="150"/>
      <c r="J578" s="142">
        <f>Measure36_kWhSavings*GECO_ELEC_RATIO</f>
        <v>0</v>
      </c>
      <c r="K578" s="142">
        <f>Measure36_DemandSavings</f>
        <v>0</v>
      </c>
      <c r="L578" s="142">
        <f>Measure36_ElectricCostSavings</f>
        <v>0</v>
      </c>
    </row>
    <row r="579" spans="1:14">
      <c r="A579" s="150"/>
      <c r="B579"/>
      <c r="C579" s="149" t="s">
        <v>3924</v>
      </c>
      <c r="D579" s="149"/>
      <c r="E579"/>
      <c r="F579"/>
      <c r="G579"/>
      <c r="H579"/>
      <c r="I579"/>
      <c r="J579"/>
      <c r="K579"/>
      <c r="L579"/>
      <c r="M579"/>
      <c r="N579"/>
    </row>
    <row r="580" spans="1:14">
      <c r="A580" s="150"/>
      <c r="B580"/>
      <c r="C580" s="138" t="s">
        <v>3925</v>
      </c>
      <c r="D580" s="138" t="s">
        <v>3813</v>
      </c>
      <c r="E580"/>
      <c r="F580"/>
      <c r="G580"/>
      <c r="H580"/>
      <c r="I580"/>
      <c r="J580"/>
      <c r="K580"/>
      <c r="L580"/>
      <c r="M580"/>
      <c r="N580"/>
    </row>
    <row r="581" spans="1:14">
      <c r="A581" s="135" t="str">
        <f>IF(Measure36_Size&lt;&gt;"","ImprovementAttributes","")</f>
        <v/>
      </c>
      <c r="C581" s="155" t="s">
        <v>3926</v>
      </c>
      <c r="D581" s="155">
        <f>Measure36_Size</f>
        <v>0</v>
      </c>
    </row>
    <row r="582" spans="1:14">
      <c r="A582" s="135" t="str">
        <f>IF(Measure36_Efficiency&lt;&gt;"","ImprovementAttributes","")</f>
        <v/>
      </c>
      <c r="C582" s="155" t="s">
        <v>3927</v>
      </c>
      <c r="D582" s="155">
        <f>Measure36_Efficiency</f>
        <v>0</v>
      </c>
    </row>
    <row r="583" spans="1:14">
      <c r="A583" s="135" t="str">
        <f>IF(Measure36_UsefulLife&lt;&gt;"","ImprovementAttributes","")</f>
        <v/>
      </c>
      <c r="C583" s="155" t="s">
        <v>3928</v>
      </c>
      <c r="D583" s="155">
        <f>Measure36_UsefulLife</f>
        <v>0</v>
      </c>
    </row>
    <row r="584" spans="1:14">
      <c r="A584" s="135" t="str">
        <f>IF(Measure36_SerialNumber&lt;&gt;"","ImprovementAttributes","")</f>
        <v/>
      </c>
      <c r="C584" s="155" t="s">
        <v>3929</v>
      </c>
      <c r="D584" s="155">
        <f>Measure36_SerialNumber</f>
        <v>0</v>
      </c>
    </row>
    <row r="585" spans="1:14">
      <c r="A585" s="135" t="str">
        <f>IF(Measure36_Age&lt;&gt;"","ImprovementAttributes","")</f>
        <v/>
      </c>
      <c r="C585" s="155" t="s">
        <v>3930</v>
      </c>
      <c r="D585" s="155">
        <f>Measure36_Age</f>
        <v>0</v>
      </c>
    </row>
    <row r="586" spans="1:14">
      <c r="A586" s="135" t="str">
        <f>IF(Measure36_Replaced&lt;&gt;"","ImprovementAttributes","")</f>
        <v/>
      </c>
      <c r="C586" s="155" t="s">
        <v>3931</v>
      </c>
      <c r="D586" s="155">
        <f>Measure36_Replaced</f>
        <v>0</v>
      </c>
    </row>
    <row r="587" spans="1:14">
      <c r="A587" s="135" t="str">
        <f>IF(Measure36_Payback&lt;&gt;0,"ImprovementAttributes","")</f>
        <v/>
      </c>
      <c r="C587" s="155" t="s">
        <v>3932</v>
      </c>
      <c r="D587" s="155">
        <f>Measure36_Payback</f>
        <v>0</v>
      </c>
    </row>
    <row r="588" spans="1:14">
      <c r="A588" s="135" t="str">
        <f>IF(Measure36_Incentive&lt;&gt;0,"ImprovementAttributes","")</f>
        <v/>
      </c>
      <c r="C588" s="155" t="s">
        <v>4004</v>
      </c>
      <c r="D588" s="155">
        <f>Measure36_Incentive</f>
        <v>0</v>
      </c>
    </row>
    <row r="589" spans="1:14" ht="18.5">
      <c r="A589"/>
      <c r="B589" s="148" t="s">
        <v>3971</v>
      </c>
      <c r="C589" s="149"/>
      <c r="D589" s="149"/>
      <c r="E589" s="149"/>
      <c r="F589" s="149"/>
      <c r="G589" s="149"/>
      <c r="H589" s="149"/>
      <c r="I589" s="149"/>
      <c r="J589"/>
      <c r="K589"/>
      <c r="L589"/>
      <c r="M589"/>
      <c r="N589"/>
    </row>
    <row r="590" spans="1:14">
      <c r="A590"/>
      <c r="B590" s="138" t="s">
        <v>3916</v>
      </c>
      <c r="C590" s="138" t="s">
        <v>3917</v>
      </c>
      <c r="D590" s="138" t="s">
        <v>3918</v>
      </c>
      <c r="E590" s="138" t="s">
        <v>3919</v>
      </c>
      <c r="F590" s="138" t="s">
        <v>3920</v>
      </c>
      <c r="G590" s="138" t="s">
        <v>3888</v>
      </c>
      <c r="H590" s="138" t="s">
        <v>3921</v>
      </c>
      <c r="I590" s="138" t="s">
        <v>3922</v>
      </c>
      <c r="J590"/>
      <c r="K590" s="150"/>
      <c r="L590" s="150"/>
      <c r="M590" s="150"/>
      <c r="N590" s="150"/>
    </row>
    <row r="591" spans="1:14">
      <c r="A591" t="str">
        <f>IF(Measure37_Type&lt;&gt;0,"Improvements","")</f>
        <v/>
      </c>
      <c r="B591" s="156">
        <f>IF(Measure37_Type="1 to 6 Watt LED Screw-In replacing Incandescent/CFL", "6 Watt LED Screw-In replacing Incandescent/CFL", IF(Measure37_Type="7 to 11 Watt LED Screw-In replacing Incandescent/CFL", "11 Watt LED Screw-In replacing Incandescent/CFL", IF(Measure37_Type="12 to 17 Watt LED Screw-In replacing Incandescent/CFL", "13 Watt LED Screw-In replacing Incandescent/CFL", IF(Measure37_Type="18 or more Watt LED Screw-In replacing Incandescent/CFL", "18 Watt LED Screw-In replacing Incandescent/CFL", Measure37_Type))))</f>
        <v>0</v>
      </c>
      <c r="C591" s="151">
        <f>Measure37_Cost</f>
        <v>0</v>
      </c>
      <c r="D591" s="142">
        <f>Measure37_Quantity</f>
        <v>0</v>
      </c>
      <c r="E591" s="142" t="str">
        <f>IF(Measure37_Description&lt;&gt;"",Measure37_Description,"")</f>
        <v/>
      </c>
      <c r="F591" s="142" t="e">
        <f>IF(Measure37_ShortDescription&lt;&gt; "", Measure37_ShortDescription,"")</f>
        <v>#N/A</v>
      </c>
      <c r="G591" s="142" t="str">
        <f>IF(Measure37_Status&lt;&gt;"",Measure37_Status, "Recommended")</f>
        <v>Recommended</v>
      </c>
      <c r="H591" s="142" t="str">
        <f>IF(Measure37_Comments&lt;&gt;"", Measure37_Comments,"")</f>
        <v/>
      </c>
      <c r="I591" s="142">
        <f>Measure37_ElectricCostSavings</f>
        <v>0</v>
      </c>
      <c r="J591"/>
      <c r="K591"/>
      <c r="L591"/>
      <c r="M591"/>
      <c r="N591"/>
    </row>
    <row r="592" spans="1:14" ht="15.5">
      <c r="A592" s="150"/>
      <c r="B592"/>
      <c r="C592" s="152" t="s">
        <v>3923</v>
      </c>
      <c r="D592" s="153"/>
      <c r="E592" s="153"/>
      <c r="F592" s="153"/>
      <c r="G592" s="153"/>
      <c r="H592" s="153"/>
      <c r="I592" s="153"/>
      <c r="J592" s="153"/>
      <c r="K592" s="153"/>
      <c r="L592" s="153"/>
      <c r="M592"/>
    </row>
    <row r="593" spans="1:14">
      <c r="A593" s="150"/>
      <c r="B593"/>
      <c r="C593" s="138" t="s">
        <v>3895</v>
      </c>
      <c r="D593" s="138" t="s">
        <v>3896</v>
      </c>
      <c r="E593" s="138" t="s">
        <v>3897</v>
      </c>
      <c r="F593" s="138" t="s">
        <v>3898</v>
      </c>
      <c r="G593" s="138" t="s">
        <v>3899</v>
      </c>
      <c r="H593" s="138" t="s">
        <v>3900</v>
      </c>
      <c r="I593" s="138" t="s">
        <v>3901</v>
      </c>
      <c r="J593" s="138" t="s">
        <v>3936</v>
      </c>
      <c r="K593" s="138" t="s">
        <v>3904</v>
      </c>
      <c r="L593" s="138" t="s">
        <v>3937</v>
      </c>
    </row>
    <row r="594" spans="1:14">
      <c r="A594" s="150" t="str">
        <f>IF(Measure37_kWhSavings&lt;&gt;0,"ImprovementSavings","")</f>
        <v/>
      </c>
      <c r="B594"/>
      <c r="C594" s="142" t="s">
        <v>3890</v>
      </c>
      <c r="D594" s="150"/>
      <c r="E594" s="150"/>
      <c r="F594" s="150"/>
      <c r="G594" s="150"/>
      <c r="H594" s="150"/>
      <c r="I594" s="150"/>
      <c r="J594" s="142">
        <f>Measure37_kWhSavings*GECO_ELEC_RATIO</f>
        <v>0</v>
      </c>
      <c r="K594" s="142">
        <f>Measure37_DemandSavings</f>
        <v>0</v>
      </c>
      <c r="L594" s="142">
        <f>Measure37_ElectricCostSavings</f>
        <v>0</v>
      </c>
    </row>
    <row r="595" spans="1:14">
      <c r="A595" s="150"/>
      <c r="B595"/>
      <c r="C595" s="149" t="s">
        <v>3924</v>
      </c>
      <c r="D595" s="149"/>
      <c r="E595"/>
      <c r="F595"/>
      <c r="G595"/>
      <c r="H595"/>
      <c r="I595"/>
      <c r="J595"/>
      <c r="K595"/>
      <c r="L595"/>
      <c r="M595"/>
    </row>
    <row r="596" spans="1:14">
      <c r="A596" s="150"/>
      <c r="B596"/>
      <c r="C596" s="138" t="s">
        <v>3925</v>
      </c>
      <c r="D596" s="138" t="s">
        <v>3813</v>
      </c>
      <c r="E596"/>
      <c r="F596"/>
      <c r="G596"/>
      <c r="H596"/>
      <c r="I596"/>
      <c r="J596"/>
      <c r="K596"/>
      <c r="L596"/>
      <c r="M596"/>
      <c r="N596"/>
    </row>
    <row r="597" spans="1:14">
      <c r="A597" s="135" t="str">
        <f>IF(Measure37_Size&lt;&gt;"","ImprovementAttributes","")</f>
        <v/>
      </c>
      <c r="C597" s="155" t="s">
        <v>3926</v>
      </c>
      <c r="D597" s="155">
        <f>Measure37_Size</f>
        <v>0</v>
      </c>
    </row>
    <row r="598" spans="1:14">
      <c r="A598" s="135" t="str">
        <f>IF(Measure37_Efficiency&lt;&gt;"","ImprovementAttributes","")</f>
        <v/>
      </c>
      <c r="C598" s="155" t="s">
        <v>3927</v>
      </c>
      <c r="D598" s="155">
        <f>Measure37_Efficiency</f>
        <v>0</v>
      </c>
    </row>
    <row r="599" spans="1:14">
      <c r="A599" s="135" t="str">
        <f>IF(Measure37_UsefulLife&lt;&gt;"","ImprovementAttributes","")</f>
        <v/>
      </c>
      <c r="C599" s="155" t="s">
        <v>3928</v>
      </c>
      <c r="D599" s="155">
        <f>Measure37_UsefulLife</f>
        <v>0</v>
      </c>
    </row>
    <row r="600" spans="1:14">
      <c r="A600" s="135" t="str">
        <f>IF(Measure37_SerialNumber&lt;&gt;"","ImprovementAttributes","")</f>
        <v/>
      </c>
      <c r="C600" s="155" t="s">
        <v>3929</v>
      </c>
      <c r="D600" s="155">
        <f>Measure37_SerialNumber</f>
        <v>0</v>
      </c>
    </row>
    <row r="601" spans="1:14">
      <c r="A601" s="135" t="str">
        <f>IF(Measure37_Age&lt;&gt;"","ImprovementAttributes","")</f>
        <v/>
      </c>
      <c r="C601" s="155" t="s">
        <v>3930</v>
      </c>
      <c r="D601" s="155">
        <f>Measure37_Age</f>
        <v>0</v>
      </c>
    </row>
    <row r="602" spans="1:14">
      <c r="A602" s="135" t="str">
        <f>IF(Measure37_Replaced&lt;&gt;"","ImprovementAttributes","")</f>
        <v/>
      </c>
      <c r="C602" s="155" t="s">
        <v>3931</v>
      </c>
      <c r="D602" s="155">
        <f>Measure37_Replaced</f>
        <v>0</v>
      </c>
    </row>
    <row r="603" spans="1:14">
      <c r="A603" s="135" t="str">
        <f>IF(Measure37_Payback&lt;&gt;0,"ImprovementAttributes","")</f>
        <v/>
      </c>
      <c r="C603" s="155" t="s">
        <v>3932</v>
      </c>
      <c r="D603" s="155">
        <f>Measure37_Payback</f>
        <v>0</v>
      </c>
    </row>
    <row r="604" spans="1:14">
      <c r="A604" s="135" t="str">
        <f>IF(Measure37_Incentive&lt;&gt;0,"ImprovementAttributes","")</f>
        <v/>
      </c>
      <c r="C604" s="155" t="s">
        <v>4004</v>
      </c>
      <c r="D604" s="155">
        <f>Measure37_Incentive</f>
        <v>0</v>
      </c>
    </row>
    <row r="605" spans="1:14" ht="18.5">
      <c r="A605"/>
      <c r="B605" s="148" t="s">
        <v>3972</v>
      </c>
      <c r="C605" s="149"/>
      <c r="D605" s="149"/>
      <c r="E605" s="149"/>
      <c r="F605" s="149"/>
      <c r="G605" s="149"/>
      <c r="H605" s="149"/>
      <c r="I605" s="149"/>
      <c r="J605"/>
      <c r="K605"/>
      <c r="L605"/>
      <c r="M605"/>
      <c r="N605"/>
    </row>
    <row r="606" spans="1:14">
      <c r="A606"/>
      <c r="B606" s="138" t="s">
        <v>3916</v>
      </c>
      <c r="C606" s="138" t="s">
        <v>3917</v>
      </c>
      <c r="D606" s="138" t="s">
        <v>3918</v>
      </c>
      <c r="E606" s="138" t="s">
        <v>3919</v>
      </c>
      <c r="F606" s="138" t="s">
        <v>3920</v>
      </c>
      <c r="G606" s="138" t="s">
        <v>3888</v>
      </c>
      <c r="H606" s="138" t="s">
        <v>3921</v>
      </c>
      <c r="I606" s="138" t="s">
        <v>3922</v>
      </c>
      <c r="J606"/>
      <c r="K606" s="150"/>
      <c r="L606" s="150"/>
      <c r="M606" s="150"/>
      <c r="N606" s="150"/>
    </row>
    <row r="607" spans="1:14">
      <c r="A607" t="str">
        <f>IF(Measure38_Type&lt;&gt;0,"Improvements","")</f>
        <v/>
      </c>
      <c r="B607" s="156">
        <f>IF(Measure38_Type="1 to 6 Watt LED Screw-In replacing Incandescent/CFL", "6 Watt LED Screw-In replacing Incandescent/CFL", IF(Measure38_Type="7 to 11 Watt LED Screw-In replacing Incandescent/CFL", "11 Watt LED Screw-In replacing Incandescent/CFL", IF(Measure38_Type="12 to 17 Watt LED Screw-In replacing Incandescent/CFL", "13 Watt LED Screw-In replacing Incandescent/CFL", IF(Measure38_Type="18 or more Watt LED Screw-In replacing Incandescent/CFL", "18 Watt LED Screw-In replacing Incandescent/CFL", Measure38_Type))))</f>
        <v>0</v>
      </c>
      <c r="C607" s="151">
        <f>Measure38_Cost</f>
        <v>0</v>
      </c>
      <c r="D607" s="142">
        <f>Measure38_Quantity</f>
        <v>0</v>
      </c>
      <c r="E607" s="142" t="str">
        <f>IF(Measure38_Description&lt;&gt;"",Measure38_Description,"")</f>
        <v/>
      </c>
      <c r="F607" s="142" t="e">
        <f>IF(Measure38_ShortDescription&lt;&gt; "", Measure38_ShortDescription,"")</f>
        <v>#N/A</v>
      </c>
      <c r="G607" s="142" t="str">
        <f>IF(Measure38_Status&lt;&gt;"",Measure38_Status, "Recommended")</f>
        <v>Recommended</v>
      </c>
      <c r="H607" s="142" t="str">
        <f>IF(Measure38_Comments&lt;&gt;"", Measure38_Comments,"")</f>
        <v/>
      </c>
      <c r="I607" s="142">
        <f>Measure38_ElectricCostSavings</f>
        <v>0</v>
      </c>
      <c r="J607"/>
      <c r="K607"/>
      <c r="L607"/>
      <c r="M607"/>
      <c r="N607"/>
    </row>
    <row r="608" spans="1:14" ht="15.5">
      <c r="A608" s="150"/>
      <c r="B608"/>
      <c r="C608" s="152" t="s">
        <v>3923</v>
      </c>
      <c r="D608" s="153"/>
      <c r="E608" s="153"/>
      <c r="F608" s="153"/>
      <c r="G608" s="153"/>
      <c r="H608" s="153"/>
      <c r="I608" s="153"/>
      <c r="J608" s="153"/>
      <c r="K608" s="153"/>
      <c r="L608" s="153"/>
      <c r="M608"/>
    </row>
    <row r="609" spans="1:14">
      <c r="A609" s="150"/>
      <c r="B609"/>
      <c r="C609" s="138" t="s">
        <v>3895</v>
      </c>
      <c r="D609" s="138" t="s">
        <v>3896</v>
      </c>
      <c r="E609" s="138" t="s">
        <v>3897</v>
      </c>
      <c r="F609" s="138" t="s">
        <v>3898</v>
      </c>
      <c r="G609" s="138" t="s">
        <v>3899</v>
      </c>
      <c r="H609" s="138" t="s">
        <v>3900</v>
      </c>
      <c r="I609" s="138" t="s">
        <v>3901</v>
      </c>
      <c r="J609" s="138" t="s">
        <v>3936</v>
      </c>
      <c r="K609" s="138" t="s">
        <v>3904</v>
      </c>
      <c r="L609" s="138" t="s">
        <v>3937</v>
      </c>
    </row>
    <row r="610" spans="1:14">
      <c r="A610" s="150" t="str">
        <f>IF(Measure38_kWhSavings&lt;&gt;0,"ImprovementSavings","")</f>
        <v/>
      </c>
      <c r="B610"/>
      <c r="C610" s="142" t="s">
        <v>3890</v>
      </c>
      <c r="D610" s="150"/>
      <c r="E610" s="150"/>
      <c r="F610" s="150"/>
      <c r="G610" s="150"/>
      <c r="H610" s="150"/>
      <c r="I610" s="150"/>
      <c r="J610" s="142">
        <f>Measure38_kWhSavings*GECO_ELEC_RATIO</f>
        <v>0</v>
      </c>
      <c r="K610" s="142">
        <f>Measure38_DemandSavings</f>
        <v>0</v>
      </c>
      <c r="L610" s="142">
        <f>Measure38_ElectricCostSavings</f>
        <v>0</v>
      </c>
    </row>
    <row r="611" spans="1:14">
      <c r="A611" s="150"/>
      <c r="B611"/>
      <c r="C611" s="149" t="s">
        <v>3924</v>
      </c>
      <c r="D611" s="149"/>
      <c r="E611"/>
      <c r="F611"/>
      <c r="G611"/>
      <c r="H611"/>
      <c r="I611"/>
      <c r="J611"/>
      <c r="K611"/>
      <c r="L611"/>
      <c r="M611"/>
      <c r="N611"/>
    </row>
    <row r="612" spans="1:14">
      <c r="A612" s="150"/>
      <c r="B612"/>
      <c r="C612" s="138" t="s">
        <v>3925</v>
      </c>
      <c r="D612" s="138" t="s">
        <v>3813</v>
      </c>
      <c r="E612"/>
      <c r="F612"/>
      <c r="G612"/>
      <c r="H612"/>
      <c r="I612"/>
      <c r="J612"/>
      <c r="K612"/>
      <c r="L612"/>
      <c r="M612"/>
      <c r="N612"/>
    </row>
    <row r="613" spans="1:14">
      <c r="A613" s="135" t="str">
        <f>IF(Measure38_Size&lt;&gt;"","ImprovementAttributes","")</f>
        <v/>
      </c>
      <c r="C613" s="155" t="s">
        <v>3926</v>
      </c>
      <c r="D613" s="155">
        <f>Measure38_Size</f>
        <v>0</v>
      </c>
    </row>
    <row r="614" spans="1:14">
      <c r="A614" s="135" t="str">
        <f>IF(Measure38_Efficiency&lt;&gt;"","ImprovementAttributes","")</f>
        <v/>
      </c>
      <c r="C614" s="155" t="s">
        <v>3927</v>
      </c>
      <c r="D614" s="155">
        <f>Measure38_Efficiency</f>
        <v>0</v>
      </c>
    </row>
    <row r="615" spans="1:14">
      <c r="A615" s="135" t="str">
        <f>IF(Measure38_UsefulLife&lt;&gt;"","ImprovementAttributes","")</f>
        <v/>
      </c>
      <c r="C615" s="155" t="s">
        <v>3928</v>
      </c>
      <c r="D615" s="155">
        <f>Measure38_UsefulLife</f>
        <v>0</v>
      </c>
    </row>
    <row r="616" spans="1:14">
      <c r="A616" s="135" t="str">
        <f>IF(Measure38_SerialNumber&lt;&gt;"","ImprovementAttributes","")</f>
        <v/>
      </c>
      <c r="C616" s="155" t="s">
        <v>3929</v>
      </c>
      <c r="D616" s="155">
        <f>Measure38_SerialNumber</f>
        <v>0</v>
      </c>
    </row>
    <row r="617" spans="1:14">
      <c r="A617" s="135" t="str">
        <f>IF(Measure38_Age&lt;&gt;"","ImprovementAttributes","")</f>
        <v/>
      </c>
      <c r="C617" s="155" t="s">
        <v>3930</v>
      </c>
      <c r="D617" s="155">
        <f>Measure38_Age</f>
        <v>0</v>
      </c>
    </row>
    <row r="618" spans="1:14">
      <c r="A618" s="135" t="str">
        <f>IF(Measure38_Replaced&lt;&gt;"","ImprovementAttributes","")</f>
        <v/>
      </c>
      <c r="C618" s="155" t="s">
        <v>3931</v>
      </c>
      <c r="D618" s="155">
        <f>Measure38_Replaced</f>
        <v>0</v>
      </c>
    </row>
    <row r="619" spans="1:14">
      <c r="A619" s="135" t="str">
        <f>IF(Measure38_Payback&lt;&gt;0,"ImprovementAttributes","")</f>
        <v/>
      </c>
      <c r="C619" s="155" t="s">
        <v>3932</v>
      </c>
      <c r="D619" s="155">
        <f>Measure38_Payback</f>
        <v>0</v>
      </c>
    </row>
    <row r="620" spans="1:14">
      <c r="A620" s="135" t="str">
        <f>IF(Measure38_Incentive&lt;&gt;0,"ImprovementAttributes","")</f>
        <v/>
      </c>
      <c r="C620" s="155" t="s">
        <v>4004</v>
      </c>
      <c r="D620" s="155">
        <f>Measure38_Incentive</f>
        <v>0</v>
      </c>
    </row>
    <row r="621" spans="1:14" ht="18.5">
      <c r="A621"/>
      <c r="B621" s="148" t="s">
        <v>3973</v>
      </c>
      <c r="C621" s="149"/>
      <c r="D621" s="149"/>
      <c r="E621" s="149"/>
      <c r="F621" s="149"/>
      <c r="G621" s="149"/>
      <c r="H621" s="149"/>
      <c r="I621" s="149"/>
      <c r="J621"/>
      <c r="K621"/>
      <c r="L621"/>
      <c r="M621"/>
      <c r="N621"/>
    </row>
    <row r="622" spans="1:14">
      <c r="A622"/>
      <c r="B622" s="138" t="s">
        <v>3916</v>
      </c>
      <c r="C622" s="138" t="s">
        <v>3917</v>
      </c>
      <c r="D622" s="138" t="s">
        <v>3918</v>
      </c>
      <c r="E622" s="138" t="s">
        <v>3919</v>
      </c>
      <c r="F622" s="138" t="s">
        <v>3920</v>
      </c>
      <c r="G622" s="138" t="s">
        <v>3888</v>
      </c>
      <c r="H622" s="138" t="s">
        <v>3921</v>
      </c>
      <c r="I622" s="138" t="s">
        <v>3922</v>
      </c>
      <c r="J622"/>
      <c r="K622" s="150"/>
      <c r="L622" s="150"/>
      <c r="M622" s="150"/>
      <c r="N622" s="150"/>
    </row>
    <row r="623" spans="1:14">
      <c r="A623" t="str">
        <f>IF(Measure39_Type&lt;&gt;0,"Improvements","")</f>
        <v/>
      </c>
      <c r="B623" s="156">
        <f>IF(Measure39_Type="1 to 6 Watt LED Screw-In replacing Incandescent/CFL", "6 Watt LED Screw-In replacing Incandescent/CFL", IF(Measure39_Type="7 to 11 Watt LED Screw-In replacing Incandescent/CFL", "11 Watt LED Screw-In replacing Incandescent/CFL", IF(Measure39_Type="12 to 17 Watt LED Screw-In replacing Incandescent/CFL", "13 Watt LED Screw-In replacing Incandescent/CFL", IF(Measure39_Type="18 or more Watt LED Screw-In replacing Incandescent/CFL", "18 Watt LED Screw-In replacing Incandescent/CFL", Measure39_Type))))</f>
        <v>0</v>
      </c>
      <c r="C623" s="151">
        <f>Measure39_Cost</f>
        <v>0</v>
      </c>
      <c r="D623" s="142">
        <f>Measure39_Quantity</f>
        <v>0</v>
      </c>
      <c r="E623" s="142" t="str">
        <f>IF(Measure39_Description&lt;&gt;"",Measure39_Description,"")</f>
        <v/>
      </c>
      <c r="F623" s="142" t="e">
        <f>IF(Measure39_ShortDescription&lt;&gt; "", Measure39_ShortDescription,"")</f>
        <v>#N/A</v>
      </c>
      <c r="G623" s="142" t="str">
        <f>IF(Measure39_Status&lt;&gt;"",Measure39_Status, "Recommended")</f>
        <v>Recommended</v>
      </c>
      <c r="H623" s="142" t="str">
        <f>IF(Measure39_Comments&lt;&gt;"", Measure39_Comments,"")</f>
        <v/>
      </c>
      <c r="I623" s="142">
        <f>Measure39_ElectricCostSavings</f>
        <v>0</v>
      </c>
      <c r="J623"/>
      <c r="K623"/>
      <c r="L623"/>
      <c r="M623"/>
      <c r="N623"/>
    </row>
    <row r="624" spans="1:14" ht="15.5">
      <c r="A624" s="150"/>
      <c r="B624"/>
      <c r="C624" s="152" t="s">
        <v>3923</v>
      </c>
      <c r="D624" s="153"/>
      <c r="E624" s="153"/>
      <c r="F624" s="153"/>
      <c r="G624" s="153"/>
      <c r="H624" s="153"/>
      <c r="I624" s="153"/>
      <c r="J624" s="153"/>
      <c r="K624" s="153"/>
      <c r="L624" s="153"/>
      <c r="M624"/>
    </row>
    <row r="625" spans="1:14">
      <c r="A625" s="150"/>
      <c r="B625"/>
      <c r="C625" s="138" t="s">
        <v>3895</v>
      </c>
      <c r="D625" s="138" t="s">
        <v>3896</v>
      </c>
      <c r="E625" s="138" t="s">
        <v>3897</v>
      </c>
      <c r="F625" s="138" t="s">
        <v>3898</v>
      </c>
      <c r="G625" s="138" t="s">
        <v>3899</v>
      </c>
      <c r="H625" s="138" t="s">
        <v>3900</v>
      </c>
      <c r="I625" s="138" t="s">
        <v>3901</v>
      </c>
      <c r="J625" s="138" t="s">
        <v>3936</v>
      </c>
      <c r="K625" s="138" t="s">
        <v>3904</v>
      </c>
      <c r="L625" s="138" t="s">
        <v>3937</v>
      </c>
    </row>
    <row r="626" spans="1:14">
      <c r="A626" s="150" t="str">
        <f>IF(Measure39_kWhSavings&lt;&gt;0,"ImprovementSavings","")</f>
        <v/>
      </c>
      <c r="B626"/>
      <c r="C626" s="142" t="s">
        <v>3890</v>
      </c>
      <c r="D626" s="150"/>
      <c r="E626" s="150"/>
      <c r="F626" s="150"/>
      <c r="G626" s="150"/>
      <c r="H626" s="150"/>
      <c r="I626" s="150"/>
      <c r="J626" s="142">
        <f>Measure39_kWhSavings*GECO_ELEC_RATIO</f>
        <v>0</v>
      </c>
      <c r="K626" s="142">
        <f>Measure39_DemandSavings</f>
        <v>0</v>
      </c>
      <c r="L626" s="142">
        <f>Measure39_ElectricCostSavings</f>
        <v>0</v>
      </c>
    </row>
    <row r="627" spans="1:14">
      <c r="A627" s="150"/>
      <c r="B627"/>
      <c r="C627" s="149" t="s">
        <v>3924</v>
      </c>
      <c r="D627" s="149"/>
      <c r="E627"/>
      <c r="F627"/>
      <c r="G627"/>
      <c r="H627"/>
      <c r="I627"/>
      <c r="J627"/>
      <c r="K627"/>
      <c r="L627"/>
      <c r="M627"/>
      <c r="N627"/>
    </row>
    <row r="628" spans="1:14">
      <c r="A628" s="150"/>
      <c r="B628"/>
      <c r="C628" s="138" t="s">
        <v>3925</v>
      </c>
      <c r="D628" s="138" t="s">
        <v>3813</v>
      </c>
      <c r="E628"/>
      <c r="F628"/>
      <c r="G628"/>
      <c r="H628"/>
      <c r="I628"/>
      <c r="J628"/>
      <c r="K628"/>
      <c r="L628"/>
      <c r="M628"/>
      <c r="N628"/>
    </row>
    <row r="629" spans="1:14">
      <c r="A629" s="135" t="str">
        <f>IF(Measure39_Size&lt;&gt;"","ImprovementAttributes","")</f>
        <v/>
      </c>
      <c r="C629" s="155" t="s">
        <v>3926</v>
      </c>
      <c r="D629" s="155">
        <f>Measure39_Size</f>
        <v>0</v>
      </c>
    </row>
    <row r="630" spans="1:14">
      <c r="A630" s="135" t="str">
        <f>IF(Measure39_Efficiency&lt;&gt;"","ImprovementAttributes","")</f>
        <v/>
      </c>
      <c r="C630" s="155" t="s">
        <v>3927</v>
      </c>
      <c r="D630" s="155">
        <f>Measure39_Efficiency</f>
        <v>0</v>
      </c>
    </row>
    <row r="631" spans="1:14">
      <c r="A631" s="135" t="str">
        <f>IF(Measure39_UsefulLife&lt;&gt;"","ImprovementAttributes","")</f>
        <v/>
      </c>
      <c r="C631" s="155" t="s">
        <v>3928</v>
      </c>
      <c r="D631" s="155">
        <f>Measure39_UsefulLife</f>
        <v>0</v>
      </c>
    </row>
    <row r="632" spans="1:14">
      <c r="A632" s="135" t="str">
        <f>IF(Measure39_SerialNumber&lt;&gt;"","ImprovementAttributes","")</f>
        <v/>
      </c>
      <c r="C632" s="155" t="s">
        <v>3929</v>
      </c>
      <c r="D632" s="155">
        <f>Measure39_SerialNumber</f>
        <v>0</v>
      </c>
    </row>
    <row r="633" spans="1:14">
      <c r="A633" s="135" t="str">
        <f>IF(Measure39_Age&lt;&gt;"","ImprovementAttributes","")</f>
        <v/>
      </c>
      <c r="C633" s="155" t="s">
        <v>3930</v>
      </c>
      <c r="D633" s="155">
        <f>Measure39_Age</f>
        <v>0</v>
      </c>
    </row>
    <row r="634" spans="1:14">
      <c r="A634" s="135" t="str">
        <f>IF(Measure39_Replaced&lt;&gt;"","ImprovementAttributes","")</f>
        <v/>
      </c>
      <c r="C634" s="155" t="s">
        <v>3931</v>
      </c>
      <c r="D634" s="155">
        <f>Measure39_Replaced</f>
        <v>0</v>
      </c>
    </row>
    <row r="635" spans="1:14">
      <c r="A635" s="135" t="str">
        <f>IF(Measure39_Payback&lt;&gt;0,"ImprovementAttributes","")</f>
        <v/>
      </c>
      <c r="C635" s="155" t="s">
        <v>3932</v>
      </c>
      <c r="D635" s="155">
        <f>Measure39_Payback</f>
        <v>0</v>
      </c>
    </row>
    <row r="636" spans="1:14">
      <c r="A636" s="135" t="str">
        <f>IF(Measure39_Incentive&lt;&gt;0,"ImprovementAttributes","")</f>
        <v/>
      </c>
      <c r="C636" s="155" t="s">
        <v>4004</v>
      </c>
      <c r="D636" s="155">
        <f>Measure39_Incentive</f>
        <v>0</v>
      </c>
    </row>
    <row r="637" spans="1:14" ht="18.5">
      <c r="A637"/>
      <c r="B637" s="148" t="s">
        <v>3974</v>
      </c>
      <c r="C637" s="149"/>
      <c r="D637" s="149"/>
      <c r="E637" s="149"/>
      <c r="F637" s="149"/>
      <c r="G637" s="149"/>
      <c r="H637" s="149"/>
      <c r="I637" s="149"/>
      <c r="J637"/>
      <c r="K637"/>
      <c r="L637"/>
      <c r="M637"/>
      <c r="N637"/>
    </row>
    <row r="638" spans="1:14">
      <c r="A638"/>
      <c r="B638" s="138" t="s">
        <v>3916</v>
      </c>
      <c r="C638" s="138" t="s">
        <v>3917</v>
      </c>
      <c r="D638" s="138" t="s">
        <v>3918</v>
      </c>
      <c r="E638" s="138" t="s">
        <v>3919</v>
      </c>
      <c r="F638" s="138" t="s">
        <v>3920</v>
      </c>
      <c r="G638" s="138" t="s">
        <v>3888</v>
      </c>
      <c r="H638" s="138" t="s">
        <v>3921</v>
      </c>
      <c r="I638" s="138" t="s">
        <v>3922</v>
      </c>
      <c r="J638"/>
      <c r="K638" s="150"/>
      <c r="L638" s="150"/>
      <c r="M638" s="150"/>
      <c r="N638" s="150"/>
    </row>
    <row r="639" spans="1:14">
      <c r="A639" t="str">
        <f>IF(Measure40_Type&lt;&gt;0,"Improvements","")</f>
        <v/>
      </c>
      <c r="B639" s="156">
        <f>IF(Measure40_Type="1 to 6 Watt LED Screw-In replacing Incandescent/CFL", "6 Watt LED Screw-In replacing Incandescent/CFL", IF(Measure40_Type="7 to 11 Watt LED Screw-In replacing Incandescent/CFL", "11 Watt LED Screw-In replacing Incandescent/CFL", IF(Measure40_Type="12 to 17 Watt LED Screw-In replacing Incandescent/CFL", "13 Watt LED Screw-In replacing Incandescent/CFL", IF(Measure40_Type="18 or more Watt LED Screw-In replacing Incandescent/CFL", "18 Watt LED Screw-In replacing Incandescent/CFL", Measure40_Type))))</f>
        <v>0</v>
      </c>
      <c r="C639" s="151">
        <f>Measure40_Cost</f>
        <v>0</v>
      </c>
      <c r="D639" s="142">
        <f>Measure40_Quantity</f>
        <v>0</v>
      </c>
      <c r="E639" s="142" t="str">
        <f>IF(Measure40_Description&lt;&gt;"",Measure40_Description,"")</f>
        <v/>
      </c>
      <c r="F639" s="142" t="e">
        <f>IF(Measure40_ShortDescription&lt;&gt; "", Measure40_ShortDescription,"")</f>
        <v>#N/A</v>
      </c>
      <c r="G639" s="142" t="str">
        <f>IF(Measure40_Status&lt;&gt;"",Measure40_Status, "Recommended")</f>
        <v>Recommended</v>
      </c>
      <c r="H639" s="142" t="str">
        <f>IF(Measure40_Comments&lt;&gt;"", Measure40_Comments,"")</f>
        <v/>
      </c>
      <c r="I639" s="142">
        <f>Measure40_ElectricCostSavings</f>
        <v>0</v>
      </c>
      <c r="J639"/>
      <c r="K639"/>
      <c r="L639"/>
      <c r="M639"/>
      <c r="N639"/>
    </row>
    <row r="640" spans="1:14" ht="15.5">
      <c r="A640" s="150"/>
      <c r="B640"/>
      <c r="C640" s="152" t="s">
        <v>3923</v>
      </c>
      <c r="D640" s="153"/>
      <c r="E640" s="153"/>
      <c r="F640" s="153"/>
      <c r="G640" s="153"/>
      <c r="H640" s="153"/>
      <c r="I640" s="153"/>
      <c r="J640" s="153"/>
      <c r="K640" s="153"/>
      <c r="L640" s="153"/>
      <c r="M640"/>
    </row>
    <row r="641" spans="1:14">
      <c r="A641" s="150"/>
      <c r="B641"/>
      <c r="C641" s="138" t="s">
        <v>3895</v>
      </c>
      <c r="D641" s="138" t="s">
        <v>3896</v>
      </c>
      <c r="E641" s="138" t="s">
        <v>3897</v>
      </c>
      <c r="F641" s="138" t="s">
        <v>3898</v>
      </c>
      <c r="G641" s="138" t="s">
        <v>3899</v>
      </c>
      <c r="H641" s="138" t="s">
        <v>3900</v>
      </c>
      <c r="I641" s="138" t="s">
        <v>3901</v>
      </c>
      <c r="J641" s="138" t="s">
        <v>3936</v>
      </c>
      <c r="K641" s="138" t="s">
        <v>3904</v>
      </c>
      <c r="L641" s="138" t="s">
        <v>3937</v>
      </c>
    </row>
    <row r="642" spans="1:14">
      <c r="A642" s="150" t="str">
        <f>IF(Measure40_kWhSavings&lt;&gt;0,"ImprovementSavings","")</f>
        <v/>
      </c>
      <c r="B642"/>
      <c r="C642" s="142" t="s">
        <v>3890</v>
      </c>
      <c r="D642" s="150"/>
      <c r="E642" s="150"/>
      <c r="F642" s="150"/>
      <c r="G642" s="150"/>
      <c r="H642" s="150"/>
      <c r="I642" s="150"/>
      <c r="J642" s="142">
        <f>Measure40_kWhSavings*GECO_ELEC_RATIO</f>
        <v>0</v>
      </c>
      <c r="K642" s="142">
        <f>Measure40_DemandSavings</f>
        <v>0</v>
      </c>
      <c r="L642" s="142">
        <f>Measure40_ElectricCostSavings</f>
        <v>0</v>
      </c>
    </row>
    <row r="643" spans="1:14">
      <c r="A643" s="150"/>
      <c r="B643"/>
      <c r="C643" s="149" t="s">
        <v>3924</v>
      </c>
      <c r="D643" s="149"/>
      <c r="E643"/>
      <c r="F643"/>
      <c r="G643"/>
      <c r="H643"/>
      <c r="I643"/>
      <c r="J643"/>
      <c r="K643"/>
      <c r="L643"/>
      <c r="M643"/>
    </row>
    <row r="644" spans="1:14">
      <c r="A644" s="150"/>
      <c r="B644"/>
      <c r="C644" s="138" t="s">
        <v>3925</v>
      </c>
      <c r="D644" s="138" t="s">
        <v>3813</v>
      </c>
      <c r="E644"/>
      <c r="F644"/>
      <c r="G644"/>
      <c r="H644"/>
      <c r="I644"/>
      <c r="J644"/>
      <c r="K644"/>
      <c r="L644"/>
      <c r="M644"/>
      <c r="N644"/>
    </row>
    <row r="645" spans="1:14">
      <c r="A645" s="135" t="str">
        <f>IF(Measure40_Size&lt;&gt;"","ImprovementAttributes","")</f>
        <v/>
      </c>
      <c r="C645" s="155" t="s">
        <v>3926</v>
      </c>
      <c r="D645" s="155">
        <f>Measure40_Size</f>
        <v>0</v>
      </c>
    </row>
    <row r="646" spans="1:14">
      <c r="A646" s="135" t="str">
        <f>IF(Measure40_Efficiency&lt;&gt;"","ImprovementAttributes","")</f>
        <v/>
      </c>
      <c r="C646" s="155" t="s">
        <v>3927</v>
      </c>
      <c r="D646" s="155">
        <f>Measure40_Efficiency</f>
        <v>0</v>
      </c>
    </row>
    <row r="647" spans="1:14">
      <c r="A647" s="135" t="str">
        <f>IF(Measure40_UsefulLife&lt;&gt;"","ImprovementAttributes","")</f>
        <v/>
      </c>
      <c r="C647" s="155" t="s">
        <v>3928</v>
      </c>
      <c r="D647" s="155">
        <f>Measure40_UsefulLife</f>
        <v>0</v>
      </c>
    </row>
    <row r="648" spans="1:14">
      <c r="A648" s="135" t="str">
        <f>IF(Measure40_SerialNumber&lt;&gt;"","ImprovementAttributes","")</f>
        <v/>
      </c>
      <c r="C648" s="155" t="s">
        <v>3929</v>
      </c>
      <c r="D648" s="155">
        <f>Measure40_SerialNumber</f>
        <v>0</v>
      </c>
    </row>
    <row r="649" spans="1:14">
      <c r="A649" s="135" t="str">
        <f>IF(Measure40_Age&lt;&gt;"","ImprovementAttributes","")</f>
        <v/>
      </c>
      <c r="C649" s="155" t="s">
        <v>3930</v>
      </c>
      <c r="D649" s="155">
        <f>Measure40_Age</f>
        <v>0</v>
      </c>
    </row>
    <row r="650" spans="1:14">
      <c r="A650" s="135" t="str">
        <f>IF(Measure40_Replaced&lt;&gt;"","ImprovementAttributes","")</f>
        <v/>
      </c>
      <c r="C650" s="155" t="s">
        <v>3931</v>
      </c>
      <c r="D650" s="155">
        <f>Measure40_Replaced</f>
        <v>0</v>
      </c>
    </row>
    <row r="651" spans="1:14">
      <c r="A651" s="135" t="str">
        <f>IF(Measure40_Payback&lt;&gt;0,"ImprovementAttributes","")</f>
        <v/>
      </c>
      <c r="C651" s="155" t="s">
        <v>3932</v>
      </c>
      <c r="D651" s="155">
        <f>Measure40_Payback</f>
        <v>0</v>
      </c>
    </row>
    <row r="652" spans="1:14">
      <c r="A652" s="135" t="str">
        <f>IF(Measure40_Incentive&lt;&gt;0,"ImprovementAttributes","")</f>
        <v/>
      </c>
      <c r="C652" s="155" t="s">
        <v>4004</v>
      </c>
      <c r="D652" s="155">
        <f>Measure40_Incentive</f>
        <v>0</v>
      </c>
    </row>
    <row r="653" spans="1:14" ht="18.5">
      <c r="A653"/>
      <c r="B653" s="148" t="s">
        <v>3975</v>
      </c>
      <c r="C653" s="149"/>
      <c r="D653" s="149"/>
      <c r="E653" s="149"/>
      <c r="F653" s="149"/>
      <c r="G653" s="149"/>
      <c r="H653" s="149"/>
      <c r="I653" s="149"/>
      <c r="J653"/>
      <c r="K653"/>
      <c r="L653"/>
      <c r="M653"/>
      <c r="N653"/>
    </row>
    <row r="654" spans="1:14">
      <c r="A654"/>
      <c r="B654" s="138" t="s">
        <v>3916</v>
      </c>
      <c r="C654" s="138" t="s">
        <v>3917</v>
      </c>
      <c r="D654" s="138" t="s">
        <v>3918</v>
      </c>
      <c r="E654" s="138" t="s">
        <v>3919</v>
      </c>
      <c r="F654" s="138" t="s">
        <v>3920</v>
      </c>
      <c r="G654" s="138" t="s">
        <v>3888</v>
      </c>
      <c r="H654" s="138" t="s">
        <v>3921</v>
      </c>
      <c r="I654" s="138" t="s">
        <v>3922</v>
      </c>
      <c r="J654"/>
      <c r="K654" s="150"/>
      <c r="L654" s="150"/>
      <c r="M654" s="150"/>
      <c r="N654" s="150"/>
    </row>
    <row r="655" spans="1:14">
      <c r="A655" t="str">
        <f>IF(Measure41_Type&lt;&gt;0,"Improvements","")</f>
        <v/>
      </c>
      <c r="B655" s="156">
        <f>IF(Measure41_Type="1 to 6 Watt LED Screw-In replacing Incandescent/CFL", "6 Watt LED Screw-In replacing Incandescent/CFL", IF(Measure41_Type="7 to 11 Watt LED Screw-In replacing Incandescent/CFL", "11 Watt LED Screw-In replacing Incandescent/CFL", IF(Measure41_Type="12 to 17 Watt LED Screw-In replacing Incandescent/CFL", "13 Watt LED Screw-In replacing Incandescent/CFL", IF(Measure41_Type="18 or more Watt LED Screw-In replacing Incandescent/CFL", "18 Watt LED Screw-In replacing Incandescent/CFL", Measure41_Type))))</f>
        <v>0</v>
      </c>
      <c r="C655" s="151">
        <f>Measure41_Cost</f>
        <v>0</v>
      </c>
      <c r="D655" s="142">
        <f>Measure41_Quantity</f>
        <v>0</v>
      </c>
      <c r="E655" s="142" t="str">
        <f>IF(Measure41_Description&lt;&gt;"",Measure41_Description,"")</f>
        <v/>
      </c>
      <c r="F655" s="142" t="e">
        <f>IF(Measure41_ShortDescription&lt;&gt; "", Measure41_ShortDescription,"")</f>
        <v>#N/A</v>
      </c>
      <c r="G655" s="142" t="str">
        <f>IF(Measure41_Status&lt;&gt;"",Measure41_Status, "Recommended")</f>
        <v>Recommended</v>
      </c>
      <c r="H655" s="142" t="str">
        <f>IF(Measure41_Comments&lt;&gt;"", Measure41_Comments,"")</f>
        <v/>
      </c>
      <c r="I655" s="142">
        <f>Measure41_ElectricCostSavings</f>
        <v>0</v>
      </c>
      <c r="J655"/>
      <c r="K655"/>
      <c r="L655"/>
      <c r="M655"/>
      <c r="N655"/>
    </row>
    <row r="656" spans="1:14" ht="15.5">
      <c r="A656" s="150"/>
      <c r="B656"/>
      <c r="C656" s="152" t="s">
        <v>3923</v>
      </c>
      <c r="D656" s="153"/>
      <c r="E656" s="153"/>
      <c r="F656" s="153"/>
      <c r="G656" s="153"/>
      <c r="H656" s="153"/>
      <c r="I656" s="153"/>
      <c r="J656" s="153"/>
      <c r="K656" s="153"/>
      <c r="L656" s="153"/>
      <c r="M656"/>
    </row>
    <row r="657" spans="1:14">
      <c r="A657" s="150"/>
      <c r="B657"/>
      <c r="C657" s="138" t="s">
        <v>3895</v>
      </c>
      <c r="D657" s="138" t="s">
        <v>3896</v>
      </c>
      <c r="E657" s="138" t="s">
        <v>3897</v>
      </c>
      <c r="F657" s="138" t="s">
        <v>3898</v>
      </c>
      <c r="G657" s="138" t="s">
        <v>3899</v>
      </c>
      <c r="H657" s="138" t="s">
        <v>3900</v>
      </c>
      <c r="I657" s="138" t="s">
        <v>3901</v>
      </c>
      <c r="J657" s="138" t="s">
        <v>3936</v>
      </c>
      <c r="K657" s="138" t="s">
        <v>3904</v>
      </c>
      <c r="L657" s="138" t="s">
        <v>3937</v>
      </c>
    </row>
    <row r="658" spans="1:14">
      <c r="A658" s="150" t="str">
        <f>IF(Measure41_kWhSavings&lt;&gt;0,"ImprovementSavings","")</f>
        <v/>
      </c>
      <c r="B658"/>
      <c r="C658" s="142" t="s">
        <v>3890</v>
      </c>
      <c r="D658" s="150"/>
      <c r="E658" s="150"/>
      <c r="F658" s="150"/>
      <c r="G658" s="150"/>
      <c r="H658" s="150"/>
      <c r="I658" s="150"/>
      <c r="J658" s="142">
        <f>Measure41_kWhSavings*GECO_ELEC_RATIO</f>
        <v>0</v>
      </c>
      <c r="K658" s="142">
        <f>Measure41_DemandSavings</f>
        <v>0</v>
      </c>
      <c r="L658" s="142">
        <f>Measure41_ElectricCostSavings</f>
        <v>0</v>
      </c>
    </row>
    <row r="659" spans="1:14">
      <c r="A659" s="150"/>
      <c r="B659"/>
      <c r="C659" s="149" t="s">
        <v>3924</v>
      </c>
      <c r="D659" s="149"/>
      <c r="E659"/>
      <c r="F659"/>
      <c r="G659"/>
      <c r="H659"/>
      <c r="I659"/>
      <c r="J659"/>
      <c r="K659"/>
      <c r="L659"/>
      <c r="M659"/>
      <c r="N659"/>
    </row>
    <row r="660" spans="1:14">
      <c r="A660" s="150"/>
      <c r="B660"/>
      <c r="C660" s="138" t="s">
        <v>3925</v>
      </c>
      <c r="D660" s="138" t="s">
        <v>3813</v>
      </c>
      <c r="E660"/>
      <c r="F660"/>
      <c r="G660"/>
      <c r="H660"/>
      <c r="I660"/>
      <c r="J660"/>
      <c r="K660"/>
      <c r="L660"/>
      <c r="M660"/>
      <c r="N660"/>
    </row>
    <row r="661" spans="1:14">
      <c r="A661" s="135" t="str">
        <f>IF(Measure41_Size&lt;&gt;"","ImprovementAttributes","")</f>
        <v/>
      </c>
      <c r="C661" s="155" t="s">
        <v>3926</v>
      </c>
      <c r="D661" s="155">
        <f>Measure41_Size</f>
        <v>0</v>
      </c>
    </row>
    <row r="662" spans="1:14">
      <c r="A662" s="135" t="str">
        <f>IF(Measure41_Efficiency&lt;&gt;"","ImprovementAttributes","")</f>
        <v/>
      </c>
      <c r="C662" s="155" t="s">
        <v>3927</v>
      </c>
      <c r="D662" s="155">
        <f>Measure41_Efficiency</f>
        <v>0</v>
      </c>
    </row>
    <row r="663" spans="1:14">
      <c r="A663" s="135" t="str">
        <f>IF(Measure41_UsefulLife&lt;&gt;"","ImprovementAttributes","")</f>
        <v/>
      </c>
      <c r="C663" s="155" t="s">
        <v>3928</v>
      </c>
      <c r="D663" s="155">
        <f>Measure41_UsefulLife</f>
        <v>0</v>
      </c>
    </row>
    <row r="664" spans="1:14">
      <c r="A664" s="135" t="str">
        <f>IF(Measure41_SerialNumber&lt;&gt;"","ImprovementAttributes","")</f>
        <v/>
      </c>
      <c r="C664" s="155" t="s">
        <v>3929</v>
      </c>
      <c r="D664" s="155">
        <f>Measure41_SerialNumber</f>
        <v>0</v>
      </c>
    </row>
    <row r="665" spans="1:14">
      <c r="A665" s="135" t="str">
        <f>IF(Measure41_Age&lt;&gt;"","ImprovementAttributes","")</f>
        <v/>
      </c>
      <c r="C665" s="155" t="s">
        <v>3930</v>
      </c>
      <c r="D665" s="155">
        <f>Measure41_Age</f>
        <v>0</v>
      </c>
    </row>
    <row r="666" spans="1:14">
      <c r="A666" s="135" t="str">
        <f>IF(Measure41_Replaced&lt;&gt;"","ImprovementAttributes","")</f>
        <v/>
      </c>
      <c r="C666" s="155" t="s">
        <v>3931</v>
      </c>
      <c r="D666" s="155">
        <f>Measure41_Replaced</f>
        <v>0</v>
      </c>
    </row>
    <row r="667" spans="1:14">
      <c r="A667" s="135" t="str">
        <f>IF(Measure41_Payback&lt;&gt;0,"ImprovementAttributes","")</f>
        <v/>
      </c>
      <c r="C667" s="155" t="s">
        <v>3932</v>
      </c>
      <c r="D667" s="155">
        <f>Measure41_Payback</f>
        <v>0</v>
      </c>
    </row>
    <row r="668" spans="1:14">
      <c r="A668" s="135" t="str">
        <f>IF(Measure41_Incentive&lt;&gt;0,"ImprovementAttributes","")</f>
        <v/>
      </c>
      <c r="C668" s="155" t="s">
        <v>4004</v>
      </c>
      <c r="D668" s="155">
        <f>Measure41_Incentive</f>
        <v>0</v>
      </c>
    </row>
    <row r="669" spans="1:14" ht="18.5">
      <c r="A669"/>
      <c r="B669" s="148" t="s">
        <v>3976</v>
      </c>
      <c r="C669" s="149"/>
      <c r="D669" s="149"/>
      <c r="E669" s="149"/>
      <c r="F669" s="149"/>
      <c r="G669" s="149"/>
      <c r="H669" s="149"/>
      <c r="I669" s="149"/>
      <c r="J669"/>
      <c r="K669"/>
      <c r="L669"/>
      <c r="M669"/>
      <c r="N669"/>
    </row>
    <row r="670" spans="1:14">
      <c r="A670"/>
      <c r="B670" s="138" t="s">
        <v>3916</v>
      </c>
      <c r="C670" s="138" t="s">
        <v>3917</v>
      </c>
      <c r="D670" s="138" t="s">
        <v>3918</v>
      </c>
      <c r="E670" s="138" t="s">
        <v>3919</v>
      </c>
      <c r="F670" s="138" t="s">
        <v>3920</v>
      </c>
      <c r="G670" s="138" t="s">
        <v>3888</v>
      </c>
      <c r="H670" s="138" t="s">
        <v>3921</v>
      </c>
      <c r="I670" s="138" t="s">
        <v>3922</v>
      </c>
      <c r="J670"/>
      <c r="K670" s="150"/>
      <c r="L670" s="150"/>
      <c r="M670" s="150"/>
      <c r="N670" s="150"/>
    </row>
    <row r="671" spans="1:14">
      <c r="A671" t="str">
        <f>IF(Measure42_Type&lt;&gt;0,"Improvements","")</f>
        <v/>
      </c>
      <c r="B671" s="156">
        <f>IF(Measure42_Type="1 to 6 Watt LED Screw-In replacing Incandescent/CFL", "6 Watt LED Screw-In replacing Incandescent/CFL", IF(Measure42_Type="7 to 11 Watt LED Screw-In replacing Incandescent/CFL", "11 Watt LED Screw-In replacing Incandescent/CFL", IF(Measure42_Type="12 to 17 Watt LED Screw-In replacing Incandescent/CFL", "13 Watt LED Screw-In replacing Incandescent/CFL", IF(Measure42_Type="18 or more Watt LED Screw-In replacing Incandescent/CFL", "18 Watt LED Screw-In replacing Incandescent/CFL", Measure42_Type))))</f>
        <v>0</v>
      </c>
      <c r="C671" s="151">
        <f>Measure42_Cost</f>
        <v>0</v>
      </c>
      <c r="D671" s="142">
        <f>Measure42_Quantity</f>
        <v>0</v>
      </c>
      <c r="E671" s="142" t="str">
        <f>IF(Measure42_Description&lt;&gt;"",Measure42_Description,"")</f>
        <v/>
      </c>
      <c r="F671" s="142" t="e">
        <f>IF(Measure42_ShortDescription&lt;&gt; "", Measure42_ShortDescription,"")</f>
        <v>#N/A</v>
      </c>
      <c r="G671" s="142" t="str">
        <f>IF(Measure42_Status&lt;&gt;"",Measure42_Status, "Recommended")</f>
        <v>Recommended</v>
      </c>
      <c r="H671" s="142" t="str">
        <f>IF(Measure42_Comments&lt;&gt;"", Measure42_Comments,"")</f>
        <v/>
      </c>
      <c r="I671" s="142">
        <f>Measure42_ElectricCostSavings</f>
        <v>0</v>
      </c>
      <c r="J671"/>
      <c r="K671"/>
      <c r="L671"/>
      <c r="M671"/>
      <c r="N671"/>
    </row>
    <row r="672" spans="1:14" ht="15.5">
      <c r="A672" s="150"/>
      <c r="B672"/>
      <c r="C672" s="152" t="s">
        <v>3923</v>
      </c>
      <c r="D672" s="153"/>
      <c r="E672" s="153"/>
      <c r="F672" s="153"/>
      <c r="G672" s="153"/>
      <c r="H672" s="153"/>
      <c r="I672" s="153"/>
      <c r="J672" s="153"/>
      <c r="K672" s="153"/>
      <c r="L672" s="153"/>
      <c r="M672"/>
    </row>
    <row r="673" spans="1:14">
      <c r="A673" s="150"/>
      <c r="B673"/>
      <c r="C673" s="138" t="s">
        <v>3895</v>
      </c>
      <c r="D673" s="138" t="s">
        <v>3896</v>
      </c>
      <c r="E673" s="138" t="s">
        <v>3897</v>
      </c>
      <c r="F673" s="138" t="s">
        <v>3898</v>
      </c>
      <c r="G673" s="138" t="s">
        <v>3899</v>
      </c>
      <c r="H673" s="138" t="s">
        <v>3900</v>
      </c>
      <c r="I673" s="138" t="s">
        <v>3901</v>
      </c>
      <c r="J673" s="138" t="s">
        <v>3936</v>
      </c>
      <c r="K673" s="138" t="s">
        <v>3904</v>
      </c>
      <c r="L673" s="138" t="s">
        <v>3937</v>
      </c>
    </row>
    <row r="674" spans="1:14">
      <c r="A674" s="150" t="str">
        <f>IF(Measure42_kWhSavings&lt;&gt;0,"ImprovementSavings","")</f>
        <v/>
      </c>
      <c r="B674"/>
      <c r="C674" s="142" t="s">
        <v>3890</v>
      </c>
      <c r="D674" s="150"/>
      <c r="E674" s="150"/>
      <c r="F674" s="150"/>
      <c r="G674" s="150"/>
      <c r="H674" s="150"/>
      <c r="I674" s="150"/>
      <c r="J674" s="142">
        <f>Measure42_kWhSavings*GECO_ELEC_RATIO</f>
        <v>0</v>
      </c>
      <c r="K674" s="142">
        <f>Measure42_DemandSavings</f>
        <v>0</v>
      </c>
      <c r="L674" s="142">
        <f>Measure42_ElectricCostSavings</f>
        <v>0</v>
      </c>
    </row>
    <row r="675" spans="1:14">
      <c r="A675" s="150"/>
      <c r="B675"/>
      <c r="C675" s="149" t="s">
        <v>3924</v>
      </c>
      <c r="D675" s="149"/>
      <c r="E675"/>
      <c r="F675"/>
      <c r="G675"/>
      <c r="H675"/>
      <c r="I675"/>
      <c r="J675"/>
      <c r="K675"/>
      <c r="L675"/>
      <c r="M675"/>
      <c r="N675"/>
    </row>
    <row r="676" spans="1:14">
      <c r="A676" s="150"/>
      <c r="B676"/>
      <c r="C676" s="138" t="s">
        <v>3925</v>
      </c>
      <c r="D676" s="138" t="s">
        <v>3813</v>
      </c>
      <c r="E676"/>
      <c r="F676"/>
      <c r="G676"/>
      <c r="H676"/>
      <c r="I676"/>
      <c r="J676"/>
      <c r="K676"/>
      <c r="L676"/>
      <c r="M676"/>
      <c r="N676"/>
    </row>
    <row r="677" spans="1:14">
      <c r="A677" s="135" t="str">
        <f>IF(Measure42_Size&lt;&gt;"","ImprovementAttributes","")</f>
        <v/>
      </c>
      <c r="C677" s="155" t="s">
        <v>3926</v>
      </c>
      <c r="D677" s="155">
        <f>Measure42_Size</f>
        <v>0</v>
      </c>
    </row>
    <row r="678" spans="1:14">
      <c r="A678" s="135" t="str">
        <f>IF(Measure42_Efficiency&lt;&gt;"","ImprovementAttributes","")</f>
        <v/>
      </c>
      <c r="C678" s="155" t="s">
        <v>3927</v>
      </c>
      <c r="D678" s="155">
        <f>Measure42_Efficiency</f>
        <v>0</v>
      </c>
    </row>
    <row r="679" spans="1:14">
      <c r="A679" s="135" t="str">
        <f>IF(Measure42_UsefulLife&lt;&gt;"","ImprovementAttributes","")</f>
        <v/>
      </c>
      <c r="C679" s="155" t="s">
        <v>3928</v>
      </c>
      <c r="D679" s="155">
        <f>Measure42_UsefulLife</f>
        <v>0</v>
      </c>
    </row>
    <row r="680" spans="1:14">
      <c r="A680" s="135" t="str">
        <f>IF(Measure42_SerialNumber&lt;&gt;"","ImprovementAttributes","")</f>
        <v/>
      </c>
      <c r="C680" s="155" t="s">
        <v>3929</v>
      </c>
      <c r="D680" s="155">
        <f>Measure42_SerialNumber</f>
        <v>0</v>
      </c>
    </row>
    <row r="681" spans="1:14">
      <c r="A681" s="135" t="str">
        <f>IF(Measure42_Age&lt;&gt;"","ImprovementAttributes","")</f>
        <v/>
      </c>
      <c r="C681" s="155" t="s">
        <v>3930</v>
      </c>
      <c r="D681" s="155">
        <f>Measure42_Age</f>
        <v>0</v>
      </c>
    </row>
    <row r="682" spans="1:14">
      <c r="A682" s="135" t="str">
        <f>IF(Measure42_Replaced&lt;&gt;"","ImprovementAttributes","")</f>
        <v/>
      </c>
      <c r="C682" s="155" t="s">
        <v>3931</v>
      </c>
      <c r="D682" s="155">
        <f>Measure42_Replaced</f>
        <v>0</v>
      </c>
    </row>
    <row r="683" spans="1:14">
      <c r="A683" s="135" t="str">
        <f>IF(Measure42_Payback&lt;&gt;0,"ImprovementAttributes","")</f>
        <v/>
      </c>
      <c r="C683" s="155" t="s">
        <v>3932</v>
      </c>
      <c r="D683" s="155">
        <f>Measure42_Payback</f>
        <v>0</v>
      </c>
    </row>
    <row r="684" spans="1:14">
      <c r="A684" s="135" t="str">
        <f>IF(Measure42_Incentive&lt;&gt;0,"ImprovementAttributes","")</f>
        <v/>
      </c>
      <c r="C684" s="155" t="s">
        <v>4004</v>
      </c>
      <c r="D684" s="155">
        <f>Measure42_Incentive</f>
        <v>0</v>
      </c>
    </row>
    <row r="685" spans="1:14" ht="18.5">
      <c r="A685"/>
      <c r="B685" s="148" t="s">
        <v>3977</v>
      </c>
      <c r="C685" s="149"/>
      <c r="D685" s="149"/>
      <c r="E685" s="149"/>
      <c r="F685" s="149"/>
      <c r="G685" s="149"/>
      <c r="H685" s="149"/>
      <c r="I685" s="149"/>
      <c r="J685"/>
      <c r="K685"/>
      <c r="L685"/>
      <c r="M685"/>
      <c r="N685"/>
    </row>
    <row r="686" spans="1:14">
      <c r="A686"/>
      <c r="B686" s="138" t="s">
        <v>3916</v>
      </c>
      <c r="C686" s="138" t="s">
        <v>3917</v>
      </c>
      <c r="D686" s="138" t="s">
        <v>3918</v>
      </c>
      <c r="E686" s="138" t="s">
        <v>3919</v>
      </c>
      <c r="F686" s="138" t="s">
        <v>3920</v>
      </c>
      <c r="G686" s="138" t="s">
        <v>3888</v>
      </c>
      <c r="H686" s="138" t="s">
        <v>3921</v>
      </c>
      <c r="I686" s="138" t="s">
        <v>3922</v>
      </c>
      <c r="J686"/>
      <c r="K686" s="150"/>
      <c r="L686" s="150"/>
      <c r="M686" s="150"/>
      <c r="N686" s="150"/>
    </row>
    <row r="687" spans="1:14">
      <c r="A687" t="str">
        <f>IF(Measure43_Type&lt;&gt;0,"Improvements","")</f>
        <v/>
      </c>
      <c r="B687" s="156">
        <f>IF(Measure43_Type="1 to 6 Watt LED Screw-In replacing Incandescent/CFL", "6 Watt LED Screw-In replacing Incandescent/CFL", IF(Measure43_Type="7 to 11 Watt LED Screw-In replacing Incandescent/CFL", "11 Watt LED Screw-In replacing Incandescent/CFL", IF(Measure43_Type="12 to 17 Watt LED Screw-In replacing Incandescent/CFL", "13 Watt LED Screw-In replacing Incandescent/CFL", IF(Measure43_Type="18 or more Watt LED Screw-In replacing Incandescent/CFL", "18 Watt LED Screw-In replacing Incandescent/CFL", Measure43_Type))))</f>
        <v>0</v>
      </c>
      <c r="C687" s="151">
        <f>Measure43_Cost</f>
        <v>0</v>
      </c>
      <c r="D687" s="142">
        <f>Measure43_Quantity</f>
        <v>0</v>
      </c>
      <c r="E687" s="142" t="str">
        <f>IF(Measure43_Description&lt;&gt;"",Measure43_Description,"")</f>
        <v/>
      </c>
      <c r="F687" s="142" t="e">
        <f>IF(Measure43_ShortDescription&lt;&gt; "", Measure43_ShortDescription,"")</f>
        <v>#N/A</v>
      </c>
      <c r="G687" s="142" t="str">
        <f>IF(Measure43_Status&lt;&gt;"",Measure43_Status, "Recommended")</f>
        <v>Recommended</v>
      </c>
      <c r="H687" s="142" t="str">
        <f>IF(Measure43_Comments&lt;&gt;"", Measure43_Comments,"")</f>
        <v/>
      </c>
      <c r="I687" s="142">
        <f>Measure43_ElectricCostSavings</f>
        <v>0</v>
      </c>
      <c r="J687"/>
      <c r="K687"/>
      <c r="L687"/>
      <c r="M687"/>
      <c r="N687"/>
    </row>
    <row r="688" spans="1:14" ht="15.5">
      <c r="A688" s="150"/>
      <c r="B688"/>
      <c r="C688" s="152" t="s">
        <v>3923</v>
      </c>
      <c r="D688" s="153"/>
      <c r="E688" s="153"/>
      <c r="F688" s="153"/>
      <c r="G688" s="153"/>
      <c r="H688" s="153"/>
      <c r="I688" s="153"/>
      <c r="J688" s="153"/>
      <c r="K688" s="153"/>
      <c r="L688" s="153"/>
      <c r="M688"/>
    </row>
    <row r="689" spans="1:14">
      <c r="A689" s="150"/>
      <c r="B689"/>
      <c r="C689" s="138" t="s">
        <v>3895</v>
      </c>
      <c r="D689" s="138" t="s">
        <v>3896</v>
      </c>
      <c r="E689" s="138" t="s">
        <v>3897</v>
      </c>
      <c r="F689" s="138" t="s">
        <v>3898</v>
      </c>
      <c r="G689" s="138" t="s">
        <v>3899</v>
      </c>
      <c r="H689" s="138" t="s">
        <v>3900</v>
      </c>
      <c r="I689" s="138" t="s">
        <v>3901</v>
      </c>
      <c r="J689" s="138" t="s">
        <v>3936</v>
      </c>
      <c r="K689" s="138" t="s">
        <v>3904</v>
      </c>
      <c r="L689" s="138" t="s">
        <v>3937</v>
      </c>
    </row>
    <row r="690" spans="1:14">
      <c r="A690" s="150" t="str">
        <f>IF(Measure43_kWhSavings&lt;&gt;0,"ImprovementSavings","")</f>
        <v/>
      </c>
      <c r="B690"/>
      <c r="C690" s="142" t="s">
        <v>3890</v>
      </c>
      <c r="D690" s="150"/>
      <c r="E690" s="150"/>
      <c r="F690" s="150"/>
      <c r="G690" s="150"/>
      <c r="H690" s="150"/>
      <c r="I690" s="150"/>
      <c r="J690" s="142">
        <f>Measure43_kWhSavings*GECO_ELEC_RATIO</f>
        <v>0</v>
      </c>
      <c r="K690" s="142">
        <f>Measure43_DemandSavings</f>
        <v>0</v>
      </c>
      <c r="L690" s="142">
        <f>Measure43_ElectricCostSavings</f>
        <v>0</v>
      </c>
    </row>
    <row r="691" spans="1:14">
      <c r="A691" s="150"/>
      <c r="B691"/>
      <c r="C691" s="149" t="s">
        <v>3924</v>
      </c>
      <c r="D691" s="149"/>
      <c r="E691"/>
      <c r="F691"/>
      <c r="G691"/>
      <c r="H691"/>
      <c r="I691"/>
      <c r="J691"/>
      <c r="K691"/>
      <c r="L691"/>
      <c r="M691"/>
      <c r="N691"/>
    </row>
    <row r="692" spans="1:14">
      <c r="A692" s="150"/>
      <c r="B692"/>
      <c r="C692" s="138" t="s">
        <v>3925</v>
      </c>
      <c r="D692" s="138" t="s">
        <v>3813</v>
      </c>
      <c r="E692"/>
      <c r="F692"/>
      <c r="G692"/>
      <c r="H692"/>
      <c r="I692"/>
      <c r="J692"/>
      <c r="K692"/>
      <c r="L692"/>
      <c r="M692"/>
      <c r="N692"/>
    </row>
    <row r="693" spans="1:14">
      <c r="A693" s="135" t="str">
        <f>IF(Measure43_Size&lt;&gt;"","ImprovementAttributes","")</f>
        <v/>
      </c>
      <c r="C693" s="155" t="s">
        <v>3926</v>
      </c>
      <c r="D693" s="155">
        <f>Measure43_Size</f>
        <v>0</v>
      </c>
    </row>
    <row r="694" spans="1:14">
      <c r="A694" s="135" t="str">
        <f>IF(Measure43_Efficiency&lt;&gt;"","ImprovementAttributes","")</f>
        <v/>
      </c>
      <c r="C694" s="155" t="s">
        <v>3927</v>
      </c>
      <c r="D694" s="155">
        <f>Measure43_Efficiency</f>
        <v>0</v>
      </c>
    </row>
    <row r="695" spans="1:14">
      <c r="A695" s="135" t="str">
        <f>IF(Measure43_UsefulLife&lt;&gt;"","ImprovementAttributes","")</f>
        <v/>
      </c>
      <c r="C695" s="155" t="s">
        <v>3928</v>
      </c>
      <c r="D695" s="155">
        <f>Measure43_UsefulLife</f>
        <v>0</v>
      </c>
    </row>
    <row r="696" spans="1:14">
      <c r="A696" s="135" t="str">
        <f>IF(Measure43_SerialNumber&lt;&gt;"","ImprovementAttributes","")</f>
        <v/>
      </c>
      <c r="C696" s="155" t="s">
        <v>3929</v>
      </c>
      <c r="D696" s="155">
        <f>Measure43_SerialNumber</f>
        <v>0</v>
      </c>
    </row>
    <row r="697" spans="1:14">
      <c r="A697" s="135" t="str">
        <f>IF(Measure43_Age&lt;&gt;"","ImprovementAttributes","")</f>
        <v/>
      </c>
      <c r="C697" s="155" t="s">
        <v>3930</v>
      </c>
      <c r="D697" s="155">
        <f>Measure43_Age</f>
        <v>0</v>
      </c>
    </row>
    <row r="698" spans="1:14">
      <c r="A698" s="135" t="str">
        <f>IF(Measure43_Replaced&lt;&gt;"","ImprovementAttributes","")</f>
        <v/>
      </c>
      <c r="C698" s="155" t="s">
        <v>3931</v>
      </c>
      <c r="D698" s="155">
        <f>Measure43_Replaced</f>
        <v>0</v>
      </c>
    </row>
    <row r="699" spans="1:14">
      <c r="A699" s="135" t="str">
        <f>IF(Measure43_Payback&lt;&gt;0,"ImprovementAttributes","")</f>
        <v/>
      </c>
      <c r="C699" s="155" t="s">
        <v>3932</v>
      </c>
      <c r="D699" s="155">
        <f>Measure43_Payback</f>
        <v>0</v>
      </c>
    </row>
    <row r="700" spans="1:14">
      <c r="A700" s="135" t="str">
        <f>IF(Measure43_Incentive&lt;&gt;0,"ImprovementAttributes","")</f>
        <v/>
      </c>
      <c r="C700" s="155" t="s">
        <v>4004</v>
      </c>
      <c r="D700" s="155">
        <f>Measure43_Incentive</f>
        <v>0</v>
      </c>
    </row>
    <row r="701" spans="1:14" ht="18.5">
      <c r="A701"/>
      <c r="B701" s="148" t="s">
        <v>3978</v>
      </c>
      <c r="C701" s="149"/>
      <c r="D701" s="149"/>
      <c r="E701" s="149"/>
      <c r="F701" s="149"/>
      <c r="G701" s="149"/>
      <c r="H701" s="149"/>
      <c r="I701" s="149"/>
      <c r="J701"/>
      <c r="K701"/>
      <c r="L701"/>
      <c r="M701"/>
      <c r="N701"/>
    </row>
    <row r="702" spans="1:14">
      <c r="A702"/>
      <c r="B702" s="138" t="s">
        <v>3916</v>
      </c>
      <c r="C702" s="138" t="s">
        <v>3917</v>
      </c>
      <c r="D702" s="138" t="s">
        <v>3918</v>
      </c>
      <c r="E702" s="138" t="s">
        <v>3919</v>
      </c>
      <c r="F702" s="138" t="s">
        <v>3920</v>
      </c>
      <c r="G702" s="138" t="s">
        <v>3888</v>
      </c>
      <c r="H702" s="138" t="s">
        <v>3921</v>
      </c>
      <c r="I702" s="138" t="s">
        <v>3922</v>
      </c>
      <c r="J702"/>
      <c r="K702" s="150"/>
      <c r="L702" s="150"/>
      <c r="M702" s="150"/>
      <c r="N702" s="150"/>
    </row>
    <row r="703" spans="1:14">
      <c r="A703" t="str">
        <f>IF(Measure44_Type&lt;&gt;0,"Improvements","")</f>
        <v/>
      </c>
      <c r="B703" s="156">
        <f>IF(Measure44_Type="1 to 6 Watt LED Screw-In replacing Incandescent/CFL", "6 Watt LED Screw-In replacing Incandescent/CFL", IF(Measure44_Type="7 to 11 Watt LED Screw-In replacing Incandescent/CFL", "11 Watt LED Screw-In replacing Incandescent/CFL", IF(Measure44_Type="12 to 17 Watt LED Screw-In replacing Incandescent/CFL", "13 Watt LED Screw-In replacing Incandescent/CFL", IF(Measure44_Type="18 or more Watt LED Screw-In replacing Incandescent/CFL", "18 Watt LED Screw-In replacing Incandescent/CFL", Measure44_Type))))</f>
        <v>0</v>
      </c>
      <c r="C703" s="151">
        <f>Measure44_Cost</f>
        <v>0</v>
      </c>
      <c r="D703" s="142">
        <f>Measure44_Quantity</f>
        <v>0</v>
      </c>
      <c r="E703" s="142" t="str">
        <f>IF(Measure44_Description&lt;&gt;"",Measure44_Description,"")</f>
        <v/>
      </c>
      <c r="F703" s="142" t="e">
        <f>IF(Measure44_ShortDescription&lt;&gt; "", Measure44_ShortDescription,"")</f>
        <v>#N/A</v>
      </c>
      <c r="G703" s="142" t="str">
        <f>IF(Measure44_Status&lt;&gt;"",Measure44_Status, "Recommended")</f>
        <v>Recommended</v>
      </c>
      <c r="H703" s="142" t="str">
        <f>IF(Measure44_Comments&lt;&gt;"", Measure44_Comments,"")</f>
        <v/>
      </c>
      <c r="I703" s="142">
        <f>Measure44_ElectricCostSavings</f>
        <v>0</v>
      </c>
      <c r="J703"/>
      <c r="K703"/>
      <c r="L703"/>
      <c r="M703"/>
      <c r="N703"/>
    </row>
    <row r="704" spans="1:14" ht="15.5">
      <c r="A704" s="150"/>
      <c r="B704"/>
      <c r="C704" s="152" t="s">
        <v>3923</v>
      </c>
      <c r="D704" s="153"/>
      <c r="E704" s="153"/>
      <c r="F704" s="153"/>
      <c r="G704" s="153"/>
      <c r="H704" s="153"/>
      <c r="I704" s="153"/>
      <c r="J704" s="153"/>
      <c r="K704" s="153"/>
      <c r="L704" s="153"/>
      <c r="M704"/>
    </row>
    <row r="705" spans="1:14">
      <c r="A705" s="150"/>
      <c r="B705"/>
      <c r="C705" s="138" t="s">
        <v>3895</v>
      </c>
      <c r="D705" s="138" t="s">
        <v>3896</v>
      </c>
      <c r="E705" s="138" t="s">
        <v>3897</v>
      </c>
      <c r="F705" s="138" t="s">
        <v>3898</v>
      </c>
      <c r="G705" s="138" t="s">
        <v>3899</v>
      </c>
      <c r="H705" s="138" t="s">
        <v>3900</v>
      </c>
      <c r="I705" s="138" t="s">
        <v>3901</v>
      </c>
      <c r="J705" s="138" t="s">
        <v>3936</v>
      </c>
      <c r="K705" s="138" t="s">
        <v>3904</v>
      </c>
      <c r="L705" s="138" t="s">
        <v>3937</v>
      </c>
    </row>
    <row r="706" spans="1:14">
      <c r="A706" s="150" t="str">
        <f>IF(Measure44_kWhSavings&lt;&gt;0,"ImprovementSavings","")</f>
        <v/>
      </c>
      <c r="B706"/>
      <c r="C706" s="142" t="s">
        <v>3890</v>
      </c>
      <c r="D706" s="150"/>
      <c r="E706" s="150"/>
      <c r="F706" s="150"/>
      <c r="G706" s="150"/>
      <c r="H706" s="150"/>
      <c r="I706" s="150"/>
      <c r="J706" s="142">
        <f>Measure44_kWhSavings*GECO_ELEC_RATIO</f>
        <v>0</v>
      </c>
      <c r="K706" s="142">
        <f>Measure44_DemandSavings</f>
        <v>0</v>
      </c>
      <c r="L706" s="142">
        <f>Measure44_ElectricCostSavings</f>
        <v>0</v>
      </c>
    </row>
    <row r="707" spans="1:14">
      <c r="A707" s="150"/>
      <c r="B707"/>
      <c r="C707" s="149" t="s">
        <v>3924</v>
      </c>
      <c r="D707" s="149"/>
      <c r="E707"/>
      <c r="F707"/>
      <c r="G707"/>
      <c r="H707"/>
      <c r="I707"/>
      <c r="J707"/>
      <c r="K707"/>
      <c r="L707"/>
      <c r="M707"/>
      <c r="N707"/>
    </row>
    <row r="708" spans="1:14">
      <c r="A708" s="150"/>
      <c r="B708"/>
      <c r="C708" s="138" t="s">
        <v>3925</v>
      </c>
      <c r="D708" s="138" t="s">
        <v>3813</v>
      </c>
      <c r="E708"/>
      <c r="F708"/>
      <c r="G708"/>
      <c r="H708"/>
      <c r="I708"/>
      <c r="J708"/>
      <c r="K708"/>
      <c r="L708"/>
      <c r="M708"/>
      <c r="N708"/>
    </row>
    <row r="709" spans="1:14">
      <c r="A709" s="135" t="str">
        <f>IF(Measure44_Size&lt;&gt;"","ImprovementAttributes","")</f>
        <v/>
      </c>
      <c r="C709" s="155" t="s">
        <v>3926</v>
      </c>
      <c r="D709" s="155">
        <f>Measure44_Size</f>
        <v>0</v>
      </c>
    </row>
    <row r="710" spans="1:14">
      <c r="A710" s="135" t="str">
        <f>IF(Measure44_Efficiency&lt;&gt;"","ImprovementAttributes","")</f>
        <v/>
      </c>
      <c r="C710" s="155" t="s">
        <v>3927</v>
      </c>
      <c r="D710" s="155">
        <f>Measure44_Efficiency</f>
        <v>0</v>
      </c>
    </row>
    <row r="711" spans="1:14">
      <c r="A711" s="135" t="str">
        <f>IF(Measure44_UsefulLife&lt;&gt;"","ImprovementAttributes","")</f>
        <v/>
      </c>
      <c r="C711" s="155" t="s">
        <v>3928</v>
      </c>
      <c r="D711" s="155">
        <f>Measure44_UsefulLife</f>
        <v>0</v>
      </c>
    </row>
    <row r="712" spans="1:14">
      <c r="A712" s="135" t="str">
        <f>IF(Measure44_SerialNumber&lt;&gt;"","ImprovementAttributes","")</f>
        <v/>
      </c>
      <c r="C712" s="155" t="s">
        <v>3929</v>
      </c>
      <c r="D712" s="155">
        <f>Measure44_SerialNumber</f>
        <v>0</v>
      </c>
    </row>
    <row r="713" spans="1:14">
      <c r="A713" s="135" t="str">
        <f>IF(Measure44_Age&lt;&gt;"","ImprovementAttributes","")</f>
        <v/>
      </c>
      <c r="C713" s="155" t="s">
        <v>3930</v>
      </c>
      <c r="D713" s="155">
        <f>Measure44_Age</f>
        <v>0</v>
      </c>
    </row>
    <row r="714" spans="1:14">
      <c r="A714" s="135" t="str">
        <f>IF(Measure44_Replaced&lt;&gt;"","ImprovementAttributes","")</f>
        <v/>
      </c>
      <c r="C714" s="155" t="s">
        <v>3931</v>
      </c>
      <c r="D714" s="155">
        <f>Measure44_Replaced</f>
        <v>0</v>
      </c>
    </row>
    <row r="715" spans="1:14">
      <c r="A715" s="135" t="str">
        <f>IF(Measure44_Payback&lt;&gt;0,"ImprovementAttributes","")</f>
        <v/>
      </c>
      <c r="C715" s="155" t="s">
        <v>3932</v>
      </c>
      <c r="D715" s="155">
        <f>Measure44_Payback</f>
        <v>0</v>
      </c>
    </row>
    <row r="716" spans="1:14">
      <c r="A716" s="135" t="str">
        <f>IF(Measure44_Incentive&lt;&gt;0,"ImprovementAttributes","")</f>
        <v/>
      </c>
      <c r="C716" s="155" t="s">
        <v>4004</v>
      </c>
      <c r="D716" s="155">
        <f>Measure44_Incentive</f>
        <v>0</v>
      </c>
    </row>
    <row r="717" spans="1:14" ht="18.5">
      <c r="A717"/>
      <c r="B717" s="148" t="s">
        <v>3979</v>
      </c>
      <c r="C717" s="149"/>
      <c r="D717" s="149"/>
      <c r="E717" s="149"/>
      <c r="F717" s="149"/>
      <c r="G717" s="149"/>
      <c r="H717" s="149"/>
      <c r="I717" s="149"/>
      <c r="J717"/>
      <c r="K717"/>
      <c r="L717"/>
      <c r="M717"/>
      <c r="N717"/>
    </row>
    <row r="718" spans="1:14">
      <c r="A718"/>
      <c r="B718" s="138" t="s">
        <v>3916</v>
      </c>
      <c r="C718" s="138" t="s">
        <v>3917</v>
      </c>
      <c r="D718" s="138" t="s">
        <v>3918</v>
      </c>
      <c r="E718" s="138" t="s">
        <v>3919</v>
      </c>
      <c r="F718" s="138" t="s">
        <v>3920</v>
      </c>
      <c r="G718" s="138" t="s">
        <v>3888</v>
      </c>
      <c r="H718" s="138" t="s">
        <v>3921</v>
      </c>
      <c r="I718" s="138" t="s">
        <v>3922</v>
      </c>
      <c r="J718"/>
      <c r="K718" s="150"/>
      <c r="L718" s="150"/>
      <c r="M718" s="150"/>
      <c r="N718" s="150"/>
    </row>
    <row r="719" spans="1:14">
      <c r="A719" t="str">
        <f>IF(Measure45_Type&lt;&gt;0,"Improvements","")</f>
        <v/>
      </c>
      <c r="B719" s="156">
        <f>IF(Measure45_Type="1 to 6 Watt LED Screw-In replacing Incandescent/CFL", "6 Watt LED Screw-In replacing Incandescent/CFL", IF(Measure45_Type="7 to 11 Watt LED Screw-In replacing Incandescent/CFL", "11 Watt LED Screw-In replacing Incandescent/CFL", IF(Measure45_Type="12 to 17 Watt LED Screw-In replacing Incandescent/CFL", "13 Watt LED Screw-In replacing Incandescent/CFL", IF(Measure45_Type="18 or more Watt LED Screw-In replacing Incandescent/CFL", "18 Watt LED Screw-In replacing Incandescent/CFL", Measure45_Type))))</f>
        <v>0</v>
      </c>
      <c r="C719" s="151">
        <f>Measure45_Cost</f>
        <v>0</v>
      </c>
      <c r="D719" s="142">
        <f>Measure45_Quantity</f>
        <v>0</v>
      </c>
      <c r="E719" s="142" t="str">
        <f>IF(Measure45_Description&lt;&gt;"",Measure45_Description,"")</f>
        <v/>
      </c>
      <c r="F719" s="142" t="e">
        <f>IF(Measure45_ShortDescription&lt;&gt; "", Measure45_ShortDescription,"")</f>
        <v>#N/A</v>
      </c>
      <c r="G719" s="142" t="str">
        <f>IF(Measure45_Status&lt;&gt;"",Measure45_Status, "Recommended")</f>
        <v>Recommended</v>
      </c>
      <c r="H719" s="142" t="str">
        <f>IF(Measure45_Comments&lt;&gt;"", Measure45_Comments,"")</f>
        <v/>
      </c>
      <c r="I719" s="142">
        <f>Measure45_ElectricCostSavings</f>
        <v>0</v>
      </c>
      <c r="J719"/>
      <c r="K719"/>
      <c r="L719"/>
      <c r="M719"/>
      <c r="N719"/>
    </row>
    <row r="720" spans="1:14" ht="15.5">
      <c r="A720" s="150"/>
      <c r="B720"/>
      <c r="C720" s="152" t="s">
        <v>3923</v>
      </c>
      <c r="D720" s="153"/>
      <c r="E720" s="153"/>
      <c r="F720" s="153"/>
      <c r="G720" s="153"/>
      <c r="H720" s="153"/>
      <c r="I720" s="153"/>
      <c r="J720" s="153"/>
      <c r="K720" s="153"/>
      <c r="L720" s="153"/>
      <c r="M720"/>
    </row>
    <row r="721" spans="1:14">
      <c r="A721" s="150"/>
      <c r="B721"/>
      <c r="C721" s="138" t="s">
        <v>3895</v>
      </c>
      <c r="D721" s="138" t="s">
        <v>3896</v>
      </c>
      <c r="E721" s="138" t="s">
        <v>3897</v>
      </c>
      <c r="F721" s="138" t="s">
        <v>3898</v>
      </c>
      <c r="G721" s="138" t="s">
        <v>3899</v>
      </c>
      <c r="H721" s="138" t="s">
        <v>3900</v>
      </c>
      <c r="I721" s="138" t="s">
        <v>3901</v>
      </c>
      <c r="J721" s="138" t="s">
        <v>3936</v>
      </c>
      <c r="K721" s="138" t="s">
        <v>3904</v>
      </c>
      <c r="L721" s="138" t="s">
        <v>3937</v>
      </c>
    </row>
    <row r="722" spans="1:14">
      <c r="A722" s="150" t="str">
        <f>IF(Measure45_kWhSavings&lt;&gt;0,"ImprovementSavings","")</f>
        <v/>
      </c>
      <c r="B722"/>
      <c r="C722" s="142" t="s">
        <v>3890</v>
      </c>
      <c r="D722" s="150"/>
      <c r="E722" s="150"/>
      <c r="F722" s="150"/>
      <c r="G722" s="150"/>
      <c r="H722" s="150"/>
      <c r="I722" s="150"/>
      <c r="J722" s="142">
        <f>Measure45_kWhSavings*GECO_ELEC_RATIO</f>
        <v>0</v>
      </c>
      <c r="K722" s="142">
        <f>Measure45_DemandSavings</f>
        <v>0</v>
      </c>
      <c r="L722" s="142">
        <f>Measure45_ElectricCostSavings</f>
        <v>0</v>
      </c>
    </row>
    <row r="723" spans="1:14">
      <c r="A723" s="150"/>
      <c r="B723"/>
      <c r="C723" s="149" t="s">
        <v>3924</v>
      </c>
      <c r="D723" s="149"/>
      <c r="E723"/>
      <c r="F723"/>
      <c r="G723"/>
      <c r="H723"/>
      <c r="I723"/>
      <c r="J723"/>
      <c r="K723"/>
      <c r="L723"/>
      <c r="M723"/>
      <c r="N723"/>
    </row>
    <row r="724" spans="1:14">
      <c r="A724" s="150"/>
      <c r="B724"/>
      <c r="C724" s="138" t="s">
        <v>3925</v>
      </c>
      <c r="D724" s="138" t="s">
        <v>3813</v>
      </c>
      <c r="E724"/>
      <c r="F724"/>
      <c r="G724"/>
      <c r="H724"/>
      <c r="I724"/>
      <c r="J724"/>
      <c r="K724"/>
      <c r="L724"/>
      <c r="M724"/>
      <c r="N724"/>
    </row>
    <row r="725" spans="1:14">
      <c r="A725" s="135" t="str">
        <f>IF(Measure45_Size&lt;&gt;"","ImprovementAttributes","")</f>
        <v/>
      </c>
      <c r="C725" s="155" t="s">
        <v>3926</v>
      </c>
      <c r="D725" s="155">
        <f>Measure45_Size</f>
        <v>0</v>
      </c>
    </row>
    <row r="726" spans="1:14">
      <c r="A726" s="135" t="str">
        <f>IF(Measure45_Efficiency&lt;&gt;"","ImprovementAttributes","")</f>
        <v/>
      </c>
      <c r="C726" s="155" t="s">
        <v>3927</v>
      </c>
      <c r="D726" s="155">
        <f>Measure45_Efficiency</f>
        <v>0</v>
      </c>
    </row>
    <row r="727" spans="1:14">
      <c r="A727" s="135" t="str">
        <f>IF(Measure45_UsefulLife&lt;&gt;"","ImprovementAttributes","")</f>
        <v/>
      </c>
      <c r="C727" s="155" t="s">
        <v>3928</v>
      </c>
      <c r="D727" s="155">
        <f>Measure45_UsefulLife</f>
        <v>0</v>
      </c>
    </row>
    <row r="728" spans="1:14">
      <c r="A728" s="135" t="str">
        <f>IF(Measure45_SerialNumber&lt;&gt;"","ImprovementAttributes","")</f>
        <v/>
      </c>
      <c r="C728" s="155" t="s">
        <v>3929</v>
      </c>
      <c r="D728" s="155">
        <f>Measure45_SerialNumber</f>
        <v>0</v>
      </c>
    </row>
    <row r="729" spans="1:14">
      <c r="A729" s="135" t="str">
        <f>IF(Measure45_Age&lt;&gt;"","ImprovementAttributes","")</f>
        <v/>
      </c>
      <c r="C729" s="155" t="s">
        <v>3930</v>
      </c>
      <c r="D729" s="155">
        <f>Measure45_Age</f>
        <v>0</v>
      </c>
    </row>
    <row r="730" spans="1:14">
      <c r="A730" s="135" t="str">
        <f>IF(Measure45_Replaced&lt;&gt;"","ImprovementAttributes","")</f>
        <v/>
      </c>
      <c r="C730" s="155" t="s">
        <v>3931</v>
      </c>
      <c r="D730" s="155">
        <f>Measure45_Replaced</f>
        <v>0</v>
      </c>
    </row>
    <row r="731" spans="1:14">
      <c r="A731" s="135" t="str">
        <f>IF(Measure45_Payback&lt;&gt;0,"ImprovementAttributes","")</f>
        <v/>
      </c>
      <c r="C731" s="155" t="s">
        <v>3932</v>
      </c>
      <c r="D731" s="155">
        <f>Measure45_Payback</f>
        <v>0</v>
      </c>
    </row>
    <row r="732" spans="1:14">
      <c r="A732" s="135" t="str">
        <f>IF(Measure45_Incentive&lt;&gt;0,"ImprovementAttributes","")</f>
        <v/>
      </c>
      <c r="C732" s="155" t="s">
        <v>4004</v>
      </c>
      <c r="D732" s="155">
        <f>Measure45_Incentive</f>
        <v>0</v>
      </c>
    </row>
    <row r="733" spans="1:14" ht="18.5">
      <c r="A733"/>
      <c r="B733" s="148" t="s">
        <v>3980</v>
      </c>
      <c r="C733" s="149"/>
      <c r="D733" s="149"/>
      <c r="E733" s="149"/>
      <c r="F733" s="149"/>
      <c r="G733" s="149"/>
      <c r="H733" s="149"/>
      <c r="I733" s="149"/>
      <c r="J733"/>
      <c r="K733"/>
      <c r="L733"/>
      <c r="M733"/>
      <c r="N733"/>
    </row>
    <row r="734" spans="1:14">
      <c r="A734"/>
      <c r="B734" s="138" t="s">
        <v>3916</v>
      </c>
      <c r="C734" s="138" t="s">
        <v>3917</v>
      </c>
      <c r="D734" s="138" t="s">
        <v>3918</v>
      </c>
      <c r="E734" s="138" t="s">
        <v>3919</v>
      </c>
      <c r="F734" s="138" t="s">
        <v>3920</v>
      </c>
      <c r="G734" s="138" t="s">
        <v>3888</v>
      </c>
      <c r="H734" s="138" t="s">
        <v>3921</v>
      </c>
      <c r="I734" s="138" t="s">
        <v>3922</v>
      </c>
      <c r="J734"/>
      <c r="K734" s="150"/>
      <c r="L734" s="150"/>
      <c r="M734" s="150"/>
      <c r="N734" s="150"/>
    </row>
    <row r="735" spans="1:14">
      <c r="A735" t="str">
        <f>IF(Measure46_Type&lt;&gt;0,"Improvements","")</f>
        <v/>
      </c>
      <c r="B735" s="156">
        <f>IF(Measure46_Type="1 to 6 Watt LED Screw-In replacing Incandescent/CFL", "6 Watt LED Screw-In replacing Incandescent/CFL", IF(Measure46_Type="7 to 11 Watt LED Screw-In replacing Incandescent/CFL", "11 Watt LED Screw-In replacing Incandescent/CFL", IF(Measure46_Type="12 to 17 Watt LED Screw-In replacing Incandescent/CFL", "13 Watt LED Screw-In replacing Incandescent/CFL", IF(Measure46_Type="18 or more Watt LED Screw-In replacing Incandescent/CFL", "18 Watt LED Screw-In replacing Incandescent/CFL", Measure46_Type))))</f>
        <v>0</v>
      </c>
      <c r="C735" s="151">
        <f>Measure46_Cost</f>
        <v>0</v>
      </c>
      <c r="D735" s="142">
        <f>Measure46_Quantity</f>
        <v>0</v>
      </c>
      <c r="E735" s="142" t="str">
        <f>IF(Measure46_Description&lt;&gt;"",Measure46_Description,"")</f>
        <v/>
      </c>
      <c r="F735" s="142" t="e">
        <f>IF(Measure46_ShortDescription&lt;&gt; "", Measure46_ShortDescription,"")</f>
        <v>#N/A</v>
      </c>
      <c r="G735" s="142" t="str">
        <f>IF(Measure46_Status&lt;&gt;"",Measure46_Status, "Recommended")</f>
        <v>Recommended</v>
      </c>
      <c r="H735" s="142" t="str">
        <f>IF(Measure46_Comments&lt;&gt;"", Measure46_Comments,"")</f>
        <v/>
      </c>
      <c r="I735" s="142">
        <f>Measure46_ElectricCostSavings</f>
        <v>0</v>
      </c>
      <c r="J735"/>
      <c r="K735"/>
      <c r="L735"/>
      <c r="M735"/>
      <c r="N735"/>
    </row>
    <row r="736" spans="1:14" ht="15.5">
      <c r="A736" s="150"/>
      <c r="B736"/>
      <c r="C736" s="152" t="s">
        <v>3923</v>
      </c>
      <c r="D736" s="153"/>
      <c r="E736" s="153"/>
      <c r="F736" s="153"/>
      <c r="G736" s="153"/>
      <c r="H736" s="153"/>
      <c r="I736" s="153"/>
      <c r="J736" s="153"/>
      <c r="K736" s="153"/>
      <c r="L736" s="153"/>
      <c r="M736"/>
    </row>
    <row r="737" spans="1:14">
      <c r="A737" s="150"/>
      <c r="B737"/>
      <c r="C737" s="138" t="s">
        <v>3895</v>
      </c>
      <c r="D737" s="138" t="s">
        <v>3896</v>
      </c>
      <c r="E737" s="138" t="s">
        <v>3897</v>
      </c>
      <c r="F737" s="138" t="s">
        <v>3898</v>
      </c>
      <c r="G737" s="138" t="s">
        <v>3899</v>
      </c>
      <c r="H737" s="138" t="s">
        <v>3900</v>
      </c>
      <c r="I737" s="138" t="s">
        <v>3901</v>
      </c>
      <c r="J737" s="138" t="s">
        <v>3936</v>
      </c>
      <c r="K737" s="138" t="s">
        <v>3904</v>
      </c>
      <c r="L737" s="138" t="s">
        <v>3937</v>
      </c>
    </row>
    <row r="738" spans="1:14">
      <c r="A738" s="150" t="str">
        <f>IF(Measure46_kWhSavings&lt;&gt;0,"ImprovementSavings","")</f>
        <v/>
      </c>
      <c r="B738"/>
      <c r="C738" s="142" t="s">
        <v>3890</v>
      </c>
      <c r="D738" s="150"/>
      <c r="E738" s="150"/>
      <c r="F738" s="150"/>
      <c r="G738" s="150"/>
      <c r="H738" s="150"/>
      <c r="I738" s="150"/>
      <c r="J738" s="142">
        <f>Measure46_kWhSavings*GECO_ELEC_RATIO</f>
        <v>0</v>
      </c>
      <c r="K738" s="142">
        <f>Measure46_DemandSavings</f>
        <v>0</v>
      </c>
      <c r="L738" s="142">
        <f>Measure46_ElectricCostSavings</f>
        <v>0</v>
      </c>
    </row>
    <row r="739" spans="1:14">
      <c r="A739" s="150"/>
      <c r="B739"/>
      <c r="C739" s="149" t="s">
        <v>3924</v>
      </c>
      <c r="D739" s="149"/>
      <c r="E739"/>
      <c r="F739"/>
      <c r="G739"/>
      <c r="H739"/>
      <c r="I739"/>
      <c r="J739"/>
      <c r="K739"/>
      <c r="L739"/>
      <c r="M739"/>
      <c r="N739"/>
    </row>
    <row r="740" spans="1:14">
      <c r="A740" s="150"/>
      <c r="B740"/>
      <c r="C740" s="138" t="s">
        <v>3925</v>
      </c>
      <c r="D740" s="138" t="s">
        <v>3813</v>
      </c>
      <c r="E740"/>
      <c r="F740"/>
      <c r="G740"/>
      <c r="H740"/>
      <c r="I740"/>
      <c r="J740"/>
      <c r="K740"/>
      <c r="L740"/>
      <c r="M740"/>
      <c r="N740"/>
    </row>
    <row r="741" spans="1:14">
      <c r="A741" s="135" t="str">
        <f>IF(Measure46_Size&lt;&gt;"","ImprovementAttributes","")</f>
        <v/>
      </c>
      <c r="C741" s="155" t="s">
        <v>3926</v>
      </c>
      <c r="D741" s="155">
        <f>Measure46_Size</f>
        <v>0</v>
      </c>
    </row>
    <row r="742" spans="1:14">
      <c r="A742" s="135" t="str">
        <f>IF(Measure46_Efficiency&lt;&gt;"","ImprovementAttributes","")</f>
        <v/>
      </c>
      <c r="C742" s="155" t="s">
        <v>3927</v>
      </c>
      <c r="D742" s="155">
        <f>Measure46_Efficiency</f>
        <v>0</v>
      </c>
    </row>
    <row r="743" spans="1:14">
      <c r="A743" s="135" t="str">
        <f>IF(Measure46_UsefulLife&lt;&gt;"","ImprovementAttributes","")</f>
        <v/>
      </c>
      <c r="C743" s="155" t="s">
        <v>3928</v>
      </c>
      <c r="D743" s="155">
        <f>Measure46_UsefulLife</f>
        <v>0</v>
      </c>
    </row>
    <row r="744" spans="1:14">
      <c r="A744" s="135" t="str">
        <f>IF(Measure46_SerialNumber&lt;&gt;"","ImprovementAttributes","")</f>
        <v/>
      </c>
      <c r="C744" s="155" t="s">
        <v>3929</v>
      </c>
      <c r="D744" s="155">
        <f>Measure46_SerialNumber</f>
        <v>0</v>
      </c>
    </row>
    <row r="745" spans="1:14">
      <c r="A745" s="135" t="str">
        <f>IF(Measure46_Age&lt;&gt;"","ImprovementAttributes","")</f>
        <v/>
      </c>
      <c r="C745" s="155" t="s">
        <v>3930</v>
      </c>
      <c r="D745" s="155">
        <f>Measure46_Age</f>
        <v>0</v>
      </c>
    </row>
    <row r="746" spans="1:14">
      <c r="A746" s="135" t="str">
        <f>IF(Measure46_Replaced&lt;&gt;"","ImprovementAttributes","")</f>
        <v/>
      </c>
      <c r="C746" s="155" t="s">
        <v>3931</v>
      </c>
      <c r="D746" s="155">
        <f>Measure46_Replaced</f>
        <v>0</v>
      </c>
    </row>
    <row r="747" spans="1:14">
      <c r="A747" s="135" t="str">
        <f>IF(Measure46_Payback&lt;&gt;0,"ImprovementAttributes","")</f>
        <v/>
      </c>
      <c r="C747" s="155" t="s">
        <v>3932</v>
      </c>
      <c r="D747" s="155">
        <f>Measure46_Payback</f>
        <v>0</v>
      </c>
    </row>
    <row r="748" spans="1:14">
      <c r="A748" s="135" t="str">
        <f>IF(Measure46_Incentive&lt;&gt;0,"ImprovementAttributes","")</f>
        <v/>
      </c>
      <c r="C748" s="155" t="s">
        <v>4004</v>
      </c>
      <c r="D748" s="155">
        <f>Measure46_Incentive</f>
        <v>0</v>
      </c>
    </row>
    <row r="749" spans="1:14" ht="18.5">
      <c r="A749"/>
      <c r="B749" s="148" t="s">
        <v>3981</v>
      </c>
      <c r="C749" s="149"/>
      <c r="D749" s="149"/>
      <c r="E749" s="149"/>
      <c r="F749" s="149"/>
      <c r="G749" s="149"/>
      <c r="H749" s="149"/>
      <c r="I749" s="149"/>
      <c r="J749"/>
      <c r="K749"/>
      <c r="L749"/>
      <c r="M749"/>
      <c r="N749"/>
    </row>
    <row r="750" spans="1:14">
      <c r="A750"/>
      <c r="B750" s="138" t="s">
        <v>3916</v>
      </c>
      <c r="C750" s="138" t="s">
        <v>3917</v>
      </c>
      <c r="D750" s="138" t="s">
        <v>3918</v>
      </c>
      <c r="E750" s="138" t="s">
        <v>3919</v>
      </c>
      <c r="F750" s="138" t="s">
        <v>3920</v>
      </c>
      <c r="G750" s="138" t="s">
        <v>3888</v>
      </c>
      <c r="H750" s="138" t="s">
        <v>3921</v>
      </c>
      <c r="I750" s="138" t="s">
        <v>3922</v>
      </c>
      <c r="J750"/>
      <c r="K750" s="150"/>
      <c r="L750" s="150"/>
      <c r="M750" s="150"/>
      <c r="N750" s="150"/>
    </row>
    <row r="751" spans="1:14">
      <c r="A751" t="str">
        <f>IF(Measure47_Type&lt;&gt;0,"Improvements","")</f>
        <v/>
      </c>
      <c r="B751" s="156">
        <f>IF(Measure47_Type="1 to 6 Watt LED Screw-In replacing Incandescent/CFL", "6 Watt LED Screw-In replacing Incandescent/CFL", IF(Measure47_Type="7 to 11 Watt LED Screw-In replacing Incandescent/CFL", "11 Watt LED Screw-In replacing Incandescent/CFL", IF(Measure47_Type="12 to 17 Watt LED Screw-In replacing Incandescent/CFL", "13 Watt LED Screw-In replacing Incandescent/CFL", IF(Measure47_Type="18 or more Watt LED Screw-In replacing Incandescent/CFL", "18 Watt LED Screw-In replacing Incandescent/CFL", Measure47_Type))))</f>
        <v>0</v>
      </c>
      <c r="C751" s="151">
        <f>Measure47_Cost</f>
        <v>0</v>
      </c>
      <c r="D751" s="142">
        <f>Measure47_Quantity</f>
        <v>0</v>
      </c>
      <c r="E751" s="142" t="str">
        <f>IF(Measure47_Description&lt;&gt;"",Measure47_Description,"")</f>
        <v/>
      </c>
      <c r="F751" s="142" t="e">
        <f>IF(Measure47_ShortDescription&lt;&gt; "", Measure47_ShortDescription,"")</f>
        <v>#N/A</v>
      </c>
      <c r="G751" s="142" t="str">
        <f>IF(Measure47_Status&lt;&gt;"",Measure47_Status, "Recommended")</f>
        <v>Recommended</v>
      </c>
      <c r="H751" s="142" t="str">
        <f>IF(Measure47_Comments&lt;&gt;"", Measure47_Comments,"")</f>
        <v/>
      </c>
      <c r="I751" s="142">
        <f>Measure47_ElectricCostSavings</f>
        <v>0</v>
      </c>
      <c r="J751"/>
      <c r="K751"/>
      <c r="L751"/>
      <c r="M751"/>
      <c r="N751"/>
    </row>
    <row r="752" spans="1:14" ht="15.5">
      <c r="A752" s="150"/>
      <c r="B752"/>
      <c r="C752" s="152" t="s">
        <v>3923</v>
      </c>
      <c r="D752" s="153"/>
      <c r="E752" s="153"/>
      <c r="F752" s="153"/>
      <c r="G752" s="153"/>
      <c r="H752" s="153"/>
      <c r="I752" s="153"/>
      <c r="J752" s="153"/>
      <c r="K752" s="153"/>
      <c r="L752" s="153"/>
      <c r="M752"/>
    </row>
    <row r="753" spans="1:14">
      <c r="A753" s="150"/>
      <c r="B753"/>
      <c r="C753" s="138" t="s">
        <v>3895</v>
      </c>
      <c r="D753" s="138" t="s">
        <v>3896</v>
      </c>
      <c r="E753" s="138" t="s">
        <v>3897</v>
      </c>
      <c r="F753" s="138" t="s">
        <v>3898</v>
      </c>
      <c r="G753" s="138" t="s">
        <v>3899</v>
      </c>
      <c r="H753" s="138" t="s">
        <v>3900</v>
      </c>
      <c r="I753" s="138" t="s">
        <v>3901</v>
      </c>
      <c r="J753" s="138" t="s">
        <v>3936</v>
      </c>
      <c r="K753" s="138" t="s">
        <v>3904</v>
      </c>
      <c r="L753" s="138" t="s">
        <v>3937</v>
      </c>
    </row>
    <row r="754" spans="1:14">
      <c r="A754" s="150" t="str">
        <f>IF(Measure47_kWhSavings&lt;&gt;0,"ImprovementSavings","")</f>
        <v/>
      </c>
      <c r="B754"/>
      <c r="C754" s="142" t="s">
        <v>3890</v>
      </c>
      <c r="D754" s="150"/>
      <c r="E754" s="150"/>
      <c r="F754" s="150"/>
      <c r="G754" s="150"/>
      <c r="H754" s="150"/>
      <c r="I754" s="150"/>
      <c r="J754" s="142">
        <f>Measure47_kWhSavings*GECO_ELEC_RATIO</f>
        <v>0</v>
      </c>
      <c r="K754" s="142">
        <f>Measure47_DemandSavings</f>
        <v>0</v>
      </c>
      <c r="L754" s="142">
        <f>Measure47_ElectricCostSavings</f>
        <v>0</v>
      </c>
    </row>
    <row r="755" spans="1:14">
      <c r="A755" s="150"/>
      <c r="B755"/>
      <c r="C755" s="149" t="s">
        <v>3924</v>
      </c>
      <c r="D755" s="149"/>
      <c r="E755"/>
      <c r="F755"/>
      <c r="G755"/>
      <c r="H755"/>
      <c r="I755"/>
      <c r="J755"/>
      <c r="K755"/>
      <c r="L755"/>
      <c r="M755"/>
    </row>
    <row r="756" spans="1:14">
      <c r="A756" s="150"/>
      <c r="B756"/>
      <c r="C756" s="138" t="s">
        <v>3925</v>
      </c>
      <c r="D756" s="138" t="s">
        <v>3813</v>
      </c>
      <c r="E756"/>
      <c r="F756"/>
      <c r="G756"/>
      <c r="H756"/>
      <c r="I756"/>
      <c r="J756"/>
      <c r="K756"/>
      <c r="L756"/>
      <c r="M756"/>
      <c r="N756"/>
    </row>
    <row r="757" spans="1:14">
      <c r="A757" s="135" t="str">
        <f>IF(Measure47_Size&lt;&gt;"","ImprovementAttributes","")</f>
        <v/>
      </c>
      <c r="C757" s="155" t="s">
        <v>3926</v>
      </c>
      <c r="D757" s="155">
        <f>Measure47_Size</f>
        <v>0</v>
      </c>
    </row>
    <row r="758" spans="1:14">
      <c r="A758" s="135" t="str">
        <f>IF(Measure47_Efficiency&lt;&gt;"","ImprovementAttributes","")</f>
        <v/>
      </c>
      <c r="C758" s="155" t="s">
        <v>3927</v>
      </c>
      <c r="D758" s="155">
        <f>Measure47_Efficiency</f>
        <v>0</v>
      </c>
    </row>
    <row r="759" spans="1:14">
      <c r="A759" s="135" t="str">
        <f>IF(Measure47_UsefulLife&lt;&gt;"","ImprovementAttributes","")</f>
        <v/>
      </c>
      <c r="C759" s="155" t="s">
        <v>3928</v>
      </c>
      <c r="D759" s="155">
        <f>Measure47_UsefulLife</f>
        <v>0</v>
      </c>
    </row>
    <row r="760" spans="1:14">
      <c r="A760" s="135" t="str">
        <f>IF(Measure47_SerialNumber&lt;&gt;"","ImprovementAttributes","")</f>
        <v/>
      </c>
      <c r="C760" s="155" t="s">
        <v>3929</v>
      </c>
      <c r="D760" s="155">
        <f>Measure47_SerialNumber</f>
        <v>0</v>
      </c>
    </row>
    <row r="761" spans="1:14">
      <c r="A761" s="135" t="str">
        <f>IF(Measure47_Age&lt;&gt;"","ImprovementAttributes","")</f>
        <v/>
      </c>
      <c r="C761" s="155" t="s">
        <v>3930</v>
      </c>
      <c r="D761" s="155">
        <f>Measure47_Age</f>
        <v>0</v>
      </c>
    </row>
    <row r="762" spans="1:14">
      <c r="A762" s="135" t="str">
        <f>IF(Measure47_Replaced&lt;&gt;"","ImprovementAttributes","")</f>
        <v/>
      </c>
      <c r="C762" s="155" t="s">
        <v>3931</v>
      </c>
      <c r="D762" s="155">
        <f>Measure47_Replaced</f>
        <v>0</v>
      </c>
    </row>
    <row r="763" spans="1:14">
      <c r="A763" s="135" t="str">
        <f>IF(Measure47_Payback&lt;&gt;0,"ImprovementAttributes","")</f>
        <v/>
      </c>
      <c r="C763" s="155" t="s">
        <v>3932</v>
      </c>
      <c r="D763" s="155">
        <f>Measure47_Payback</f>
        <v>0</v>
      </c>
    </row>
    <row r="764" spans="1:14">
      <c r="A764" s="135" t="str">
        <f>IF(Measure47_Incentive&lt;&gt;0,"ImprovementAttributes","")</f>
        <v/>
      </c>
      <c r="C764" s="155" t="s">
        <v>4004</v>
      </c>
      <c r="D764" s="155">
        <f>Measure47_Incentive</f>
        <v>0</v>
      </c>
    </row>
    <row r="765" spans="1:14" ht="18.5">
      <c r="A765"/>
      <c r="B765" s="148" t="s">
        <v>3982</v>
      </c>
      <c r="C765" s="149"/>
      <c r="D765" s="149"/>
      <c r="E765" s="149"/>
      <c r="F765" s="149"/>
      <c r="G765" s="149"/>
      <c r="H765" s="149"/>
      <c r="I765" s="149"/>
      <c r="J765"/>
      <c r="K765"/>
      <c r="L765"/>
      <c r="M765"/>
      <c r="N765"/>
    </row>
    <row r="766" spans="1:14">
      <c r="A766"/>
      <c r="B766" s="138" t="s">
        <v>3916</v>
      </c>
      <c r="C766" s="138" t="s">
        <v>3917</v>
      </c>
      <c r="D766" s="138" t="s">
        <v>3918</v>
      </c>
      <c r="E766" s="138" t="s">
        <v>3919</v>
      </c>
      <c r="F766" s="138" t="s">
        <v>3920</v>
      </c>
      <c r="G766" s="138" t="s">
        <v>3888</v>
      </c>
      <c r="H766" s="138" t="s">
        <v>3921</v>
      </c>
      <c r="I766" s="138" t="s">
        <v>3922</v>
      </c>
      <c r="J766"/>
      <c r="K766" s="150"/>
      <c r="L766" s="150"/>
      <c r="M766" s="150"/>
      <c r="N766" s="150"/>
    </row>
    <row r="767" spans="1:14">
      <c r="A767" t="str">
        <f>IF(Measure48_Type&lt;&gt;0,"Improvements","")</f>
        <v/>
      </c>
      <c r="B767" s="156">
        <f>IF(Measure48_Type="1 to 6 Watt LED Screw-In replacing Incandescent/CFL", "6 Watt LED Screw-In replacing Incandescent/CFL", IF(Measure48_Type="7 to 11 Watt LED Screw-In replacing Incandescent/CFL", "11 Watt LED Screw-In replacing Incandescent/CFL", IF(Measure48_Type="12 to 17 Watt LED Screw-In replacing Incandescent/CFL", "13 Watt LED Screw-In replacing Incandescent/CFL", IF(Measure48_Type="18 or more Watt LED Screw-In replacing Incandescent/CFL", "18 Watt LED Screw-In replacing Incandescent/CFL", Measure48_Type))))</f>
        <v>0</v>
      </c>
      <c r="C767" s="151">
        <f>Measure48_Cost</f>
        <v>0</v>
      </c>
      <c r="D767" s="142">
        <f>Measure48_Quantity</f>
        <v>0</v>
      </c>
      <c r="E767" s="142" t="str">
        <f>IF(Measure48_Description&lt;&gt;"",Measure48_Description,"")</f>
        <v/>
      </c>
      <c r="F767" s="142" t="e">
        <f>IF(Measure48_ShortDescription&lt;&gt; "", Measure48_ShortDescription,"")</f>
        <v>#N/A</v>
      </c>
      <c r="G767" s="142" t="str">
        <f>IF(Measure48_Status&lt;&gt;"",Measure48_Status, "Recommended")</f>
        <v>Recommended</v>
      </c>
      <c r="H767" s="142" t="str">
        <f>IF(Measure48_Comments&lt;&gt;"", Measure48_Comments,"")</f>
        <v/>
      </c>
      <c r="I767" s="142">
        <f>Measure48_ElectricCostSavings</f>
        <v>0</v>
      </c>
      <c r="J767"/>
      <c r="K767"/>
      <c r="L767"/>
      <c r="M767"/>
      <c r="N767"/>
    </row>
    <row r="768" spans="1:14" ht="15.5">
      <c r="A768" s="150"/>
      <c r="B768"/>
      <c r="C768" s="152" t="s">
        <v>3923</v>
      </c>
      <c r="D768" s="153"/>
      <c r="E768" s="153"/>
      <c r="F768" s="153"/>
      <c r="G768" s="153"/>
      <c r="H768" s="153"/>
      <c r="I768" s="153"/>
      <c r="J768" s="153"/>
      <c r="K768" s="153"/>
      <c r="L768" s="153"/>
      <c r="M768"/>
    </row>
    <row r="769" spans="1:14">
      <c r="A769" s="150"/>
      <c r="B769"/>
      <c r="C769" s="138" t="s">
        <v>3895</v>
      </c>
      <c r="D769" s="138" t="s">
        <v>3896</v>
      </c>
      <c r="E769" s="138" t="s">
        <v>3897</v>
      </c>
      <c r="F769" s="138" t="s">
        <v>3898</v>
      </c>
      <c r="G769" s="138" t="s">
        <v>3899</v>
      </c>
      <c r="H769" s="138" t="s">
        <v>3900</v>
      </c>
      <c r="I769" s="138" t="s">
        <v>3901</v>
      </c>
      <c r="J769" s="138" t="s">
        <v>3936</v>
      </c>
      <c r="K769" s="138" t="s">
        <v>3904</v>
      </c>
      <c r="L769" s="138" t="s">
        <v>3937</v>
      </c>
    </row>
    <row r="770" spans="1:14">
      <c r="A770" s="150" t="str">
        <f>IF(Measure48_kWhSavings&lt;&gt;0,"ImprovementSavings","")</f>
        <v/>
      </c>
      <c r="B770"/>
      <c r="C770" s="142" t="s">
        <v>3890</v>
      </c>
      <c r="D770" s="150"/>
      <c r="E770" s="150"/>
      <c r="F770" s="150"/>
      <c r="G770" s="150"/>
      <c r="H770" s="150"/>
      <c r="I770" s="150"/>
      <c r="J770" s="142">
        <f>Measure48_kWhSavings*GECO_ELEC_RATIO</f>
        <v>0</v>
      </c>
      <c r="K770" s="142">
        <f>Measure48_DemandSavings</f>
        <v>0</v>
      </c>
      <c r="L770" s="142">
        <f>Measure48_ElectricCostSavings</f>
        <v>0</v>
      </c>
    </row>
    <row r="771" spans="1:14">
      <c r="A771" s="150"/>
      <c r="B771"/>
      <c r="C771" s="149" t="s">
        <v>3924</v>
      </c>
      <c r="D771" s="149"/>
      <c r="E771"/>
      <c r="F771"/>
      <c r="G771"/>
      <c r="H771"/>
      <c r="I771"/>
      <c r="J771"/>
      <c r="K771"/>
      <c r="L771"/>
      <c r="M771"/>
      <c r="N771"/>
    </row>
    <row r="772" spans="1:14">
      <c r="A772" s="150"/>
      <c r="B772"/>
      <c r="C772" s="138" t="s">
        <v>3925</v>
      </c>
      <c r="D772" s="138" t="s">
        <v>3813</v>
      </c>
      <c r="E772"/>
      <c r="F772"/>
      <c r="G772"/>
      <c r="H772"/>
      <c r="I772"/>
      <c r="J772"/>
      <c r="K772"/>
      <c r="L772"/>
      <c r="M772"/>
      <c r="N772"/>
    </row>
    <row r="773" spans="1:14">
      <c r="A773" s="135" t="str">
        <f>IF(Measure48_Size&lt;&gt;"","ImprovementAttributes","")</f>
        <v/>
      </c>
      <c r="C773" s="155" t="s">
        <v>3926</v>
      </c>
      <c r="D773" s="155">
        <f>Measure48_Size</f>
        <v>0</v>
      </c>
    </row>
    <row r="774" spans="1:14">
      <c r="A774" s="135" t="str">
        <f>IF(Measure48_Efficiency&lt;&gt;"","ImprovementAttributes","")</f>
        <v/>
      </c>
      <c r="C774" s="155" t="s">
        <v>3927</v>
      </c>
      <c r="D774" s="155">
        <f>Measure48_Efficiency</f>
        <v>0</v>
      </c>
    </row>
    <row r="775" spans="1:14">
      <c r="A775" s="135" t="str">
        <f>IF(Measure48_UsefulLife&lt;&gt;"","ImprovementAttributes","")</f>
        <v/>
      </c>
      <c r="C775" s="155" t="s">
        <v>3928</v>
      </c>
      <c r="D775" s="155">
        <f>Measure48_UsefulLife</f>
        <v>0</v>
      </c>
    </row>
    <row r="776" spans="1:14">
      <c r="A776" s="135" t="str">
        <f>IF(Measure48_SerialNumber&lt;&gt;"","ImprovementAttributes","")</f>
        <v/>
      </c>
      <c r="C776" s="155" t="s">
        <v>3929</v>
      </c>
      <c r="D776" s="155">
        <f>Measure48_SerialNumber</f>
        <v>0</v>
      </c>
    </row>
    <row r="777" spans="1:14">
      <c r="A777" s="135" t="str">
        <f>IF(Measure48_Age&lt;&gt;"","ImprovementAttributes","")</f>
        <v/>
      </c>
      <c r="C777" s="155" t="s">
        <v>3930</v>
      </c>
      <c r="D777" s="155">
        <f>Measure48_Age</f>
        <v>0</v>
      </c>
    </row>
    <row r="778" spans="1:14">
      <c r="A778" s="135" t="str">
        <f>IF(Measure48_Replaced&lt;&gt;"","ImprovementAttributes","")</f>
        <v/>
      </c>
      <c r="C778" s="155" t="s">
        <v>3931</v>
      </c>
      <c r="D778" s="155">
        <f>Measure48_Replaced</f>
        <v>0</v>
      </c>
    </row>
    <row r="779" spans="1:14">
      <c r="A779" s="135" t="str">
        <f>IF(Measure48_Payback&lt;&gt;0,"ImprovementAttributes","")</f>
        <v/>
      </c>
      <c r="C779" s="155" t="s">
        <v>3932</v>
      </c>
      <c r="D779" s="155">
        <f>Measure48_Payback</f>
        <v>0</v>
      </c>
    </row>
    <row r="780" spans="1:14">
      <c r="A780" s="135" t="str">
        <f>IF(Measure48_Incentive&lt;&gt;0,"ImprovementAttributes","")</f>
        <v/>
      </c>
      <c r="C780" s="155" t="s">
        <v>4004</v>
      </c>
      <c r="D780" s="155">
        <f>Measure48_Incentive</f>
        <v>0</v>
      </c>
    </row>
    <row r="781" spans="1:14" ht="18.5">
      <c r="A781"/>
      <c r="B781" s="148" t="s">
        <v>3983</v>
      </c>
      <c r="C781" s="149"/>
      <c r="D781" s="149"/>
      <c r="E781" s="149"/>
      <c r="F781" s="149"/>
      <c r="G781" s="149"/>
      <c r="H781" s="149"/>
      <c r="I781" s="149"/>
      <c r="J781"/>
      <c r="K781"/>
      <c r="L781"/>
      <c r="M781"/>
      <c r="N781"/>
    </row>
    <row r="782" spans="1:14">
      <c r="A782"/>
      <c r="B782" s="138" t="s">
        <v>3916</v>
      </c>
      <c r="C782" s="138" t="s">
        <v>3917</v>
      </c>
      <c r="D782" s="138" t="s">
        <v>3918</v>
      </c>
      <c r="E782" s="138" t="s">
        <v>3919</v>
      </c>
      <c r="F782" s="138" t="s">
        <v>3920</v>
      </c>
      <c r="G782" s="138" t="s">
        <v>3888</v>
      </c>
      <c r="H782" s="138" t="s">
        <v>3921</v>
      </c>
      <c r="I782" s="138" t="s">
        <v>3922</v>
      </c>
      <c r="J782"/>
      <c r="K782" s="150"/>
      <c r="L782" s="150"/>
      <c r="M782" s="150"/>
      <c r="N782" s="150"/>
    </row>
    <row r="783" spans="1:14">
      <c r="A783" t="str">
        <f>IF(Measure49_Type&lt;&gt;0,"Improvements","")</f>
        <v/>
      </c>
      <c r="B783" s="156">
        <f>IF(Measure49_Type="1 to 6 Watt LED Screw-In replacing Incandescent/CFL", "6 Watt LED Screw-In replacing Incandescent/CFL", IF(Measure49_Type="7 to 11 Watt LED Screw-In replacing Incandescent/CFL", "11 Watt LED Screw-In replacing Incandescent/CFL", IF(Measure49_Type="12 to 17 Watt LED Screw-In replacing Incandescent/CFL", "13 Watt LED Screw-In replacing Incandescent/CFL", IF(Measure49_Type="18 or more Watt LED Screw-In replacing Incandescent/CFL", "18 Watt LED Screw-In replacing Incandescent/CFL", Measure49_Type))))</f>
        <v>0</v>
      </c>
      <c r="C783" s="151">
        <f>Measure49_Cost</f>
        <v>0</v>
      </c>
      <c r="D783" s="142">
        <f>Measure49_Quantity</f>
        <v>0</v>
      </c>
      <c r="E783" s="142" t="str">
        <f>IF(Measure49_Description&lt;&gt;"",Measure49_Description,"")</f>
        <v/>
      </c>
      <c r="F783" s="142" t="e">
        <f>IF(Measure49_ShortDescription&lt;&gt; "", Measure49_ShortDescription,"")</f>
        <v>#N/A</v>
      </c>
      <c r="G783" s="142" t="str">
        <f>IF(Measure49_Status&lt;&gt;"",Measure49_Status, "Recommended")</f>
        <v>Recommended</v>
      </c>
      <c r="H783" s="142" t="str">
        <f>IF(Measure49_Comments&lt;&gt;"", Measure49_Comments,"")</f>
        <v/>
      </c>
      <c r="I783" s="142">
        <f>Measure49_ElectricCostSavings</f>
        <v>0</v>
      </c>
      <c r="J783"/>
      <c r="K783"/>
      <c r="L783"/>
      <c r="M783"/>
      <c r="N783"/>
    </row>
    <row r="784" spans="1:14" ht="15.5">
      <c r="A784" s="150"/>
      <c r="B784"/>
      <c r="C784" s="152" t="s">
        <v>3923</v>
      </c>
      <c r="D784" s="153"/>
      <c r="E784" s="153"/>
      <c r="F784" s="153"/>
      <c r="G784" s="153"/>
      <c r="H784" s="153"/>
      <c r="I784" s="153"/>
      <c r="J784" s="153"/>
      <c r="K784" s="153"/>
      <c r="L784" s="153"/>
      <c r="M784"/>
    </row>
    <row r="785" spans="1:14">
      <c r="A785" s="150"/>
      <c r="B785"/>
      <c r="C785" s="138" t="s">
        <v>3895</v>
      </c>
      <c r="D785" s="138" t="s">
        <v>3896</v>
      </c>
      <c r="E785" s="138" t="s">
        <v>3897</v>
      </c>
      <c r="F785" s="138" t="s">
        <v>3898</v>
      </c>
      <c r="G785" s="138" t="s">
        <v>3899</v>
      </c>
      <c r="H785" s="138" t="s">
        <v>3900</v>
      </c>
      <c r="I785" s="138" t="s">
        <v>3901</v>
      </c>
      <c r="J785" s="138" t="s">
        <v>3936</v>
      </c>
      <c r="K785" s="138" t="s">
        <v>3904</v>
      </c>
      <c r="L785" s="138" t="s">
        <v>3937</v>
      </c>
    </row>
    <row r="786" spans="1:14">
      <c r="A786" s="150" t="str">
        <f>IF(Measure49_kWhSavings&lt;&gt;0,"ImprovementSavings","")</f>
        <v/>
      </c>
      <c r="B786"/>
      <c r="C786" s="142" t="s">
        <v>3890</v>
      </c>
      <c r="D786" s="150"/>
      <c r="E786" s="150"/>
      <c r="F786" s="150"/>
      <c r="G786" s="150"/>
      <c r="H786" s="150"/>
      <c r="I786" s="150"/>
      <c r="J786" s="142">
        <f>Measure49_kWhSavings*GECO_ELEC_RATIO</f>
        <v>0</v>
      </c>
      <c r="K786" s="142">
        <f>Measure49_DemandSavings</f>
        <v>0</v>
      </c>
      <c r="L786" s="142">
        <f>Measure49_ElectricCostSavings</f>
        <v>0</v>
      </c>
    </row>
    <row r="787" spans="1:14">
      <c r="A787" s="150"/>
      <c r="B787"/>
      <c r="C787" s="149" t="s">
        <v>3924</v>
      </c>
      <c r="D787" s="149"/>
      <c r="E787"/>
      <c r="F787"/>
      <c r="G787"/>
      <c r="H787"/>
      <c r="I787"/>
      <c r="J787"/>
      <c r="K787"/>
      <c r="L787"/>
      <c r="M787"/>
      <c r="N787"/>
    </row>
    <row r="788" spans="1:14">
      <c r="A788" s="150"/>
      <c r="B788"/>
      <c r="C788" s="138" t="s">
        <v>3925</v>
      </c>
      <c r="D788" s="138" t="s">
        <v>3813</v>
      </c>
      <c r="E788"/>
      <c r="F788"/>
      <c r="G788"/>
      <c r="H788"/>
      <c r="I788"/>
      <c r="J788"/>
      <c r="K788"/>
      <c r="L788"/>
      <c r="M788"/>
      <c r="N788"/>
    </row>
    <row r="789" spans="1:14">
      <c r="A789" s="135" t="str">
        <f>IF(Measure49_Size&lt;&gt;"","ImprovementAttributes","")</f>
        <v/>
      </c>
      <c r="C789" s="155" t="s">
        <v>3926</v>
      </c>
      <c r="D789" s="155">
        <f>Measure49_Size</f>
        <v>0</v>
      </c>
    </row>
    <row r="790" spans="1:14">
      <c r="A790" s="135" t="str">
        <f>IF(Measure49_Efficiency&lt;&gt;"","ImprovementAttributes","")</f>
        <v/>
      </c>
      <c r="C790" s="155" t="s">
        <v>3927</v>
      </c>
      <c r="D790" s="155">
        <f>Measure49_Efficiency</f>
        <v>0</v>
      </c>
    </row>
    <row r="791" spans="1:14">
      <c r="A791" s="135" t="str">
        <f>IF(Measure49_UsefulLife&lt;&gt;"","ImprovementAttributes","")</f>
        <v/>
      </c>
      <c r="C791" s="155" t="s">
        <v>3928</v>
      </c>
      <c r="D791" s="155">
        <f>Measure49_UsefulLife</f>
        <v>0</v>
      </c>
    </row>
    <row r="792" spans="1:14">
      <c r="A792" s="135" t="str">
        <f>IF(Measure49_SerialNumber&lt;&gt;"","ImprovementAttributes","")</f>
        <v/>
      </c>
      <c r="C792" s="155" t="s">
        <v>3929</v>
      </c>
      <c r="D792" s="155">
        <f>Measure49_SerialNumber</f>
        <v>0</v>
      </c>
    </row>
    <row r="793" spans="1:14">
      <c r="A793" s="135" t="str">
        <f>IF(Measure49_Age&lt;&gt;"","ImprovementAttributes","")</f>
        <v/>
      </c>
      <c r="C793" s="155" t="s">
        <v>3930</v>
      </c>
      <c r="D793" s="155">
        <f>Measure49_Age</f>
        <v>0</v>
      </c>
    </row>
    <row r="794" spans="1:14">
      <c r="A794" s="135" t="str">
        <f>IF(Measure49_Replaced&lt;&gt;"","ImprovementAttributes","")</f>
        <v/>
      </c>
      <c r="C794" s="155" t="s">
        <v>3931</v>
      </c>
      <c r="D794" s="155">
        <f>Measure49_Replaced</f>
        <v>0</v>
      </c>
    </row>
    <row r="795" spans="1:14">
      <c r="A795" s="135" t="str">
        <f>IF(Measure49_Payback&lt;&gt;0,"ImprovementAttributes","")</f>
        <v/>
      </c>
      <c r="C795" s="155" t="s">
        <v>3932</v>
      </c>
      <c r="D795" s="155">
        <f>Measure49_Payback</f>
        <v>0</v>
      </c>
    </row>
    <row r="796" spans="1:14">
      <c r="A796" s="135" t="str">
        <f>IF(Measure49_Incentive&lt;&gt;0,"ImprovementAttributes","")</f>
        <v/>
      </c>
      <c r="C796" s="155" t="s">
        <v>4004</v>
      </c>
      <c r="D796" s="155">
        <f>Measure49_Incentive</f>
        <v>0</v>
      </c>
    </row>
    <row r="797" spans="1:14" ht="18.5">
      <c r="A797"/>
      <c r="B797" s="148" t="s">
        <v>3984</v>
      </c>
      <c r="C797" s="149"/>
      <c r="D797" s="149"/>
      <c r="E797" s="149"/>
      <c r="F797" s="149"/>
      <c r="G797" s="149"/>
      <c r="H797" s="149"/>
      <c r="I797" s="149"/>
      <c r="J797"/>
      <c r="K797"/>
      <c r="L797"/>
      <c r="M797"/>
      <c r="N797"/>
    </row>
    <row r="798" spans="1:14">
      <c r="A798"/>
      <c r="B798" s="138" t="s">
        <v>3916</v>
      </c>
      <c r="C798" s="138" t="s">
        <v>3917</v>
      </c>
      <c r="D798" s="138" t="s">
        <v>3918</v>
      </c>
      <c r="E798" s="138" t="s">
        <v>3919</v>
      </c>
      <c r="F798" s="138" t="s">
        <v>3920</v>
      </c>
      <c r="G798" s="138" t="s">
        <v>3888</v>
      </c>
      <c r="H798" s="138" t="s">
        <v>3921</v>
      </c>
      <c r="I798" s="138" t="s">
        <v>3922</v>
      </c>
      <c r="J798"/>
      <c r="K798" s="150"/>
      <c r="L798" s="150"/>
      <c r="M798" s="150"/>
      <c r="N798" s="150"/>
    </row>
    <row r="799" spans="1:14">
      <c r="A799" t="str">
        <f>IF(Measure50_Type&lt;&gt;0,"Improvements","")</f>
        <v/>
      </c>
      <c r="B799" s="156">
        <f>IF(Measure50_Type="1 to 6 Watt LED Screw-In replacing Incandescent/CFL", "6 Watt LED Screw-In replacing Incandescent/CFL", IF(Measure50_Type="7 to 11 Watt LED Screw-In replacing Incandescent/CFL", "11 Watt LED Screw-In replacing Incandescent/CFL", IF(Measure50_Type="12 to 17 Watt LED Screw-In replacing Incandescent/CFL", "13 Watt LED Screw-In replacing Incandescent/CFL", IF(Measure50_Type="18 or more Watt LED Screw-In replacing Incandescent/CFL", "18 Watt LED Screw-In replacing Incandescent/CFL", Measure50_Type))))</f>
        <v>0</v>
      </c>
      <c r="C799" s="151">
        <f>Measure50_Cost</f>
        <v>0</v>
      </c>
      <c r="D799" s="142">
        <f>Measure50_Quantity</f>
        <v>0</v>
      </c>
      <c r="E799" s="142" t="str">
        <f>IF(Measure50_Description&lt;&gt;"",Measure50_Description,"")</f>
        <v/>
      </c>
      <c r="F799" s="142" t="e">
        <f>IF(Measure50_ShortDescription&lt;&gt; "", Measure50_ShortDescription,"")</f>
        <v>#N/A</v>
      </c>
      <c r="G799" s="142" t="str">
        <f>IF(Measure50_Status&lt;&gt;"",Measure50_Status, "Recommended")</f>
        <v>Recommended</v>
      </c>
      <c r="H799" s="142" t="str">
        <f>IF(Measure50_Comments&lt;&gt;"", Measure50_Comments,"")</f>
        <v/>
      </c>
      <c r="I799" s="142">
        <f>Measure50_ElectricCostSavings</f>
        <v>0</v>
      </c>
      <c r="J799"/>
      <c r="K799"/>
      <c r="L799"/>
      <c r="M799"/>
      <c r="N799"/>
    </row>
    <row r="800" spans="1:14" ht="15.5">
      <c r="A800" s="150"/>
      <c r="B800"/>
      <c r="C800" s="152" t="s">
        <v>3923</v>
      </c>
      <c r="D800" s="153"/>
      <c r="E800" s="153"/>
      <c r="F800" s="153"/>
      <c r="G800" s="153"/>
      <c r="H800" s="153"/>
      <c r="I800" s="153"/>
      <c r="J800" s="153"/>
      <c r="K800" s="153"/>
      <c r="L800" s="153"/>
      <c r="M800"/>
    </row>
    <row r="801" spans="1:14">
      <c r="A801" s="150"/>
      <c r="B801"/>
      <c r="C801" s="138" t="s">
        <v>3895</v>
      </c>
      <c r="D801" s="138" t="s">
        <v>3896</v>
      </c>
      <c r="E801" s="138" t="s">
        <v>3897</v>
      </c>
      <c r="F801" s="138" t="s">
        <v>3898</v>
      </c>
      <c r="G801" s="138" t="s">
        <v>3899</v>
      </c>
      <c r="H801" s="138" t="s">
        <v>3900</v>
      </c>
      <c r="I801" s="138" t="s">
        <v>3901</v>
      </c>
      <c r="J801" s="138" t="s">
        <v>3936</v>
      </c>
      <c r="K801" s="138" t="s">
        <v>3904</v>
      </c>
      <c r="L801" s="138" t="s">
        <v>3937</v>
      </c>
    </row>
    <row r="802" spans="1:14">
      <c r="A802" s="150" t="str">
        <f>IF(Measure50_kWhSavings&lt;&gt;0,"ImprovementSavings","")</f>
        <v/>
      </c>
      <c r="B802"/>
      <c r="C802" s="142" t="s">
        <v>3890</v>
      </c>
      <c r="D802" s="150"/>
      <c r="E802" s="150"/>
      <c r="F802" s="150"/>
      <c r="G802" s="150"/>
      <c r="H802" s="150"/>
      <c r="I802" s="150"/>
      <c r="J802" s="142">
        <f>Measure50_kWhSavings*GECO_ELEC_RATIO</f>
        <v>0</v>
      </c>
      <c r="K802" s="142">
        <f>Measure50_DemandSavings</f>
        <v>0</v>
      </c>
      <c r="L802" s="142">
        <f>Measure50_ElectricCostSavings</f>
        <v>0</v>
      </c>
    </row>
    <row r="803" spans="1:14">
      <c r="A803" s="150"/>
      <c r="B803"/>
      <c r="C803" s="149" t="s">
        <v>3924</v>
      </c>
      <c r="D803" s="149"/>
      <c r="E803"/>
      <c r="F803"/>
      <c r="G803"/>
      <c r="H803"/>
      <c r="I803"/>
      <c r="J803"/>
      <c r="K803"/>
      <c r="L803"/>
      <c r="M803"/>
    </row>
    <row r="804" spans="1:14">
      <c r="A804" s="150"/>
      <c r="B804"/>
      <c r="C804" s="138" t="s">
        <v>3925</v>
      </c>
      <c r="D804" s="138" t="s">
        <v>3813</v>
      </c>
      <c r="E804"/>
      <c r="F804"/>
      <c r="G804"/>
      <c r="H804"/>
      <c r="I804"/>
      <c r="J804"/>
      <c r="K804"/>
      <c r="L804"/>
      <c r="M804"/>
      <c r="N804"/>
    </row>
    <row r="805" spans="1:14">
      <c r="A805" s="135" t="str">
        <f>IF(Measure50_Size&lt;&gt;"","ImprovementAttributes","")</f>
        <v/>
      </c>
      <c r="C805" s="155" t="s">
        <v>3926</v>
      </c>
      <c r="D805" s="155">
        <f>Measure50_Size</f>
        <v>0</v>
      </c>
    </row>
    <row r="806" spans="1:14">
      <c r="A806" s="135" t="str">
        <f>IF(Measure50_Efficiency&lt;&gt;"","ImprovementAttributes","")</f>
        <v/>
      </c>
      <c r="C806" s="155" t="s">
        <v>3927</v>
      </c>
      <c r="D806" s="155">
        <f>Measure50_Efficiency</f>
        <v>0</v>
      </c>
    </row>
    <row r="807" spans="1:14">
      <c r="A807" s="135" t="str">
        <f>IF(Measure50_UsefulLife&lt;&gt;"","ImprovementAttributes","")</f>
        <v/>
      </c>
      <c r="C807" s="155" t="s">
        <v>3928</v>
      </c>
      <c r="D807" s="155">
        <f>Measure50_UsefulLife</f>
        <v>0</v>
      </c>
    </row>
    <row r="808" spans="1:14">
      <c r="A808" s="135" t="str">
        <f>IF(Measure50_SerialNumber&lt;&gt;"","ImprovementAttributes","")</f>
        <v/>
      </c>
      <c r="C808" s="155" t="s">
        <v>3929</v>
      </c>
      <c r="D808" s="155">
        <f>Measure50_SerialNumber</f>
        <v>0</v>
      </c>
    </row>
    <row r="809" spans="1:14">
      <c r="A809" s="135" t="str">
        <f>IF(Measure50_Age&lt;&gt;"","ImprovementAttributes","")</f>
        <v/>
      </c>
      <c r="C809" s="155" t="s">
        <v>3930</v>
      </c>
      <c r="D809" s="155">
        <f>Measure50_Age</f>
        <v>0</v>
      </c>
    </row>
    <row r="810" spans="1:14">
      <c r="A810" s="135" t="str">
        <f>IF(Measure50_Replaced&lt;&gt;"","ImprovementAttributes","")</f>
        <v/>
      </c>
      <c r="C810" s="155" t="s">
        <v>3931</v>
      </c>
      <c r="D810" s="155">
        <f>Measure50_Replaced</f>
        <v>0</v>
      </c>
    </row>
    <row r="811" spans="1:14">
      <c r="A811" s="135" t="str">
        <f>IF(Measure50_Payback&lt;&gt;0,"ImprovementAttributes","")</f>
        <v/>
      </c>
      <c r="C811" s="155" t="s">
        <v>3932</v>
      </c>
      <c r="D811" s="155">
        <f>Measure50_Payback</f>
        <v>0</v>
      </c>
    </row>
    <row r="812" spans="1:14">
      <c r="A812" s="135" t="str">
        <f>IF(Measure50_Incentive&lt;&gt;0,"ImprovementAttributes","")</f>
        <v/>
      </c>
      <c r="C812" s="155" t="s">
        <v>4004</v>
      </c>
      <c r="D812" s="155">
        <f>Measure50_Incentive</f>
        <v>0</v>
      </c>
    </row>
    <row r="814" spans="1:14">
      <c r="A814" t="s">
        <v>3985</v>
      </c>
      <c r="B814" t="b">
        <f>Total_kWhSavings&lt;&gt; 0</f>
        <v>0</v>
      </c>
      <c r="C814" t="s">
        <v>3986</v>
      </c>
    </row>
    <row r="815" spans="1:14">
      <c r="A815" s="135" t="s">
        <v>3985</v>
      </c>
      <c r="B815" s="135" t="b">
        <f>IF(Instructions!F24&lt;&gt;"",TRUE,FALSE)</f>
        <v>0</v>
      </c>
      <c r="C815" s="135" t="s">
        <v>3987</v>
      </c>
    </row>
    <row r="816" spans="1:14">
      <c r="A816" s="135" t="s">
        <v>3985</v>
      </c>
      <c r="B816" s="135" t="b">
        <f>IF(Instructions!F25&lt;&gt;"",TRUE,FALSE)</f>
        <v>0</v>
      </c>
      <c r="C816" s="135" t="s">
        <v>3988</v>
      </c>
    </row>
    <row r="817" spans="1:3">
      <c r="A817" s="135" t="s">
        <v>3985</v>
      </c>
      <c r="B817" s="135" t="b">
        <f>IF(Avg_KWh_Rate&lt;&gt;"",TRUE, FALSE)</f>
        <v>0</v>
      </c>
      <c r="C817" s="135" t="s">
        <v>3989</v>
      </c>
    </row>
  </sheetData>
  <autoFilter ref="A1:N817" xr:uid="{00000000-0009-0000-0000-000009000000}"/>
  <mergeCells count="1">
    <mergeCell ref="C6:D6"/>
  </mergeCells>
  <dataValidations count="1">
    <dataValidation type="list" allowBlank="1" showInputMessage="1" showErrorMessage="1" sqref="B7:B9" xr:uid="{00000000-0002-0000-0900-000000000000}">
      <formula1>$D$2:$D$14</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sheetPr>
  <dimension ref="A1:F74"/>
  <sheetViews>
    <sheetView topLeftCell="A46" workbookViewId="0">
      <selection activeCell="E244" sqref="E244"/>
    </sheetView>
  </sheetViews>
  <sheetFormatPr defaultRowHeight="14.5"/>
  <cols>
    <col min="2" max="2" width="43.81640625" bestFit="1" customWidth="1"/>
    <col min="3" max="3" width="11.1796875" bestFit="1" customWidth="1"/>
    <col min="4" max="4" width="7.54296875" bestFit="1" customWidth="1"/>
    <col min="5" max="5" width="15.54296875" bestFit="1" customWidth="1"/>
    <col min="6" max="6" width="56" bestFit="1" customWidth="1"/>
  </cols>
  <sheetData>
    <row r="1" spans="1:6">
      <c r="A1" t="s">
        <v>3766</v>
      </c>
      <c r="B1" t="s">
        <v>99</v>
      </c>
      <c r="C1" t="s">
        <v>3699</v>
      </c>
      <c r="D1" t="s">
        <v>3711</v>
      </c>
      <c r="E1" t="s">
        <v>3739</v>
      </c>
      <c r="F1" t="s">
        <v>3737</v>
      </c>
    </row>
    <row r="2" spans="1:6">
      <c r="A2">
        <v>1</v>
      </c>
      <c r="B2" t="s">
        <v>3752</v>
      </c>
      <c r="C2" t="s">
        <v>3700</v>
      </c>
      <c r="D2" t="s">
        <v>3712</v>
      </c>
      <c r="E2" t="s">
        <v>3736</v>
      </c>
    </row>
    <row r="3" spans="1:6">
      <c r="A3">
        <v>2</v>
      </c>
      <c r="B3" t="s">
        <v>3753</v>
      </c>
      <c r="C3" t="s">
        <v>3700</v>
      </c>
      <c r="D3" t="s">
        <v>3712</v>
      </c>
      <c r="E3" t="s">
        <v>3736</v>
      </c>
    </row>
    <row r="4" spans="1:6">
      <c r="A4">
        <v>3</v>
      </c>
      <c r="B4" t="s">
        <v>3689</v>
      </c>
      <c r="C4" t="s">
        <v>3700</v>
      </c>
      <c r="D4" t="s">
        <v>3712</v>
      </c>
      <c r="E4" t="s">
        <v>3736</v>
      </c>
    </row>
    <row r="5" spans="1:6">
      <c r="A5">
        <v>4</v>
      </c>
      <c r="B5" t="s">
        <v>3683</v>
      </c>
      <c r="C5" t="s">
        <v>3701</v>
      </c>
      <c r="D5" t="s">
        <v>3712</v>
      </c>
      <c r="E5" t="s">
        <v>3736</v>
      </c>
    </row>
    <row r="6" spans="1:6">
      <c r="A6">
        <v>5</v>
      </c>
      <c r="B6" t="s">
        <v>3696</v>
      </c>
      <c r="C6" t="s">
        <v>3701</v>
      </c>
      <c r="D6" t="s">
        <v>3712</v>
      </c>
      <c r="E6" t="s">
        <v>3736</v>
      </c>
    </row>
    <row r="7" spans="1:6">
      <c r="A7">
        <v>6</v>
      </c>
      <c r="B7" t="s">
        <v>3685</v>
      </c>
      <c r="C7" t="s">
        <v>3701</v>
      </c>
      <c r="D7" t="s">
        <v>3712</v>
      </c>
      <c r="E7" t="s">
        <v>3736</v>
      </c>
    </row>
    <row r="8" spans="1:6">
      <c r="A8">
        <v>7</v>
      </c>
      <c r="B8" t="s">
        <v>3688</v>
      </c>
      <c r="C8" t="s">
        <v>3701</v>
      </c>
      <c r="D8" t="s">
        <v>3712</v>
      </c>
      <c r="E8" t="s">
        <v>3736</v>
      </c>
    </row>
    <row r="9" spans="1:6">
      <c r="A9">
        <v>8</v>
      </c>
      <c r="B9" t="s">
        <v>3690</v>
      </c>
      <c r="C9" t="s">
        <v>3701</v>
      </c>
      <c r="D9" t="s">
        <v>3712</v>
      </c>
      <c r="E9" t="s">
        <v>3736</v>
      </c>
    </row>
    <row r="10" spans="1:6">
      <c r="A10">
        <v>9</v>
      </c>
      <c r="B10" t="s">
        <v>3691</v>
      </c>
      <c r="C10" t="s">
        <v>3701</v>
      </c>
      <c r="D10" t="s">
        <v>3712</v>
      </c>
      <c r="E10" t="s">
        <v>3736</v>
      </c>
    </row>
    <row r="11" spans="1:6">
      <c r="A11">
        <v>10</v>
      </c>
      <c r="B11" t="s">
        <v>3754</v>
      </c>
      <c r="C11" t="s">
        <v>3700</v>
      </c>
      <c r="E11" t="s">
        <v>3736</v>
      </c>
    </row>
    <row r="12" spans="1:6">
      <c r="A12">
        <v>11</v>
      </c>
      <c r="B12" t="s">
        <v>3755</v>
      </c>
      <c r="C12" t="s">
        <v>3700</v>
      </c>
      <c r="E12" t="s">
        <v>3736</v>
      </c>
    </row>
    <row r="13" spans="1:6">
      <c r="A13">
        <v>12</v>
      </c>
      <c r="B13" t="s">
        <v>3772</v>
      </c>
      <c r="C13" t="s">
        <v>3701</v>
      </c>
      <c r="E13" t="s">
        <v>3736</v>
      </c>
    </row>
    <row r="14" spans="1:6">
      <c r="A14">
        <v>13</v>
      </c>
      <c r="B14" t="s">
        <v>3765</v>
      </c>
      <c r="C14" t="s">
        <v>3701</v>
      </c>
      <c r="E14" t="s">
        <v>3736</v>
      </c>
    </row>
    <row r="15" spans="1:6">
      <c r="A15">
        <v>14</v>
      </c>
      <c r="B15" t="s">
        <v>3679</v>
      </c>
      <c r="C15" t="s">
        <v>3701</v>
      </c>
      <c r="E15" t="s">
        <v>3736</v>
      </c>
    </row>
    <row r="16" spans="1:6">
      <c r="A16">
        <v>15</v>
      </c>
      <c r="B16" t="s">
        <v>3680</v>
      </c>
      <c r="C16" t="s">
        <v>3701</v>
      </c>
      <c r="E16" t="s">
        <v>3736</v>
      </c>
    </row>
    <row r="17" spans="1:5">
      <c r="A17">
        <v>16</v>
      </c>
      <c r="B17" t="s">
        <v>3681</v>
      </c>
      <c r="C17" t="s">
        <v>3701</v>
      </c>
      <c r="E17" t="s">
        <v>3736</v>
      </c>
    </row>
    <row r="18" spans="1:5">
      <c r="A18">
        <v>17</v>
      </c>
      <c r="B18" t="s">
        <v>3682</v>
      </c>
      <c r="C18" t="s">
        <v>3701</v>
      </c>
      <c r="E18" t="s">
        <v>3736</v>
      </c>
    </row>
    <row r="19" spans="1:5">
      <c r="A19">
        <v>18</v>
      </c>
      <c r="B19" t="s">
        <v>3713</v>
      </c>
      <c r="C19" t="s">
        <v>3700</v>
      </c>
      <c r="E19" t="s">
        <v>3736</v>
      </c>
    </row>
    <row r="20" spans="1:5">
      <c r="A20">
        <v>19</v>
      </c>
      <c r="B20" t="s">
        <v>3714</v>
      </c>
      <c r="C20" t="s">
        <v>3700</v>
      </c>
      <c r="E20" t="s">
        <v>3736</v>
      </c>
    </row>
    <row r="21" spans="1:5">
      <c r="A21">
        <v>20</v>
      </c>
      <c r="B21" t="s">
        <v>3715</v>
      </c>
      <c r="C21" t="s">
        <v>3700</v>
      </c>
      <c r="E21" t="s">
        <v>3736</v>
      </c>
    </row>
    <row r="22" spans="1:5">
      <c r="A22">
        <v>21</v>
      </c>
      <c r="B22" t="s">
        <v>3716</v>
      </c>
      <c r="C22" t="s">
        <v>3700</v>
      </c>
      <c r="E22" t="s">
        <v>3736</v>
      </c>
    </row>
    <row r="23" spans="1:5">
      <c r="A23">
        <v>22</v>
      </c>
      <c r="B23" t="s">
        <v>3717</v>
      </c>
      <c r="C23" t="s">
        <v>3700</v>
      </c>
      <c r="E23" t="s">
        <v>3736</v>
      </c>
    </row>
    <row r="24" spans="1:5">
      <c r="A24">
        <v>23</v>
      </c>
      <c r="B24" t="s">
        <v>3718</v>
      </c>
      <c r="C24" t="s">
        <v>3700</v>
      </c>
      <c r="E24" t="s">
        <v>3736</v>
      </c>
    </row>
    <row r="25" spans="1:5">
      <c r="A25">
        <v>24</v>
      </c>
      <c r="B25" t="s">
        <v>3719</v>
      </c>
      <c r="C25" t="s">
        <v>3700</v>
      </c>
      <c r="E25" t="s">
        <v>3736</v>
      </c>
    </row>
    <row r="26" spans="1:5">
      <c r="A26">
        <v>25</v>
      </c>
      <c r="B26" t="s">
        <v>3720</v>
      </c>
      <c r="C26" t="s">
        <v>3700</v>
      </c>
      <c r="E26" t="s">
        <v>3736</v>
      </c>
    </row>
    <row r="27" spans="1:5">
      <c r="A27">
        <v>26</v>
      </c>
      <c r="B27" t="s">
        <v>3721</v>
      </c>
      <c r="C27" t="s">
        <v>3700</v>
      </c>
      <c r="E27" t="s">
        <v>3736</v>
      </c>
    </row>
    <row r="28" spans="1:5">
      <c r="A28">
        <v>27</v>
      </c>
      <c r="B28" t="s">
        <v>3722</v>
      </c>
      <c r="C28" t="s">
        <v>3700</v>
      </c>
      <c r="E28" t="s">
        <v>3736</v>
      </c>
    </row>
    <row r="29" spans="1:5">
      <c r="A29">
        <v>28</v>
      </c>
      <c r="B29" t="s">
        <v>3723</v>
      </c>
      <c r="C29" t="s">
        <v>3700</v>
      </c>
      <c r="E29" t="s">
        <v>3736</v>
      </c>
    </row>
    <row r="30" spans="1:5">
      <c r="A30">
        <v>29</v>
      </c>
      <c r="B30" t="s">
        <v>3724</v>
      </c>
      <c r="C30" t="s">
        <v>3700</v>
      </c>
      <c r="E30" t="s">
        <v>3736</v>
      </c>
    </row>
    <row r="31" spans="1:5">
      <c r="A31">
        <v>30</v>
      </c>
      <c r="B31" t="s">
        <v>3725</v>
      </c>
      <c r="C31" t="s">
        <v>3700</v>
      </c>
      <c r="E31" t="s">
        <v>3736</v>
      </c>
    </row>
    <row r="32" spans="1:5">
      <c r="A32">
        <v>31</v>
      </c>
      <c r="B32" t="s">
        <v>3726</v>
      </c>
      <c r="C32" t="s">
        <v>3700</v>
      </c>
      <c r="E32" t="s">
        <v>3736</v>
      </c>
    </row>
    <row r="33" spans="1:5">
      <c r="A33">
        <v>32</v>
      </c>
      <c r="B33" t="s">
        <v>3727</v>
      </c>
      <c r="C33" t="s">
        <v>3700</v>
      </c>
      <c r="E33" t="s">
        <v>3736</v>
      </c>
    </row>
    <row r="34" spans="1:5">
      <c r="A34">
        <v>33</v>
      </c>
      <c r="B34" t="s">
        <v>3728</v>
      </c>
      <c r="C34" t="s">
        <v>3700</v>
      </c>
      <c r="E34" t="s">
        <v>3736</v>
      </c>
    </row>
    <row r="35" spans="1:5">
      <c r="A35">
        <v>34</v>
      </c>
      <c r="B35" t="s">
        <v>3729</v>
      </c>
      <c r="C35" t="s">
        <v>3700</v>
      </c>
      <c r="E35" t="s">
        <v>3736</v>
      </c>
    </row>
    <row r="36" spans="1:5">
      <c r="A36">
        <v>35</v>
      </c>
      <c r="B36" t="s">
        <v>3741</v>
      </c>
      <c r="C36" t="s">
        <v>3700</v>
      </c>
      <c r="E36" t="s">
        <v>3736</v>
      </c>
    </row>
    <row r="37" spans="1:5">
      <c r="A37">
        <v>36</v>
      </c>
      <c r="B37" t="s">
        <v>3742</v>
      </c>
      <c r="C37" t="s">
        <v>3700</v>
      </c>
      <c r="E37" t="s">
        <v>3736</v>
      </c>
    </row>
    <row r="38" spans="1:5">
      <c r="A38">
        <v>37</v>
      </c>
      <c r="B38" t="s">
        <v>3743</v>
      </c>
      <c r="C38" t="s">
        <v>3700</v>
      </c>
      <c r="E38" t="s">
        <v>3736</v>
      </c>
    </row>
    <row r="39" spans="1:5">
      <c r="A39">
        <v>38</v>
      </c>
      <c r="B39" t="s">
        <v>3744</v>
      </c>
      <c r="C39" t="s">
        <v>3700</v>
      </c>
      <c r="E39" t="s">
        <v>3736</v>
      </c>
    </row>
    <row r="40" spans="1:5">
      <c r="A40">
        <v>39</v>
      </c>
      <c r="B40" t="s">
        <v>3745</v>
      </c>
      <c r="C40" t="s">
        <v>3700</v>
      </c>
      <c r="E40" t="s">
        <v>3736</v>
      </c>
    </row>
    <row r="41" spans="1:5">
      <c r="A41">
        <v>40</v>
      </c>
      <c r="B41" t="s">
        <v>3746</v>
      </c>
      <c r="C41" t="s">
        <v>3700</v>
      </c>
      <c r="E41" t="s">
        <v>3736</v>
      </c>
    </row>
    <row r="42" spans="1:5">
      <c r="A42">
        <v>41</v>
      </c>
      <c r="B42" t="s">
        <v>3747</v>
      </c>
      <c r="C42" t="s">
        <v>3700</v>
      </c>
      <c r="E42" t="s">
        <v>3736</v>
      </c>
    </row>
    <row r="43" spans="1:5">
      <c r="A43">
        <v>42</v>
      </c>
      <c r="B43" t="s">
        <v>3748</v>
      </c>
      <c r="C43" t="s">
        <v>3700</v>
      </c>
      <c r="E43" t="s">
        <v>3736</v>
      </c>
    </row>
    <row r="44" spans="1:5">
      <c r="A44">
        <v>43</v>
      </c>
      <c r="B44" t="s">
        <v>3749</v>
      </c>
      <c r="C44" t="s">
        <v>3700</v>
      </c>
      <c r="E44" t="s">
        <v>3736</v>
      </c>
    </row>
    <row r="45" spans="1:5">
      <c r="A45">
        <v>44</v>
      </c>
      <c r="B45" t="s">
        <v>3750</v>
      </c>
      <c r="C45" t="s">
        <v>3700</v>
      </c>
      <c r="E45" t="s">
        <v>3736</v>
      </c>
    </row>
    <row r="46" spans="1:5">
      <c r="A46">
        <v>45</v>
      </c>
      <c r="B46" t="s">
        <v>3704</v>
      </c>
      <c r="C46" t="s">
        <v>3700</v>
      </c>
      <c r="E46" t="s">
        <v>3736</v>
      </c>
    </row>
    <row r="47" spans="1:5">
      <c r="A47">
        <v>46</v>
      </c>
      <c r="B47" t="s">
        <v>3705</v>
      </c>
      <c r="C47" t="s">
        <v>3700</v>
      </c>
      <c r="E47" t="s">
        <v>3736</v>
      </c>
    </row>
    <row r="48" spans="1:5">
      <c r="A48">
        <v>47</v>
      </c>
      <c r="B48" t="s">
        <v>3706</v>
      </c>
      <c r="C48" t="s">
        <v>3700</v>
      </c>
      <c r="E48" t="s">
        <v>3736</v>
      </c>
    </row>
    <row r="49" spans="1:6">
      <c r="A49">
        <v>48</v>
      </c>
      <c r="B49" t="s">
        <v>3707</v>
      </c>
      <c r="C49" t="s">
        <v>3700</v>
      </c>
      <c r="E49" t="s">
        <v>3736</v>
      </c>
    </row>
    <row r="50" spans="1:6">
      <c r="A50">
        <v>49</v>
      </c>
      <c r="B50" t="s">
        <v>3708</v>
      </c>
      <c r="C50" t="s">
        <v>3700</v>
      </c>
      <c r="E50" t="s">
        <v>3736</v>
      </c>
    </row>
    <row r="51" spans="1:6">
      <c r="A51">
        <v>50</v>
      </c>
      <c r="B51" t="s">
        <v>3709</v>
      </c>
      <c r="C51" t="s">
        <v>3700</v>
      </c>
      <c r="E51" t="s">
        <v>3736</v>
      </c>
    </row>
    <row r="52" spans="1:6">
      <c r="A52">
        <v>51</v>
      </c>
      <c r="B52" t="s">
        <v>3710</v>
      </c>
      <c r="C52" t="s">
        <v>3700</v>
      </c>
      <c r="E52" t="s">
        <v>3736</v>
      </c>
    </row>
    <row r="53" spans="1:6">
      <c r="A53">
        <v>52</v>
      </c>
      <c r="B53" t="s">
        <v>3756</v>
      </c>
      <c r="C53" t="s">
        <v>3700</v>
      </c>
      <c r="E53" t="s">
        <v>3736</v>
      </c>
    </row>
    <row r="54" spans="1:6">
      <c r="A54">
        <v>53</v>
      </c>
      <c r="B54" t="s">
        <v>3757</v>
      </c>
      <c r="C54" t="s">
        <v>3700</v>
      </c>
      <c r="E54" t="s">
        <v>3736</v>
      </c>
    </row>
    <row r="55" spans="1:6">
      <c r="A55">
        <v>54</v>
      </c>
      <c r="B55" t="s">
        <v>3758</v>
      </c>
      <c r="C55" t="s">
        <v>3700</v>
      </c>
      <c r="E55" t="s">
        <v>3736</v>
      </c>
    </row>
    <row r="56" spans="1:6">
      <c r="A56">
        <v>55</v>
      </c>
      <c r="B56" t="s">
        <v>3759</v>
      </c>
      <c r="C56" t="s">
        <v>3700</v>
      </c>
      <c r="E56" t="s">
        <v>3736</v>
      </c>
    </row>
    <row r="57" spans="1:6">
      <c r="A57">
        <v>56</v>
      </c>
      <c r="B57" t="s">
        <v>3760</v>
      </c>
      <c r="C57" t="s">
        <v>3700</v>
      </c>
      <c r="E57" t="s">
        <v>3736</v>
      </c>
    </row>
    <row r="58" spans="1:6">
      <c r="A58">
        <v>57</v>
      </c>
      <c r="B58" t="s">
        <v>3761</v>
      </c>
      <c r="C58" t="s">
        <v>3700</v>
      </c>
      <c r="E58" t="s">
        <v>3736</v>
      </c>
    </row>
    <row r="59" spans="1:6">
      <c r="A59">
        <v>58</v>
      </c>
      <c r="B59" t="s">
        <v>3762</v>
      </c>
      <c r="C59" t="s">
        <v>3700</v>
      </c>
      <c r="E59" t="s">
        <v>3736</v>
      </c>
    </row>
    <row r="60" spans="1:6">
      <c r="A60">
        <v>59</v>
      </c>
      <c r="B60" t="s">
        <v>3763</v>
      </c>
      <c r="C60" t="s">
        <v>3700</v>
      </c>
      <c r="E60" t="s">
        <v>3736</v>
      </c>
    </row>
    <row r="61" spans="1:6">
      <c r="A61">
        <v>60</v>
      </c>
      <c r="B61" t="s">
        <v>3764</v>
      </c>
      <c r="C61" t="s">
        <v>3700</v>
      </c>
      <c r="E61" t="s">
        <v>3736</v>
      </c>
    </row>
    <row r="62" spans="1:6">
      <c r="A62">
        <v>61</v>
      </c>
      <c r="B62" t="s">
        <v>3698</v>
      </c>
      <c r="C62" t="s">
        <v>3701</v>
      </c>
      <c r="D62" t="s">
        <v>3712</v>
      </c>
    </row>
    <row r="63" spans="1:6">
      <c r="A63">
        <v>62</v>
      </c>
      <c r="B63" t="s">
        <v>3751</v>
      </c>
      <c r="C63" t="s">
        <v>3701</v>
      </c>
    </row>
    <row r="64" spans="1:6">
      <c r="A64">
        <v>63</v>
      </c>
      <c r="B64" t="s">
        <v>3702</v>
      </c>
      <c r="C64" t="s">
        <v>3700</v>
      </c>
      <c r="D64" t="s">
        <v>3712</v>
      </c>
      <c r="F64" t="s">
        <v>3738</v>
      </c>
    </row>
    <row r="65" spans="1:6">
      <c r="A65">
        <v>64</v>
      </c>
      <c r="B65" t="s">
        <v>3730</v>
      </c>
      <c r="C65" t="s">
        <v>3700</v>
      </c>
      <c r="D65" t="s">
        <v>3712</v>
      </c>
      <c r="F65" t="s">
        <v>3738</v>
      </c>
    </row>
    <row r="66" spans="1:6">
      <c r="A66">
        <v>65</v>
      </c>
      <c r="B66" t="s">
        <v>3692</v>
      </c>
      <c r="C66" t="s">
        <v>3701</v>
      </c>
      <c r="D66" t="s">
        <v>3712</v>
      </c>
      <c r="F66" t="s">
        <v>3738</v>
      </c>
    </row>
    <row r="67" spans="1:6">
      <c r="A67">
        <v>66</v>
      </c>
      <c r="B67" t="s">
        <v>3693</v>
      </c>
      <c r="C67" t="s">
        <v>3701</v>
      </c>
      <c r="D67" t="s">
        <v>3712</v>
      </c>
      <c r="F67" t="s">
        <v>3738</v>
      </c>
    </row>
    <row r="68" spans="1:6">
      <c r="A68">
        <v>67</v>
      </c>
      <c r="B68" t="s">
        <v>3694</v>
      </c>
      <c r="C68" t="s">
        <v>3701</v>
      </c>
      <c r="D68" t="s">
        <v>3712</v>
      </c>
      <c r="F68" t="s">
        <v>3738</v>
      </c>
    </row>
    <row r="69" spans="1:6">
      <c r="A69">
        <v>68</v>
      </c>
      <c r="B69" t="s">
        <v>3695</v>
      </c>
      <c r="C69" t="s">
        <v>3701</v>
      </c>
      <c r="D69" t="s">
        <v>3712</v>
      </c>
      <c r="F69" t="s">
        <v>3738</v>
      </c>
    </row>
    <row r="70" spans="1:6">
      <c r="A70">
        <v>69</v>
      </c>
      <c r="B70" t="s">
        <v>3697</v>
      </c>
      <c r="C70" t="s">
        <v>3701</v>
      </c>
      <c r="D70" t="s">
        <v>3712</v>
      </c>
      <c r="F70" t="s">
        <v>3738</v>
      </c>
    </row>
    <row r="71" spans="1:6">
      <c r="A71">
        <v>70</v>
      </c>
      <c r="B71" t="s">
        <v>3684</v>
      </c>
      <c r="C71" t="s">
        <v>3701</v>
      </c>
      <c r="D71" t="s">
        <v>3712</v>
      </c>
      <c r="F71" t="s">
        <v>3738</v>
      </c>
    </row>
    <row r="72" spans="1:6">
      <c r="A72">
        <v>71</v>
      </c>
      <c r="B72" t="s">
        <v>3686</v>
      </c>
      <c r="C72" t="s">
        <v>3701</v>
      </c>
      <c r="D72" t="s">
        <v>3712</v>
      </c>
      <c r="F72" t="s">
        <v>3738</v>
      </c>
    </row>
    <row r="73" spans="1:6">
      <c r="A73">
        <v>72</v>
      </c>
      <c r="B73" t="s">
        <v>3687</v>
      </c>
      <c r="C73" t="s">
        <v>3701</v>
      </c>
      <c r="D73" t="s">
        <v>3712</v>
      </c>
      <c r="F73" t="s">
        <v>3738</v>
      </c>
    </row>
    <row r="74" spans="1:6">
      <c r="A74">
        <v>73</v>
      </c>
      <c r="B74" t="s">
        <v>3703</v>
      </c>
      <c r="C74" t="s">
        <v>3701</v>
      </c>
      <c r="D74" t="s">
        <v>3712</v>
      </c>
      <c r="F74" t="s">
        <v>3738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tint="-0.14999847407452621"/>
  </sheetPr>
  <dimension ref="A1:G301"/>
  <sheetViews>
    <sheetView topLeftCell="A25" workbookViewId="0">
      <selection activeCell="G51" sqref="G51"/>
    </sheetView>
  </sheetViews>
  <sheetFormatPr defaultColWidth="9.1796875" defaultRowHeight="12.5"/>
  <cols>
    <col min="1" max="1" width="6.1796875" style="42" bestFit="1" customWidth="1"/>
    <col min="2" max="2" width="8.7265625" style="39" customWidth="1"/>
    <col min="3" max="3" width="80.26953125" style="41" customWidth="1"/>
    <col min="4" max="4" width="9.1796875" style="39" bestFit="1" customWidth="1"/>
    <col min="5" max="5" width="9.54296875" style="39" bestFit="1" customWidth="1"/>
    <col min="6" max="6" width="9.1796875" style="39"/>
    <col min="7" max="7" width="93.26953125" style="39" customWidth="1"/>
    <col min="8" max="16384" width="9.1796875" style="39"/>
  </cols>
  <sheetData>
    <row r="1" spans="1:7" s="92" customFormat="1" ht="25">
      <c r="A1" s="95" t="s">
        <v>134</v>
      </c>
      <c r="B1" s="95" t="s">
        <v>3633</v>
      </c>
      <c r="C1" s="92" t="s">
        <v>3634</v>
      </c>
      <c r="D1" s="95" t="s">
        <v>3635</v>
      </c>
      <c r="E1" s="92" t="s">
        <v>3732</v>
      </c>
      <c r="G1" s="92" t="s">
        <v>3775</v>
      </c>
    </row>
    <row r="2" spans="1:7">
      <c r="A2" s="42">
        <v>1</v>
      </c>
      <c r="B2" s="42"/>
      <c r="C2" s="92" t="s">
        <v>3636</v>
      </c>
      <c r="D2" s="42"/>
      <c r="E2" s="42"/>
      <c r="G2" s="41" t="s">
        <v>3731</v>
      </c>
    </row>
    <row r="3" spans="1:7">
      <c r="A3" s="42">
        <v>2</v>
      </c>
      <c r="B3" s="42"/>
      <c r="C3" s="92" t="s">
        <v>3637</v>
      </c>
      <c r="D3" s="42"/>
      <c r="E3" s="42"/>
      <c r="G3" s="41" t="s">
        <v>3770</v>
      </c>
    </row>
    <row r="4" spans="1:7">
      <c r="A4" s="42">
        <v>3</v>
      </c>
      <c r="B4" s="42"/>
      <c r="C4" s="92" t="s">
        <v>3638</v>
      </c>
      <c r="D4" s="42"/>
      <c r="E4" s="42"/>
      <c r="G4" s="41" t="s">
        <v>3771</v>
      </c>
    </row>
    <row r="5" spans="1:7" ht="25">
      <c r="A5" s="42">
        <v>4</v>
      </c>
      <c r="B5" s="42"/>
      <c r="C5" s="92" t="s">
        <v>3639</v>
      </c>
      <c r="D5" s="42"/>
      <c r="E5" s="42"/>
      <c r="G5" s="41" t="s">
        <v>3773</v>
      </c>
    </row>
    <row r="6" spans="1:7" ht="25">
      <c r="A6" s="42">
        <v>5</v>
      </c>
      <c r="B6" s="42"/>
      <c r="C6" s="92" t="s">
        <v>3644</v>
      </c>
      <c r="D6" s="42"/>
      <c r="E6" s="42"/>
      <c r="G6" s="41" t="s">
        <v>3774</v>
      </c>
    </row>
    <row r="7" spans="1:7">
      <c r="A7" s="42">
        <v>6</v>
      </c>
      <c r="B7" s="42"/>
      <c r="C7" s="92" t="s">
        <v>3674</v>
      </c>
      <c r="D7" s="42"/>
      <c r="E7" s="42"/>
      <c r="G7" s="41" t="s">
        <v>3827</v>
      </c>
    </row>
    <row r="8" spans="1:7">
      <c r="A8" s="42">
        <v>7</v>
      </c>
      <c r="B8" s="42"/>
      <c r="C8" s="92" t="s">
        <v>3675</v>
      </c>
      <c r="D8" s="42"/>
      <c r="E8" s="42"/>
      <c r="G8" s="41" t="s">
        <v>3828</v>
      </c>
    </row>
    <row r="9" spans="1:7">
      <c r="A9" s="42">
        <v>8</v>
      </c>
      <c r="B9" s="42"/>
      <c r="C9" s="92" t="s">
        <v>3676</v>
      </c>
      <c r="D9" s="42"/>
      <c r="E9" s="42"/>
      <c r="G9" s="41" t="s">
        <v>3835</v>
      </c>
    </row>
    <row r="10" spans="1:7">
      <c r="A10" s="42">
        <v>9</v>
      </c>
      <c r="B10" s="42"/>
      <c r="C10" s="92" t="s">
        <v>3677</v>
      </c>
      <c r="D10" s="42"/>
      <c r="E10" s="42"/>
    </row>
    <row r="11" spans="1:7">
      <c r="A11" s="42">
        <v>10</v>
      </c>
      <c r="B11" s="42"/>
      <c r="C11" s="92" t="s">
        <v>3678</v>
      </c>
      <c r="D11" s="42"/>
      <c r="E11" s="42"/>
    </row>
    <row r="12" spans="1:7" ht="37.5">
      <c r="A12" s="42">
        <v>11</v>
      </c>
      <c r="B12" s="42" t="s">
        <v>3733</v>
      </c>
      <c r="C12" s="92" t="s">
        <v>3740</v>
      </c>
      <c r="D12" s="91">
        <v>42831</v>
      </c>
      <c r="E12" s="42" t="s">
        <v>3734</v>
      </c>
    </row>
    <row r="13" spans="1:7">
      <c r="A13" s="42">
        <v>12</v>
      </c>
      <c r="B13" s="42" t="s">
        <v>3733</v>
      </c>
      <c r="C13" s="92" t="s">
        <v>3735</v>
      </c>
      <c r="D13" s="91">
        <v>42831</v>
      </c>
      <c r="E13" s="42" t="s">
        <v>3734</v>
      </c>
    </row>
    <row r="14" spans="1:7" ht="25">
      <c r="A14" s="42">
        <v>13</v>
      </c>
      <c r="B14" s="42" t="s">
        <v>3733</v>
      </c>
      <c r="C14" s="92" t="s">
        <v>3767</v>
      </c>
      <c r="D14" s="91">
        <v>42831</v>
      </c>
      <c r="E14" s="42" t="s">
        <v>3734</v>
      </c>
    </row>
    <row r="15" spans="1:7">
      <c r="A15" s="42">
        <v>14</v>
      </c>
      <c r="B15" s="42" t="s">
        <v>3733</v>
      </c>
      <c r="C15" s="92" t="s">
        <v>3768</v>
      </c>
      <c r="D15" s="91">
        <v>42831</v>
      </c>
      <c r="E15" s="42" t="s">
        <v>3734</v>
      </c>
    </row>
    <row r="16" spans="1:7">
      <c r="A16" s="42">
        <v>15</v>
      </c>
      <c r="B16" s="42" t="s">
        <v>3733</v>
      </c>
      <c r="C16" s="92" t="s">
        <v>3769</v>
      </c>
      <c r="D16" s="91">
        <v>42831</v>
      </c>
      <c r="E16" s="42" t="s">
        <v>3734</v>
      </c>
    </row>
    <row r="17" spans="1:5">
      <c r="A17" s="42">
        <v>16</v>
      </c>
      <c r="B17" s="42" t="s">
        <v>3733</v>
      </c>
      <c r="C17" s="92" t="s">
        <v>3778</v>
      </c>
      <c r="D17" s="91">
        <v>42832</v>
      </c>
      <c r="E17" s="42" t="s">
        <v>3776</v>
      </c>
    </row>
    <row r="18" spans="1:5" ht="25">
      <c r="A18" s="42">
        <v>17</v>
      </c>
      <c r="B18" s="42" t="s">
        <v>3733</v>
      </c>
      <c r="C18" s="92" t="s">
        <v>3779</v>
      </c>
      <c r="D18" s="91">
        <v>42832</v>
      </c>
      <c r="E18" s="42" t="s">
        <v>3776</v>
      </c>
    </row>
    <row r="19" spans="1:5">
      <c r="A19" s="42">
        <v>18</v>
      </c>
      <c r="B19" s="42" t="s">
        <v>3733</v>
      </c>
      <c r="C19" s="92" t="s">
        <v>3782</v>
      </c>
      <c r="D19" s="91">
        <v>42832</v>
      </c>
      <c r="E19" s="42" t="s">
        <v>3734</v>
      </c>
    </row>
    <row r="20" spans="1:5" ht="25">
      <c r="A20" s="42">
        <v>19</v>
      </c>
      <c r="B20" s="42" t="s">
        <v>3733</v>
      </c>
      <c r="C20" s="92" t="s">
        <v>3783</v>
      </c>
      <c r="D20" s="91">
        <v>42832</v>
      </c>
      <c r="E20" s="42" t="s">
        <v>3734</v>
      </c>
    </row>
    <row r="21" spans="1:5">
      <c r="A21" s="42">
        <v>20</v>
      </c>
      <c r="B21" s="42" t="s">
        <v>3733</v>
      </c>
      <c r="C21" s="92" t="s">
        <v>3784</v>
      </c>
      <c r="D21" s="91">
        <v>42832</v>
      </c>
      <c r="E21" s="42" t="s">
        <v>3734</v>
      </c>
    </row>
    <row r="22" spans="1:5">
      <c r="A22" s="42">
        <v>21</v>
      </c>
      <c r="B22" s="42" t="s">
        <v>3733</v>
      </c>
      <c r="C22" s="92" t="s">
        <v>3785</v>
      </c>
      <c r="D22" s="91">
        <v>42832</v>
      </c>
      <c r="E22" s="42" t="s">
        <v>3734</v>
      </c>
    </row>
    <row r="23" spans="1:5">
      <c r="A23" s="42">
        <v>22</v>
      </c>
      <c r="B23" s="42" t="s">
        <v>3733</v>
      </c>
      <c r="C23" s="92" t="s">
        <v>3786</v>
      </c>
      <c r="D23" s="91">
        <v>42832</v>
      </c>
      <c r="E23" s="42" t="s">
        <v>3734</v>
      </c>
    </row>
    <row r="24" spans="1:5">
      <c r="A24" s="42">
        <v>23</v>
      </c>
      <c r="B24" s="42" t="s">
        <v>3733</v>
      </c>
      <c r="C24" s="92" t="s">
        <v>3787</v>
      </c>
      <c r="D24" s="91">
        <v>42832</v>
      </c>
      <c r="E24" s="42" t="s">
        <v>3734</v>
      </c>
    </row>
    <row r="25" spans="1:5">
      <c r="A25" s="42">
        <v>24</v>
      </c>
      <c r="B25" s="42" t="s">
        <v>3733</v>
      </c>
      <c r="C25" s="92" t="s">
        <v>3788</v>
      </c>
      <c r="D25" s="91">
        <v>42832</v>
      </c>
      <c r="E25" s="42" t="s">
        <v>3734</v>
      </c>
    </row>
    <row r="26" spans="1:5">
      <c r="A26" s="42">
        <v>25</v>
      </c>
      <c r="B26" s="42" t="s">
        <v>3733</v>
      </c>
      <c r="C26" s="92" t="s">
        <v>3789</v>
      </c>
      <c r="D26" s="91">
        <v>42832</v>
      </c>
      <c r="E26" s="42" t="s">
        <v>3734</v>
      </c>
    </row>
    <row r="27" spans="1:5">
      <c r="A27" s="42">
        <v>26</v>
      </c>
      <c r="B27" s="42" t="s">
        <v>3733</v>
      </c>
      <c r="C27" s="92" t="s">
        <v>3790</v>
      </c>
      <c r="D27" s="91">
        <v>42832</v>
      </c>
      <c r="E27" s="42" t="s">
        <v>3734</v>
      </c>
    </row>
    <row r="28" spans="1:5">
      <c r="A28" s="42">
        <v>27</v>
      </c>
      <c r="B28" s="42" t="s">
        <v>3733</v>
      </c>
      <c r="C28" s="92" t="s">
        <v>3791</v>
      </c>
      <c r="D28" s="91">
        <v>42832</v>
      </c>
      <c r="E28" s="42" t="s">
        <v>3734</v>
      </c>
    </row>
    <row r="29" spans="1:5">
      <c r="A29" s="42">
        <v>28</v>
      </c>
      <c r="B29" s="42" t="s">
        <v>3800</v>
      </c>
      <c r="C29" s="92" t="s">
        <v>3802</v>
      </c>
      <c r="D29" s="91">
        <v>42833</v>
      </c>
      <c r="E29" s="42" t="s">
        <v>3776</v>
      </c>
    </row>
    <row r="30" spans="1:5">
      <c r="A30" s="42">
        <v>29</v>
      </c>
      <c r="B30" s="42" t="s">
        <v>3800</v>
      </c>
      <c r="C30" s="92" t="s">
        <v>3804</v>
      </c>
      <c r="D30" s="91">
        <v>42833</v>
      </c>
      <c r="E30" s="42" t="s">
        <v>3776</v>
      </c>
    </row>
    <row r="31" spans="1:5" ht="25">
      <c r="A31" s="42">
        <v>30</v>
      </c>
      <c r="B31" s="42" t="s">
        <v>3800</v>
      </c>
      <c r="C31" s="92" t="s">
        <v>3803</v>
      </c>
      <c r="D31" s="91">
        <v>42833</v>
      </c>
      <c r="E31" s="42" t="s">
        <v>3734</v>
      </c>
    </row>
    <row r="32" spans="1:5" ht="25">
      <c r="A32" s="42">
        <v>31</v>
      </c>
      <c r="B32" s="42" t="s">
        <v>3800</v>
      </c>
      <c r="C32" s="92" t="s">
        <v>3805</v>
      </c>
      <c r="D32" s="91">
        <v>42833</v>
      </c>
      <c r="E32" s="42" t="s">
        <v>3734</v>
      </c>
    </row>
    <row r="33" spans="1:5">
      <c r="A33" s="42">
        <v>32</v>
      </c>
      <c r="B33" s="42" t="s">
        <v>3800</v>
      </c>
      <c r="C33" s="92" t="s">
        <v>3815</v>
      </c>
      <c r="D33" s="91">
        <v>42833</v>
      </c>
      <c r="E33" s="42" t="s">
        <v>3734</v>
      </c>
    </row>
    <row r="34" spans="1:5">
      <c r="A34" s="42">
        <v>33</v>
      </c>
      <c r="B34" s="42" t="s">
        <v>3800</v>
      </c>
      <c r="C34" s="92" t="s">
        <v>3816</v>
      </c>
      <c r="D34" s="91">
        <v>42833</v>
      </c>
      <c r="E34" s="42" t="s">
        <v>3734</v>
      </c>
    </row>
    <row r="35" spans="1:5">
      <c r="A35" s="42">
        <v>34</v>
      </c>
      <c r="B35" s="42" t="s">
        <v>3800</v>
      </c>
      <c r="C35" s="92" t="s">
        <v>3817</v>
      </c>
      <c r="D35" s="91">
        <v>42833</v>
      </c>
      <c r="E35" s="42" t="s">
        <v>3734</v>
      </c>
    </row>
    <row r="36" spans="1:5">
      <c r="A36" s="42">
        <v>35</v>
      </c>
      <c r="B36" s="42" t="s">
        <v>3800</v>
      </c>
      <c r="C36" s="92" t="s">
        <v>3825</v>
      </c>
      <c r="D36" s="91">
        <v>42834</v>
      </c>
      <c r="E36" s="42" t="s">
        <v>3734</v>
      </c>
    </row>
    <row r="37" spans="1:5">
      <c r="A37" s="42">
        <v>36</v>
      </c>
      <c r="B37" s="42" t="s">
        <v>3800</v>
      </c>
      <c r="C37" s="92" t="s">
        <v>3829</v>
      </c>
      <c r="D37" s="91">
        <v>42834</v>
      </c>
      <c r="E37" s="42" t="s">
        <v>3734</v>
      </c>
    </row>
    <row r="38" spans="1:5">
      <c r="A38" s="42">
        <v>37</v>
      </c>
      <c r="B38" s="42" t="s">
        <v>3800</v>
      </c>
      <c r="C38" s="92" t="s">
        <v>3830</v>
      </c>
      <c r="D38" s="91">
        <v>42834</v>
      </c>
      <c r="E38" s="42" t="s">
        <v>3734</v>
      </c>
    </row>
    <row r="39" spans="1:5">
      <c r="A39" s="42">
        <v>38</v>
      </c>
      <c r="B39" s="42" t="s">
        <v>3836</v>
      </c>
      <c r="C39" s="92" t="s">
        <v>3837</v>
      </c>
      <c r="D39" s="42"/>
      <c r="E39" s="42"/>
    </row>
    <row r="40" spans="1:5">
      <c r="A40" s="42">
        <v>39</v>
      </c>
      <c r="B40" s="42" t="s">
        <v>3856</v>
      </c>
      <c r="C40" s="92" t="s">
        <v>3857</v>
      </c>
      <c r="D40" s="91">
        <v>42962</v>
      </c>
      <c r="E40" s="42" t="s">
        <v>3776</v>
      </c>
    </row>
    <row r="41" spans="1:5">
      <c r="A41" s="42">
        <v>40</v>
      </c>
      <c r="B41" s="42" t="s">
        <v>3882</v>
      </c>
      <c r="C41" s="92" t="s">
        <v>3883</v>
      </c>
      <c r="D41" s="91">
        <v>42976</v>
      </c>
      <c r="E41" s="42" t="s">
        <v>3776</v>
      </c>
    </row>
    <row r="42" spans="1:5">
      <c r="A42" s="42">
        <v>41</v>
      </c>
      <c r="B42" s="42" t="s">
        <v>3884</v>
      </c>
      <c r="C42" s="92" t="s">
        <v>3885</v>
      </c>
      <c r="D42" s="91">
        <v>42976</v>
      </c>
      <c r="E42" s="42" t="s">
        <v>3886</v>
      </c>
    </row>
    <row r="43" spans="1:5">
      <c r="A43" s="42">
        <v>42</v>
      </c>
      <c r="B43" s="42" t="s">
        <v>4001</v>
      </c>
      <c r="C43" s="92" t="s">
        <v>4002</v>
      </c>
      <c r="D43" s="91">
        <v>43180</v>
      </c>
      <c r="E43" s="42" t="s">
        <v>4003</v>
      </c>
    </row>
    <row r="44" spans="1:5">
      <c r="A44" s="42">
        <v>43</v>
      </c>
      <c r="B44" s="42" t="s">
        <v>4014</v>
      </c>
      <c r="C44" s="92" t="s">
        <v>4016</v>
      </c>
      <c r="D44" s="91">
        <v>43283</v>
      </c>
      <c r="E44" s="42" t="s">
        <v>4015</v>
      </c>
    </row>
    <row r="45" spans="1:5">
      <c r="A45" s="42">
        <v>44</v>
      </c>
      <c r="B45" s="42" t="s">
        <v>4014</v>
      </c>
      <c r="C45" s="92" t="s">
        <v>4017</v>
      </c>
      <c r="D45" s="91">
        <v>43304</v>
      </c>
      <c r="E45" s="42" t="s">
        <v>4015</v>
      </c>
    </row>
    <row r="46" spans="1:5">
      <c r="A46" s="42">
        <v>45</v>
      </c>
      <c r="B46" s="42" t="s">
        <v>4014</v>
      </c>
      <c r="C46" s="92" t="s">
        <v>4018</v>
      </c>
      <c r="D46" s="91">
        <v>43304</v>
      </c>
      <c r="E46" s="42" t="s">
        <v>4015</v>
      </c>
    </row>
    <row r="47" spans="1:5">
      <c r="A47" s="42">
        <v>46</v>
      </c>
      <c r="B47" s="42" t="s">
        <v>4014</v>
      </c>
      <c r="C47" s="92" t="s">
        <v>4019</v>
      </c>
      <c r="D47" s="91">
        <v>43304</v>
      </c>
      <c r="E47" s="42" t="s">
        <v>4015</v>
      </c>
    </row>
    <row r="48" spans="1:5" ht="25">
      <c r="A48" s="42">
        <v>47</v>
      </c>
      <c r="B48" s="42" t="s">
        <v>4014</v>
      </c>
      <c r="C48" s="92" t="s">
        <v>4020</v>
      </c>
      <c r="D48" s="91">
        <v>43304</v>
      </c>
      <c r="E48" s="42" t="s">
        <v>4015</v>
      </c>
    </row>
    <row r="49" spans="1:5">
      <c r="A49" s="42">
        <v>48</v>
      </c>
      <c r="B49" s="42" t="s">
        <v>4014</v>
      </c>
      <c r="C49" s="92" t="s">
        <v>4021</v>
      </c>
      <c r="D49" s="91">
        <v>43304</v>
      </c>
      <c r="E49" s="42" t="s">
        <v>4015</v>
      </c>
    </row>
    <row r="50" spans="1:5">
      <c r="A50" s="42">
        <v>49</v>
      </c>
      <c r="B50" s="42" t="s">
        <v>4014</v>
      </c>
      <c r="C50" s="92" t="s">
        <v>4022</v>
      </c>
      <c r="D50" s="91">
        <v>43304</v>
      </c>
      <c r="E50" s="42" t="s">
        <v>4015</v>
      </c>
    </row>
    <row r="51" spans="1:5">
      <c r="A51" s="42">
        <v>50</v>
      </c>
      <c r="B51" s="42"/>
      <c r="C51" s="92"/>
      <c r="D51" s="42"/>
      <c r="E51" s="42"/>
    </row>
    <row r="52" spans="1:5">
      <c r="A52" s="42">
        <v>51</v>
      </c>
      <c r="B52" s="42"/>
      <c r="C52" s="92"/>
      <c r="D52" s="42"/>
      <c r="E52" s="42"/>
    </row>
    <row r="53" spans="1:5">
      <c r="A53" s="42">
        <v>52</v>
      </c>
      <c r="B53" s="42"/>
      <c r="C53" s="92"/>
      <c r="D53" s="42"/>
      <c r="E53" s="42"/>
    </row>
    <row r="54" spans="1:5">
      <c r="A54" s="42">
        <v>53</v>
      </c>
      <c r="B54" s="42"/>
      <c r="C54" s="92"/>
      <c r="D54" s="42"/>
      <c r="E54" s="42"/>
    </row>
    <row r="55" spans="1:5">
      <c r="A55" s="42">
        <v>54</v>
      </c>
      <c r="B55" s="42"/>
      <c r="C55" s="92"/>
      <c r="D55" s="42"/>
      <c r="E55" s="42"/>
    </row>
    <row r="56" spans="1:5">
      <c r="A56" s="42">
        <v>55</v>
      </c>
      <c r="B56" s="42"/>
      <c r="C56" s="92"/>
      <c r="D56" s="42"/>
      <c r="E56" s="42"/>
    </row>
    <row r="57" spans="1:5">
      <c r="A57" s="42">
        <v>56</v>
      </c>
      <c r="B57" s="42"/>
      <c r="C57" s="92"/>
      <c r="D57" s="42"/>
      <c r="E57" s="42"/>
    </row>
    <row r="58" spans="1:5">
      <c r="A58" s="42">
        <v>57</v>
      </c>
      <c r="B58" s="42"/>
      <c r="C58" s="92"/>
      <c r="D58" s="42"/>
      <c r="E58" s="42"/>
    </row>
    <row r="59" spans="1:5">
      <c r="A59" s="42">
        <v>58</v>
      </c>
      <c r="B59" s="42"/>
      <c r="C59" s="92"/>
      <c r="D59" s="42"/>
      <c r="E59" s="42"/>
    </row>
    <row r="60" spans="1:5">
      <c r="A60" s="42">
        <v>59</v>
      </c>
      <c r="B60" s="42"/>
      <c r="C60" s="92"/>
      <c r="D60" s="42"/>
      <c r="E60" s="42"/>
    </row>
    <row r="61" spans="1:5">
      <c r="A61" s="42">
        <v>60</v>
      </c>
      <c r="B61" s="42"/>
      <c r="C61" s="92"/>
      <c r="D61" s="42"/>
      <c r="E61" s="42"/>
    </row>
    <row r="62" spans="1:5">
      <c r="A62" s="42">
        <v>61</v>
      </c>
      <c r="B62" s="42"/>
      <c r="C62" s="92"/>
      <c r="D62" s="42"/>
      <c r="E62" s="42"/>
    </row>
    <row r="63" spans="1:5">
      <c r="A63" s="42">
        <v>62</v>
      </c>
      <c r="B63" s="42"/>
      <c r="C63" s="92"/>
      <c r="D63" s="42"/>
      <c r="E63" s="42"/>
    </row>
    <row r="64" spans="1:5">
      <c r="A64" s="42">
        <v>63</v>
      </c>
      <c r="B64" s="42"/>
      <c r="C64" s="92"/>
      <c r="D64" s="42"/>
      <c r="E64" s="42"/>
    </row>
    <row r="65" spans="1:5">
      <c r="A65" s="42">
        <v>64</v>
      </c>
      <c r="B65" s="42"/>
      <c r="C65" s="92"/>
      <c r="D65" s="42"/>
      <c r="E65" s="42"/>
    </row>
    <row r="66" spans="1:5">
      <c r="A66" s="42">
        <v>65</v>
      </c>
      <c r="B66" s="42"/>
      <c r="C66" s="92"/>
      <c r="D66" s="42"/>
      <c r="E66" s="42"/>
    </row>
    <row r="67" spans="1:5">
      <c r="A67" s="42">
        <v>66</v>
      </c>
      <c r="B67" s="42"/>
      <c r="C67" s="92"/>
      <c r="D67" s="42"/>
      <c r="E67" s="42"/>
    </row>
    <row r="68" spans="1:5">
      <c r="A68" s="42">
        <v>67</v>
      </c>
      <c r="B68" s="42"/>
      <c r="C68" s="92"/>
      <c r="D68" s="42"/>
      <c r="E68" s="42"/>
    </row>
    <row r="69" spans="1:5">
      <c r="A69" s="42">
        <v>68</v>
      </c>
      <c r="B69" s="42"/>
      <c r="C69" s="92"/>
      <c r="D69" s="42"/>
      <c r="E69" s="42"/>
    </row>
    <row r="70" spans="1:5">
      <c r="A70" s="42">
        <v>69</v>
      </c>
      <c r="B70" s="42"/>
      <c r="C70" s="92"/>
      <c r="D70" s="42"/>
      <c r="E70" s="42"/>
    </row>
    <row r="71" spans="1:5">
      <c r="A71" s="42">
        <v>70</v>
      </c>
      <c r="B71" s="42"/>
      <c r="C71" s="92"/>
      <c r="D71" s="42"/>
      <c r="E71" s="42"/>
    </row>
    <row r="72" spans="1:5">
      <c r="A72" s="42">
        <v>71</v>
      </c>
      <c r="B72" s="42"/>
      <c r="C72" s="92"/>
      <c r="D72" s="42"/>
      <c r="E72" s="42"/>
    </row>
    <row r="73" spans="1:5">
      <c r="A73" s="42">
        <v>72</v>
      </c>
      <c r="B73" s="42"/>
      <c r="C73" s="92"/>
      <c r="D73" s="42"/>
      <c r="E73" s="42"/>
    </row>
    <row r="74" spans="1:5">
      <c r="A74" s="42">
        <v>73</v>
      </c>
      <c r="B74" s="42"/>
      <c r="C74" s="92"/>
      <c r="D74" s="42"/>
      <c r="E74" s="42"/>
    </row>
    <row r="75" spans="1:5">
      <c r="A75" s="42">
        <v>74</v>
      </c>
      <c r="B75" s="42"/>
      <c r="C75" s="92"/>
      <c r="D75" s="42"/>
      <c r="E75" s="42"/>
    </row>
    <row r="76" spans="1:5">
      <c r="A76" s="42">
        <v>75</v>
      </c>
      <c r="B76" s="42"/>
      <c r="C76" s="92"/>
      <c r="D76" s="42"/>
      <c r="E76" s="42"/>
    </row>
    <row r="77" spans="1:5">
      <c r="A77" s="42">
        <v>76</v>
      </c>
      <c r="B77" s="42"/>
      <c r="C77" s="92"/>
      <c r="D77" s="42"/>
      <c r="E77" s="42"/>
    </row>
    <row r="78" spans="1:5">
      <c r="A78" s="42">
        <v>77</v>
      </c>
      <c r="B78" s="42"/>
      <c r="C78" s="92"/>
      <c r="D78" s="42"/>
      <c r="E78" s="42"/>
    </row>
    <row r="79" spans="1:5">
      <c r="A79" s="42">
        <v>78</v>
      </c>
      <c r="B79" s="42"/>
      <c r="C79" s="92"/>
      <c r="D79" s="42"/>
      <c r="E79" s="42"/>
    </row>
    <row r="80" spans="1:5">
      <c r="A80" s="42">
        <v>79</v>
      </c>
      <c r="B80" s="42"/>
      <c r="C80" s="92"/>
      <c r="D80" s="42"/>
      <c r="E80" s="42"/>
    </row>
    <row r="81" spans="1:5">
      <c r="A81" s="42">
        <v>80</v>
      </c>
      <c r="B81" s="42"/>
      <c r="C81" s="92"/>
      <c r="D81" s="42"/>
      <c r="E81" s="42"/>
    </row>
    <row r="82" spans="1:5">
      <c r="A82" s="42">
        <v>81</v>
      </c>
      <c r="B82" s="42"/>
      <c r="C82" s="92"/>
      <c r="D82" s="42"/>
      <c r="E82" s="42"/>
    </row>
    <row r="83" spans="1:5">
      <c r="A83" s="42">
        <v>82</v>
      </c>
      <c r="B83" s="42"/>
      <c r="C83" s="92"/>
      <c r="D83" s="42"/>
      <c r="E83" s="42"/>
    </row>
    <row r="84" spans="1:5">
      <c r="A84" s="42">
        <v>83</v>
      </c>
      <c r="B84" s="42"/>
      <c r="C84" s="92"/>
      <c r="D84" s="42"/>
      <c r="E84" s="42"/>
    </row>
    <row r="85" spans="1:5">
      <c r="A85" s="42">
        <v>84</v>
      </c>
      <c r="B85" s="42"/>
      <c r="C85" s="92"/>
      <c r="D85" s="42"/>
      <c r="E85" s="42"/>
    </row>
    <row r="86" spans="1:5">
      <c r="A86" s="42">
        <v>85</v>
      </c>
      <c r="B86" s="42"/>
      <c r="C86" s="92"/>
      <c r="D86" s="42"/>
      <c r="E86" s="42"/>
    </row>
    <row r="87" spans="1:5">
      <c r="A87" s="42">
        <v>86</v>
      </c>
      <c r="B87" s="42"/>
      <c r="C87" s="92"/>
      <c r="D87" s="42"/>
      <c r="E87" s="42"/>
    </row>
    <row r="88" spans="1:5">
      <c r="A88" s="42">
        <v>87</v>
      </c>
      <c r="B88" s="42"/>
      <c r="C88" s="92"/>
      <c r="D88" s="42"/>
      <c r="E88" s="42"/>
    </row>
    <row r="89" spans="1:5">
      <c r="A89" s="42">
        <v>88</v>
      </c>
      <c r="B89" s="42"/>
      <c r="C89" s="92"/>
      <c r="D89" s="42"/>
      <c r="E89" s="42"/>
    </row>
    <row r="90" spans="1:5">
      <c r="A90" s="42">
        <v>89</v>
      </c>
      <c r="B90" s="42"/>
      <c r="C90" s="92"/>
      <c r="D90" s="42"/>
      <c r="E90" s="42"/>
    </row>
    <row r="91" spans="1:5">
      <c r="A91" s="42">
        <v>90</v>
      </c>
      <c r="B91" s="42"/>
      <c r="C91" s="92"/>
      <c r="D91" s="42"/>
      <c r="E91" s="42"/>
    </row>
    <row r="92" spans="1:5">
      <c r="A92" s="42">
        <v>91</v>
      </c>
      <c r="B92" s="42"/>
      <c r="C92" s="92"/>
      <c r="D92" s="42"/>
      <c r="E92" s="42"/>
    </row>
    <row r="93" spans="1:5">
      <c r="A93" s="42">
        <v>92</v>
      </c>
      <c r="B93" s="42"/>
      <c r="C93" s="92"/>
      <c r="D93" s="42"/>
      <c r="E93" s="42"/>
    </row>
    <row r="94" spans="1:5">
      <c r="A94" s="42">
        <v>93</v>
      </c>
      <c r="B94" s="42"/>
      <c r="C94" s="92"/>
      <c r="D94" s="42"/>
      <c r="E94" s="42"/>
    </row>
    <row r="95" spans="1:5">
      <c r="A95" s="42">
        <v>94</v>
      </c>
      <c r="B95" s="42"/>
      <c r="C95" s="92"/>
      <c r="D95" s="42"/>
      <c r="E95" s="42"/>
    </row>
    <row r="96" spans="1:5">
      <c r="A96" s="42">
        <v>95</v>
      </c>
      <c r="B96" s="42"/>
      <c r="C96" s="92"/>
      <c r="D96" s="42"/>
      <c r="E96" s="42"/>
    </row>
    <row r="97" spans="1:5">
      <c r="A97" s="42">
        <v>96</v>
      </c>
      <c r="B97" s="42"/>
      <c r="C97" s="92"/>
      <c r="D97" s="42"/>
      <c r="E97" s="42"/>
    </row>
    <row r="98" spans="1:5">
      <c r="A98" s="42">
        <v>97</v>
      </c>
      <c r="B98" s="42"/>
      <c r="C98" s="92"/>
      <c r="D98" s="42"/>
      <c r="E98" s="42"/>
    </row>
    <row r="99" spans="1:5">
      <c r="A99" s="42">
        <v>98</v>
      </c>
      <c r="B99" s="42"/>
      <c r="C99" s="92"/>
      <c r="D99" s="42"/>
      <c r="E99" s="42"/>
    </row>
    <row r="100" spans="1:5">
      <c r="A100" s="42">
        <v>99</v>
      </c>
      <c r="B100" s="42"/>
      <c r="C100" s="92"/>
      <c r="D100" s="42"/>
      <c r="E100" s="42"/>
    </row>
    <row r="101" spans="1:5">
      <c r="A101" s="42">
        <v>100</v>
      </c>
      <c r="B101" s="42"/>
      <c r="C101" s="92"/>
      <c r="D101" s="42"/>
      <c r="E101" s="42"/>
    </row>
    <row r="102" spans="1:5">
      <c r="A102" s="42">
        <v>101</v>
      </c>
      <c r="B102" s="42"/>
      <c r="C102" s="92"/>
      <c r="D102" s="42"/>
      <c r="E102" s="42"/>
    </row>
    <row r="103" spans="1:5">
      <c r="A103" s="42">
        <v>102</v>
      </c>
      <c r="B103" s="42"/>
      <c r="C103" s="92"/>
      <c r="D103" s="42"/>
      <c r="E103" s="42"/>
    </row>
    <row r="104" spans="1:5">
      <c r="A104" s="42">
        <v>103</v>
      </c>
      <c r="B104" s="42"/>
      <c r="C104" s="92"/>
      <c r="D104" s="42"/>
      <c r="E104" s="42"/>
    </row>
    <row r="105" spans="1:5">
      <c r="A105" s="42">
        <v>104</v>
      </c>
      <c r="B105" s="42"/>
      <c r="C105" s="92"/>
      <c r="D105" s="42"/>
      <c r="E105" s="42"/>
    </row>
    <row r="106" spans="1:5">
      <c r="A106" s="42">
        <v>105</v>
      </c>
      <c r="B106" s="42"/>
      <c r="C106" s="92"/>
      <c r="D106" s="42"/>
      <c r="E106" s="42"/>
    </row>
    <row r="107" spans="1:5">
      <c r="A107" s="42">
        <v>106</v>
      </c>
      <c r="B107" s="42"/>
      <c r="C107" s="92"/>
      <c r="D107" s="42"/>
      <c r="E107" s="42"/>
    </row>
    <row r="108" spans="1:5">
      <c r="A108" s="42">
        <v>107</v>
      </c>
      <c r="B108" s="42"/>
      <c r="C108" s="92"/>
      <c r="D108" s="42"/>
      <c r="E108" s="42"/>
    </row>
    <row r="109" spans="1:5">
      <c r="A109" s="42">
        <v>108</v>
      </c>
      <c r="B109" s="42"/>
      <c r="C109" s="92"/>
      <c r="D109" s="42"/>
      <c r="E109" s="42"/>
    </row>
    <row r="110" spans="1:5">
      <c r="A110" s="42">
        <v>109</v>
      </c>
      <c r="B110" s="42"/>
      <c r="C110" s="92"/>
      <c r="D110" s="42"/>
      <c r="E110" s="42"/>
    </row>
    <row r="111" spans="1:5">
      <c r="A111" s="42">
        <v>110</v>
      </c>
      <c r="B111" s="42"/>
      <c r="C111" s="92"/>
      <c r="D111" s="42"/>
      <c r="E111" s="42"/>
    </row>
    <row r="112" spans="1:5">
      <c r="A112" s="42">
        <v>111</v>
      </c>
      <c r="B112" s="42"/>
      <c r="C112" s="92"/>
      <c r="D112" s="42"/>
      <c r="E112" s="42"/>
    </row>
    <row r="113" spans="1:5">
      <c r="A113" s="42">
        <v>112</v>
      </c>
      <c r="B113" s="42"/>
      <c r="C113" s="92"/>
      <c r="D113" s="42"/>
      <c r="E113" s="42"/>
    </row>
    <row r="114" spans="1:5">
      <c r="A114" s="42">
        <v>113</v>
      </c>
      <c r="B114" s="42"/>
      <c r="C114" s="92"/>
      <c r="D114" s="42"/>
      <c r="E114" s="42"/>
    </row>
    <row r="115" spans="1:5">
      <c r="A115" s="42">
        <v>114</v>
      </c>
      <c r="B115" s="42"/>
      <c r="C115" s="92"/>
      <c r="D115" s="42"/>
      <c r="E115" s="42"/>
    </row>
    <row r="116" spans="1:5">
      <c r="A116" s="42">
        <v>115</v>
      </c>
      <c r="B116" s="42"/>
      <c r="C116" s="92"/>
      <c r="D116" s="42"/>
      <c r="E116" s="42"/>
    </row>
    <row r="117" spans="1:5">
      <c r="A117" s="42">
        <v>116</v>
      </c>
      <c r="B117" s="42"/>
      <c r="C117" s="92"/>
      <c r="D117" s="42"/>
      <c r="E117" s="42"/>
    </row>
    <row r="118" spans="1:5">
      <c r="A118" s="42">
        <v>117</v>
      </c>
      <c r="B118" s="42"/>
      <c r="C118" s="92"/>
      <c r="D118" s="42"/>
      <c r="E118" s="42"/>
    </row>
    <row r="119" spans="1:5">
      <c r="A119" s="42">
        <v>118</v>
      </c>
      <c r="B119" s="42"/>
      <c r="C119" s="92"/>
      <c r="D119" s="42"/>
      <c r="E119" s="42"/>
    </row>
    <row r="120" spans="1:5">
      <c r="A120" s="42">
        <v>119</v>
      </c>
      <c r="B120" s="42"/>
      <c r="C120" s="92"/>
      <c r="D120" s="42"/>
      <c r="E120" s="42"/>
    </row>
    <row r="121" spans="1:5">
      <c r="A121" s="42">
        <v>120</v>
      </c>
      <c r="B121" s="42"/>
      <c r="C121" s="92"/>
      <c r="D121" s="42"/>
      <c r="E121" s="42"/>
    </row>
    <row r="122" spans="1:5">
      <c r="A122" s="42">
        <v>121</v>
      </c>
      <c r="B122" s="42"/>
      <c r="C122" s="92"/>
      <c r="D122" s="42"/>
      <c r="E122" s="42"/>
    </row>
    <row r="123" spans="1:5">
      <c r="A123" s="42">
        <v>122</v>
      </c>
      <c r="B123" s="42"/>
      <c r="C123" s="92"/>
      <c r="D123" s="42"/>
      <c r="E123" s="42"/>
    </row>
    <row r="124" spans="1:5">
      <c r="A124" s="42">
        <v>123</v>
      </c>
      <c r="B124" s="42"/>
      <c r="C124" s="92"/>
      <c r="D124" s="42"/>
      <c r="E124" s="42"/>
    </row>
    <row r="125" spans="1:5">
      <c r="A125" s="42">
        <v>124</v>
      </c>
      <c r="B125" s="42"/>
      <c r="C125" s="92"/>
      <c r="D125" s="42"/>
      <c r="E125" s="42"/>
    </row>
    <row r="126" spans="1:5">
      <c r="A126" s="42">
        <v>125</v>
      </c>
      <c r="B126" s="42"/>
      <c r="C126" s="92"/>
      <c r="D126" s="42"/>
      <c r="E126" s="42"/>
    </row>
    <row r="127" spans="1:5">
      <c r="A127" s="42">
        <v>126</v>
      </c>
      <c r="B127" s="42"/>
      <c r="C127" s="92"/>
      <c r="D127" s="42"/>
      <c r="E127" s="42"/>
    </row>
    <row r="128" spans="1:5">
      <c r="A128" s="42">
        <v>127</v>
      </c>
      <c r="B128" s="42"/>
      <c r="C128" s="92"/>
      <c r="D128" s="42"/>
      <c r="E128" s="42"/>
    </row>
    <row r="129" spans="1:5">
      <c r="A129" s="42">
        <v>128</v>
      </c>
      <c r="B129" s="42"/>
      <c r="C129" s="92"/>
      <c r="D129" s="42"/>
      <c r="E129" s="42"/>
    </row>
    <row r="130" spans="1:5">
      <c r="A130" s="42">
        <v>129</v>
      </c>
      <c r="B130" s="42"/>
      <c r="C130" s="92"/>
      <c r="D130" s="42"/>
      <c r="E130" s="42"/>
    </row>
    <row r="131" spans="1:5">
      <c r="A131" s="42">
        <v>130</v>
      </c>
      <c r="B131" s="42"/>
      <c r="C131" s="92"/>
      <c r="D131" s="42"/>
      <c r="E131" s="42"/>
    </row>
    <row r="132" spans="1:5">
      <c r="A132" s="42">
        <v>131</v>
      </c>
      <c r="B132" s="42"/>
      <c r="C132" s="92"/>
      <c r="D132" s="42"/>
      <c r="E132" s="42"/>
    </row>
    <row r="133" spans="1:5">
      <c r="A133" s="42">
        <v>132</v>
      </c>
      <c r="B133" s="42"/>
      <c r="C133" s="92"/>
      <c r="D133" s="42"/>
      <c r="E133" s="42"/>
    </row>
    <row r="134" spans="1:5">
      <c r="A134" s="42">
        <v>133</v>
      </c>
      <c r="B134" s="42"/>
      <c r="C134" s="92"/>
      <c r="D134" s="42"/>
      <c r="E134" s="42"/>
    </row>
    <row r="135" spans="1:5">
      <c r="A135" s="42">
        <v>134</v>
      </c>
      <c r="B135" s="42"/>
      <c r="C135" s="92"/>
      <c r="D135" s="42"/>
      <c r="E135" s="42"/>
    </row>
    <row r="136" spans="1:5">
      <c r="A136" s="42">
        <v>135</v>
      </c>
      <c r="B136" s="42"/>
      <c r="C136" s="92"/>
      <c r="D136" s="42"/>
      <c r="E136" s="42"/>
    </row>
    <row r="137" spans="1:5">
      <c r="A137" s="42">
        <v>136</v>
      </c>
      <c r="B137" s="42"/>
      <c r="C137" s="92"/>
      <c r="D137" s="42"/>
      <c r="E137" s="42"/>
    </row>
    <row r="138" spans="1:5">
      <c r="A138" s="42">
        <v>137</v>
      </c>
      <c r="B138" s="42"/>
      <c r="C138" s="92"/>
      <c r="D138" s="42"/>
      <c r="E138" s="42"/>
    </row>
    <row r="139" spans="1:5">
      <c r="A139" s="42">
        <v>138</v>
      </c>
      <c r="B139" s="42"/>
      <c r="C139" s="92"/>
      <c r="D139" s="42"/>
      <c r="E139" s="42"/>
    </row>
    <row r="140" spans="1:5">
      <c r="A140" s="42">
        <v>139</v>
      </c>
      <c r="B140" s="42"/>
      <c r="C140" s="92"/>
      <c r="D140" s="42"/>
      <c r="E140" s="42"/>
    </row>
    <row r="141" spans="1:5">
      <c r="A141" s="42">
        <v>140</v>
      </c>
      <c r="B141" s="42"/>
      <c r="C141" s="92"/>
      <c r="D141" s="42"/>
      <c r="E141" s="42"/>
    </row>
    <row r="142" spans="1:5">
      <c r="A142" s="42">
        <v>141</v>
      </c>
      <c r="B142" s="42"/>
      <c r="C142" s="92"/>
      <c r="D142" s="42"/>
      <c r="E142" s="42"/>
    </row>
    <row r="143" spans="1:5">
      <c r="A143" s="42">
        <v>142</v>
      </c>
      <c r="B143" s="42"/>
      <c r="C143" s="92"/>
      <c r="D143" s="42"/>
      <c r="E143" s="42"/>
    </row>
    <row r="144" spans="1:5">
      <c r="A144" s="42">
        <v>143</v>
      </c>
      <c r="B144" s="42"/>
      <c r="C144" s="92"/>
      <c r="D144" s="42"/>
      <c r="E144" s="42"/>
    </row>
    <row r="145" spans="1:5">
      <c r="A145" s="42">
        <v>144</v>
      </c>
      <c r="B145" s="42"/>
      <c r="C145" s="92"/>
      <c r="D145" s="42"/>
      <c r="E145" s="42"/>
    </row>
    <row r="146" spans="1:5">
      <c r="A146" s="42">
        <v>145</v>
      </c>
      <c r="B146" s="42"/>
      <c r="C146" s="92"/>
      <c r="D146" s="42"/>
      <c r="E146" s="42"/>
    </row>
    <row r="147" spans="1:5">
      <c r="A147" s="42">
        <v>146</v>
      </c>
      <c r="B147" s="42"/>
      <c r="C147" s="92"/>
      <c r="D147" s="42"/>
      <c r="E147" s="42"/>
    </row>
    <row r="148" spans="1:5">
      <c r="A148" s="42">
        <v>147</v>
      </c>
      <c r="B148" s="42"/>
      <c r="C148" s="92"/>
      <c r="D148" s="42"/>
      <c r="E148" s="42"/>
    </row>
    <row r="149" spans="1:5">
      <c r="A149" s="42">
        <v>148</v>
      </c>
      <c r="B149" s="42"/>
      <c r="C149" s="92"/>
      <c r="D149" s="42"/>
      <c r="E149" s="42"/>
    </row>
    <row r="150" spans="1:5">
      <c r="A150" s="42">
        <v>149</v>
      </c>
      <c r="B150" s="42"/>
      <c r="C150" s="92"/>
      <c r="D150" s="42"/>
      <c r="E150" s="42"/>
    </row>
    <row r="151" spans="1:5">
      <c r="A151" s="42">
        <v>150</v>
      </c>
      <c r="B151" s="42"/>
      <c r="C151" s="92"/>
      <c r="D151" s="42"/>
      <c r="E151" s="42"/>
    </row>
    <row r="152" spans="1:5">
      <c r="A152" s="42">
        <v>151</v>
      </c>
      <c r="B152" s="42"/>
      <c r="C152" s="92"/>
      <c r="D152" s="42"/>
      <c r="E152" s="42"/>
    </row>
    <row r="153" spans="1:5">
      <c r="A153" s="42">
        <v>152</v>
      </c>
      <c r="B153" s="42"/>
      <c r="C153" s="92"/>
      <c r="D153" s="42"/>
      <c r="E153" s="42"/>
    </row>
    <row r="154" spans="1:5">
      <c r="A154" s="42">
        <v>153</v>
      </c>
      <c r="B154" s="42"/>
      <c r="C154" s="92"/>
      <c r="D154" s="42"/>
      <c r="E154" s="42"/>
    </row>
    <row r="155" spans="1:5">
      <c r="A155" s="42">
        <v>154</v>
      </c>
      <c r="B155" s="42"/>
      <c r="C155" s="92"/>
      <c r="D155" s="42"/>
      <c r="E155" s="42"/>
    </row>
    <row r="156" spans="1:5">
      <c r="A156" s="42">
        <v>155</v>
      </c>
      <c r="B156" s="42"/>
      <c r="C156" s="92"/>
      <c r="D156" s="42"/>
      <c r="E156" s="42"/>
    </row>
    <row r="157" spans="1:5">
      <c r="A157" s="42">
        <v>156</v>
      </c>
      <c r="B157" s="42"/>
      <c r="C157" s="92"/>
      <c r="D157" s="42"/>
      <c r="E157" s="42"/>
    </row>
    <row r="158" spans="1:5">
      <c r="A158" s="42">
        <v>157</v>
      </c>
      <c r="B158" s="42"/>
      <c r="C158" s="92"/>
      <c r="D158" s="42"/>
      <c r="E158" s="42"/>
    </row>
    <row r="159" spans="1:5">
      <c r="A159" s="42">
        <v>158</v>
      </c>
      <c r="B159" s="42"/>
      <c r="C159" s="92"/>
      <c r="D159" s="42"/>
      <c r="E159" s="42"/>
    </row>
    <row r="160" spans="1:5">
      <c r="A160" s="42">
        <v>159</v>
      </c>
      <c r="B160" s="42"/>
      <c r="C160" s="92"/>
      <c r="D160" s="42"/>
      <c r="E160" s="42"/>
    </row>
    <row r="161" spans="1:5">
      <c r="A161" s="42">
        <v>160</v>
      </c>
      <c r="B161" s="42"/>
      <c r="C161" s="92"/>
      <c r="D161" s="42"/>
      <c r="E161" s="42"/>
    </row>
    <row r="162" spans="1:5">
      <c r="A162" s="42">
        <v>161</v>
      </c>
      <c r="B162" s="42"/>
      <c r="C162" s="92"/>
      <c r="D162" s="42"/>
      <c r="E162" s="42"/>
    </row>
    <row r="163" spans="1:5">
      <c r="A163" s="42">
        <v>162</v>
      </c>
      <c r="B163" s="42"/>
      <c r="C163" s="92"/>
      <c r="D163" s="42"/>
      <c r="E163" s="42"/>
    </row>
    <row r="164" spans="1:5">
      <c r="A164" s="42">
        <v>163</v>
      </c>
      <c r="B164" s="42"/>
      <c r="C164" s="92"/>
      <c r="D164" s="42"/>
      <c r="E164" s="42"/>
    </row>
    <row r="165" spans="1:5">
      <c r="A165" s="42">
        <v>164</v>
      </c>
      <c r="B165" s="42"/>
      <c r="C165" s="92"/>
      <c r="D165" s="42"/>
      <c r="E165" s="42"/>
    </row>
    <row r="166" spans="1:5">
      <c r="A166" s="42">
        <v>165</v>
      </c>
      <c r="B166" s="42"/>
      <c r="C166" s="92"/>
      <c r="D166" s="42"/>
      <c r="E166" s="42"/>
    </row>
    <row r="167" spans="1:5">
      <c r="A167" s="42">
        <v>166</v>
      </c>
      <c r="B167" s="42"/>
      <c r="C167" s="92"/>
      <c r="D167" s="42"/>
      <c r="E167" s="42"/>
    </row>
    <row r="168" spans="1:5">
      <c r="A168" s="42">
        <v>167</v>
      </c>
      <c r="B168" s="42"/>
      <c r="C168" s="92"/>
      <c r="D168" s="42"/>
      <c r="E168" s="42"/>
    </row>
    <row r="169" spans="1:5">
      <c r="A169" s="42">
        <v>168</v>
      </c>
      <c r="B169" s="42"/>
      <c r="C169" s="92"/>
      <c r="D169" s="42"/>
      <c r="E169" s="42"/>
    </row>
    <row r="170" spans="1:5">
      <c r="A170" s="42">
        <v>169</v>
      </c>
      <c r="B170" s="42"/>
      <c r="C170" s="92"/>
      <c r="D170" s="42"/>
      <c r="E170" s="42"/>
    </row>
    <row r="171" spans="1:5">
      <c r="A171" s="42">
        <v>170</v>
      </c>
      <c r="B171" s="42"/>
      <c r="C171" s="92"/>
      <c r="D171" s="42"/>
      <c r="E171" s="42"/>
    </row>
    <row r="172" spans="1:5">
      <c r="A172" s="42">
        <v>171</v>
      </c>
      <c r="B172" s="42"/>
      <c r="C172" s="92"/>
      <c r="D172" s="42"/>
      <c r="E172" s="42"/>
    </row>
    <row r="173" spans="1:5">
      <c r="A173" s="42">
        <v>172</v>
      </c>
      <c r="B173" s="42"/>
      <c r="C173" s="92"/>
      <c r="D173" s="42"/>
      <c r="E173" s="42"/>
    </row>
    <row r="174" spans="1:5">
      <c r="A174" s="42">
        <v>173</v>
      </c>
      <c r="B174" s="42"/>
      <c r="C174" s="92"/>
      <c r="D174" s="42"/>
      <c r="E174" s="42"/>
    </row>
    <row r="175" spans="1:5">
      <c r="A175" s="42">
        <v>174</v>
      </c>
      <c r="B175" s="42"/>
      <c r="C175" s="92"/>
      <c r="D175" s="42"/>
      <c r="E175" s="42"/>
    </row>
    <row r="176" spans="1:5">
      <c r="A176" s="42">
        <v>175</v>
      </c>
      <c r="B176" s="42"/>
      <c r="C176" s="92"/>
      <c r="D176" s="42"/>
      <c r="E176" s="42"/>
    </row>
    <row r="177" spans="1:5">
      <c r="A177" s="42">
        <v>176</v>
      </c>
      <c r="B177" s="42"/>
      <c r="C177" s="92"/>
      <c r="D177" s="42"/>
      <c r="E177" s="42"/>
    </row>
    <row r="178" spans="1:5">
      <c r="A178" s="42">
        <v>177</v>
      </c>
      <c r="B178" s="42"/>
      <c r="C178" s="92"/>
      <c r="D178" s="42"/>
      <c r="E178" s="42"/>
    </row>
    <row r="179" spans="1:5">
      <c r="A179" s="42">
        <v>178</v>
      </c>
      <c r="B179" s="42"/>
      <c r="C179" s="92"/>
      <c r="D179" s="42"/>
      <c r="E179" s="42"/>
    </row>
    <row r="180" spans="1:5">
      <c r="A180" s="42">
        <v>179</v>
      </c>
      <c r="B180" s="42"/>
      <c r="C180" s="92"/>
      <c r="D180" s="42"/>
      <c r="E180" s="42"/>
    </row>
    <row r="181" spans="1:5">
      <c r="A181" s="42">
        <v>180</v>
      </c>
      <c r="B181" s="42"/>
      <c r="C181" s="92"/>
      <c r="D181" s="42"/>
      <c r="E181" s="42"/>
    </row>
    <row r="182" spans="1:5">
      <c r="A182" s="42">
        <v>181</v>
      </c>
      <c r="B182" s="42"/>
      <c r="C182" s="92"/>
      <c r="D182" s="42"/>
      <c r="E182" s="42"/>
    </row>
    <row r="183" spans="1:5">
      <c r="A183" s="42">
        <v>182</v>
      </c>
      <c r="B183" s="42"/>
      <c r="C183" s="92"/>
      <c r="D183" s="42"/>
      <c r="E183" s="42"/>
    </row>
    <row r="184" spans="1:5">
      <c r="A184" s="42">
        <v>183</v>
      </c>
      <c r="B184" s="42"/>
      <c r="C184" s="92"/>
      <c r="D184" s="42"/>
      <c r="E184" s="42"/>
    </row>
    <row r="185" spans="1:5">
      <c r="A185" s="42">
        <v>184</v>
      </c>
      <c r="B185" s="42"/>
      <c r="C185" s="92"/>
      <c r="D185" s="42"/>
      <c r="E185" s="42"/>
    </row>
    <row r="186" spans="1:5">
      <c r="A186" s="42">
        <v>185</v>
      </c>
      <c r="B186" s="42"/>
      <c r="C186" s="92"/>
      <c r="D186" s="42"/>
      <c r="E186" s="42"/>
    </row>
    <row r="187" spans="1:5">
      <c r="A187" s="42">
        <v>186</v>
      </c>
      <c r="B187" s="42"/>
      <c r="C187" s="92"/>
      <c r="D187" s="42"/>
      <c r="E187" s="42"/>
    </row>
    <row r="188" spans="1:5">
      <c r="A188" s="42">
        <v>187</v>
      </c>
      <c r="B188" s="42"/>
      <c r="C188" s="92"/>
      <c r="D188" s="42"/>
      <c r="E188" s="42"/>
    </row>
    <row r="189" spans="1:5">
      <c r="A189" s="42">
        <v>188</v>
      </c>
      <c r="B189" s="42"/>
      <c r="C189" s="92"/>
      <c r="D189" s="42"/>
      <c r="E189" s="42"/>
    </row>
    <row r="190" spans="1:5">
      <c r="A190" s="42">
        <v>189</v>
      </c>
      <c r="B190" s="42"/>
      <c r="C190" s="92"/>
      <c r="D190" s="42"/>
      <c r="E190" s="42"/>
    </row>
    <row r="191" spans="1:5">
      <c r="A191" s="42">
        <v>190</v>
      </c>
      <c r="B191" s="42"/>
      <c r="C191" s="92"/>
      <c r="D191" s="42"/>
      <c r="E191" s="42"/>
    </row>
    <row r="192" spans="1:5">
      <c r="A192" s="42">
        <v>191</v>
      </c>
      <c r="B192" s="42"/>
      <c r="C192" s="92"/>
      <c r="D192" s="42"/>
      <c r="E192" s="42"/>
    </row>
    <row r="193" spans="1:5">
      <c r="A193" s="42">
        <v>192</v>
      </c>
      <c r="B193" s="42"/>
      <c r="C193" s="92"/>
      <c r="D193" s="42"/>
      <c r="E193" s="42"/>
    </row>
    <row r="194" spans="1:5">
      <c r="A194" s="42">
        <v>193</v>
      </c>
      <c r="B194" s="42"/>
      <c r="C194" s="92"/>
      <c r="D194" s="42"/>
      <c r="E194" s="42"/>
    </row>
    <row r="195" spans="1:5">
      <c r="A195" s="42">
        <v>194</v>
      </c>
      <c r="B195" s="42"/>
      <c r="C195" s="92"/>
      <c r="D195" s="42"/>
      <c r="E195" s="42"/>
    </row>
    <row r="196" spans="1:5">
      <c r="A196" s="42">
        <v>195</v>
      </c>
      <c r="B196" s="42"/>
      <c r="C196" s="92"/>
      <c r="D196" s="42"/>
      <c r="E196" s="42"/>
    </row>
    <row r="197" spans="1:5">
      <c r="A197" s="42">
        <v>196</v>
      </c>
      <c r="B197" s="42"/>
      <c r="C197" s="92"/>
      <c r="D197" s="42"/>
      <c r="E197" s="42"/>
    </row>
    <row r="198" spans="1:5">
      <c r="A198" s="42">
        <v>197</v>
      </c>
      <c r="B198" s="42"/>
      <c r="C198" s="92"/>
      <c r="D198" s="42"/>
      <c r="E198" s="42"/>
    </row>
    <row r="199" spans="1:5">
      <c r="A199" s="42">
        <v>198</v>
      </c>
      <c r="B199" s="42"/>
      <c r="C199" s="92"/>
      <c r="D199" s="42"/>
      <c r="E199" s="42"/>
    </row>
    <row r="200" spans="1:5">
      <c r="A200" s="42">
        <v>199</v>
      </c>
      <c r="B200" s="42"/>
      <c r="C200" s="92"/>
      <c r="D200" s="42"/>
      <c r="E200" s="42"/>
    </row>
    <row r="201" spans="1:5">
      <c r="A201" s="42">
        <v>200</v>
      </c>
      <c r="B201" s="42"/>
      <c r="C201" s="92"/>
      <c r="D201" s="42"/>
      <c r="E201" s="42"/>
    </row>
    <row r="202" spans="1:5">
      <c r="A202" s="42">
        <v>201</v>
      </c>
      <c r="B202" s="42"/>
      <c r="C202" s="92"/>
      <c r="D202" s="42"/>
      <c r="E202" s="42"/>
    </row>
    <row r="203" spans="1:5">
      <c r="A203" s="42">
        <v>202</v>
      </c>
      <c r="B203" s="42"/>
      <c r="C203" s="92"/>
      <c r="D203" s="42"/>
      <c r="E203" s="42"/>
    </row>
    <row r="204" spans="1:5">
      <c r="A204" s="42">
        <v>203</v>
      </c>
      <c r="B204" s="42"/>
      <c r="C204" s="92"/>
      <c r="D204" s="42"/>
      <c r="E204" s="42"/>
    </row>
    <row r="205" spans="1:5">
      <c r="A205" s="42">
        <v>204</v>
      </c>
      <c r="B205" s="42"/>
      <c r="C205" s="92"/>
      <c r="D205" s="42"/>
      <c r="E205" s="42"/>
    </row>
    <row r="206" spans="1:5">
      <c r="A206" s="42">
        <v>205</v>
      </c>
      <c r="B206" s="42"/>
      <c r="C206" s="92"/>
      <c r="D206" s="42"/>
      <c r="E206" s="42"/>
    </row>
    <row r="207" spans="1:5">
      <c r="A207" s="42">
        <v>206</v>
      </c>
      <c r="B207" s="42"/>
      <c r="C207" s="92"/>
      <c r="D207" s="42"/>
      <c r="E207" s="42"/>
    </row>
    <row r="208" spans="1:5">
      <c r="A208" s="42">
        <v>207</v>
      </c>
      <c r="B208" s="42"/>
      <c r="C208" s="92"/>
      <c r="D208" s="42"/>
      <c r="E208" s="42"/>
    </row>
    <row r="209" spans="1:5">
      <c r="A209" s="42">
        <v>208</v>
      </c>
      <c r="B209" s="42"/>
      <c r="C209" s="92"/>
      <c r="D209" s="42"/>
      <c r="E209" s="42"/>
    </row>
    <row r="210" spans="1:5">
      <c r="A210" s="42">
        <v>209</v>
      </c>
      <c r="B210" s="42"/>
      <c r="C210" s="92"/>
      <c r="D210" s="42"/>
      <c r="E210" s="42"/>
    </row>
    <row r="211" spans="1:5">
      <c r="A211" s="42">
        <v>210</v>
      </c>
      <c r="B211" s="42"/>
      <c r="C211" s="92"/>
      <c r="D211" s="42"/>
      <c r="E211" s="42"/>
    </row>
    <row r="212" spans="1:5">
      <c r="A212" s="42">
        <v>211</v>
      </c>
      <c r="B212" s="42"/>
      <c r="C212" s="92"/>
      <c r="D212" s="42"/>
      <c r="E212" s="42"/>
    </row>
    <row r="213" spans="1:5">
      <c r="A213" s="42">
        <v>212</v>
      </c>
      <c r="B213" s="42"/>
      <c r="C213" s="92"/>
      <c r="D213" s="42"/>
      <c r="E213" s="42"/>
    </row>
    <row r="214" spans="1:5">
      <c r="A214" s="42">
        <v>213</v>
      </c>
      <c r="B214" s="42"/>
      <c r="C214" s="92"/>
      <c r="D214" s="42"/>
      <c r="E214" s="42"/>
    </row>
    <row r="215" spans="1:5">
      <c r="A215" s="42">
        <v>214</v>
      </c>
      <c r="B215" s="42"/>
      <c r="C215" s="92"/>
      <c r="D215" s="42"/>
      <c r="E215" s="42"/>
    </row>
    <row r="216" spans="1:5">
      <c r="A216" s="42">
        <v>215</v>
      </c>
      <c r="B216" s="42"/>
      <c r="C216" s="92"/>
      <c r="D216" s="42"/>
      <c r="E216" s="42"/>
    </row>
    <row r="217" spans="1:5">
      <c r="A217" s="42">
        <v>216</v>
      </c>
      <c r="B217" s="42"/>
      <c r="C217" s="92"/>
      <c r="D217" s="42"/>
      <c r="E217" s="42"/>
    </row>
    <row r="218" spans="1:5">
      <c r="A218" s="42">
        <v>217</v>
      </c>
      <c r="B218" s="42"/>
      <c r="C218" s="92"/>
      <c r="D218" s="42"/>
      <c r="E218" s="42"/>
    </row>
    <row r="219" spans="1:5">
      <c r="A219" s="42">
        <v>218</v>
      </c>
      <c r="B219" s="42"/>
      <c r="C219" s="92"/>
      <c r="D219" s="42"/>
      <c r="E219" s="42"/>
    </row>
    <row r="220" spans="1:5">
      <c r="A220" s="42">
        <v>219</v>
      </c>
      <c r="B220" s="42"/>
      <c r="C220" s="92"/>
      <c r="D220" s="42"/>
      <c r="E220" s="42"/>
    </row>
    <row r="221" spans="1:5">
      <c r="A221" s="42">
        <v>220</v>
      </c>
      <c r="B221" s="42"/>
      <c r="C221" s="92"/>
      <c r="D221" s="42"/>
      <c r="E221" s="42"/>
    </row>
    <row r="222" spans="1:5">
      <c r="A222" s="42">
        <v>221</v>
      </c>
      <c r="B222" s="42"/>
      <c r="C222" s="92"/>
      <c r="D222" s="42"/>
      <c r="E222" s="42"/>
    </row>
    <row r="223" spans="1:5">
      <c r="A223" s="42">
        <v>222</v>
      </c>
      <c r="B223" s="42"/>
      <c r="C223" s="92"/>
      <c r="D223" s="42"/>
      <c r="E223" s="42"/>
    </row>
    <row r="224" spans="1:5">
      <c r="A224" s="42">
        <v>223</v>
      </c>
      <c r="B224" s="42"/>
      <c r="C224" s="92"/>
      <c r="D224" s="42"/>
      <c r="E224" s="42"/>
    </row>
    <row r="225" spans="1:5">
      <c r="A225" s="42">
        <v>224</v>
      </c>
      <c r="B225" s="42"/>
      <c r="C225" s="92"/>
      <c r="D225" s="42"/>
      <c r="E225" s="42"/>
    </row>
    <row r="226" spans="1:5">
      <c r="A226" s="42">
        <v>225</v>
      </c>
      <c r="B226" s="42"/>
      <c r="C226" s="92"/>
      <c r="D226" s="42"/>
      <c r="E226" s="42"/>
    </row>
    <row r="227" spans="1:5">
      <c r="A227" s="42">
        <v>226</v>
      </c>
      <c r="B227" s="42"/>
      <c r="C227" s="92"/>
      <c r="D227" s="42"/>
      <c r="E227" s="42"/>
    </row>
    <row r="228" spans="1:5">
      <c r="A228" s="42">
        <v>227</v>
      </c>
      <c r="B228" s="42"/>
      <c r="C228" s="92"/>
      <c r="D228" s="42"/>
      <c r="E228" s="42"/>
    </row>
    <row r="229" spans="1:5">
      <c r="A229" s="42">
        <v>228</v>
      </c>
      <c r="B229" s="42"/>
      <c r="C229" s="92"/>
      <c r="D229" s="42"/>
      <c r="E229" s="42"/>
    </row>
    <row r="230" spans="1:5">
      <c r="A230" s="42">
        <v>229</v>
      </c>
      <c r="B230" s="42"/>
      <c r="C230" s="92"/>
      <c r="D230" s="42"/>
      <c r="E230" s="42"/>
    </row>
    <row r="231" spans="1:5">
      <c r="A231" s="42">
        <v>230</v>
      </c>
      <c r="B231" s="42"/>
      <c r="C231" s="92"/>
      <c r="D231" s="42"/>
      <c r="E231" s="42"/>
    </row>
    <row r="232" spans="1:5">
      <c r="A232" s="42">
        <v>231</v>
      </c>
      <c r="B232" s="42"/>
      <c r="C232" s="92"/>
      <c r="D232" s="42"/>
      <c r="E232" s="42"/>
    </row>
    <row r="233" spans="1:5">
      <c r="A233" s="42">
        <v>232</v>
      </c>
      <c r="B233" s="42"/>
      <c r="C233" s="92"/>
      <c r="D233" s="42"/>
      <c r="E233" s="42"/>
    </row>
    <row r="234" spans="1:5">
      <c r="A234" s="42">
        <v>233</v>
      </c>
      <c r="B234" s="42"/>
      <c r="C234" s="92"/>
      <c r="D234" s="42"/>
      <c r="E234" s="42"/>
    </row>
    <row r="235" spans="1:5">
      <c r="A235" s="42">
        <v>234</v>
      </c>
      <c r="B235" s="42"/>
      <c r="C235" s="92"/>
      <c r="D235" s="42"/>
      <c r="E235" s="42"/>
    </row>
    <row r="236" spans="1:5">
      <c r="A236" s="42">
        <v>235</v>
      </c>
      <c r="B236" s="42"/>
      <c r="C236" s="92"/>
      <c r="D236" s="42"/>
      <c r="E236" s="42"/>
    </row>
    <row r="237" spans="1:5">
      <c r="A237" s="42">
        <v>236</v>
      </c>
      <c r="B237" s="42"/>
      <c r="C237" s="92"/>
      <c r="D237" s="42"/>
      <c r="E237" s="42"/>
    </row>
    <row r="238" spans="1:5">
      <c r="A238" s="42">
        <v>237</v>
      </c>
      <c r="B238" s="42"/>
      <c r="C238" s="92"/>
      <c r="D238" s="42"/>
      <c r="E238" s="42"/>
    </row>
    <row r="239" spans="1:5">
      <c r="A239" s="42">
        <v>238</v>
      </c>
      <c r="B239" s="42"/>
      <c r="C239" s="92"/>
      <c r="D239" s="42"/>
      <c r="E239" s="42"/>
    </row>
    <row r="240" spans="1:5">
      <c r="A240" s="42">
        <v>239</v>
      </c>
      <c r="B240" s="42"/>
      <c r="C240" s="92"/>
      <c r="D240" s="42"/>
      <c r="E240" s="42"/>
    </row>
    <row r="241" spans="1:5">
      <c r="A241" s="42">
        <v>240</v>
      </c>
      <c r="B241" s="42"/>
      <c r="C241" s="92"/>
      <c r="D241" s="42"/>
      <c r="E241" s="42"/>
    </row>
    <row r="242" spans="1:5">
      <c r="A242" s="42">
        <v>241</v>
      </c>
      <c r="B242" s="42"/>
      <c r="C242" s="92"/>
      <c r="D242" s="42"/>
      <c r="E242" s="42"/>
    </row>
    <row r="243" spans="1:5">
      <c r="A243" s="42">
        <v>242</v>
      </c>
      <c r="B243" s="42"/>
      <c r="C243" s="92"/>
      <c r="D243" s="42"/>
      <c r="E243" s="42"/>
    </row>
    <row r="244" spans="1:5">
      <c r="A244" s="42">
        <v>243</v>
      </c>
      <c r="B244" s="42"/>
      <c r="C244" s="92"/>
      <c r="D244" s="42"/>
      <c r="E244" s="42"/>
    </row>
    <row r="245" spans="1:5">
      <c r="A245" s="42">
        <v>244</v>
      </c>
      <c r="B245" s="42"/>
      <c r="C245" s="92"/>
      <c r="D245" s="42"/>
      <c r="E245" s="42"/>
    </row>
    <row r="246" spans="1:5">
      <c r="A246" s="42">
        <v>245</v>
      </c>
      <c r="B246" s="42"/>
      <c r="C246" s="92"/>
      <c r="D246" s="42"/>
      <c r="E246" s="42"/>
    </row>
    <row r="247" spans="1:5">
      <c r="A247" s="42">
        <v>246</v>
      </c>
      <c r="B247" s="42"/>
      <c r="C247" s="92"/>
      <c r="D247" s="42"/>
      <c r="E247" s="42"/>
    </row>
    <row r="248" spans="1:5">
      <c r="A248" s="42">
        <v>247</v>
      </c>
      <c r="B248" s="42"/>
      <c r="C248" s="92"/>
      <c r="D248" s="42"/>
      <c r="E248" s="42"/>
    </row>
    <row r="249" spans="1:5">
      <c r="A249" s="42">
        <v>248</v>
      </c>
      <c r="B249" s="42"/>
      <c r="C249" s="92"/>
      <c r="D249" s="42"/>
      <c r="E249" s="42"/>
    </row>
    <row r="250" spans="1:5">
      <c r="A250" s="42">
        <v>249</v>
      </c>
      <c r="B250" s="42"/>
      <c r="C250" s="92"/>
      <c r="D250" s="42"/>
      <c r="E250" s="42"/>
    </row>
    <row r="251" spans="1:5">
      <c r="A251" s="42">
        <v>250</v>
      </c>
      <c r="B251" s="42"/>
      <c r="C251" s="92"/>
      <c r="D251" s="42"/>
      <c r="E251" s="42"/>
    </row>
    <row r="252" spans="1:5">
      <c r="A252" s="42">
        <v>251</v>
      </c>
      <c r="B252" s="42"/>
      <c r="C252" s="92"/>
      <c r="D252" s="42"/>
      <c r="E252" s="42"/>
    </row>
    <row r="253" spans="1:5">
      <c r="A253" s="42">
        <v>252</v>
      </c>
      <c r="B253" s="42"/>
      <c r="C253" s="92"/>
      <c r="D253" s="42"/>
      <c r="E253" s="42"/>
    </row>
    <row r="254" spans="1:5">
      <c r="A254" s="42">
        <v>253</v>
      </c>
      <c r="B254" s="42"/>
      <c r="C254" s="92"/>
      <c r="D254" s="42"/>
      <c r="E254" s="42"/>
    </row>
    <row r="255" spans="1:5">
      <c r="A255" s="42">
        <v>254</v>
      </c>
      <c r="B255" s="42"/>
      <c r="C255" s="92"/>
      <c r="D255" s="42"/>
      <c r="E255" s="42"/>
    </row>
    <row r="256" spans="1:5">
      <c r="A256" s="42">
        <v>255</v>
      </c>
      <c r="B256" s="42"/>
      <c r="C256" s="92"/>
      <c r="D256" s="42"/>
      <c r="E256" s="42"/>
    </row>
    <row r="257" spans="1:5">
      <c r="A257" s="42">
        <v>256</v>
      </c>
      <c r="B257" s="42"/>
      <c r="C257" s="92"/>
      <c r="D257" s="42"/>
      <c r="E257" s="42"/>
    </row>
    <row r="258" spans="1:5">
      <c r="A258" s="42">
        <v>257</v>
      </c>
      <c r="B258" s="42"/>
      <c r="C258" s="92"/>
      <c r="D258" s="42"/>
      <c r="E258" s="42"/>
    </row>
    <row r="259" spans="1:5">
      <c r="A259" s="42">
        <v>258</v>
      </c>
      <c r="B259" s="42"/>
      <c r="C259" s="92"/>
      <c r="D259" s="42"/>
      <c r="E259" s="42"/>
    </row>
    <row r="260" spans="1:5">
      <c r="A260" s="42">
        <v>259</v>
      </c>
      <c r="B260" s="42"/>
      <c r="C260" s="92"/>
      <c r="D260" s="42"/>
      <c r="E260" s="42"/>
    </row>
    <row r="261" spans="1:5">
      <c r="A261" s="42">
        <v>260</v>
      </c>
      <c r="B261" s="42"/>
      <c r="C261" s="92"/>
      <c r="D261" s="42"/>
      <c r="E261" s="42"/>
    </row>
    <row r="262" spans="1:5">
      <c r="A262" s="42">
        <v>261</v>
      </c>
      <c r="B262" s="42"/>
      <c r="C262" s="92"/>
      <c r="D262" s="42"/>
      <c r="E262" s="42"/>
    </row>
    <row r="263" spans="1:5">
      <c r="A263" s="42">
        <v>262</v>
      </c>
      <c r="B263" s="42"/>
      <c r="C263" s="92"/>
      <c r="D263" s="42"/>
      <c r="E263" s="42"/>
    </row>
    <row r="264" spans="1:5">
      <c r="A264" s="42">
        <v>263</v>
      </c>
      <c r="B264" s="42"/>
      <c r="C264" s="92"/>
      <c r="D264" s="42"/>
      <c r="E264" s="42"/>
    </row>
    <row r="265" spans="1:5">
      <c r="A265" s="42">
        <v>264</v>
      </c>
      <c r="B265" s="42"/>
      <c r="C265" s="92"/>
      <c r="D265" s="42"/>
      <c r="E265" s="42"/>
    </row>
    <row r="266" spans="1:5">
      <c r="A266" s="42">
        <v>265</v>
      </c>
      <c r="B266" s="42"/>
      <c r="C266" s="92"/>
      <c r="D266" s="42"/>
      <c r="E266" s="42"/>
    </row>
    <row r="267" spans="1:5">
      <c r="A267" s="42">
        <v>266</v>
      </c>
      <c r="B267" s="42"/>
      <c r="C267" s="92"/>
      <c r="D267" s="42"/>
      <c r="E267" s="42"/>
    </row>
    <row r="268" spans="1:5">
      <c r="A268" s="42">
        <v>267</v>
      </c>
      <c r="B268" s="42"/>
      <c r="C268" s="92"/>
      <c r="D268" s="42"/>
      <c r="E268" s="42"/>
    </row>
    <row r="269" spans="1:5">
      <c r="A269" s="42">
        <v>268</v>
      </c>
      <c r="B269" s="42"/>
      <c r="C269" s="92"/>
      <c r="D269" s="42"/>
      <c r="E269" s="42"/>
    </row>
    <row r="270" spans="1:5">
      <c r="A270" s="42">
        <v>269</v>
      </c>
      <c r="B270" s="42"/>
      <c r="C270" s="92"/>
      <c r="D270" s="42"/>
      <c r="E270" s="42"/>
    </row>
    <row r="271" spans="1:5">
      <c r="A271" s="42">
        <v>270</v>
      </c>
      <c r="B271" s="42"/>
      <c r="C271" s="92"/>
      <c r="D271" s="42"/>
      <c r="E271" s="42"/>
    </row>
    <row r="272" spans="1:5">
      <c r="A272" s="42">
        <v>271</v>
      </c>
      <c r="B272" s="42"/>
      <c r="C272" s="92"/>
      <c r="D272" s="42"/>
      <c r="E272" s="42"/>
    </row>
    <row r="273" spans="1:5">
      <c r="A273" s="42">
        <v>272</v>
      </c>
      <c r="B273" s="42"/>
      <c r="C273" s="92"/>
      <c r="D273" s="42"/>
      <c r="E273" s="42"/>
    </row>
    <row r="274" spans="1:5">
      <c r="A274" s="42">
        <v>273</v>
      </c>
      <c r="B274" s="42"/>
      <c r="C274" s="92"/>
      <c r="D274" s="42"/>
      <c r="E274" s="42"/>
    </row>
    <row r="275" spans="1:5">
      <c r="A275" s="42">
        <v>274</v>
      </c>
      <c r="B275" s="42"/>
      <c r="C275" s="92"/>
      <c r="D275" s="42"/>
      <c r="E275" s="42"/>
    </row>
    <row r="276" spans="1:5">
      <c r="A276" s="42">
        <v>275</v>
      </c>
      <c r="B276" s="42"/>
      <c r="C276" s="92"/>
      <c r="D276" s="42"/>
      <c r="E276" s="42"/>
    </row>
    <row r="277" spans="1:5">
      <c r="A277" s="42">
        <v>276</v>
      </c>
      <c r="B277" s="42"/>
      <c r="C277" s="92"/>
      <c r="D277" s="42"/>
      <c r="E277" s="42"/>
    </row>
    <row r="278" spans="1:5">
      <c r="A278" s="42">
        <v>277</v>
      </c>
      <c r="B278" s="42"/>
      <c r="C278" s="92"/>
      <c r="D278" s="42"/>
      <c r="E278" s="42"/>
    </row>
    <row r="279" spans="1:5">
      <c r="A279" s="42">
        <v>278</v>
      </c>
      <c r="B279" s="42"/>
      <c r="C279" s="92"/>
      <c r="D279" s="42"/>
      <c r="E279" s="42"/>
    </row>
    <row r="280" spans="1:5">
      <c r="A280" s="42">
        <v>279</v>
      </c>
      <c r="B280" s="42"/>
      <c r="C280" s="92"/>
      <c r="D280" s="42"/>
      <c r="E280" s="42"/>
    </row>
    <row r="281" spans="1:5">
      <c r="A281" s="42">
        <v>280</v>
      </c>
      <c r="B281" s="42"/>
      <c r="C281" s="92"/>
      <c r="D281" s="42"/>
      <c r="E281" s="42"/>
    </row>
    <row r="282" spans="1:5">
      <c r="A282" s="42">
        <v>281</v>
      </c>
      <c r="B282" s="42"/>
      <c r="C282" s="92"/>
      <c r="D282" s="42"/>
      <c r="E282" s="42"/>
    </row>
    <row r="283" spans="1:5">
      <c r="A283" s="42">
        <v>282</v>
      </c>
      <c r="B283" s="42"/>
      <c r="C283" s="92"/>
      <c r="D283" s="42"/>
      <c r="E283" s="42"/>
    </row>
    <row r="284" spans="1:5">
      <c r="A284" s="42">
        <v>283</v>
      </c>
      <c r="B284" s="42"/>
      <c r="C284" s="92"/>
      <c r="D284" s="42"/>
      <c r="E284" s="42"/>
    </row>
    <row r="285" spans="1:5">
      <c r="A285" s="42">
        <v>284</v>
      </c>
      <c r="B285" s="42"/>
      <c r="C285" s="92"/>
      <c r="D285" s="42"/>
      <c r="E285" s="42"/>
    </row>
    <row r="286" spans="1:5">
      <c r="A286" s="42">
        <v>285</v>
      </c>
      <c r="B286" s="42"/>
      <c r="C286" s="92"/>
      <c r="D286" s="42"/>
      <c r="E286" s="42"/>
    </row>
    <row r="287" spans="1:5">
      <c r="A287" s="42">
        <v>286</v>
      </c>
      <c r="B287" s="42"/>
      <c r="C287" s="92"/>
      <c r="D287" s="42"/>
      <c r="E287" s="42"/>
    </row>
    <row r="288" spans="1:5">
      <c r="A288" s="42">
        <v>287</v>
      </c>
      <c r="B288" s="42"/>
      <c r="C288" s="92"/>
      <c r="D288" s="42"/>
      <c r="E288" s="42"/>
    </row>
    <row r="289" spans="1:5">
      <c r="A289" s="42">
        <v>288</v>
      </c>
      <c r="B289" s="42"/>
      <c r="C289" s="92"/>
      <c r="D289" s="42"/>
      <c r="E289" s="42"/>
    </row>
    <row r="290" spans="1:5">
      <c r="A290" s="42">
        <v>289</v>
      </c>
      <c r="B290" s="42"/>
      <c r="C290" s="92"/>
      <c r="D290" s="42"/>
      <c r="E290" s="42"/>
    </row>
    <row r="291" spans="1:5">
      <c r="A291" s="42">
        <v>290</v>
      </c>
      <c r="B291" s="42"/>
      <c r="C291" s="92"/>
      <c r="D291" s="42"/>
      <c r="E291" s="42"/>
    </row>
    <row r="292" spans="1:5">
      <c r="A292" s="42">
        <v>291</v>
      </c>
      <c r="B292" s="42"/>
      <c r="C292" s="92"/>
      <c r="D292" s="42"/>
      <c r="E292" s="42"/>
    </row>
    <row r="293" spans="1:5">
      <c r="A293" s="42">
        <v>292</v>
      </c>
      <c r="B293" s="42"/>
      <c r="C293" s="92"/>
      <c r="D293" s="42"/>
      <c r="E293" s="42"/>
    </row>
    <row r="294" spans="1:5">
      <c r="A294" s="42">
        <v>293</v>
      </c>
      <c r="B294" s="42"/>
      <c r="C294" s="92"/>
      <c r="D294" s="42"/>
      <c r="E294" s="42"/>
    </row>
    <row r="295" spans="1:5">
      <c r="A295" s="42">
        <v>294</v>
      </c>
      <c r="B295" s="42"/>
      <c r="C295" s="92"/>
      <c r="D295" s="42"/>
      <c r="E295" s="42"/>
    </row>
    <row r="296" spans="1:5">
      <c r="A296" s="42">
        <v>295</v>
      </c>
      <c r="B296" s="42"/>
      <c r="C296" s="92"/>
      <c r="D296" s="42"/>
      <c r="E296" s="42"/>
    </row>
    <row r="297" spans="1:5">
      <c r="A297" s="42">
        <v>296</v>
      </c>
      <c r="B297" s="42"/>
      <c r="C297" s="92"/>
      <c r="D297" s="42"/>
      <c r="E297" s="42"/>
    </row>
    <row r="298" spans="1:5">
      <c r="A298" s="42">
        <v>297</v>
      </c>
      <c r="B298" s="42"/>
      <c r="C298" s="92"/>
      <c r="D298" s="42"/>
      <c r="E298" s="42"/>
    </row>
    <row r="299" spans="1:5">
      <c r="A299" s="42">
        <v>298</v>
      </c>
      <c r="B299" s="42"/>
      <c r="C299" s="92"/>
      <c r="D299" s="42"/>
      <c r="E299" s="42"/>
    </row>
    <row r="300" spans="1:5">
      <c r="A300" s="42">
        <v>299</v>
      </c>
      <c r="B300" s="42"/>
      <c r="C300" s="92"/>
      <c r="D300" s="42"/>
      <c r="E300" s="42"/>
    </row>
    <row r="301" spans="1:5">
      <c r="A301" s="42">
        <v>300</v>
      </c>
      <c r="B301" s="42"/>
      <c r="C301" s="92"/>
      <c r="D301" s="42"/>
      <c r="E301" s="42"/>
    </row>
  </sheetData>
  <pageMargins left="0.7" right="0.7" top="0.75" bottom="0.75" header="0.3" footer="0.3"/>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D12"/>
  <sheetViews>
    <sheetView showGridLines="0" showRowColHeaders="0" zoomScale="90" zoomScaleNormal="90" workbookViewId="0">
      <selection activeCell="C44" sqref="C44"/>
    </sheetView>
  </sheetViews>
  <sheetFormatPr defaultRowHeight="14.5"/>
  <cols>
    <col min="1" max="1" width="4.7265625" customWidth="1"/>
    <col min="2" max="2" width="47.26953125" customWidth="1"/>
    <col min="3" max="3" width="30.26953125" customWidth="1"/>
    <col min="4" max="4" width="102" customWidth="1"/>
    <col min="15" max="15" width="44.26953125" bestFit="1" customWidth="1"/>
  </cols>
  <sheetData>
    <row r="2" spans="2:4" ht="18" hidden="1" customHeight="1">
      <c r="B2" s="315" t="s">
        <v>3992</v>
      </c>
      <c r="C2" s="315"/>
      <c r="D2" s="315"/>
    </row>
    <row r="3" spans="2:4" ht="15" hidden="1" customHeight="1">
      <c r="B3" s="314" t="s">
        <v>3657</v>
      </c>
      <c r="C3" s="314"/>
      <c r="D3" s="314"/>
    </row>
    <row r="4" spans="2:4" hidden="1">
      <c r="B4" s="83" t="s">
        <v>3645</v>
      </c>
      <c r="C4" s="83" t="s">
        <v>3660</v>
      </c>
      <c r="D4" s="84" t="s">
        <v>3993</v>
      </c>
    </row>
    <row r="5" spans="2:4" hidden="1">
      <c r="B5" s="83" t="s">
        <v>3659</v>
      </c>
      <c r="C5" s="83" t="s">
        <v>3660</v>
      </c>
      <c r="D5" s="84" t="s">
        <v>3993</v>
      </c>
    </row>
    <row r="6" spans="2:4" hidden="1">
      <c r="B6" s="83" t="s">
        <v>3658</v>
      </c>
      <c r="C6" s="83" t="s">
        <v>3661</v>
      </c>
      <c r="D6" s="84" t="s">
        <v>3994</v>
      </c>
    </row>
    <row r="8" spans="2:4" ht="18" customHeight="1">
      <c r="B8" s="313" t="s">
        <v>3995</v>
      </c>
      <c r="C8" s="313"/>
      <c r="D8" s="313"/>
    </row>
    <row r="9" spans="2:4" ht="15" customHeight="1">
      <c r="B9" s="314" t="s">
        <v>3996</v>
      </c>
      <c r="C9" s="314"/>
      <c r="D9" s="314"/>
    </row>
    <row r="10" spans="2:4" ht="29">
      <c r="B10" s="83" t="s">
        <v>3664</v>
      </c>
      <c r="C10" s="83" t="s">
        <v>3662</v>
      </c>
      <c r="D10" s="84" t="s">
        <v>3997</v>
      </c>
    </row>
    <row r="11" spans="2:4" ht="29">
      <c r="B11" s="83" t="s">
        <v>3665</v>
      </c>
      <c r="C11" s="83" t="s">
        <v>3663</v>
      </c>
      <c r="D11" s="84" t="s">
        <v>3998</v>
      </c>
    </row>
    <row r="12" spans="2:4">
      <c r="B12" s="83" t="s">
        <v>3999</v>
      </c>
      <c r="C12" s="83" t="s">
        <v>3666</v>
      </c>
      <c r="D12" s="84" t="s">
        <v>4000</v>
      </c>
    </row>
  </sheetData>
  <sheetProtection algorithmName="SHA-512" hashValue="I8K1XaRxboDK2aXXUcZSRsLVPWbmA7XHb+JBvYxf1ni+A3O1gSXyHMM9fUG3rphPGknemDD0UtUn1DlU8Qfsqw==" saltValue="UO9hBH0gM969WzaziEuW+Q==" spinCount="100000" sheet="1" objects="1" scenarios="1"/>
  <mergeCells count="4">
    <mergeCell ref="B8:D8"/>
    <mergeCell ref="B9:D9"/>
    <mergeCell ref="B2:D2"/>
    <mergeCell ref="B3:D3"/>
  </mergeCells>
  <conditionalFormatting sqref="A1:I1 A13:I38 A2:A12 E2:I12">
    <cfRule type="expression" priority="3" stopIfTrue="1">
      <formula>Cell_Protect=0</formula>
    </cfRule>
    <cfRule type="expression" dxfId="198" priority="4">
      <formula>CELL("PROTECT",A1)=1</formula>
    </cfRule>
  </conditionalFormatting>
  <conditionalFormatting sqref="B2:D12">
    <cfRule type="expression" priority="1" stopIfTrue="1">
      <formula>Cell_Protect=0</formula>
    </cfRule>
    <cfRule type="expression" dxfId="197" priority="2">
      <formula>CELL("PROTECT",B2)=1</formula>
    </cfRule>
  </conditionalFormatting>
  <hyperlinks>
    <hyperlink ref="D4" r:id="rId1" display="https://library.cee1.org/content/commercial-lighting-qualifying-products-lists" xr:uid="{00000000-0004-0000-0100-000000000000}"/>
    <hyperlink ref="D5" r:id="rId2" display="https://library.cee1.org/content/commercial-lighting-qualifying-products-lists" xr:uid="{00000000-0004-0000-0100-000001000000}"/>
    <hyperlink ref="D6" r:id="rId3" xr:uid="{00000000-0004-0000-0100-000002000000}"/>
    <hyperlink ref="D10" r:id="rId4" xr:uid="{00000000-0004-0000-0100-000003000000}"/>
    <hyperlink ref="D11" r:id="rId5" xr:uid="{00000000-0004-0000-0100-000004000000}"/>
    <hyperlink ref="D12" r:id="rId6" xr:uid="{00000000-0004-0000-0100-000005000000}"/>
  </hyperlinks>
  <pageMargins left="0.7" right="0.7" top="0.75" bottom="0.75" header="0.3" footer="0.3"/>
  <pageSetup scale="67" orientation="landscape" verticalDpi="1200"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pageSetUpPr fitToPage="1"/>
  </sheetPr>
  <dimension ref="B1:AF303"/>
  <sheetViews>
    <sheetView showGridLines="0" showRowColHeaders="0" zoomScale="60" zoomScaleNormal="60" workbookViewId="0">
      <pane ySplit="3" topLeftCell="A4" activePane="bottomLeft" state="frozen"/>
      <selection pane="bottomLeft" activeCell="G16" sqref="G16"/>
    </sheetView>
  </sheetViews>
  <sheetFormatPr defaultColWidth="9.1796875" defaultRowHeight="12.5"/>
  <cols>
    <col min="1" max="1" width="2.81640625" style="37" customWidth="1"/>
    <col min="2" max="2" width="6.26953125" style="37" customWidth="1"/>
    <col min="3" max="3" width="9.1796875" style="37" customWidth="1"/>
    <col min="4" max="4" width="17.54296875" style="37" customWidth="1"/>
    <col min="5" max="5" width="25.26953125" style="37" customWidth="1"/>
    <col min="6" max="6" width="32" style="37" customWidth="1"/>
    <col min="7" max="7" width="30.81640625" style="37" customWidth="1"/>
    <col min="8" max="8" width="20.54296875" style="37" customWidth="1"/>
    <col min="9" max="9" width="13.1796875" style="37" customWidth="1"/>
    <col min="10" max="10" width="13.81640625" style="37" customWidth="1"/>
    <col min="11" max="11" width="11.81640625" style="37" customWidth="1"/>
    <col min="12" max="12" width="14.1796875" style="37" customWidth="1"/>
    <col min="13" max="14" width="22.54296875" style="37" customWidth="1"/>
    <col min="15" max="15" width="38" style="37" customWidth="1"/>
    <col min="16" max="16" width="11.7265625" style="38" customWidth="1"/>
    <col min="17" max="17" width="12.26953125" style="37" customWidth="1"/>
    <col min="18" max="18" width="14.1796875" style="37" customWidth="1"/>
    <col min="19" max="19" width="22.54296875" style="37" customWidth="1"/>
    <col min="20" max="20" width="16.1796875" style="37" customWidth="1"/>
    <col min="21" max="21" width="22.54296875" style="37" customWidth="1"/>
    <col min="22" max="22" width="15.453125" style="37" customWidth="1"/>
    <col min="23" max="23" width="38" style="37" customWidth="1"/>
    <col min="24" max="24" width="23.7265625" style="85" customWidth="1"/>
    <col min="25" max="25" width="11.7265625" style="38" customWidth="1"/>
    <col min="26" max="30" width="15.453125" style="37" customWidth="1"/>
    <col min="31" max="32" width="12.1796875" style="37" customWidth="1"/>
    <col min="33" max="42" width="9.1796875" style="37"/>
    <col min="43" max="43" width="12.1796875" style="37" customWidth="1"/>
    <col min="44" max="16384" width="9.1796875" style="37"/>
  </cols>
  <sheetData>
    <row r="1" spans="2:32" ht="13.5" customHeight="1" thickBot="1"/>
    <row r="2" spans="2:32" s="216" customFormat="1" ht="30" customHeight="1" thickBot="1">
      <c r="B2" s="215"/>
      <c r="C2" s="215"/>
      <c r="D2" s="215"/>
      <c r="E2" s="316" t="s">
        <v>3579</v>
      </c>
      <c r="F2" s="317"/>
      <c r="G2" s="317"/>
      <c r="H2" s="317"/>
      <c r="I2" s="317"/>
      <c r="J2" s="318"/>
      <c r="K2" s="319" t="s">
        <v>109</v>
      </c>
      <c r="L2" s="320"/>
      <c r="M2" s="320"/>
      <c r="N2" s="320"/>
      <c r="O2" s="320"/>
      <c r="P2" s="321"/>
      <c r="Q2" s="322" t="s">
        <v>11</v>
      </c>
      <c r="R2" s="323"/>
      <c r="S2" s="323"/>
      <c r="T2" s="323"/>
      <c r="U2" s="323"/>
      <c r="V2" s="323"/>
      <c r="W2" s="323"/>
      <c r="X2" s="323"/>
      <c r="Y2" s="324"/>
      <c r="Z2" s="274">
        <f>SUM(ProjectInput[Energy Savings (kWh)])</f>
        <v>0</v>
      </c>
      <c r="AA2" s="273">
        <f>SUM(ProjectInput[Demand Savings (kW)])</f>
        <v>0</v>
      </c>
      <c r="AB2" s="243">
        <f>SUM(ProjectInput[Energy Cost Savings ($)])</f>
        <v>0</v>
      </c>
      <c r="AC2" s="243">
        <f>MIN(SUM(ProjectInput[Incentive ($)]), Max_Incentive, AD2)</f>
        <v>0</v>
      </c>
      <c r="AD2" s="243">
        <f>SUM(ProjectInput[Gross Project Cost ($)])</f>
        <v>0</v>
      </c>
      <c r="AE2" s="243">
        <f>AD2-AC2</f>
        <v>0</v>
      </c>
      <c r="AF2" s="244" t="e">
        <f>IFERROR(AE2/AB2, #N/A)</f>
        <v>#N/A</v>
      </c>
    </row>
    <row r="3" spans="2:32" s="46" customFormat="1" ht="77.25" customHeight="1" thickBot="1">
      <c r="B3" s="211" t="s">
        <v>3580</v>
      </c>
      <c r="C3" s="209" t="s">
        <v>4005</v>
      </c>
      <c r="D3" s="210" t="s">
        <v>4055</v>
      </c>
      <c r="E3" s="229" t="s">
        <v>19</v>
      </c>
      <c r="F3" s="230" t="s">
        <v>3801</v>
      </c>
      <c r="G3" s="227" t="s">
        <v>3565</v>
      </c>
      <c r="H3" s="227" t="s">
        <v>3574</v>
      </c>
      <c r="I3" s="227" t="s">
        <v>3577</v>
      </c>
      <c r="J3" s="228" t="s">
        <v>3578</v>
      </c>
      <c r="K3" s="231" t="s">
        <v>3588</v>
      </c>
      <c r="L3" s="232" t="s">
        <v>3585</v>
      </c>
      <c r="M3" s="232" t="s">
        <v>3586</v>
      </c>
      <c r="N3" s="232" t="s">
        <v>3587</v>
      </c>
      <c r="O3" s="232" t="s">
        <v>132</v>
      </c>
      <c r="P3" s="233" t="s">
        <v>3575</v>
      </c>
      <c r="Q3" s="234" t="s">
        <v>3594</v>
      </c>
      <c r="R3" s="226" t="s">
        <v>3590</v>
      </c>
      <c r="S3" s="226" t="s">
        <v>3589</v>
      </c>
      <c r="T3" s="226" t="s">
        <v>3591</v>
      </c>
      <c r="U3" s="226" t="s">
        <v>3592</v>
      </c>
      <c r="V3" s="226" t="s">
        <v>3593</v>
      </c>
      <c r="W3" s="226" t="s">
        <v>3794</v>
      </c>
      <c r="X3" s="235" t="s">
        <v>3595</v>
      </c>
      <c r="Y3" s="236" t="s">
        <v>3576</v>
      </c>
      <c r="Z3" s="114" t="s">
        <v>4013</v>
      </c>
      <c r="AA3" s="165" t="s">
        <v>4012</v>
      </c>
      <c r="AB3" s="115" t="s">
        <v>3622</v>
      </c>
      <c r="AC3" s="115" t="s">
        <v>3618</v>
      </c>
      <c r="AD3" s="115" t="s">
        <v>3627</v>
      </c>
      <c r="AE3" s="115" t="s">
        <v>3620</v>
      </c>
      <c r="AF3" s="163" t="s">
        <v>3621</v>
      </c>
    </row>
    <row r="4" spans="2:32" s="175" customFormat="1" ht="40" customHeight="1">
      <c r="B4" s="212">
        <v>1</v>
      </c>
      <c r="C4" s="218"/>
      <c r="D4" s="217"/>
      <c r="E4" s="166"/>
      <c r="F4" s="169"/>
      <c r="G4" s="169"/>
      <c r="H4" s="169"/>
      <c r="I4" s="169"/>
      <c r="J4" s="168"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 s="166"/>
      <c r="L4" s="169"/>
      <c r="M4" s="169"/>
      <c r="N4" s="169"/>
      <c r="O4" s="169"/>
      <c r="P4" s="168" t="str">
        <f>IF(ProjectInput[[#This Row],[Existing Fixture Code]]=0, "",INDEX(Table7[WATT/ FIXT], MATCH(ProjectInput[[#This Row],[Existing Fixture Code]], Table7[FIXTURE CODE], 0)))</f>
        <v/>
      </c>
      <c r="Q4" s="166"/>
      <c r="R4" s="169"/>
      <c r="S4" s="169"/>
      <c r="T4" s="169"/>
      <c r="U4" s="169"/>
      <c r="V4" s="169"/>
      <c r="W4" s="169"/>
      <c r="X4" s="277"/>
      <c r="Y4" s="170" t="str">
        <f>IF(ProjectInput[[#This Row],[Proposed Fixture Code]]=0, "", INDEX(Table7[WATT/ FIXT], MATCH(ProjectInput[[#This Row],[Proposed Fixture Code]], Table7[FIXTURE CODE],0 )))</f>
        <v/>
      </c>
      <c r="Z4" s="171">
        <f>INDEX(ReviewCalcs[Incentive Total Energy Savings (kWh)], MATCH(ProjectInput[[#This Row],[Project Index]], ReviewCalcs[Project Index], 0))</f>
        <v>0</v>
      </c>
      <c r="AA4" s="172">
        <f>INDEX(ReviewCalcs[Incentive Total Demand Savings (kW)], MATCH(ProjectInput[[#This Row],[Project Index]], ReviewCalcs[Project Index], 0))</f>
        <v>0</v>
      </c>
      <c r="AB4" s="173">
        <f>ProjectInput[[#This Row],[Energy Savings (kWh)]]*Avg_KWh_Rate</f>
        <v>0</v>
      </c>
      <c r="AC4" s="173">
        <f>IF(C4="", 0, IF(C4="Cust.", INDEX(ReviewCalcs[Incentive ($)], MATCH(ProjectInput[[#This Row],[Project Index]], ReviewCalcs[Project Index], 0)), IF(AND(C4="Pres.", D4="1 to 6"), 3*Q4, IF(AND(C4="Pres.", D4="7 to 11"), 4*Q4, IF(AND(C4="Pres.", D4="12 to 17"), 5*Q4, IF(AND(C4="Pres.", D4="Exit Sign"), 20*Q4, IF(AND(C4="Pres.", D4="&gt; 18"), 6*Q4)))))))</f>
        <v>0</v>
      </c>
      <c r="AD4" s="173">
        <f>ProjectInput[[#This Row],[Retrofit Cost]]</f>
        <v>0</v>
      </c>
      <c r="AE4" s="173">
        <f>ProjectInput[[#This Row],[Retrofit Cost]]-ProjectInput[[#This Row],[Incentive ($)]]</f>
        <v>0</v>
      </c>
      <c r="AF4" s="174" t="str">
        <f>IFERROR(ProjectInput[[#This Row],[Net Project Cost ($)]]/ProjectInput[[#This Row],[Energy Cost Savings ($)]], "")</f>
        <v/>
      </c>
    </row>
    <row r="5" spans="2:32" s="175" customFormat="1" ht="40" customHeight="1">
      <c r="B5" s="213">
        <v>2</v>
      </c>
      <c r="C5" s="221"/>
      <c r="D5" s="222"/>
      <c r="E5" s="176"/>
      <c r="F5" s="167"/>
      <c r="G5" s="167"/>
      <c r="H5" s="167"/>
      <c r="I5" s="167"/>
      <c r="J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 s="176"/>
      <c r="L5" s="167"/>
      <c r="M5" s="167"/>
      <c r="N5" s="167"/>
      <c r="O5" s="167"/>
      <c r="P5" s="177" t="str">
        <f>IF(ProjectInput[[#This Row],[Existing Fixture Code]]=0, "",INDEX(Table7[WATT/ FIXT], MATCH(ProjectInput[[#This Row],[Existing Fixture Code]], Table7[FIXTURE CODE], 0)))</f>
        <v/>
      </c>
      <c r="Q5" s="176"/>
      <c r="R5" s="167"/>
      <c r="S5" s="167"/>
      <c r="T5" s="167"/>
      <c r="U5" s="167"/>
      <c r="V5" s="167"/>
      <c r="W5" s="167"/>
      <c r="X5" s="178"/>
      <c r="Y5" s="179" t="str">
        <f>IF(ProjectInput[[#This Row],[Proposed Fixture Code]]=0, "", INDEX(Table7[WATT/ FIXT], MATCH(ProjectInput[[#This Row],[Proposed Fixture Code]], Table7[FIXTURE CODE],0 )))</f>
        <v/>
      </c>
      <c r="Z5" s="180">
        <f>INDEX(ReviewCalcs[Incentive Total Energy Savings (kWh)], MATCH(ProjectInput[[#This Row],[Project Index]], ReviewCalcs[Project Index], 0))</f>
        <v>0</v>
      </c>
      <c r="AA5" s="172">
        <f>INDEX(ReviewCalcs[Incentive Total Demand Savings (kW)], MATCH(ProjectInput[[#This Row],[Project Index]], ReviewCalcs[Project Index], 0))</f>
        <v>0</v>
      </c>
      <c r="AB5" s="181">
        <f>ProjectInput[[#This Row],[Energy Savings (kWh)]]*Avg_KWh_Rate</f>
        <v>0</v>
      </c>
      <c r="AC5" s="173">
        <f>IF(C5="", 0, IF(C5="Cust.", INDEX(ReviewCalcs[Incentive ($)], MATCH(ProjectInput[[#This Row],[Project Index]], ReviewCalcs[Project Index], 0)), IF(AND(C5="Pres.", D5="1 to 6"), 3*Q5, IF(AND(C5="Pres.", D5="7 to 11"), 4*Q5, IF(AND(C5="Pres.", D5="12 to 17"), 5*Q5, IF(AND(C5="Pres.", D5="Exit Sign"), 20*Q5, IF(AND(C5="Pres.", D5="&gt; 18"), 6*Q5)))))))</f>
        <v>0</v>
      </c>
      <c r="AD5" s="181">
        <f>ProjectInput[[#This Row],[Retrofit Cost]]</f>
        <v>0</v>
      </c>
      <c r="AE5" s="181">
        <f>ProjectInput[[#This Row],[Retrofit Cost]]-ProjectInput[[#This Row],[Incentive ($)]]</f>
        <v>0</v>
      </c>
      <c r="AF5" s="182" t="str">
        <f>IFERROR(ProjectInput[[#This Row],[Net Project Cost ($)]]/ProjectInput[[#This Row],[Energy Cost Savings ($)]], "")</f>
        <v/>
      </c>
    </row>
    <row r="6" spans="2:32" s="175" customFormat="1" ht="40" customHeight="1">
      <c r="B6" s="213">
        <v>3</v>
      </c>
      <c r="C6" s="223"/>
      <c r="D6" s="224"/>
      <c r="E6" s="176"/>
      <c r="F6" s="167"/>
      <c r="G6" s="167"/>
      <c r="H6" s="167"/>
      <c r="I6" s="167"/>
      <c r="J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 s="176"/>
      <c r="L6" s="167"/>
      <c r="M6" s="167"/>
      <c r="N6" s="167"/>
      <c r="O6" s="167"/>
      <c r="P6" s="177" t="str">
        <f>IF(ProjectInput[[#This Row],[Existing Fixture Code]]=0, "",INDEX(Table7[WATT/ FIXT], MATCH(ProjectInput[[#This Row],[Existing Fixture Code]], Table7[FIXTURE CODE], 0)))</f>
        <v/>
      </c>
      <c r="Q6" s="176"/>
      <c r="R6" s="167"/>
      <c r="S6" s="167"/>
      <c r="T6" s="167"/>
      <c r="U6" s="167"/>
      <c r="V6" s="167"/>
      <c r="W6" s="167"/>
      <c r="X6" s="178"/>
      <c r="Y6" s="179" t="str">
        <f>IF(ProjectInput[[#This Row],[Proposed Fixture Code]]=0, "", INDEX(Table7[WATT/ FIXT], MATCH(ProjectInput[[#This Row],[Proposed Fixture Code]], Table7[FIXTURE CODE],0 )))</f>
        <v/>
      </c>
      <c r="Z6" s="180">
        <f>INDEX(ReviewCalcs[Incentive Total Energy Savings (kWh)], MATCH(ProjectInput[[#This Row],[Project Index]], ReviewCalcs[Project Index], 0))</f>
        <v>0</v>
      </c>
      <c r="AA6" s="172">
        <f>INDEX(ReviewCalcs[Incentive Total Demand Savings (kW)], MATCH(ProjectInput[[#This Row],[Project Index]], ReviewCalcs[Project Index], 0))</f>
        <v>0</v>
      </c>
      <c r="AB6" s="181">
        <f>ProjectInput[[#This Row],[Energy Savings (kWh)]]*Avg_KWh_Rate</f>
        <v>0</v>
      </c>
      <c r="AC6" s="173">
        <f>IF(C6="", 0, IF(C6="Cust.", INDEX(ReviewCalcs[Incentive ($)], MATCH(ProjectInput[[#This Row],[Project Index]], ReviewCalcs[Project Index], 0)), IF(AND(C6="Pres.", D6="1 to 6"), 3*Q6, IF(AND(C6="Pres.", D6="7 to 11"), 4*Q6, IF(AND(C6="Pres.", D6="12 to 17"), 5*Q6, IF(AND(C6="Pres.", D6="Exit Sign"), 20*Q6, IF(AND(C6="Pres.", D6="&gt; 18"), 6*Q6)))))))</f>
        <v>0</v>
      </c>
      <c r="AD6" s="181">
        <f>ProjectInput[[#This Row],[Retrofit Cost]]</f>
        <v>0</v>
      </c>
      <c r="AE6" s="181">
        <f>ProjectInput[[#This Row],[Retrofit Cost]]-ProjectInput[[#This Row],[Incentive ($)]]</f>
        <v>0</v>
      </c>
      <c r="AF6" s="182" t="str">
        <f>IFERROR(ProjectInput[[#This Row],[Net Project Cost ($)]]/ProjectInput[[#This Row],[Energy Cost Savings ($)]], "")</f>
        <v/>
      </c>
    </row>
    <row r="7" spans="2:32" s="175" customFormat="1" ht="40" customHeight="1">
      <c r="B7" s="213">
        <v>4</v>
      </c>
      <c r="C7" s="220"/>
      <c r="D7" s="219"/>
      <c r="E7" s="176"/>
      <c r="F7" s="167"/>
      <c r="G7" s="167"/>
      <c r="H7" s="167"/>
      <c r="I7" s="167"/>
      <c r="J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 s="176"/>
      <c r="L7" s="167"/>
      <c r="M7" s="167"/>
      <c r="N7" s="167"/>
      <c r="O7" s="167"/>
      <c r="P7" s="177" t="str">
        <f>IF(ProjectInput[[#This Row],[Existing Fixture Code]]=0, "",INDEX(Table7[WATT/ FIXT], MATCH(ProjectInput[[#This Row],[Existing Fixture Code]], Table7[FIXTURE CODE], 0)))</f>
        <v/>
      </c>
      <c r="Q7" s="176"/>
      <c r="R7" s="167"/>
      <c r="S7" s="167"/>
      <c r="T7" s="167"/>
      <c r="U7" s="167"/>
      <c r="V7" s="167"/>
      <c r="W7" s="167"/>
      <c r="X7" s="178"/>
      <c r="Y7" s="179" t="str">
        <f>IF(ProjectInput[[#This Row],[Proposed Fixture Code]]=0, "", INDEX(Table7[WATT/ FIXT], MATCH(ProjectInput[[#This Row],[Proposed Fixture Code]], Table7[FIXTURE CODE],0 )))</f>
        <v/>
      </c>
      <c r="Z7" s="180">
        <f>INDEX(ReviewCalcs[Incentive Total Energy Savings (kWh)], MATCH(ProjectInput[[#This Row],[Project Index]], ReviewCalcs[Project Index], 0))</f>
        <v>0</v>
      </c>
      <c r="AA7" s="172">
        <f>INDEX(ReviewCalcs[Incentive Total Demand Savings (kW)], MATCH(ProjectInput[[#This Row],[Project Index]], ReviewCalcs[Project Index], 0))</f>
        <v>0</v>
      </c>
      <c r="AB7" s="181">
        <f>ProjectInput[[#This Row],[Energy Savings (kWh)]]*Avg_KWh_Rate</f>
        <v>0</v>
      </c>
      <c r="AC7" s="173">
        <f>IF(C7="", 0, IF(C7="Cust.", INDEX(ReviewCalcs[Incentive ($)], MATCH(ProjectInput[[#This Row],[Project Index]], ReviewCalcs[Project Index], 0)), IF(AND(C7="Pres.", D7="1 to 6"), 3*Q7, IF(AND(C7="Pres.", D7="7 to 11"), 4*Q7, IF(AND(C7="Pres.", D7="12 to 17"), 5*Q7, IF(AND(C7="Pres.", D7="Exit Sign"), 20*Q7, IF(AND(C7="Pres.", D7="&gt; 18"), 6*Q7)))))))</f>
        <v>0</v>
      </c>
      <c r="AD7" s="181">
        <f>ProjectInput[[#This Row],[Retrofit Cost]]</f>
        <v>0</v>
      </c>
      <c r="AE7" s="181">
        <f>ProjectInput[[#This Row],[Retrofit Cost]]-ProjectInput[[#This Row],[Incentive ($)]]</f>
        <v>0</v>
      </c>
      <c r="AF7" s="182" t="str">
        <f>IFERROR(ProjectInput[[#This Row],[Net Project Cost ($)]]/ProjectInput[[#This Row],[Energy Cost Savings ($)]], "")</f>
        <v/>
      </c>
    </row>
    <row r="8" spans="2:32" s="175" customFormat="1" ht="40" customHeight="1">
      <c r="B8" s="213">
        <v>5</v>
      </c>
      <c r="C8" s="223"/>
      <c r="D8" s="224"/>
      <c r="E8" s="176"/>
      <c r="F8" s="167"/>
      <c r="G8" s="167"/>
      <c r="H8" s="167"/>
      <c r="I8" s="167"/>
      <c r="J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 s="176"/>
      <c r="L8" s="167"/>
      <c r="M8" s="167"/>
      <c r="N8" s="167"/>
      <c r="O8" s="167"/>
      <c r="P8" s="177" t="str">
        <f>IF(ProjectInput[[#This Row],[Existing Fixture Code]]=0, "",INDEX(Table7[WATT/ FIXT], MATCH(ProjectInput[[#This Row],[Existing Fixture Code]], Table7[FIXTURE CODE], 0)))</f>
        <v/>
      </c>
      <c r="Q8" s="176"/>
      <c r="R8" s="167"/>
      <c r="S8" s="167"/>
      <c r="T8" s="167"/>
      <c r="U8" s="167"/>
      <c r="V8" s="167"/>
      <c r="W8" s="167"/>
      <c r="X8" s="178"/>
      <c r="Y8" s="179" t="str">
        <f>IF(ProjectInput[[#This Row],[Proposed Fixture Code]]=0, "", INDEX(Table7[WATT/ FIXT], MATCH(ProjectInput[[#This Row],[Proposed Fixture Code]], Table7[FIXTURE CODE],0 )))</f>
        <v/>
      </c>
      <c r="Z8" s="180">
        <f>INDEX(ReviewCalcs[Incentive Total Energy Savings (kWh)], MATCH(ProjectInput[[#This Row],[Project Index]], ReviewCalcs[Project Index], 0))</f>
        <v>0</v>
      </c>
      <c r="AA8" s="172">
        <f>INDEX(ReviewCalcs[Incentive Total Demand Savings (kW)], MATCH(ProjectInput[[#This Row],[Project Index]], ReviewCalcs[Project Index], 0))</f>
        <v>0</v>
      </c>
      <c r="AB8" s="181">
        <f>ProjectInput[[#This Row],[Energy Savings (kWh)]]*Avg_KWh_Rate</f>
        <v>0</v>
      </c>
      <c r="AC8" s="173">
        <f>IF(C8="", 0, IF(C8="Cust.", INDEX(ReviewCalcs[Incentive ($)], MATCH(ProjectInput[[#This Row],[Project Index]], ReviewCalcs[Project Index], 0)), IF(AND(C8="Pres.", D8="1 to 6"), 3*Q8, IF(AND(C8="Pres.", D8="7 to 11"), 4*Q8, IF(AND(C8="Pres.", D8="12 to 17"), 5*Q8, IF(AND(C8="Pres.", D8="Exit Sign"), 20*Q8, IF(AND(C8="Pres.", D8="&gt; 18"), 6*Q8)))))))</f>
        <v>0</v>
      </c>
      <c r="AD8" s="181">
        <f>ProjectInput[[#This Row],[Retrofit Cost]]</f>
        <v>0</v>
      </c>
      <c r="AE8" s="181">
        <f>ProjectInput[[#This Row],[Retrofit Cost]]-ProjectInput[[#This Row],[Incentive ($)]]</f>
        <v>0</v>
      </c>
      <c r="AF8" s="182" t="str">
        <f>IFERROR(ProjectInput[[#This Row],[Net Project Cost ($)]]/ProjectInput[[#This Row],[Energy Cost Savings ($)]], "")</f>
        <v/>
      </c>
    </row>
    <row r="9" spans="2:32" s="175" customFormat="1" ht="40" customHeight="1">
      <c r="B9" s="213">
        <v>6</v>
      </c>
      <c r="C9" s="220"/>
      <c r="D9" s="219"/>
      <c r="E9" s="176"/>
      <c r="F9" s="167"/>
      <c r="G9" s="167"/>
      <c r="H9" s="167"/>
      <c r="I9" s="167"/>
      <c r="J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 s="176"/>
      <c r="L9" s="167"/>
      <c r="M9" s="167"/>
      <c r="N9" s="167"/>
      <c r="O9" s="167"/>
      <c r="P9" s="177" t="str">
        <f>IF(ProjectInput[[#This Row],[Existing Fixture Code]]=0, "",INDEX(Table7[WATT/ FIXT], MATCH(ProjectInput[[#This Row],[Existing Fixture Code]], Table7[FIXTURE CODE], 0)))</f>
        <v/>
      </c>
      <c r="Q9" s="176"/>
      <c r="R9" s="167"/>
      <c r="S9" s="167"/>
      <c r="T9" s="167"/>
      <c r="U9" s="167"/>
      <c r="V9" s="167"/>
      <c r="W9" s="167"/>
      <c r="X9" s="178"/>
      <c r="Y9" s="179" t="str">
        <f>IF(ProjectInput[[#This Row],[Proposed Fixture Code]]=0, "", INDEX(Table7[WATT/ FIXT], MATCH(ProjectInput[[#This Row],[Proposed Fixture Code]], Table7[FIXTURE CODE],0 )))</f>
        <v/>
      </c>
      <c r="Z9" s="180">
        <f>INDEX(ReviewCalcs[Incentive Total Energy Savings (kWh)], MATCH(ProjectInput[[#This Row],[Project Index]], ReviewCalcs[Project Index], 0))</f>
        <v>0</v>
      </c>
      <c r="AA9" s="172">
        <f>INDEX(ReviewCalcs[Incentive Total Demand Savings (kW)], MATCH(ProjectInput[[#This Row],[Project Index]], ReviewCalcs[Project Index], 0))</f>
        <v>0</v>
      </c>
      <c r="AB9" s="181">
        <f>ProjectInput[[#This Row],[Energy Savings (kWh)]]*Avg_KWh_Rate</f>
        <v>0</v>
      </c>
      <c r="AC9" s="173">
        <f>IF(C9="", 0, IF(C9="Cust.", INDEX(ReviewCalcs[Incentive ($)], MATCH(ProjectInput[[#This Row],[Project Index]], ReviewCalcs[Project Index], 0)), IF(AND(C9="Pres.", D9="1 to 6"), 3*Q9, IF(AND(C9="Pres.", D9="7 to 11"), 4*Q9, IF(AND(C9="Pres.", D9="12 to 17"), 5*Q9, IF(AND(C9="Pres.", D9="Exit Sign"), 20*Q9, IF(AND(C9="Pres.", D9="&gt; 18"), 6*Q9)))))))</f>
        <v>0</v>
      </c>
      <c r="AD9" s="181">
        <f>ProjectInput[[#This Row],[Retrofit Cost]]</f>
        <v>0</v>
      </c>
      <c r="AE9" s="181">
        <f>ProjectInput[[#This Row],[Retrofit Cost]]-ProjectInput[[#This Row],[Incentive ($)]]</f>
        <v>0</v>
      </c>
      <c r="AF9" s="182" t="str">
        <f>IFERROR(ProjectInput[[#This Row],[Net Project Cost ($)]]/ProjectInput[[#This Row],[Energy Cost Savings ($)]], "")</f>
        <v/>
      </c>
    </row>
    <row r="10" spans="2:32" s="175" customFormat="1" ht="40" customHeight="1">
      <c r="B10" s="213">
        <v>7</v>
      </c>
      <c r="C10" s="223"/>
      <c r="D10" s="224"/>
      <c r="E10" s="176"/>
      <c r="F10" s="167"/>
      <c r="G10" s="167"/>
      <c r="H10" s="167"/>
      <c r="I10" s="167"/>
      <c r="J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 s="176"/>
      <c r="L10" s="167"/>
      <c r="M10" s="167"/>
      <c r="N10" s="167"/>
      <c r="O10" s="167"/>
      <c r="P10" s="177" t="str">
        <f>IF(ProjectInput[[#This Row],[Existing Fixture Code]]=0, "",INDEX(Table7[WATT/ FIXT], MATCH(ProjectInput[[#This Row],[Existing Fixture Code]], Table7[FIXTURE CODE], 0)))</f>
        <v/>
      </c>
      <c r="Q10" s="176"/>
      <c r="R10" s="167"/>
      <c r="S10" s="167"/>
      <c r="T10" s="167"/>
      <c r="U10" s="167"/>
      <c r="V10" s="167"/>
      <c r="W10" s="167"/>
      <c r="X10" s="178"/>
      <c r="Y10" s="179" t="str">
        <f>IF(ProjectInput[[#This Row],[Proposed Fixture Code]]=0, "", INDEX(Table7[WATT/ FIXT], MATCH(ProjectInput[[#This Row],[Proposed Fixture Code]], Table7[FIXTURE CODE],0 )))</f>
        <v/>
      </c>
      <c r="Z10" s="180">
        <f>INDEX(ReviewCalcs[Incentive Total Energy Savings (kWh)], MATCH(ProjectInput[[#This Row],[Project Index]], ReviewCalcs[Project Index], 0))</f>
        <v>0</v>
      </c>
      <c r="AA10" s="172">
        <f>INDEX(ReviewCalcs[Incentive Total Demand Savings (kW)], MATCH(ProjectInput[[#This Row],[Project Index]], ReviewCalcs[Project Index], 0))</f>
        <v>0</v>
      </c>
      <c r="AB10" s="181">
        <f>ProjectInput[[#This Row],[Energy Savings (kWh)]]*Avg_KWh_Rate</f>
        <v>0</v>
      </c>
      <c r="AC10" s="173">
        <f>IF(C10="", 0, IF(C10="Cust.", INDEX(ReviewCalcs[Incentive ($)], MATCH(ProjectInput[[#This Row],[Project Index]], ReviewCalcs[Project Index], 0)), IF(AND(C10="Pres.", D10="1 to 6"), 3*Q10, IF(AND(C10="Pres.", D10="7 to 11"), 4*Q10, IF(AND(C10="Pres.", D10="12 to 17"), 5*Q10, IF(AND(C10="Pres.", D10="Exit Sign"), 20*Q10, IF(AND(C10="Pres.", D10="&gt; 18"), 6*Q10)))))))</f>
        <v>0</v>
      </c>
      <c r="AD10" s="181">
        <f>ProjectInput[[#This Row],[Retrofit Cost]]</f>
        <v>0</v>
      </c>
      <c r="AE10" s="181">
        <f>ProjectInput[[#This Row],[Retrofit Cost]]-ProjectInput[[#This Row],[Incentive ($)]]</f>
        <v>0</v>
      </c>
      <c r="AF10" s="182" t="str">
        <f>IFERROR(ProjectInput[[#This Row],[Net Project Cost ($)]]/ProjectInput[[#This Row],[Energy Cost Savings ($)]], "")</f>
        <v/>
      </c>
    </row>
    <row r="11" spans="2:32" s="175" customFormat="1" ht="40" customHeight="1">
      <c r="B11" s="213">
        <v>8</v>
      </c>
      <c r="C11" s="220"/>
      <c r="D11" s="219"/>
      <c r="E11" s="176"/>
      <c r="F11" s="167"/>
      <c r="G11" s="167"/>
      <c r="H11" s="167"/>
      <c r="I11" s="167"/>
      <c r="J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 s="176"/>
      <c r="L11" s="167"/>
      <c r="M11" s="167"/>
      <c r="N11" s="167"/>
      <c r="O11" s="167"/>
      <c r="P11" s="177" t="str">
        <f>IF(ProjectInput[[#This Row],[Existing Fixture Code]]=0, "",INDEX(Table7[WATT/ FIXT], MATCH(ProjectInput[[#This Row],[Existing Fixture Code]], Table7[FIXTURE CODE], 0)))</f>
        <v/>
      </c>
      <c r="Q11" s="176"/>
      <c r="R11" s="167"/>
      <c r="S11" s="167"/>
      <c r="T11" s="167"/>
      <c r="U11" s="167"/>
      <c r="V11" s="167"/>
      <c r="W11" s="167"/>
      <c r="X11" s="178"/>
      <c r="Y11" s="179" t="str">
        <f>IF(ProjectInput[[#This Row],[Proposed Fixture Code]]=0, "", INDEX(Table7[WATT/ FIXT], MATCH(ProjectInput[[#This Row],[Proposed Fixture Code]], Table7[FIXTURE CODE],0 )))</f>
        <v/>
      </c>
      <c r="Z11" s="180">
        <f>INDEX(ReviewCalcs[Incentive Total Energy Savings (kWh)], MATCH(ProjectInput[[#This Row],[Project Index]], ReviewCalcs[Project Index], 0))</f>
        <v>0</v>
      </c>
      <c r="AA11" s="172">
        <f>INDEX(ReviewCalcs[Incentive Total Demand Savings (kW)], MATCH(ProjectInput[[#This Row],[Project Index]], ReviewCalcs[Project Index], 0))</f>
        <v>0</v>
      </c>
      <c r="AB11" s="181">
        <f>ProjectInput[[#This Row],[Energy Savings (kWh)]]*Avg_KWh_Rate</f>
        <v>0</v>
      </c>
      <c r="AC11" s="173">
        <f>IF(C11="", 0, IF(C11="Cust.", INDEX(ReviewCalcs[Incentive ($)], MATCH(ProjectInput[[#This Row],[Project Index]], ReviewCalcs[Project Index], 0)), IF(AND(C11="Pres.", D11="1 to 6"), 3*Q11, IF(AND(C11="Pres.", D11="7 to 11"), 4*Q11, IF(AND(C11="Pres.", D11="12 to 17"), 5*Q11, IF(AND(C11="Pres.", D11="Exit Sign"), 20*Q11, IF(AND(C11="Pres.", D11="&gt; 18"), 6*Q11)))))))</f>
        <v>0</v>
      </c>
      <c r="AD11" s="181">
        <f>ProjectInput[[#This Row],[Retrofit Cost]]</f>
        <v>0</v>
      </c>
      <c r="AE11" s="181">
        <f>ProjectInput[[#This Row],[Retrofit Cost]]-ProjectInput[[#This Row],[Incentive ($)]]</f>
        <v>0</v>
      </c>
      <c r="AF11" s="182" t="str">
        <f>IFERROR(ProjectInput[[#This Row],[Net Project Cost ($)]]/ProjectInput[[#This Row],[Energy Cost Savings ($)]], "")</f>
        <v/>
      </c>
    </row>
    <row r="12" spans="2:32" s="175" customFormat="1" ht="40" customHeight="1">
      <c r="B12" s="213">
        <v>9</v>
      </c>
      <c r="C12" s="223"/>
      <c r="D12" s="224"/>
      <c r="E12" s="176"/>
      <c r="F12" s="167"/>
      <c r="G12" s="167"/>
      <c r="H12" s="167"/>
      <c r="I12" s="167"/>
      <c r="J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 s="176"/>
      <c r="L12" s="167"/>
      <c r="M12" s="167"/>
      <c r="N12" s="167"/>
      <c r="O12" s="167"/>
      <c r="P12" s="177" t="str">
        <f>IF(ProjectInput[[#This Row],[Existing Fixture Code]]=0, "",INDEX(Table7[WATT/ FIXT], MATCH(ProjectInput[[#This Row],[Existing Fixture Code]], Table7[FIXTURE CODE], 0)))</f>
        <v/>
      </c>
      <c r="Q12" s="176"/>
      <c r="R12" s="167"/>
      <c r="S12" s="167"/>
      <c r="T12" s="167"/>
      <c r="U12" s="167"/>
      <c r="V12" s="167"/>
      <c r="W12" s="167"/>
      <c r="X12" s="178"/>
      <c r="Y12" s="179" t="str">
        <f>IF(ProjectInput[[#This Row],[Proposed Fixture Code]]=0, "", INDEX(Table7[WATT/ FIXT], MATCH(ProjectInput[[#This Row],[Proposed Fixture Code]], Table7[FIXTURE CODE],0 )))</f>
        <v/>
      </c>
      <c r="Z12" s="180">
        <f>INDEX(ReviewCalcs[Incentive Total Energy Savings (kWh)], MATCH(ProjectInput[[#This Row],[Project Index]], ReviewCalcs[Project Index], 0))</f>
        <v>0</v>
      </c>
      <c r="AA12" s="172">
        <f>INDEX(ReviewCalcs[Incentive Total Demand Savings (kW)], MATCH(ProjectInput[[#This Row],[Project Index]], ReviewCalcs[Project Index], 0))</f>
        <v>0</v>
      </c>
      <c r="AB12" s="181">
        <f>ProjectInput[[#This Row],[Energy Savings (kWh)]]*Avg_KWh_Rate</f>
        <v>0</v>
      </c>
      <c r="AC12" s="173">
        <f>IF(C12="", 0, IF(C12="Cust.", INDEX(ReviewCalcs[Incentive ($)], MATCH(ProjectInput[[#This Row],[Project Index]], ReviewCalcs[Project Index], 0)), IF(AND(C12="Pres.", D12="1 to 6"), 3*Q12, IF(AND(C12="Pres.", D12="7 to 11"), 4*Q12, IF(AND(C12="Pres.", D12="12 to 17"), 5*Q12, IF(AND(C12="Pres.", D12="Exit Sign"), 20*Q12, IF(AND(C12="Pres.", D12="&gt; 18"), 6*Q12)))))))</f>
        <v>0</v>
      </c>
      <c r="AD12" s="181">
        <f>ProjectInput[[#This Row],[Retrofit Cost]]</f>
        <v>0</v>
      </c>
      <c r="AE12" s="181">
        <f>ProjectInput[[#This Row],[Retrofit Cost]]-ProjectInput[[#This Row],[Incentive ($)]]</f>
        <v>0</v>
      </c>
      <c r="AF12" s="182" t="str">
        <f>IFERROR(ProjectInput[[#This Row],[Net Project Cost ($)]]/ProjectInput[[#This Row],[Energy Cost Savings ($)]], "")</f>
        <v/>
      </c>
    </row>
    <row r="13" spans="2:32" s="175" customFormat="1" ht="40" customHeight="1">
      <c r="B13" s="213">
        <v>10</v>
      </c>
      <c r="C13" s="220"/>
      <c r="D13" s="219"/>
      <c r="E13" s="176"/>
      <c r="F13" s="167"/>
      <c r="G13" s="167"/>
      <c r="H13" s="167"/>
      <c r="I13" s="167"/>
      <c r="J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 s="176"/>
      <c r="L13" s="167"/>
      <c r="M13" s="167"/>
      <c r="N13" s="167"/>
      <c r="O13" s="167"/>
      <c r="P13" s="177" t="str">
        <f>IF(ProjectInput[[#This Row],[Existing Fixture Code]]=0, "",INDEX(Table7[WATT/ FIXT], MATCH(ProjectInput[[#This Row],[Existing Fixture Code]], Table7[FIXTURE CODE], 0)))</f>
        <v/>
      </c>
      <c r="Q13" s="176"/>
      <c r="R13" s="167"/>
      <c r="S13" s="167"/>
      <c r="T13" s="167"/>
      <c r="U13" s="167"/>
      <c r="V13" s="167"/>
      <c r="W13" s="167"/>
      <c r="X13" s="178"/>
      <c r="Y13" s="179" t="str">
        <f>IF(ProjectInput[[#This Row],[Proposed Fixture Code]]=0, "", INDEX(Table7[WATT/ FIXT], MATCH(ProjectInput[[#This Row],[Proposed Fixture Code]], Table7[FIXTURE CODE],0 )))</f>
        <v/>
      </c>
      <c r="Z13" s="180">
        <f>INDEX(ReviewCalcs[Incentive Total Energy Savings (kWh)], MATCH(ProjectInput[[#This Row],[Project Index]], ReviewCalcs[Project Index], 0))</f>
        <v>0</v>
      </c>
      <c r="AA13" s="172">
        <f>INDEX(ReviewCalcs[Incentive Total Demand Savings (kW)], MATCH(ProjectInput[[#This Row],[Project Index]], ReviewCalcs[Project Index], 0))</f>
        <v>0</v>
      </c>
      <c r="AB13" s="181">
        <f>ProjectInput[[#This Row],[Energy Savings (kWh)]]*Avg_KWh_Rate</f>
        <v>0</v>
      </c>
      <c r="AC13" s="173">
        <f>IF(C13="", 0, IF(C13="Cust.", INDEX(ReviewCalcs[Incentive ($)], MATCH(ProjectInput[[#This Row],[Project Index]], ReviewCalcs[Project Index], 0)), IF(AND(C13="Pres.", D13="1 to 6"), 3*Q13, IF(AND(C13="Pres.", D13="7 to 11"), 4*Q13, IF(AND(C13="Pres.", D13="12 to 17"), 5*Q13, IF(AND(C13="Pres.", D13="Exit Sign"), 20*Q13, IF(AND(C13="Pres.", D13="&gt; 18"), 6*Q13)))))))</f>
        <v>0</v>
      </c>
      <c r="AD13" s="181">
        <f>ProjectInput[[#This Row],[Retrofit Cost]]</f>
        <v>0</v>
      </c>
      <c r="AE13" s="181">
        <f>ProjectInput[[#This Row],[Retrofit Cost]]-ProjectInput[[#This Row],[Incentive ($)]]</f>
        <v>0</v>
      </c>
      <c r="AF13" s="182" t="str">
        <f>IFERROR(ProjectInput[[#This Row],[Net Project Cost ($)]]/ProjectInput[[#This Row],[Energy Cost Savings ($)]], "")</f>
        <v/>
      </c>
    </row>
    <row r="14" spans="2:32" s="175" customFormat="1" ht="40" customHeight="1">
      <c r="B14" s="213">
        <v>11</v>
      </c>
      <c r="C14" s="223"/>
      <c r="D14" s="224"/>
      <c r="E14" s="176"/>
      <c r="F14" s="167"/>
      <c r="G14" s="167"/>
      <c r="H14" s="167"/>
      <c r="I14" s="167"/>
      <c r="J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 s="176"/>
      <c r="L14" s="167"/>
      <c r="M14" s="167"/>
      <c r="N14" s="167"/>
      <c r="O14" s="167"/>
      <c r="P14" s="177" t="str">
        <f>IF(ProjectInput[[#This Row],[Existing Fixture Code]]=0, "",INDEX(Table7[WATT/ FIXT], MATCH(ProjectInput[[#This Row],[Existing Fixture Code]], Table7[FIXTURE CODE], 0)))</f>
        <v/>
      </c>
      <c r="Q14" s="176"/>
      <c r="R14" s="167"/>
      <c r="S14" s="167"/>
      <c r="T14" s="167"/>
      <c r="U14" s="167"/>
      <c r="V14" s="167"/>
      <c r="W14" s="167"/>
      <c r="X14" s="178"/>
      <c r="Y14" s="179" t="str">
        <f>IF(ProjectInput[[#This Row],[Proposed Fixture Code]]=0, "", INDEX(Table7[WATT/ FIXT], MATCH(ProjectInput[[#This Row],[Proposed Fixture Code]], Table7[FIXTURE CODE],0 )))</f>
        <v/>
      </c>
      <c r="Z14" s="180">
        <f>INDEX(ReviewCalcs[Incentive Total Energy Savings (kWh)], MATCH(ProjectInput[[#This Row],[Project Index]], ReviewCalcs[Project Index], 0))</f>
        <v>0</v>
      </c>
      <c r="AA14" s="172">
        <f>INDEX(ReviewCalcs[Incentive Total Demand Savings (kW)], MATCH(ProjectInput[[#This Row],[Project Index]], ReviewCalcs[Project Index], 0))</f>
        <v>0</v>
      </c>
      <c r="AB14" s="181">
        <f>ProjectInput[[#This Row],[Energy Savings (kWh)]]*Avg_KWh_Rate</f>
        <v>0</v>
      </c>
      <c r="AC14" s="173">
        <f>IF(C14="", 0, IF(C14="Cust.", INDEX(ReviewCalcs[Incentive ($)], MATCH(ProjectInput[[#This Row],[Project Index]], ReviewCalcs[Project Index], 0)), IF(AND(C14="Pres.", D14="1 to 6"), 3*Q14, IF(AND(C14="Pres.", D14="7 to 11"), 4*Q14, IF(AND(C14="Pres.", D14="12 to 17"), 5*Q14, IF(AND(C14="Pres.", D14="Exit Sign"), 20*Q14, IF(AND(C14="Pres.", D14="&gt; 18"), 6*Q14)))))))</f>
        <v>0</v>
      </c>
      <c r="AD14" s="181">
        <f>ProjectInput[[#This Row],[Retrofit Cost]]</f>
        <v>0</v>
      </c>
      <c r="AE14" s="181">
        <f>ProjectInput[[#This Row],[Retrofit Cost]]-ProjectInput[[#This Row],[Incentive ($)]]</f>
        <v>0</v>
      </c>
      <c r="AF14" s="182" t="str">
        <f>IFERROR(ProjectInput[[#This Row],[Net Project Cost ($)]]/ProjectInput[[#This Row],[Energy Cost Savings ($)]], "")</f>
        <v/>
      </c>
    </row>
    <row r="15" spans="2:32" s="175" customFormat="1" ht="40" customHeight="1">
      <c r="B15" s="213">
        <v>12</v>
      </c>
      <c r="C15" s="220"/>
      <c r="D15" s="219"/>
      <c r="E15" s="176"/>
      <c r="F15" s="167"/>
      <c r="G15" s="167"/>
      <c r="H15" s="167"/>
      <c r="I15" s="167"/>
      <c r="J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 s="176"/>
      <c r="L15" s="167"/>
      <c r="M15" s="167"/>
      <c r="N15" s="167"/>
      <c r="O15" s="167"/>
      <c r="P15" s="177" t="str">
        <f>IF(ProjectInput[[#This Row],[Existing Fixture Code]]=0, "",INDEX(Table7[WATT/ FIXT], MATCH(ProjectInput[[#This Row],[Existing Fixture Code]], Table7[FIXTURE CODE], 0)))</f>
        <v/>
      </c>
      <c r="Q15" s="176"/>
      <c r="R15" s="167"/>
      <c r="S15" s="167"/>
      <c r="T15" s="167"/>
      <c r="U15" s="167"/>
      <c r="V15" s="167"/>
      <c r="W15" s="167"/>
      <c r="X15" s="178"/>
      <c r="Y15" s="179" t="str">
        <f>IF(ProjectInput[[#This Row],[Proposed Fixture Code]]=0, "", INDEX(Table7[WATT/ FIXT], MATCH(ProjectInput[[#This Row],[Proposed Fixture Code]], Table7[FIXTURE CODE],0 )))</f>
        <v/>
      </c>
      <c r="Z15" s="180">
        <f>INDEX(ReviewCalcs[Incentive Total Energy Savings (kWh)], MATCH(ProjectInput[[#This Row],[Project Index]], ReviewCalcs[Project Index], 0))</f>
        <v>0</v>
      </c>
      <c r="AA15" s="172">
        <f>INDEX(ReviewCalcs[Incentive Total Demand Savings (kW)], MATCH(ProjectInput[[#This Row],[Project Index]], ReviewCalcs[Project Index], 0))</f>
        <v>0</v>
      </c>
      <c r="AB15" s="181">
        <f>ProjectInput[[#This Row],[Energy Savings (kWh)]]*Avg_KWh_Rate</f>
        <v>0</v>
      </c>
      <c r="AC15" s="173">
        <f>IF(C15="", 0, IF(C15="Cust.", INDEX(ReviewCalcs[Incentive ($)], MATCH(ProjectInput[[#This Row],[Project Index]], ReviewCalcs[Project Index], 0)), IF(AND(C15="Pres.", D15="1 to 6"), 3*Q15, IF(AND(C15="Pres.", D15="7 to 11"), 4*Q15, IF(AND(C15="Pres.", D15="12 to 17"), 5*Q15, IF(AND(C15="Pres.", D15="Exit Sign"), 20*Q15, IF(AND(C15="Pres.", D15="&gt; 18"), 6*Q15)))))))</f>
        <v>0</v>
      </c>
      <c r="AD15" s="181">
        <f>ProjectInput[[#This Row],[Retrofit Cost]]</f>
        <v>0</v>
      </c>
      <c r="AE15" s="181">
        <f>ProjectInput[[#This Row],[Retrofit Cost]]-ProjectInput[[#This Row],[Incentive ($)]]</f>
        <v>0</v>
      </c>
      <c r="AF15" s="182" t="str">
        <f>IFERROR(ProjectInput[[#This Row],[Net Project Cost ($)]]/ProjectInput[[#This Row],[Energy Cost Savings ($)]], "")</f>
        <v/>
      </c>
    </row>
    <row r="16" spans="2:32" s="175" customFormat="1" ht="40" customHeight="1">
      <c r="B16" s="213">
        <v>13</v>
      </c>
      <c r="C16" s="223"/>
      <c r="D16" s="224"/>
      <c r="E16" s="176"/>
      <c r="F16" s="167"/>
      <c r="G16" s="167"/>
      <c r="H16" s="167"/>
      <c r="I16" s="167"/>
      <c r="J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 s="176"/>
      <c r="L16" s="167"/>
      <c r="M16" s="167"/>
      <c r="N16" s="167"/>
      <c r="O16" s="167"/>
      <c r="P16" s="177" t="str">
        <f>IF(ProjectInput[[#This Row],[Existing Fixture Code]]=0, "",INDEX(Table7[WATT/ FIXT], MATCH(ProjectInput[[#This Row],[Existing Fixture Code]], Table7[FIXTURE CODE], 0)))</f>
        <v/>
      </c>
      <c r="Q16" s="176"/>
      <c r="R16" s="167"/>
      <c r="S16" s="167"/>
      <c r="T16" s="167"/>
      <c r="U16" s="167"/>
      <c r="V16" s="167"/>
      <c r="W16" s="167"/>
      <c r="X16" s="178"/>
      <c r="Y16" s="179" t="str">
        <f>IF(ProjectInput[[#This Row],[Proposed Fixture Code]]=0, "", INDEX(Table7[WATT/ FIXT], MATCH(ProjectInput[[#This Row],[Proposed Fixture Code]], Table7[FIXTURE CODE],0 )))</f>
        <v/>
      </c>
      <c r="Z16" s="180">
        <f>INDEX(ReviewCalcs[Incentive Total Energy Savings (kWh)], MATCH(ProjectInput[[#This Row],[Project Index]], ReviewCalcs[Project Index], 0))</f>
        <v>0</v>
      </c>
      <c r="AA16" s="172">
        <f>INDEX(ReviewCalcs[Incentive Total Demand Savings (kW)], MATCH(ProjectInput[[#This Row],[Project Index]], ReviewCalcs[Project Index], 0))</f>
        <v>0</v>
      </c>
      <c r="AB16" s="181">
        <f>ProjectInput[[#This Row],[Energy Savings (kWh)]]*Avg_KWh_Rate</f>
        <v>0</v>
      </c>
      <c r="AC16" s="173">
        <f>IF(C16="", 0, IF(C16="Cust.", INDEX(ReviewCalcs[Incentive ($)], MATCH(ProjectInput[[#This Row],[Project Index]], ReviewCalcs[Project Index], 0)), IF(AND(C16="Pres.", D16="1 to 6"), 3*Q16, IF(AND(C16="Pres.", D16="7 to 11"), 4*Q16, IF(AND(C16="Pres.", D16="12 to 17"), 5*Q16, IF(AND(C16="Pres.", D16="Exit Sign"), 20*Q16, IF(AND(C16="Pres.", D16="&gt; 18"), 6*Q16)))))))</f>
        <v>0</v>
      </c>
      <c r="AD16" s="181">
        <f>ProjectInput[[#This Row],[Retrofit Cost]]</f>
        <v>0</v>
      </c>
      <c r="AE16" s="181">
        <f>ProjectInput[[#This Row],[Retrofit Cost]]-ProjectInput[[#This Row],[Incentive ($)]]</f>
        <v>0</v>
      </c>
      <c r="AF16" s="182" t="str">
        <f>IFERROR(ProjectInput[[#This Row],[Net Project Cost ($)]]/ProjectInput[[#This Row],[Energy Cost Savings ($)]], "")</f>
        <v/>
      </c>
    </row>
    <row r="17" spans="2:32" s="175" customFormat="1" ht="40" customHeight="1">
      <c r="B17" s="213">
        <v>14</v>
      </c>
      <c r="C17" s="220"/>
      <c r="D17" s="219"/>
      <c r="E17" s="176"/>
      <c r="F17" s="167"/>
      <c r="G17" s="167"/>
      <c r="H17" s="167"/>
      <c r="I17" s="167"/>
      <c r="J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 s="176"/>
      <c r="L17" s="167"/>
      <c r="M17" s="167"/>
      <c r="N17" s="167"/>
      <c r="O17" s="167"/>
      <c r="P17" s="177" t="str">
        <f>IF(ProjectInput[[#This Row],[Existing Fixture Code]]=0, "",INDEX(Table7[WATT/ FIXT], MATCH(ProjectInput[[#This Row],[Existing Fixture Code]], Table7[FIXTURE CODE], 0)))</f>
        <v/>
      </c>
      <c r="Q17" s="176"/>
      <c r="R17" s="167"/>
      <c r="S17" s="167"/>
      <c r="T17" s="167"/>
      <c r="U17" s="167"/>
      <c r="V17" s="167"/>
      <c r="W17" s="167"/>
      <c r="X17" s="178"/>
      <c r="Y17" s="179" t="str">
        <f>IF(ProjectInput[[#This Row],[Proposed Fixture Code]]=0, "", INDEX(Table7[WATT/ FIXT], MATCH(ProjectInput[[#This Row],[Proposed Fixture Code]], Table7[FIXTURE CODE],0 )))</f>
        <v/>
      </c>
      <c r="Z17" s="180">
        <f>INDEX(ReviewCalcs[Incentive Total Energy Savings (kWh)], MATCH(ProjectInput[[#This Row],[Project Index]], ReviewCalcs[Project Index], 0))</f>
        <v>0</v>
      </c>
      <c r="AA17" s="172">
        <f>INDEX(ReviewCalcs[Incentive Total Demand Savings (kW)], MATCH(ProjectInput[[#This Row],[Project Index]], ReviewCalcs[Project Index], 0))</f>
        <v>0</v>
      </c>
      <c r="AB17" s="181">
        <f>ProjectInput[[#This Row],[Energy Savings (kWh)]]*Avg_KWh_Rate</f>
        <v>0</v>
      </c>
      <c r="AC17" s="173">
        <f>IF(C17="", 0, IF(C17="Cust.", INDEX(ReviewCalcs[Incentive ($)], MATCH(ProjectInput[[#This Row],[Project Index]], ReviewCalcs[Project Index], 0)), IF(AND(C17="Pres.", D17="1 to 6"), 3*Q17, IF(AND(C17="Pres.", D17="7 to 11"), 4*Q17, IF(AND(C17="Pres.", D17="12 to 17"), 5*Q17, IF(AND(C17="Pres.", D17="Exit Sign"), 20*Q17, IF(AND(C17="Pres.", D17="&gt; 18"), 6*Q17)))))))</f>
        <v>0</v>
      </c>
      <c r="AD17" s="181">
        <f>ProjectInput[[#This Row],[Retrofit Cost]]</f>
        <v>0</v>
      </c>
      <c r="AE17" s="181">
        <f>ProjectInput[[#This Row],[Retrofit Cost]]-ProjectInput[[#This Row],[Incentive ($)]]</f>
        <v>0</v>
      </c>
      <c r="AF17" s="182" t="str">
        <f>IFERROR(ProjectInput[[#This Row],[Net Project Cost ($)]]/ProjectInput[[#This Row],[Energy Cost Savings ($)]], "")</f>
        <v/>
      </c>
    </row>
    <row r="18" spans="2:32" s="175" customFormat="1" ht="40" customHeight="1">
      <c r="B18" s="213">
        <v>15</v>
      </c>
      <c r="C18" s="223"/>
      <c r="D18" s="224"/>
      <c r="E18" s="176"/>
      <c r="F18" s="167"/>
      <c r="G18" s="167"/>
      <c r="H18" s="167"/>
      <c r="I18" s="167"/>
      <c r="J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 s="176"/>
      <c r="L18" s="167"/>
      <c r="M18" s="167"/>
      <c r="N18" s="167"/>
      <c r="O18" s="167"/>
      <c r="P18" s="177" t="str">
        <f>IF(ProjectInput[[#This Row],[Existing Fixture Code]]=0, "",INDEX(Table7[WATT/ FIXT], MATCH(ProjectInput[[#This Row],[Existing Fixture Code]], Table7[FIXTURE CODE], 0)))</f>
        <v/>
      </c>
      <c r="Q18" s="176"/>
      <c r="R18" s="167"/>
      <c r="S18" s="167"/>
      <c r="T18" s="167"/>
      <c r="U18" s="167"/>
      <c r="V18" s="167"/>
      <c r="W18" s="167"/>
      <c r="X18" s="178"/>
      <c r="Y18" s="179" t="str">
        <f>IF(ProjectInput[[#This Row],[Proposed Fixture Code]]=0, "", INDEX(Table7[WATT/ FIXT], MATCH(ProjectInput[[#This Row],[Proposed Fixture Code]], Table7[FIXTURE CODE],0 )))</f>
        <v/>
      </c>
      <c r="Z18" s="180">
        <f>INDEX(ReviewCalcs[Incentive Total Energy Savings (kWh)], MATCH(ProjectInput[[#This Row],[Project Index]], ReviewCalcs[Project Index], 0))</f>
        <v>0</v>
      </c>
      <c r="AA18" s="172">
        <f>INDEX(ReviewCalcs[Incentive Total Demand Savings (kW)], MATCH(ProjectInput[[#This Row],[Project Index]], ReviewCalcs[Project Index], 0))</f>
        <v>0</v>
      </c>
      <c r="AB18" s="181">
        <f>ProjectInput[[#This Row],[Energy Savings (kWh)]]*Avg_KWh_Rate</f>
        <v>0</v>
      </c>
      <c r="AC18" s="173">
        <f>IF(C18="", 0, IF(C18="Cust.", INDEX(ReviewCalcs[Incentive ($)], MATCH(ProjectInput[[#This Row],[Project Index]], ReviewCalcs[Project Index], 0)), IF(AND(C18="Pres.", D18="1 to 6"), 3*Q18, IF(AND(C18="Pres.", D18="7 to 11"), 4*Q18, IF(AND(C18="Pres.", D18="12 to 17"), 5*Q18, IF(AND(C18="Pres.", D18="Exit Sign"), 20*Q18, IF(AND(C18="Pres.", D18="&gt; 18"), 6*Q18)))))))</f>
        <v>0</v>
      </c>
      <c r="AD18" s="181">
        <f>ProjectInput[[#This Row],[Retrofit Cost]]</f>
        <v>0</v>
      </c>
      <c r="AE18" s="181">
        <f>ProjectInput[[#This Row],[Retrofit Cost]]-ProjectInput[[#This Row],[Incentive ($)]]</f>
        <v>0</v>
      </c>
      <c r="AF18" s="182" t="str">
        <f>IFERROR(ProjectInput[[#This Row],[Net Project Cost ($)]]/ProjectInput[[#This Row],[Energy Cost Savings ($)]], "")</f>
        <v/>
      </c>
    </row>
    <row r="19" spans="2:32" s="175" customFormat="1" ht="40" customHeight="1">
      <c r="B19" s="213">
        <v>16</v>
      </c>
      <c r="C19" s="220"/>
      <c r="D19" s="219"/>
      <c r="E19" s="176"/>
      <c r="F19" s="167"/>
      <c r="G19" s="167"/>
      <c r="H19" s="167"/>
      <c r="I19" s="167"/>
      <c r="J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 s="176"/>
      <c r="L19" s="167"/>
      <c r="M19" s="167"/>
      <c r="N19" s="167"/>
      <c r="O19" s="167"/>
      <c r="P19" s="177" t="str">
        <f>IF(ProjectInput[[#This Row],[Existing Fixture Code]]=0, "",INDEX(Table7[WATT/ FIXT], MATCH(ProjectInput[[#This Row],[Existing Fixture Code]], Table7[FIXTURE CODE], 0)))</f>
        <v/>
      </c>
      <c r="Q19" s="176"/>
      <c r="R19" s="167"/>
      <c r="S19" s="167"/>
      <c r="T19" s="167"/>
      <c r="U19" s="167"/>
      <c r="V19" s="167"/>
      <c r="W19" s="167"/>
      <c r="X19" s="178"/>
      <c r="Y19" s="179" t="str">
        <f>IF(ProjectInput[[#This Row],[Proposed Fixture Code]]=0, "", INDEX(Table7[WATT/ FIXT], MATCH(ProjectInput[[#This Row],[Proposed Fixture Code]], Table7[FIXTURE CODE],0 )))</f>
        <v/>
      </c>
      <c r="Z19" s="180">
        <f>INDEX(ReviewCalcs[Incentive Total Energy Savings (kWh)], MATCH(ProjectInput[[#This Row],[Project Index]], ReviewCalcs[Project Index], 0))</f>
        <v>0</v>
      </c>
      <c r="AA19" s="172">
        <f>INDEX(ReviewCalcs[Incentive Total Demand Savings (kW)], MATCH(ProjectInput[[#This Row],[Project Index]], ReviewCalcs[Project Index], 0))</f>
        <v>0</v>
      </c>
      <c r="AB19" s="181">
        <f>ProjectInput[[#This Row],[Energy Savings (kWh)]]*Avg_KWh_Rate</f>
        <v>0</v>
      </c>
      <c r="AC19" s="173">
        <f>IF(C19="", 0, IF(C19="Cust.", INDEX(ReviewCalcs[Incentive ($)], MATCH(ProjectInput[[#This Row],[Project Index]], ReviewCalcs[Project Index], 0)), IF(AND(C19="Pres.", D19="1 to 6"), 3*Q19, IF(AND(C19="Pres.", D19="7 to 11"), 4*Q19, IF(AND(C19="Pres.", D19="12 to 17"), 5*Q19, IF(AND(C19="Pres.", D19="Exit Sign"), 20*Q19, IF(AND(C19="Pres.", D19="&gt; 18"), 6*Q19)))))))</f>
        <v>0</v>
      </c>
      <c r="AD19" s="181">
        <f>ProjectInput[[#This Row],[Retrofit Cost]]</f>
        <v>0</v>
      </c>
      <c r="AE19" s="181">
        <f>ProjectInput[[#This Row],[Retrofit Cost]]-ProjectInput[[#This Row],[Incentive ($)]]</f>
        <v>0</v>
      </c>
      <c r="AF19" s="182" t="str">
        <f>IFERROR(ProjectInput[[#This Row],[Net Project Cost ($)]]/ProjectInput[[#This Row],[Energy Cost Savings ($)]], "")</f>
        <v/>
      </c>
    </row>
    <row r="20" spans="2:32" s="175" customFormat="1" ht="40" customHeight="1">
      <c r="B20" s="213">
        <v>17</v>
      </c>
      <c r="C20" s="223"/>
      <c r="D20" s="224"/>
      <c r="E20" s="176"/>
      <c r="F20" s="167"/>
      <c r="G20" s="167"/>
      <c r="H20" s="167"/>
      <c r="I20" s="167"/>
      <c r="J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 s="176"/>
      <c r="L20" s="167"/>
      <c r="M20" s="167"/>
      <c r="N20" s="167"/>
      <c r="O20" s="167"/>
      <c r="P20" s="177" t="str">
        <f>IF(ProjectInput[[#This Row],[Existing Fixture Code]]=0, "",INDEX(Table7[WATT/ FIXT], MATCH(ProjectInput[[#This Row],[Existing Fixture Code]], Table7[FIXTURE CODE], 0)))</f>
        <v/>
      </c>
      <c r="Q20" s="176"/>
      <c r="R20" s="167"/>
      <c r="S20" s="167"/>
      <c r="T20" s="167"/>
      <c r="U20" s="167"/>
      <c r="V20" s="167"/>
      <c r="W20" s="167"/>
      <c r="X20" s="178"/>
      <c r="Y20" s="179" t="str">
        <f>IF(ProjectInput[[#This Row],[Proposed Fixture Code]]=0, "", INDEX(Table7[WATT/ FIXT], MATCH(ProjectInput[[#This Row],[Proposed Fixture Code]], Table7[FIXTURE CODE],0 )))</f>
        <v/>
      </c>
      <c r="Z20" s="180">
        <f>INDEX(ReviewCalcs[Incentive Total Energy Savings (kWh)], MATCH(ProjectInput[[#This Row],[Project Index]], ReviewCalcs[Project Index], 0))</f>
        <v>0</v>
      </c>
      <c r="AA20" s="172">
        <f>INDEX(ReviewCalcs[Incentive Total Demand Savings (kW)], MATCH(ProjectInput[[#This Row],[Project Index]], ReviewCalcs[Project Index], 0))</f>
        <v>0</v>
      </c>
      <c r="AB20" s="181">
        <f>ProjectInput[[#This Row],[Energy Savings (kWh)]]*Avg_KWh_Rate</f>
        <v>0</v>
      </c>
      <c r="AC20" s="173">
        <f>IF(C20="", 0, IF(C20="Cust.", INDEX(ReviewCalcs[Incentive ($)], MATCH(ProjectInput[[#This Row],[Project Index]], ReviewCalcs[Project Index], 0)), IF(AND(C20="Pres.", D20="1 to 6"), 3*Q20, IF(AND(C20="Pres.", D20="7 to 11"), 4*Q20, IF(AND(C20="Pres.", D20="12 to 17"), 5*Q20, IF(AND(C20="Pres.", D20="Exit Sign"), 20*Q20, IF(AND(C20="Pres.", D20="&gt; 18"), 6*Q20)))))))</f>
        <v>0</v>
      </c>
      <c r="AD20" s="181">
        <f>ProjectInput[[#This Row],[Retrofit Cost]]</f>
        <v>0</v>
      </c>
      <c r="AE20" s="181">
        <f>ProjectInput[[#This Row],[Retrofit Cost]]-ProjectInput[[#This Row],[Incentive ($)]]</f>
        <v>0</v>
      </c>
      <c r="AF20" s="182" t="str">
        <f>IFERROR(ProjectInput[[#This Row],[Net Project Cost ($)]]/ProjectInput[[#This Row],[Energy Cost Savings ($)]], "")</f>
        <v/>
      </c>
    </row>
    <row r="21" spans="2:32" s="175" customFormat="1" ht="40" customHeight="1">
      <c r="B21" s="213">
        <v>18</v>
      </c>
      <c r="C21" s="220"/>
      <c r="D21" s="219"/>
      <c r="E21" s="176"/>
      <c r="F21" s="167"/>
      <c r="G21" s="167"/>
      <c r="H21" s="167"/>
      <c r="I21" s="167"/>
      <c r="J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 s="176"/>
      <c r="L21" s="167"/>
      <c r="M21" s="167"/>
      <c r="N21" s="167"/>
      <c r="O21" s="167"/>
      <c r="P21" s="177" t="str">
        <f>IF(ProjectInput[[#This Row],[Existing Fixture Code]]=0, "",INDEX(Table7[WATT/ FIXT], MATCH(ProjectInput[[#This Row],[Existing Fixture Code]], Table7[FIXTURE CODE], 0)))</f>
        <v/>
      </c>
      <c r="Q21" s="176"/>
      <c r="R21" s="167"/>
      <c r="S21" s="167"/>
      <c r="T21" s="167"/>
      <c r="U21" s="167"/>
      <c r="V21" s="167"/>
      <c r="W21" s="167"/>
      <c r="X21" s="178"/>
      <c r="Y21" s="179" t="str">
        <f>IF(ProjectInput[[#This Row],[Proposed Fixture Code]]=0, "", INDEX(Table7[WATT/ FIXT], MATCH(ProjectInput[[#This Row],[Proposed Fixture Code]], Table7[FIXTURE CODE],0 )))</f>
        <v/>
      </c>
      <c r="Z21" s="180">
        <f>INDEX(ReviewCalcs[Incentive Total Energy Savings (kWh)], MATCH(ProjectInput[[#This Row],[Project Index]], ReviewCalcs[Project Index], 0))</f>
        <v>0</v>
      </c>
      <c r="AA21" s="172">
        <f>INDEX(ReviewCalcs[Incentive Total Demand Savings (kW)], MATCH(ProjectInput[[#This Row],[Project Index]], ReviewCalcs[Project Index], 0))</f>
        <v>0</v>
      </c>
      <c r="AB21" s="181">
        <f>ProjectInput[[#This Row],[Energy Savings (kWh)]]*Avg_KWh_Rate</f>
        <v>0</v>
      </c>
      <c r="AC21" s="173">
        <f>IF(C21="", 0, IF(C21="Cust.", INDEX(ReviewCalcs[Incentive ($)], MATCH(ProjectInput[[#This Row],[Project Index]], ReviewCalcs[Project Index], 0)), IF(AND(C21="Pres.", D21="1 to 6"), 3*Q21, IF(AND(C21="Pres.", D21="7 to 11"), 4*Q21, IF(AND(C21="Pres.", D21="12 to 17"), 5*Q21, IF(AND(C21="Pres.", D21="Exit Sign"), 20*Q21, IF(AND(C21="Pres.", D21="&gt; 18"), 6*Q21)))))))</f>
        <v>0</v>
      </c>
      <c r="AD21" s="181">
        <f>ProjectInput[[#This Row],[Retrofit Cost]]</f>
        <v>0</v>
      </c>
      <c r="AE21" s="181">
        <f>ProjectInput[[#This Row],[Retrofit Cost]]-ProjectInput[[#This Row],[Incentive ($)]]</f>
        <v>0</v>
      </c>
      <c r="AF21" s="182" t="str">
        <f>IFERROR(ProjectInput[[#This Row],[Net Project Cost ($)]]/ProjectInput[[#This Row],[Energy Cost Savings ($)]], "")</f>
        <v/>
      </c>
    </row>
    <row r="22" spans="2:32" s="175" customFormat="1" ht="40" customHeight="1">
      <c r="B22" s="213">
        <v>19</v>
      </c>
      <c r="C22" s="223"/>
      <c r="D22" s="224"/>
      <c r="E22" s="176"/>
      <c r="F22" s="167"/>
      <c r="G22" s="167"/>
      <c r="H22" s="167"/>
      <c r="I22" s="167"/>
      <c r="J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 s="176"/>
      <c r="L22" s="167"/>
      <c r="M22" s="167"/>
      <c r="N22" s="167"/>
      <c r="O22" s="167"/>
      <c r="P22" s="177" t="str">
        <f>IF(ProjectInput[[#This Row],[Existing Fixture Code]]=0, "",INDEX(Table7[WATT/ FIXT], MATCH(ProjectInput[[#This Row],[Existing Fixture Code]], Table7[FIXTURE CODE], 0)))</f>
        <v/>
      </c>
      <c r="Q22" s="176"/>
      <c r="R22" s="167"/>
      <c r="S22" s="167"/>
      <c r="T22" s="167"/>
      <c r="U22" s="167"/>
      <c r="V22" s="167"/>
      <c r="W22" s="167"/>
      <c r="X22" s="178"/>
      <c r="Y22" s="179" t="str">
        <f>IF(ProjectInput[[#This Row],[Proposed Fixture Code]]=0, "", INDEX(Table7[WATT/ FIXT], MATCH(ProjectInput[[#This Row],[Proposed Fixture Code]], Table7[FIXTURE CODE],0 )))</f>
        <v/>
      </c>
      <c r="Z22" s="180">
        <f>INDEX(ReviewCalcs[Incentive Total Energy Savings (kWh)], MATCH(ProjectInput[[#This Row],[Project Index]], ReviewCalcs[Project Index], 0))</f>
        <v>0</v>
      </c>
      <c r="AA22" s="172">
        <f>INDEX(ReviewCalcs[Incentive Total Demand Savings (kW)], MATCH(ProjectInput[[#This Row],[Project Index]], ReviewCalcs[Project Index], 0))</f>
        <v>0</v>
      </c>
      <c r="AB22" s="181">
        <f>ProjectInput[[#This Row],[Energy Savings (kWh)]]*Avg_KWh_Rate</f>
        <v>0</v>
      </c>
      <c r="AC22" s="173">
        <f>IF(C22="", 0, IF(C22="Cust.", INDEX(ReviewCalcs[Incentive ($)], MATCH(ProjectInput[[#This Row],[Project Index]], ReviewCalcs[Project Index], 0)), IF(AND(C22="Pres.", D22="1 to 6"), 3*Q22, IF(AND(C22="Pres.", D22="7 to 11"), 4*Q22, IF(AND(C22="Pres.", D22="12 to 17"), 5*Q22, IF(AND(C22="Pres.", D22="Exit Sign"), 20*Q22, IF(AND(C22="Pres.", D22="&gt; 18"), 6*Q22)))))))</f>
        <v>0</v>
      </c>
      <c r="AD22" s="181">
        <f>ProjectInput[[#This Row],[Retrofit Cost]]</f>
        <v>0</v>
      </c>
      <c r="AE22" s="181">
        <f>ProjectInput[[#This Row],[Retrofit Cost]]-ProjectInput[[#This Row],[Incentive ($)]]</f>
        <v>0</v>
      </c>
      <c r="AF22" s="182" t="str">
        <f>IFERROR(ProjectInput[[#This Row],[Net Project Cost ($)]]/ProjectInput[[#This Row],[Energy Cost Savings ($)]], "")</f>
        <v/>
      </c>
    </row>
    <row r="23" spans="2:32" s="175" customFormat="1" ht="40" customHeight="1">
      <c r="B23" s="213">
        <v>20</v>
      </c>
      <c r="C23" s="220"/>
      <c r="D23" s="219"/>
      <c r="E23" s="176"/>
      <c r="F23" s="167"/>
      <c r="G23" s="167"/>
      <c r="H23" s="167"/>
      <c r="I23" s="167"/>
      <c r="J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 s="176"/>
      <c r="L23" s="167"/>
      <c r="M23" s="167"/>
      <c r="N23" s="167"/>
      <c r="O23" s="167"/>
      <c r="P23" s="177" t="str">
        <f>IF(ProjectInput[[#This Row],[Existing Fixture Code]]=0, "",INDEX(Table7[WATT/ FIXT], MATCH(ProjectInput[[#This Row],[Existing Fixture Code]], Table7[FIXTURE CODE], 0)))</f>
        <v/>
      </c>
      <c r="Q23" s="176"/>
      <c r="R23" s="167"/>
      <c r="S23" s="167"/>
      <c r="T23" s="167"/>
      <c r="U23" s="167"/>
      <c r="V23" s="167"/>
      <c r="W23" s="167"/>
      <c r="X23" s="178"/>
      <c r="Y23" s="179" t="str">
        <f>IF(ProjectInput[[#This Row],[Proposed Fixture Code]]=0, "", INDEX(Table7[WATT/ FIXT], MATCH(ProjectInput[[#This Row],[Proposed Fixture Code]], Table7[FIXTURE CODE],0 )))</f>
        <v/>
      </c>
      <c r="Z23" s="180">
        <f>INDEX(ReviewCalcs[Incentive Total Energy Savings (kWh)], MATCH(ProjectInput[[#This Row],[Project Index]], ReviewCalcs[Project Index], 0))</f>
        <v>0</v>
      </c>
      <c r="AA23" s="172">
        <f>INDEX(ReviewCalcs[Incentive Total Demand Savings (kW)], MATCH(ProjectInput[[#This Row],[Project Index]], ReviewCalcs[Project Index], 0))</f>
        <v>0</v>
      </c>
      <c r="AB23" s="181">
        <f>ProjectInput[[#This Row],[Energy Savings (kWh)]]*Avg_KWh_Rate</f>
        <v>0</v>
      </c>
      <c r="AC23" s="173">
        <f>IF(C23="", 0, IF(C23="Cust.", INDEX(ReviewCalcs[Incentive ($)], MATCH(ProjectInput[[#This Row],[Project Index]], ReviewCalcs[Project Index], 0)), IF(AND(C23="Pres.", D23="1 to 6"), 3*Q23, IF(AND(C23="Pres.", D23="7 to 11"), 4*Q23, IF(AND(C23="Pres.", D23="12 to 17"), 5*Q23, IF(AND(C23="Pres.", D23="Exit Sign"), 20*Q23, IF(AND(C23="Pres.", D23="&gt; 18"), 6*Q23)))))))</f>
        <v>0</v>
      </c>
      <c r="AD23" s="181">
        <f>ProjectInput[[#This Row],[Retrofit Cost]]</f>
        <v>0</v>
      </c>
      <c r="AE23" s="181">
        <f>ProjectInput[[#This Row],[Retrofit Cost]]-ProjectInput[[#This Row],[Incentive ($)]]</f>
        <v>0</v>
      </c>
      <c r="AF23" s="182" t="str">
        <f>IFERROR(ProjectInput[[#This Row],[Net Project Cost ($)]]/ProjectInput[[#This Row],[Energy Cost Savings ($)]], "")</f>
        <v/>
      </c>
    </row>
    <row r="24" spans="2:32" s="175" customFormat="1" ht="40" customHeight="1">
      <c r="B24" s="213">
        <v>21</v>
      </c>
      <c r="C24" s="223"/>
      <c r="D24" s="224"/>
      <c r="E24" s="176"/>
      <c r="F24" s="167"/>
      <c r="G24" s="167"/>
      <c r="H24" s="167"/>
      <c r="I24" s="167"/>
      <c r="J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 s="176"/>
      <c r="L24" s="167"/>
      <c r="M24" s="167"/>
      <c r="N24" s="167"/>
      <c r="O24" s="167"/>
      <c r="P24" s="177" t="str">
        <f>IF(ProjectInput[[#This Row],[Existing Fixture Code]]=0, "",INDEX(Table7[WATT/ FIXT], MATCH(ProjectInput[[#This Row],[Existing Fixture Code]], Table7[FIXTURE CODE], 0)))</f>
        <v/>
      </c>
      <c r="Q24" s="176"/>
      <c r="R24" s="167"/>
      <c r="S24" s="167"/>
      <c r="T24" s="167"/>
      <c r="U24" s="167"/>
      <c r="V24" s="167"/>
      <c r="W24" s="167"/>
      <c r="X24" s="178"/>
      <c r="Y24" s="179" t="str">
        <f>IF(ProjectInput[[#This Row],[Proposed Fixture Code]]=0, "", INDEX(Table7[WATT/ FIXT], MATCH(ProjectInput[[#This Row],[Proposed Fixture Code]], Table7[FIXTURE CODE],0 )))</f>
        <v/>
      </c>
      <c r="Z24" s="180">
        <f>INDEX(ReviewCalcs[Incentive Total Energy Savings (kWh)], MATCH(ProjectInput[[#This Row],[Project Index]], ReviewCalcs[Project Index], 0))</f>
        <v>0</v>
      </c>
      <c r="AA24" s="172">
        <f>INDEX(ReviewCalcs[Incentive Total Demand Savings (kW)], MATCH(ProjectInput[[#This Row],[Project Index]], ReviewCalcs[Project Index], 0))</f>
        <v>0</v>
      </c>
      <c r="AB24" s="181">
        <f>ProjectInput[[#This Row],[Energy Savings (kWh)]]*Avg_KWh_Rate</f>
        <v>0</v>
      </c>
      <c r="AC24" s="173">
        <f>IF(C24="", 0, IF(C24="Cust.", INDEX(ReviewCalcs[Incentive ($)], MATCH(ProjectInput[[#This Row],[Project Index]], ReviewCalcs[Project Index], 0)), IF(AND(C24="Pres.", D24="1 to 6"), 3*Q24, IF(AND(C24="Pres.", D24="7 to 11"), 4*Q24, IF(AND(C24="Pres.", D24="12 to 17"), 5*Q24, IF(AND(C24="Pres.", D24="Exit Sign"), 20*Q24, IF(AND(C24="Pres.", D24="&gt; 18"), 6*Q24)))))))</f>
        <v>0</v>
      </c>
      <c r="AD24" s="181">
        <f>ProjectInput[[#This Row],[Retrofit Cost]]</f>
        <v>0</v>
      </c>
      <c r="AE24" s="181">
        <f>ProjectInput[[#This Row],[Retrofit Cost]]-ProjectInput[[#This Row],[Incentive ($)]]</f>
        <v>0</v>
      </c>
      <c r="AF24" s="182" t="str">
        <f>IFERROR(ProjectInput[[#This Row],[Net Project Cost ($)]]/ProjectInput[[#This Row],[Energy Cost Savings ($)]], "")</f>
        <v/>
      </c>
    </row>
    <row r="25" spans="2:32" s="175" customFormat="1" ht="40" customHeight="1">
      <c r="B25" s="213">
        <v>22</v>
      </c>
      <c r="C25" s="220"/>
      <c r="D25" s="219"/>
      <c r="E25" s="176"/>
      <c r="F25" s="167"/>
      <c r="G25" s="167"/>
      <c r="H25" s="167"/>
      <c r="I25" s="167"/>
      <c r="J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 s="176"/>
      <c r="L25" s="167"/>
      <c r="M25" s="167"/>
      <c r="N25" s="167"/>
      <c r="O25" s="167"/>
      <c r="P25" s="177" t="str">
        <f>IF(ProjectInput[[#This Row],[Existing Fixture Code]]=0, "",INDEX(Table7[WATT/ FIXT], MATCH(ProjectInput[[#This Row],[Existing Fixture Code]], Table7[FIXTURE CODE], 0)))</f>
        <v/>
      </c>
      <c r="Q25" s="176"/>
      <c r="R25" s="167"/>
      <c r="S25" s="167"/>
      <c r="T25" s="167"/>
      <c r="U25" s="167"/>
      <c r="V25" s="167"/>
      <c r="W25" s="167"/>
      <c r="X25" s="178"/>
      <c r="Y25" s="179" t="str">
        <f>IF(ProjectInput[[#This Row],[Proposed Fixture Code]]=0, "", INDEX(Table7[WATT/ FIXT], MATCH(ProjectInput[[#This Row],[Proposed Fixture Code]], Table7[FIXTURE CODE],0 )))</f>
        <v/>
      </c>
      <c r="Z25" s="180">
        <f>INDEX(ReviewCalcs[Incentive Total Energy Savings (kWh)], MATCH(ProjectInput[[#This Row],[Project Index]], ReviewCalcs[Project Index], 0))</f>
        <v>0</v>
      </c>
      <c r="AA25" s="172">
        <f>INDEX(ReviewCalcs[Incentive Total Demand Savings (kW)], MATCH(ProjectInput[[#This Row],[Project Index]], ReviewCalcs[Project Index], 0))</f>
        <v>0</v>
      </c>
      <c r="AB25" s="181">
        <f>ProjectInput[[#This Row],[Energy Savings (kWh)]]*Avg_KWh_Rate</f>
        <v>0</v>
      </c>
      <c r="AC25" s="173">
        <f>IF(C25="", 0, IF(C25="Cust.", INDEX(ReviewCalcs[Incentive ($)], MATCH(ProjectInput[[#This Row],[Project Index]], ReviewCalcs[Project Index], 0)), IF(AND(C25="Pres.", D25="1 to 6"), 3*Q25, IF(AND(C25="Pres.", D25="7 to 11"), 4*Q25, IF(AND(C25="Pres.", D25="12 to 17"), 5*Q25, IF(AND(C25="Pres.", D25="Exit Sign"), 20*Q25, IF(AND(C25="Pres.", D25="&gt; 18"), 6*Q25)))))))</f>
        <v>0</v>
      </c>
      <c r="AD25" s="181">
        <f>ProjectInput[[#This Row],[Retrofit Cost]]</f>
        <v>0</v>
      </c>
      <c r="AE25" s="181">
        <f>ProjectInput[[#This Row],[Retrofit Cost]]-ProjectInput[[#This Row],[Incentive ($)]]</f>
        <v>0</v>
      </c>
      <c r="AF25" s="182" t="str">
        <f>IFERROR(ProjectInput[[#This Row],[Net Project Cost ($)]]/ProjectInput[[#This Row],[Energy Cost Savings ($)]], "")</f>
        <v/>
      </c>
    </row>
    <row r="26" spans="2:32" s="175" customFormat="1" ht="40" customHeight="1">
      <c r="B26" s="213">
        <v>23</v>
      </c>
      <c r="C26" s="223"/>
      <c r="D26" s="224"/>
      <c r="E26" s="176"/>
      <c r="F26" s="167"/>
      <c r="G26" s="167"/>
      <c r="H26" s="167"/>
      <c r="I26" s="167"/>
      <c r="J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 s="176"/>
      <c r="L26" s="167"/>
      <c r="M26" s="167"/>
      <c r="N26" s="167"/>
      <c r="O26" s="167"/>
      <c r="P26" s="177" t="str">
        <f>IF(ProjectInput[[#This Row],[Existing Fixture Code]]=0, "",INDEX(Table7[WATT/ FIXT], MATCH(ProjectInput[[#This Row],[Existing Fixture Code]], Table7[FIXTURE CODE], 0)))</f>
        <v/>
      </c>
      <c r="Q26" s="176"/>
      <c r="R26" s="167"/>
      <c r="S26" s="167"/>
      <c r="T26" s="167"/>
      <c r="U26" s="167"/>
      <c r="V26" s="167"/>
      <c r="W26" s="167"/>
      <c r="X26" s="178"/>
      <c r="Y26" s="179" t="str">
        <f>IF(ProjectInput[[#This Row],[Proposed Fixture Code]]=0, "", INDEX(Table7[WATT/ FIXT], MATCH(ProjectInput[[#This Row],[Proposed Fixture Code]], Table7[FIXTURE CODE],0 )))</f>
        <v/>
      </c>
      <c r="Z26" s="180">
        <f>INDEX(ReviewCalcs[Incentive Total Energy Savings (kWh)], MATCH(ProjectInput[[#This Row],[Project Index]], ReviewCalcs[Project Index], 0))</f>
        <v>0</v>
      </c>
      <c r="AA26" s="172">
        <f>INDEX(ReviewCalcs[Incentive Total Demand Savings (kW)], MATCH(ProjectInput[[#This Row],[Project Index]], ReviewCalcs[Project Index], 0))</f>
        <v>0</v>
      </c>
      <c r="AB26" s="181">
        <f>ProjectInput[[#This Row],[Energy Savings (kWh)]]*Avg_KWh_Rate</f>
        <v>0</v>
      </c>
      <c r="AC26" s="173">
        <f>IF(C26="", 0, IF(C26="Cust.", INDEX(ReviewCalcs[Incentive ($)], MATCH(ProjectInput[[#This Row],[Project Index]], ReviewCalcs[Project Index], 0)), IF(AND(C26="Pres.", D26="1 to 6"), 3*Q26, IF(AND(C26="Pres.", D26="7 to 11"), 4*Q26, IF(AND(C26="Pres.", D26="12 to 17"), 5*Q26, IF(AND(C26="Pres.", D26="Exit Sign"), 20*Q26, IF(AND(C26="Pres.", D26="&gt; 18"), 6*Q26)))))))</f>
        <v>0</v>
      </c>
      <c r="AD26" s="181">
        <f>ProjectInput[[#This Row],[Retrofit Cost]]</f>
        <v>0</v>
      </c>
      <c r="AE26" s="181">
        <f>ProjectInput[[#This Row],[Retrofit Cost]]-ProjectInput[[#This Row],[Incentive ($)]]</f>
        <v>0</v>
      </c>
      <c r="AF26" s="182" t="str">
        <f>IFERROR(ProjectInput[[#This Row],[Net Project Cost ($)]]/ProjectInput[[#This Row],[Energy Cost Savings ($)]], "")</f>
        <v/>
      </c>
    </row>
    <row r="27" spans="2:32" s="175" customFormat="1" ht="40" customHeight="1">
      <c r="B27" s="213">
        <v>24</v>
      </c>
      <c r="C27" s="220"/>
      <c r="D27" s="219"/>
      <c r="E27" s="176"/>
      <c r="F27" s="167"/>
      <c r="G27" s="167"/>
      <c r="H27" s="167"/>
      <c r="I27" s="167"/>
      <c r="J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 s="176"/>
      <c r="L27" s="167"/>
      <c r="M27" s="167"/>
      <c r="N27" s="167"/>
      <c r="O27" s="167"/>
      <c r="P27" s="177" t="str">
        <f>IF(ProjectInput[[#This Row],[Existing Fixture Code]]=0, "",INDEX(Table7[WATT/ FIXT], MATCH(ProjectInput[[#This Row],[Existing Fixture Code]], Table7[FIXTURE CODE], 0)))</f>
        <v/>
      </c>
      <c r="Q27" s="176"/>
      <c r="R27" s="167"/>
      <c r="S27" s="167"/>
      <c r="T27" s="167"/>
      <c r="U27" s="167"/>
      <c r="V27" s="167"/>
      <c r="W27" s="167"/>
      <c r="X27" s="178"/>
      <c r="Y27" s="179" t="str">
        <f>IF(ProjectInput[[#This Row],[Proposed Fixture Code]]=0, "", INDEX(Table7[WATT/ FIXT], MATCH(ProjectInput[[#This Row],[Proposed Fixture Code]], Table7[FIXTURE CODE],0 )))</f>
        <v/>
      </c>
      <c r="Z27" s="180">
        <f>INDEX(ReviewCalcs[Incentive Total Energy Savings (kWh)], MATCH(ProjectInput[[#This Row],[Project Index]], ReviewCalcs[Project Index], 0))</f>
        <v>0</v>
      </c>
      <c r="AA27" s="172">
        <f>INDEX(ReviewCalcs[Incentive Total Demand Savings (kW)], MATCH(ProjectInput[[#This Row],[Project Index]], ReviewCalcs[Project Index], 0))</f>
        <v>0</v>
      </c>
      <c r="AB27" s="181">
        <f>ProjectInput[[#This Row],[Energy Savings (kWh)]]*Avg_KWh_Rate</f>
        <v>0</v>
      </c>
      <c r="AC27" s="173">
        <f>IF(C27="", 0, IF(C27="Cust.", INDEX(ReviewCalcs[Incentive ($)], MATCH(ProjectInput[[#This Row],[Project Index]], ReviewCalcs[Project Index], 0)), IF(AND(C27="Pres.", D27="1 to 6"), 3*Q27, IF(AND(C27="Pres.", D27="7 to 11"), 4*Q27, IF(AND(C27="Pres.", D27="12 to 17"), 5*Q27, IF(AND(C27="Pres.", D27="Exit Sign"), 20*Q27, IF(AND(C27="Pres.", D27="&gt; 18"), 6*Q27)))))))</f>
        <v>0</v>
      </c>
      <c r="AD27" s="181">
        <f>ProjectInput[[#This Row],[Retrofit Cost]]</f>
        <v>0</v>
      </c>
      <c r="AE27" s="181">
        <f>ProjectInput[[#This Row],[Retrofit Cost]]-ProjectInput[[#This Row],[Incentive ($)]]</f>
        <v>0</v>
      </c>
      <c r="AF27" s="182" t="str">
        <f>IFERROR(ProjectInput[[#This Row],[Net Project Cost ($)]]/ProjectInput[[#This Row],[Energy Cost Savings ($)]], "")</f>
        <v/>
      </c>
    </row>
    <row r="28" spans="2:32" s="175" customFormat="1" ht="40" customHeight="1">
      <c r="B28" s="213">
        <v>25</v>
      </c>
      <c r="C28" s="223"/>
      <c r="D28" s="224"/>
      <c r="E28" s="176"/>
      <c r="F28" s="167"/>
      <c r="G28" s="167"/>
      <c r="H28" s="167"/>
      <c r="I28" s="167"/>
      <c r="J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 s="176"/>
      <c r="L28" s="167"/>
      <c r="M28" s="167"/>
      <c r="N28" s="167"/>
      <c r="O28" s="167"/>
      <c r="P28" s="177" t="str">
        <f>IF(ProjectInput[[#This Row],[Existing Fixture Code]]=0, "",INDEX(Table7[WATT/ FIXT], MATCH(ProjectInput[[#This Row],[Existing Fixture Code]], Table7[FIXTURE CODE], 0)))</f>
        <v/>
      </c>
      <c r="Q28" s="176"/>
      <c r="R28" s="167"/>
      <c r="S28" s="167"/>
      <c r="T28" s="167"/>
      <c r="U28" s="167"/>
      <c r="V28" s="167"/>
      <c r="W28" s="167"/>
      <c r="X28" s="178"/>
      <c r="Y28" s="179" t="str">
        <f>IF(ProjectInput[[#This Row],[Proposed Fixture Code]]=0, "", INDEX(Table7[WATT/ FIXT], MATCH(ProjectInput[[#This Row],[Proposed Fixture Code]], Table7[FIXTURE CODE],0 )))</f>
        <v/>
      </c>
      <c r="Z28" s="180">
        <f>INDEX(ReviewCalcs[Incentive Total Energy Savings (kWh)], MATCH(ProjectInput[[#This Row],[Project Index]], ReviewCalcs[Project Index], 0))</f>
        <v>0</v>
      </c>
      <c r="AA28" s="172">
        <f>INDEX(ReviewCalcs[Incentive Total Demand Savings (kW)], MATCH(ProjectInput[[#This Row],[Project Index]], ReviewCalcs[Project Index], 0))</f>
        <v>0</v>
      </c>
      <c r="AB28" s="181">
        <f>ProjectInput[[#This Row],[Energy Savings (kWh)]]*Avg_KWh_Rate</f>
        <v>0</v>
      </c>
      <c r="AC28" s="173">
        <f>IF(C28="", 0, IF(C28="Cust.", INDEX(ReviewCalcs[Incentive ($)], MATCH(ProjectInput[[#This Row],[Project Index]], ReviewCalcs[Project Index], 0)), IF(AND(C28="Pres.", D28="1 to 6"), 3*Q28, IF(AND(C28="Pres.", D28="7 to 11"), 4*Q28, IF(AND(C28="Pres.", D28="12 to 17"), 5*Q28, IF(AND(C28="Pres.", D28="Exit Sign"), 20*Q28, IF(AND(C28="Pres.", D28="&gt; 18"), 6*Q28)))))))</f>
        <v>0</v>
      </c>
      <c r="AD28" s="181">
        <f>ProjectInput[[#This Row],[Retrofit Cost]]</f>
        <v>0</v>
      </c>
      <c r="AE28" s="181">
        <f>ProjectInput[[#This Row],[Retrofit Cost]]-ProjectInput[[#This Row],[Incentive ($)]]</f>
        <v>0</v>
      </c>
      <c r="AF28" s="182" t="str">
        <f>IFERROR(ProjectInput[[#This Row],[Net Project Cost ($)]]/ProjectInput[[#This Row],[Energy Cost Savings ($)]], "")</f>
        <v/>
      </c>
    </row>
    <row r="29" spans="2:32" s="175" customFormat="1" ht="40" customHeight="1">
      <c r="B29" s="213">
        <v>26</v>
      </c>
      <c r="C29" s="220"/>
      <c r="D29" s="219"/>
      <c r="E29" s="176"/>
      <c r="F29" s="167"/>
      <c r="G29" s="167"/>
      <c r="H29" s="167"/>
      <c r="I29" s="167"/>
      <c r="J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 s="176"/>
      <c r="L29" s="167"/>
      <c r="M29" s="167"/>
      <c r="N29" s="167"/>
      <c r="O29" s="167"/>
      <c r="P29" s="177" t="str">
        <f>IF(ProjectInput[[#This Row],[Existing Fixture Code]]=0, "",INDEX(Table7[WATT/ FIXT], MATCH(ProjectInput[[#This Row],[Existing Fixture Code]], Table7[FIXTURE CODE], 0)))</f>
        <v/>
      </c>
      <c r="Q29" s="176"/>
      <c r="R29" s="167"/>
      <c r="S29" s="167"/>
      <c r="T29" s="167"/>
      <c r="U29" s="167"/>
      <c r="V29" s="167"/>
      <c r="W29" s="167"/>
      <c r="X29" s="178"/>
      <c r="Y29" s="179" t="str">
        <f>IF(ProjectInput[[#This Row],[Proposed Fixture Code]]=0, "", INDEX(Table7[WATT/ FIXT], MATCH(ProjectInput[[#This Row],[Proposed Fixture Code]], Table7[FIXTURE CODE],0 )))</f>
        <v/>
      </c>
      <c r="Z29" s="180">
        <f>INDEX(ReviewCalcs[Incentive Total Energy Savings (kWh)], MATCH(ProjectInput[[#This Row],[Project Index]], ReviewCalcs[Project Index], 0))</f>
        <v>0</v>
      </c>
      <c r="AA29" s="172">
        <f>INDEX(ReviewCalcs[Incentive Total Demand Savings (kW)], MATCH(ProjectInput[[#This Row],[Project Index]], ReviewCalcs[Project Index], 0))</f>
        <v>0</v>
      </c>
      <c r="AB29" s="181">
        <f>ProjectInput[[#This Row],[Energy Savings (kWh)]]*Avg_KWh_Rate</f>
        <v>0</v>
      </c>
      <c r="AC29" s="173">
        <f>IF(C29="", 0, IF(C29="Cust.", INDEX(ReviewCalcs[Incentive ($)], MATCH(ProjectInput[[#This Row],[Project Index]], ReviewCalcs[Project Index], 0)), IF(AND(C29="Pres.", D29="1 to 6"), 3*Q29, IF(AND(C29="Pres.", D29="7 to 11"), 4*Q29, IF(AND(C29="Pres.", D29="12 to 17"), 5*Q29, IF(AND(C29="Pres.", D29="Exit Sign"), 20*Q29, IF(AND(C29="Pres.", D29="&gt; 18"), 6*Q29)))))))</f>
        <v>0</v>
      </c>
      <c r="AD29" s="181">
        <f>ProjectInput[[#This Row],[Retrofit Cost]]</f>
        <v>0</v>
      </c>
      <c r="AE29" s="181">
        <f>ProjectInput[[#This Row],[Retrofit Cost]]-ProjectInput[[#This Row],[Incentive ($)]]</f>
        <v>0</v>
      </c>
      <c r="AF29" s="182" t="str">
        <f>IFERROR(ProjectInput[[#This Row],[Net Project Cost ($)]]/ProjectInput[[#This Row],[Energy Cost Savings ($)]], "")</f>
        <v/>
      </c>
    </row>
    <row r="30" spans="2:32" s="175" customFormat="1" ht="40" customHeight="1">
      <c r="B30" s="213">
        <v>27</v>
      </c>
      <c r="C30" s="223"/>
      <c r="D30" s="224"/>
      <c r="E30" s="176"/>
      <c r="F30" s="167"/>
      <c r="G30" s="167"/>
      <c r="H30" s="167"/>
      <c r="I30" s="167"/>
      <c r="J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 s="176"/>
      <c r="L30" s="167"/>
      <c r="M30" s="167"/>
      <c r="N30" s="167"/>
      <c r="O30" s="167"/>
      <c r="P30" s="177" t="str">
        <f>IF(ProjectInput[[#This Row],[Existing Fixture Code]]=0, "",INDEX(Table7[WATT/ FIXT], MATCH(ProjectInput[[#This Row],[Existing Fixture Code]], Table7[FIXTURE CODE], 0)))</f>
        <v/>
      </c>
      <c r="Q30" s="176"/>
      <c r="R30" s="167"/>
      <c r="S30" s="167"/>
      <c r="T30" s="167"/>
      <c r="U30" s="167"/>
      <c r="V30" s="167"/>
      <c r="W30" s="167"/>
      <c r="X30" s="178"/>
      <c r="Y30" s="179" t="str">
        <f>IF(ProjectInput[[#This Row],[Proposed Fixture Code]]=0, "", INDEX(Table7[WATT/ FIXT], MATCH(ProjectInput[[#This Row],[Proposed Fixture Code]], Table7[FIXTURE CODE],0 )))</f>
        <v/>
      </c>
      <c r="Z30" s="180">
        <f>INDEX(ReviewCalcs[Incentive Total Energy Savings (kWh)], MATCH(ProjectInput[[#This Row],[Project Index]], ReviewCalcs[Project Index], 0))</f>
        <v>0</v>
      </c>
      <c r="AA30" s="172">
        <f>INDEX(ReviewCalcs[Incentive Total Demand Savings (kW)], MATCH(ProjectInput[[#This Row],[Project Index]], ReviewCalcs[Project Index], 0))</f>
        <v>0</v>
      </c>
      <c r="AB30" s="181">
        <f>ProjectInput[[#This Row],[Energy Savings (kWh)]]*Avg_KWh_Rate</f>
        <v>0</v>
      </c>
      <c r="AC30" s="173">
        <f>IF(C30="", 0, IF(C30="Cust.", INDEX(ReviewCalcs[Incentive ($)], MATCH(ProjectInput[[#This Row],[Project Index]], ReviewCalcs[Project Index], 0)), IF(AND(C30="Pres.", D30="1 to 6"), 3*Q30, IF(AND(C30="Pres.", D30="7 to 11"), 4*Q30, IF(AND(C30="Pres.", D30="12 to 17"), 5*Q30, IF(AND(C30="Pres.", D30="Exit Sign"), 20*Q30, IF(AND(C30="Pres.", D30="&gt; 18"), 6*Q30)))))))</f>
        <v>0</v>
      </c>
      <c r="AD30" s="181">
        <f>ProjectInput[[#This Row],[Retrofit Cost]]</f>
        <v>0</v>
      </c>
      <c r="AE30" s="181">
        <f>ProjectInput[[#This Row],[Retrofit Cost]]-ProjectInput[[#This Row],[Incentive ($)]]</f>
        <v>0</v>
      </c>
      <c r="AF30" s="182" t="str">
        <f>IFERROR(ProjectInput[[#This Row],[Net Project Cost ($)]]/ProjectInput[[#This Row],[Energy Cost Savings ($)]], "")</f>
        <v/>
      </c>
    </row>
    <row r="31" spans="2:32" s="175" customFormat="1" ht="40" customHeight="1">
      <c r="B31" s="213">
        <v>28</v>
      </c>
      <c r="C31" s="220"/>
      <c r="D31" s="219"/>
      <c r="E31" s="176"/>
      <c r="F31" s="167"/>
      <c r="G31" s="167"/>
      <c r="H31" s="167"/>
      <c r="I31" s="167"/>
      <c r="J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1" s="176"/>
      <c r="L31" s="167"/>
      <c r="M31" s="167"/>
      <c r="N31" s="167"/>
      <c r="O31" s="167"/>
      <c r="P31" s="177" t="str">
        <f>IF(ProjectInput[[#This Row],[Existing Fixture Code]]=0, "",INDEX(Table7[WATT/ FIXT], MATCH(ProjectInput[[#This Row],[Existing Fixture Code]], Table7[FIXTURE CODE], 0)))</f>
        <v/>
      </c>
      <c r="Q31" s="176"/>
      <c r="R31" s="167"/>
      <c r="S31" s="167"/>
      <c r="T31" s="167"/>
      <c r="U31" s="167"/>
      <c r="V31" s="167"/>
      <c r="W31" s="167"/>
      <c r="X31" s="178"/>
      <c r="Y31" s="179" t="str">
        <f>IF(ProjectInput[[#This Row],[Proposed Fixture Code]]=0, "", INDEX(Table7[WATT/ FIXT], MATCH(ProjectInput[[#This Row],[Proposed Fixture Code]], Table7[FIXTURE CODE],0 )))</f>
        <v/>
      </c>
      <c r="Z31" s="180">
        <f>INDEX(ReviewCalcs[Incentive Total Energy Savings (kWh)], MATCH(ProjectInput[[#This Row],[Project Index]], ReviewCalcs[Project Index], 0))</f>
        <v>0</v>
      </c>
      <c r="AA31" s="172">
        <f>INDEX(ReviewCalcs[Incentive Total Demand Savings (kW)], MATCH(ProjectInput[[#This Row],[Project Index]], ReviewCalcs[Project Index], 0))</f>
        <v>0</v>
      </c>
      <c r="AB31" s="181">
        <f>ProjectInput[[#This Row],[Energy Savings (kWh)]]*Avg_KWh_Rate</f>
        <v>0</v>
      </c>
      <c r="AC31" s="173">
        <f>IF(C31="", 0, IF(C31="Cust.", INDEX(ReviewCalcs[Incentive ($)], MATCH(ProjectInput[[#This Row],[Project Index]], ReviewCalcs[Project Index], 0)), IF(AND(C31="Pres.", D31="1 to 6"), 3*Q31, IF(AND(C31="Pres.", D31="7 to 11"), 4*Q31, IF(AND(C31="Pres.", D31="12 to 17"), 5*Q31, IF(AND(C31="Pres.", D31="Exit Sign"), 20*Q31, IF(AND(C31="Pres.", D31="&gt; 18"), 6*Q31)))))))</f>
        <v>0</v>
      </c>
      <c r="AD31" s="181">
        <f>ProjectInput[[#This Row],[Retrofit Cost]]</f>
        <v>0</v>
      </c>
      <c r="AE31" s="181">
        <f>ProjectInput[[#This Row],[Retrofit Cost]]-ProjectInput[[#This Row],[Incentive ($)]]</f>
        <v>0</v>
      </c>
      <c r="AF31" s="182" t="str">
        <f>IFERROR(ProjectInput[[#This Row],[Net Project Cost ($)]]/ProjectInput[[#This Row],[Energy Cost Savings ($)]], "")</f>
        <v/>
      </c>
    </row>
    <row r="32" spans="2:32" s="175" customFormat="1" ht="40" customHeight="1">
      <c r="B32" s="213">
        <v>29</v>
      </c>
      <c r="C32" s="223"/>
      <c r="D32" s="224"/>
      <c r="E32" s="176"/>
      <c r="F32" s="167"/>
      <c r="G32" s="167"/>
      <c r="H32" s="167"/>
      <c r="I32" s="167"/>
      <c r="J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2" s="176"/>
      <c r="L32" s="167"/>
      <c r="M32" s="167"/>
      <c r="N32" s="167"/>
      <c r="O32" s="167"/>
      <c r="P32" s="177" t="str">
        <f>IF(ProjectInput[[#This Row],[Existing Fixture Code]]=0, "",INDEX(Table7[WATT/ FIXT], MATCH(ProjectInput[[#This Row],[Existing Fixture Code]], Table7[FIXTURE CODE], 0)))</f>
        <v/>
      </c>
      <c r="Q32" s="176"/>
      <c r="R32" s="167"/>
      <c r="S32" s="167"/>
      <c r="T32" s="167"/>
      <c r="U32" s="167"/>
      <c r="V32" s="167"/>
      <c r="W32" s="167"/>
      <c r="X32" s="178"/>
      <c r="Y32" s="179" t="str">
        <f>IF(ProjectInput[[#This Row],[Proposed Fixture Code]]=0, "", INDEX(Table7[WATT/ FIXT], MATCH(ProjectInput[[#This Row],[Proposed Fixture Code]], Table7[FIXTURE CODE],0 )))</f>
        <v/>
      </c>
      <c r="Z32" s="180">
        <f>INDEX(ReviewCalcs[Incentive Total Energy Savings (kWh)], MATCH(ProjectInput[[#This Row],[Project Index]], ReviewCalcs[Project Index], 0))</f>
        <v>0</v>
      </c>
      <c r="AA32" s="172">
        <f>INDEX(ReviewCalcs[Incentive Total Demand Savings (kW)], MATCH(ProjectInput[[#This Row],[Project Index]], ReviewCalcs[Project Index], 0))</f>
        <v>0</v>
      </c>
      <c r="AB32" s="181">
        <f>ProjectInput[[#This Row],[Energy Savings (kWh)]]*Avg_KWh_Rate</f>
        <v>0</v>
      </c>
      <c r="AC32" s="173">
        <f>IF(C32="", 0, IF(C32="Cust.", INDEX(ReviewCalcs[Incentive ($)], MATCH(ProjectInput[[#This Row],[Project Index]], ReviewCalcs[Project Index], 0)), IF(AND(C32="Pres.", D32="1 to 6"), 3*Q32, IF(AND(C32="Pres.", D32="7 to 11"), 4*Q32, IF(AND(C32="Pres.", D32="12 to 17"), 5*Q32, IF(AND(C32="Pres.", D32="Exit Sign"), 20*Q32, IF(AND(C32="Pres.", D32="&gt; 18"), 6*Q32)))))))</f>
        <v>0</v>
      </c>
      <c r="AD32" s="181">
        <f>ProjectInput[[#This Row],[Retrofit Cost]]</f>
        <v>0</v>
      </c>
      <c r="AE32" s="181">
        <f>ProjectInput[[#This Row],[Retrofit Cost]]-ProjectInput[[#This Row],[Incentive ($)]]</f>
        <v>0</v>
      </c>
      <c r="AF32" s="182" t="str">
        <f>IFERROR(ProjectInput[[#This Row],[Net Project Cost ($)]]/ProjectInput[[#This Row],[Energy Cost Savings ($)]], "")</f>
        <v/>
      </c>
    </row>
    <row r="33" spans="2:32" s="175" customFormat="1" ht="40" customHeight="1">
      <c r="B33" s="213">
        <v>30</v>
      </c>
      <c r="C33" s="220"/>
      <c r="D33" s="219"/>
      <c r="E33" s="176"/>
      <c r="F33" s="167"/>
      <c r="G33" s="167"/>
      <c r="H33" s="167"/>
      <c r="I33" s="167"/>
      <c r="J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3" s="176"/>
      <c r="L33" s="167"/>
      <c r="M33" s="167"/>
      <c r="N33" s="167"/>
      <c r="O33" s="167"/>
      <c r="P33" s="177" t="str">
        <f>IF(ProjectInput[[#This Row],[Existing Fixture Code]]=0, "",INDEX(Table7[WATT/ FIXT], MATCH(ProjectInput[[#This Row],[Existing Fixture Code]], Table7[FIXTURE CODE], 0)))</f>
        <v/>
      </c>
      <c r="Q33" s="176"/>
      <c r="R33" s="167"/>
      <c r="S33" s="167"/>
      <c r="T33" s="167"/>
      <c r="U33" s="167"/>
      <c r="V33" s="167"/>
      <c r="W33" s="167"/>
      <c r="X33" s="178"/>
      <c r="Y33" s="179" t="str">
        <f>IF(ProjectInput[[#This Row],[Proposed Fixture Code]]=0, "", INDEX(Table7[WATT/ FIXT], MATCH(ProjectInput[[#This Row],[Proposed Fixture Code]], Table7[FIXTURE CODE],0 )))</f>
        <v/>
      </c>
      <c r="Z33" s="180">
        <f>INDEX(ReviewCalcs[Incentive Total Energy Savings (kWh)], MATCH(ProjectInput[[#This Row],[Project Index]], ReviewCalcs[Project Index], 0))</f>
        <v>0</v>
      </c>
      <c r="AA33" s="172">
        <f>INDEX(ReviewCalcs[Incentive Total Demand Savings (kW)], MATCH(ProjectInput[[#This Row],[Project Index]], ReviewCalcs[Project Index], 0))</f>
        <v>0</v>
      </c>
      <c r="AB33" s="181">
        <f>ProjectInput[[#This Row],[Energy Savings (kWh)]]*Avg_KWh_Rate</f>
        <v>0</v>
      </c>
      <c r="AC33" s="173">
        <f>IF(C33="", 0, IF(C33="Cust.", INDEX(ReviewCalcs[Incentive ($)], MATCH(ProjectInput[[#This Row],[Project Index]], ReviewCalcs[Project Index], 0)), IF(AND(C33="Pres.", D33="1 to 6"), 3*Q33, IF(AND(C33="Pres.", D33="7 to 11"), 4*Q33, IF(AND(C33="Pres.", D33="12 to 17"), 5*Q33, IF(AND(C33="Pres.", D33="Exit Sign"), 20*Q33, IF(AND(C33="Pres.", D33="&gt; 18"), 6*Q33)))))))</f>
        <v>0</v>
      </c>
      <c r="AD33" s="181">
        <f>ProjectInput[[#This Row],[Retrofit Cost]]</f>
        <v>0</v>
      </c>
      <c r="AE33" s="181">
        <f>ProjectInput[[#This Row],[Retrofit Cost]]-ProjectInput[[#This Row],[Incentive ($)]]</f>
        <v>0</v>
      </c>
      <c r="AF33" s="182" t="str">
        <f>IFERROR(ProjectInput[[#This Row],[Net Project Cost ($)]]/ProjectInput[[#This Row],[Energy Cost Savings ($)]], "")</f>
        <v/>
      </c>
    </row>
    <row r="34" spans="2:32" s="175" customFormat="1" ht="40" customHeight="1">
      <c r="B34" s="213">
        <v>31</v>
      </c>
      <c r="C34" s="223"/>
      <c r="D34" s="224"/>
      <c r="E34" s="176"/>
      <c r="F34" s="167"/>
      <c r="G34" s="167"/>
      <c r="H34" s="167"/>
      <c r="I34" s="167"/>
      <c r="J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4" s="176"/>
      <c r="L34" s="167"/>
      <c r="M34" s="167"/>
      <c r="N34" s="167"/>
      <c r="O34" s="167"/>
      <c r="P34" s="177" t="str">
        <f>IF(ProjectInput[[#This Row],[Existing Fixture Code]]=0, "",INDEX(Table7[WATT/ FIXT], MATCH(ProjectInput[[#This Row],[Existing Fixture Code]], Table7[FIXTURE CODE], 0)))</f>
        <v/>
      </c>
      <c r="Q34" s="176"/>
      <c r="R34" s="167"/>
      <c r="S34" s="167"/>
      <c r="T34" s="167"/>
      <c r="U34" s="167"/>
      <c r="V34" s="167"/>
      <c r="W34" s="167"/>
      <c r="X34" s="178"/>
      <c r="Y34" s="179" t="str">
        <f>IF(ProjectInput[[#This Row],[Proposed Fixture Code]]=0, "", INDEX(Table7[WATT/ FIXT], MATCH(ProjectInput[[#This Row],[Proposed Fixture Code]], Table7[FIXTURE CODE],0 )))</f>
        <v/>
      </c>
      <c r="Z34" s="180">
        <f>INDEX(ReviewCalcs[Incentive Total Energy Savings (kWh)], MATCH(ProjectInput[[#This Row],[Project Index]], ReviewCalcs[Project Index], 0))</f>
        <v>0</v>
      </c>
      <c r="AA34" s="172">
        <f>INDEX(ReviewCalcs[Incentive Total Demand Savings (kW)], MATCH(ProjectInput[[#This Row],[Project Index]], ReviewCalcs[Project Index], 0))</f>
        <v>0</v>
      </c>
      <c r="AB34" s="181">
        <f>ProjectInput[[#This Row],[Energy Savings (kWh)]]*Avg_KWh_Rate</f>
        <v>0</v>
      </c>
      <c r="AC34" s="173">
        <f>IF(C34="", 0, IF(C34="Cust.", INDEX(ReviewCalcs[Incentive ($)], MATCH(ProjectInput[[#This Row],[Project Index]], ReviewCalcs[Project Index], 0)), IF(AND(C34="Pres.", D34="1 to 6"), 3*Q34, IF(AND(C34="Pres.", D34="7 to 11"), 4*Q34, IF(AND(C34="Pres.", D34="12 to 17"), 5*Q34, IF(AND(C34="Pres.", D34="Exit Sign"), 20*Q34, IF(AND(C34="Pres.", D34="&gt; 18"), 6*Q34)))))))</f>
        <v>0</v>
      </c>
      <c r="AD34" s="181">
        <f>ProjectInput[[#This Row],[Retrofit Cost]]</f>
        <v>0</v>
      </c>
      <c r="AE34" s="181">
        <f>ProjectInput[[#This Row],[Retrofit Cost]]-ProjectInput[[#This Row],[Incentive ($)]]</f>
        <v>0</v>
      </c>
      <c r="AF34" s="182" t="str">
        <f>IFERROR(ProjectInput[[#This Row],[Net Project Cost ($)]]/ProjectInput[[#This Row],[Energy Cost Savings ($)]], "")</f>
        <v/>
      </c>
    </row>
    <row r="35" spans="2:32" s="175" customFormat="1" ht="40" customHeight="1">
      <c r="B35" s="213">
        <v>32</v>
      </c>
      <c r="C35" s="220"/>
      <c r="D35" s="219"/>
      <c r="E35" s="176"/>
      <c r="F35" s="167"/>
      <c r="G35" s="167"/>
      <c r="H35" s="167"/>
      <c r="I35" s="167"/>
      <c r="J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5" s="176"/>
      <c r="L35" s="167"/>
      <c r="M35" s="167"/>
      <c r="N35" s="167"/>
      <c r="O35" s="167"/>
      <c r="P35" s="177" t="str">
        <f>IF(ProjectInput[[#This Row],[Existing Fixture Code]]=0, "",INDEX(Table7[WATT/ FIXT], MATCH(ProjectInput[[#This Row],[Existing Fixture Code]], Table7[FIXTURE CODE], 0)))</f>
        <v/>
      </c>
      <c r="Q35" s="176"/>
      <c r="R35" s="167"/>
      <c r="S35" s="167"/>
      <c r="T35" s="167"/>
      <c r="U35" s="167"/>
      <c r="V35" s="167"/>
      <c r="W35" s="167"/>
      <c r="X35" s="178"/>
      <c r="Y35" s="179" t="str">
        <f>IF(ProjectInput[[#This Row],[Proposed Fixture Code]]=0, "", INDEX(Table7[WATT/ FIXT], MATCH(ProjectInput[[#This Row],[Proposed Fixture Code]], Table7[FIXTURE CODE],0 )))</f>
        <v/>
      </c>
      <c r="Z35" s="180">
        <f>INDEX(ReviewCalcs[Incentive Total Energy Savings (kWh)], MATCH(ProjectInput[[#This Row],[Project Index]], ReviewCalcs[Project Index], 0))</f>
        <v>0</v>
      </c>
      <c r="AA35" s="172">
        <f>INDEX(ReviewCalcs[Incentive Total Demand Savings (kW)], MATCH(ProjectInput[[#This Row],[Project Index]], ReviewCalcs[Project Index], 0))</f>
        <v>0</v>
      </c>
      <c r="AB35" s="181">
        <f>ProjectInput[[#This Row],[Energy Savings (kWh)]]*Avg_KWh_Rate</f>
        <v>0</v>
      </c>
      <c r="AC35" s="173">
        <f>IF(C35="", 0, IF(C35="Cust.", INDEX(ReviewCalcs[Incentive ($)], MATCH(ProjectInput[[#This Row],[Project Index]], ReviewCalcs[Project Index], 0)), IF(AND(C35="Pres.", D35="1 to 6"), 3*Q35, IF(AND(C35="Pres.", D35="7 to 11"), 4*Q35, IF(AND(C35="Pres.", D35="12 to 17"), 5*Q35, IF(AND(C35="Pres.", D35="Exit Sign"), 20*Q35, IF(AND(C35="Pres.", D35="&gt; 18"), 6*Q35)))))))</f>
        <v>0</v>
      </c>
      <c r="AD35" s="181">
        <f>ProjectInput[[#This Row],[Retrofit Cost]]</f>
        <v>0</v>
      </c>
      <c r="AE35" s="181">
        <f>ProjectInput[[#This Row],[Retrofit Cost]]-ProjectInput[[#This Row],[Incentive ($)]]</f>
        <v>0</v>
      </c>
      <c r="AF35" s="182" t="str">
        <f>IFERROR(ProjectInput[[#This Row],[Net Project Cost ($)]]/ProjectInput[[#This Row],[Energy Cost Savings ($)]], "")</f>
        <v/>
      </c>
    </row>
    <row r="36" spans="2:32" s="175" customFormat="1" ht="40" customHeight="1">
      <c r="B36" s="213">
        <v>33</v>
      </c>
      <c r="C36" s="223"/>
      <c r="D36" s="224"/>
      <c r="E36" s="176"/>
      <c r="F36" s="167"/>
      <c r="G36" s="167"/>
      <c r="H36" s="167"/>
      <c r="I36" s="167"/>
      <c r="J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6" s="176"/>
      <c r="L36" s="167"/>
      <c r="M36" s="167"/>
      <c r="N36" s="167"/>
      <c r="O36" s="167"/>
      <c r="P36" s="177" t="str">
        <f>IF(ProjectInput[[#This Row],[Existing Fixture Code]]=0, "",INDEX(Table7[WATT/ FIXT], MATCH(ProjectInput[[#This Row],[Existing Fixture Code]], Table7[FIXTURE CODE], 0)))</f>
        <v/>
      </c>
      <c r="Q36" s="176"/>
      <c r="R36" s="167"/>
      <c r="S36" s="167"/>
      <c r="T36" s="167"/>
      <c r="U36" s="167"/>
      <c r="V36" s="167"/>
      <c r="W36" s="167"/>
      <c r="X36" s="178"/>
      <c r="Y36" s="179" t="str">
        <f>IF(ProjectInput[[#This Row],[Proposed Fixture Code]]=0, "", INDEX(Table7[WATT/ FIXT], MATCH(ProjectInput[[#This Row],[Proposed Fixture Code]], Table7[FIXTURE CODE],0 )))</f>
        <v/>
      </c>
      <c r="Z36" s="180">
        <f>INDEX(ReviewCalcs[Incentive Total Energy Savings (kWh)], MATCH(ProjectInput[[#This Row],[Project Index]], ReviewCalcs[Project Index], 0))</f>
        <v>0</v>
      </c>
      <c r="AA36" s="172">
        <f>INDEX(ReviewCalcs[Incentive Total Demand Savings (kW)], MATCH(ProjectInput[[#This Row],[Project Index]], ReviewCalcs[Project Index], 0))</f>
        <v>0</v>
      </c>
      <c r="AB36" s="181">
        <f>ProjectInput[[#This Row],[Energy Savings (kWh)]]*Avg_KWh_Rate</f>
        <v>0</v>
      </c>
      <c r="AC36" s="173">
        <f>IF(C36="", 0, IF(C36="Cust.", INDEX(ReviewCalcs[Incentive ($)], MATCH(ProjectInput[[#This Row],[Project Index]], ReviewCalcs[Project Index], 0)), IF(AND(C36="Pres.", D36="1 to 6"), 3*Q36, IF(AND(C36="Pres.", D36="7 to 11"), 4*Q36, IF(AND(C36="Pres.", D36="12 to 17"), 5*Q36, IF(AND(C36="Pres.", D36="Exit Sign"), 20*Q36, IF(AND(C36="Pres.", D36="&gt; 18"), 6*Q36)))))))</f>
        <v>0</v>
      </c>
      <c r="AD36" s="181">
        <f>ProjectInput[[#This Row],[Retrofit Cost]]</f>
        <v>0</v>
      </c>
      <c r="AE36" s="181">
        <f>ProjectInput[[#This Row],[Retrofit Cost]]-ProjectInput[[#This Row],[Incentive ($)]]</f>
        <v>0</v>
      </c>
      <c r="AF36" s="182" t="str">
        <f>IFERROR(ProjectInput[[#This Row],[Net Project Cost ($)]]/ProjectInput[[#This Row],[Energy Cost Savings ($)]], "")</f>
        <v/>
      </c>
    </row>
    <row r="37" spans="2:32" s="175" customFormat="1" ht="40" customHeight="1">
      <c r="B37" s="213">
        <v>34</v>
      </c>
      <c r="C37" s="220"/>
      <c r="D37" s="219"/>
      <c r="E37" s="176"/>
      <c r="F37" s="167"/>
      <c r="G37" s="167"/>
      <c r="H37" s="167"/>
      <c r="I37" s="167"/>
      <c r="J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7" s="176"/>
      <c r="L37" s="167"/>
      <c r="M37" s="167"/>
      <c r="N37" s="167"/>
      <c r="O37" s="167"/>
      <c r="P37" s="177" t="str">
        <f>IF(ProjectInput[[#This Row],[Existing Fixture Code]]=0, "",INDEX(Table7[WATT/ FIXT], MATCH(ProjectInput[[#This Row],[Existing Fixture Code]], Table7[FIXTURE CODE], 0)))</f>
        <v/>
      </c>
      <c r="Q37" s="176"/>
      <c r="R37" s="167"/>
      <c r="S37" s="167"/>
      <c r="T37" s="167"/>
      <c r="U37" s="167"/>
      <c r="V37" s="167"/>
      <c r="W37" s="167"/>
      <c r="X37" s="178"/>
      <c r="Y37" s="179" t="str">
        <f>IF(ProjectInput[[#This Row],[Proposed Fixture Code]]=0, "", INDEX(Table7[WATT/ FIXT], MATCH(ProjectInput[[#This Row],[Proposed Fixture Code]], Table7[FIXTURE CODE],0 )))</f>
        <v/>
      </c>
      <c r="Z37" s="180">
        <f>INDEX(ReviewCalcs[Incentive Total Energy Savings (kWh)], MATCH(ProjectInput[[#This Row],[Project Index]], ReviewCalcs[Project Index], 0))</f>
        <v>0</v>
      </c>
      <c r="AA37" s="172">
        <f>INDEX(ReviewCalcs[Incentive Total Demand Savings (kW)], MATCH(ProjectInput[[#This Row],[Project Index]], ReviewCalcs[Project Index], 0))</f>
        <v>0</v>
      </c>
      <c r="AB37" s="181">
        <f>ProjectInput[[#This Row],[Energy Savings (kWh)]]*Avg_KWh_Rate</f>
        <v>0</v>
      </c>
      <c r="AC37" s="173">
        <f>IF(C37="", 0, IF(C37="Cust.", INDEX(ReviewCalcs[Incentive ($)], MATCH(ProjectInput[[#This Row],[Project Index]], ReviewCalcs[Project Index], 0)), IF(AND(C37="Pres.", D37="1 to 6"), 3*Q37, IF(AND(C37="Pres.", D37="7 to 11"), 4*Q37, IF(AND(C37="Pres.", D37="12 to 17"), 5*Q37, IF(AND(C37="Pres.", D37="Exit Sign"), 20*Q37, IF(AND(C37="Pres.", D37="&gt; 18"), 6*Q37)))))))</f>
        <v>0</v>
      </c>
      <c r="AD37" s="181">
        <f>ProjectInput[[#This Row],[Retrofit Cost]]</f>
        <v>0</v>
      </c>
      <c r="AE37" s="181">
        <f>ProjectInput[[#This Row],[Retrofit Cost]]-ProjectInput[[#This Row],[Incentive ($)]]</f>
        <v>0</v>
      </c>
      <c r="AF37" s="182" t="str">
        <f>IFERROR(ProjectInput[[#This Row],[Net Project Cost ($)]]/ProjectInput[[#This Row],[Energy Cost Savings ($)]], "")</f>
        <v/>
      </c>
    </row>
    <row r="38" spans="2:32" s="175" customFormat="1" ht="40" customHeight="1">
      <c r="B38" s="213">
        <v>35</v>
      </c>
      <c r="C38" s="223"/>
      <c r="D38" s="224"/>
      <c r="E38" s="176"/>
      <c r="F38" s="167"/>
      <c r="G38" s="167"/>
      <c r="H38" s="167"/>
      <c r="I38" s="167"/>
      <c r="J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8" s="176"/>
      <c r="L38" s="167"/>
      <c r="M38" s="167"/>
      <c r="N38" s="167"/>
      <c r="O38" s="167"/>
      <c r="P38" s="177" t="str">
        <f>IF(ProjectInput[[#This Row],[Existing Fixture Code]]=0, "",INDEX(Table7[WATT/ FIXT], MATCH(ProjectInput[[#This Row],[Existing Fixture Code]], Table7[FIXTURE CODE], 0)))</f>
        <v/>
      </c>
      <c r="Q38" s="176"/>
      <c r="R38" s="167"/>
      <c r="S38" s="167"/>
      <c r="T38" s="167"/>
      <c r="U38" s="167"/>
      <c r="V38" s="167"/>
      <c r="W38" s="167"/>
      <c r="X38" s="178"/>
      <c r="Y38" s="179" t="str">
        <f>IF(ProjectInput[[#This Row],[Proposed Fixture Code]]=0, "", INDEX(Table7[WATT/ FIXT], MATCH(ProjectInput[[#This Row],[Proposed Fixture Code]], Table7[FIXTURE CODE],0 )))</f>
        <v/>
      </c>
      <c r="Z38" s="180">
        <f>INDEX(ReviewCalcs[Incentive Total Energy Savings (kWh)], MATCH(ProjectInput[[#This Row],[Project Index]], ReviewCalcs[Project Index], 0))</f>
        <v>0</v>
      </c>
      <c r="AA38" s="172">
        <f>INDEX(ReviewCalcs[Incentive Total Demand Savings (kW)], MATCH(ProjectInput[[#This Row],[Project Index]], ReviewCalcs[Project Index], 0))</f>
        <v>0</v>
      </c>
      <c r="AB38" s="181">
        <f>ProjectInput[[#This Row],[Energy Savings (kWh)]]*Avg_KWh_Rate</f>
        <v>0</v>
      </c>
      <c r="AC38" s="173">
        <f>IF(C38="", 0, IF(C38="Cust.", INDEX(ReviewCalcs[Incentive ($)], MATCH(ProjectInput[[#This Row],[Project Index]], ReviewCalcs[Project Index], 0)), IF(AND(C38="Pres.", D38="1 to 6"), 3*Q38, IF(AND(C38="Pres.", D38="7 to 11"), 4*Q38, IF(AND(C38="Pres.", D38="12 to 17"), 5*Q38, IF(AND(C38="Pres.", D38="Exit Sign"), 20*Q38, IF(AND(C38="Pres.", D38="&gt; 18"), 6*Q38)))))))</f>
        <v>0</v>
      </c>
      <c r="AD38" s="181">
        <f>ProjectInput[[#This Row],[Retrofit Cost]]</f>
        <v>0</v>
      </c>
      <c r="AE38" s="181">
        <f>ProjectInput[[#This Row],[Retrofit Cost]]-ProjectInput[[#This Row],[Incentive ($)]]</f>
        <v>0</v>
      </c>
      <c r="AF38" s="182" t="str">
        <f>IFERROR(ProjectInput[[#This Row],[Net Project Cost ($)]]/ProjectInput[[#This Row],[Energy Cost Savings ($)]], "")</f>
        <v/>
      </c>
    </row>
    <row r="39" spans="2:32" s="175" customFormat="1" ht="40" customHeight="1">
      <c r="B39" s="213">
        <v>36</v>
      </c>
      <c r="C39" s="220"/>
      <c r="D39" s="219"/>
      <c r="E39" s="176"/>
      <c r="F39" s="167"/>
      <c r="G39" s="167"/>
      <c r="H39" s="167"/>
      <c r="I39" s="167"/>
      <c r="J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9" s="176"/>
      <c r="L39" s="167"/>
      <c r="M39" s="167"/>
      <c r="N39" s="167"/>
      <c r="O39" s="167"/>
      <c r="P39" s="177" t="str">
        <f>IF(ProjectInput[[#This Row],[Existing Fixture Code]]=0, "",INDEX(Table7[WATT/ FIXT], MATCH(ProjectInput[[#This Row],[Existing Fixture Code]], Table7[FIXTURE CODE], 0)))</f>
        <v/>
      </c>
      <c r="Q39" s="176"/>
      <c r="R39" s="167"/>
      <c r="S39" s="167"/>
      <c r="T39" s="167"/>
      <c r="U39" s="167"/>
      <c r="V39" s="167"/>
      <c r="W39" s="167"/>
      <c r="X39" s="178"/>
      <c r="Y39" s="179" t="str">
        <f>IF(ProjectInput[[#This Row],[Proposed Fixture Code]]=0, "", INDEX(Table7[WATT/ FIXT], MATCH(ProjectInput[[#This Row],[Proposed Fixture Code]], Table7[FIXTURE CODE],0 )))</f>
        <v/>
      </c>
      <c r="Z39" s="180">
        <f>INDEX(ReviewCalcs[Incentive Total Energy Savings (kWh)], MATCH(ProjectInput[[#This Row],[Project Index]], ReviewCalcs[Project Index], 0))</f>
        <v>0</v>
      </c>
      <c r="AA39" s="172">
        <f>INDEX(ReviewCalcs[Incentive Total Demand Savings (kW)], MATCH(ProjectInput[[#This Row],[Project Index]], ReviewCalcs[Project Index], 0))</f>
        <v>0</v>
      </c>
      <c r="AB39" s="181">
        <f>ProjectInput[[#This Row],[Energy Savings (kWh)]]*Avg_KWh_Rate</f>
        <v>0</v>
      </c>
      <c r="AC39" s="173">
        <f>IF(C39="", 0, IF(C39="Cust.", INDEX(ReviewCalcs[Incentive ($)], MATCH(ProjectInput[[#This Row],[Project Index]], ReviewCalcs[Project Index], 0)), IF(AND(C39="Pres.", D39="1 to 6"), 3*Q39, IF(AND(C39="Pres.", D39="7 to 11"), 4*Q39, IF(AND(C39="Pres.", D39="12 to 17"), 5*Q39, IF(AND(C39="Pres.", D39="Exit Sign"), 20*Q39, IF(AND(C39="Pres.", D39="&gt; 18"), 6*Q39)))))))</f>
        <v>0</v>
      </c>
      <c r="AD39" s="181">
        <f>ProjectInput[[#This Row],[Retrofit Cost]]</f>
        <v>0</v>
      </c>
      <c r="AE39" s="181">
        <f>ProjectInput[[#This Row],[Retrofit Cost]]-ProjectInput[[#This Row],[Incentive ($)]]</f>
        <v>0</v>
      </c>
      <c r="AF39" s="182" t="str">
        <f>IFERROR(ProjectInput[[#This Row],[Net Project Cost ($)]]/ProjectInput[[#This Row],[Energy Cost Savings ($)]], "")</f>
        <v/>
      </c>
    </row>
    <row r="40" spans="2:32" s="175" customFormat="1" ht="40" customHeight="1">
      <c r="B40" s="213">
        <v>37</v>
      </c>
      <c r="C40" s="223"/>
      <c r="D40" s="224"/>
      <c r="E40" s="176"/>
      <c r="F40" s="167"/>
      <c r="G40" s="167"/>
      <c r="H40" s="167"/>
      <c r="I40" s="167"/>
      <c r="J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0" s="176"/>
      <c r="L40" s="167"/>
      <c r="M40" s="167"/>
      <c r="N40" s="167"/>
      <c r="O40" s="167"/>
      <c r="P40" s="177" t="str">
        <f>IF(ProjectInput[[#This Row],[Existing Fixture Code]]=0, "",INDEX(Table7[WATT/ FIXT], MATCH(ProjectInput[[#This Row],[Existing Fixture Code]], Table7[FIXTURE CODE], 0)))</f>
        <v/>
      </c>
      <c r="Q40" s="176"/>
      <c r="R40" s="167"/>
      <c r="S40" s="167"/>
      <c r="T40" s="167"/>
      <c r="U40" s="167"/>
      <c r="V40" s="167"/>
      <c r="W40" s="167"/>
      <c r="X40" s="178"/>
      <c r="Y40" s="179" t="str">
        <f>IF(ProjectInput[[#This Row],[Proposed Fixture Code]]=0, "", INDEX(Table7[WATT/ FIXT], MATCH(ProjectInput[[#This Row],[Proposed Fixture Code]], Table7[FIXTURE CODE],0 )))</f>
        <v/>
      </c>
      <c r="Z40" s="180">
        <f>INDEX(ReviewCalcs[Incentive Total Energy Savings (kWh)], MATCH(ProjectInput[[#This Row],[Project Index]], ReviewCalcs[Project Index], 0))</f>
        <v>0</v>
      </c>
      <c r="AA40" s="172">
        <f>INDEX(ReviewCalcs[Incentive Total Demand Savings (kW)], MATCH(ProjectInput[[#This Row],[Project Index]], ReviewCalcs[Project Index], 0))</f>
        <v>0</v>
      </c>
      <c r="AB40" s="181">
        <f>ProjectInput[[#This Row],[Energy Savings (kWh)]]*Avg_KWh_Rate</f>
        <v>0</v>
      </c>
      <c r="AC40" s="173">
        <f>IF(C40="", 0, IF(C40="Cust.", INDEX(ReviewCalcs[Incentive ($)], MATCH(ProjectInput[[#This Row],[Project Index]], ReviewCalcs[Project Index], 0)), IF(AND(C40="Pres.", D40="1 to 6"), 3*Q40, IF(AND(C40="Pres.", D40="7 to 11"), 4*Q40, IF(AND(C40="Pres.", D40="12 to 17"), 5*Q40, IF(AND(C40="Pres.", D40="Exit Sign"), 20*Q40, IF(AND(C40="Pres.", D40="&gt; 18"), 6*Q40)))))))</f>
        <v>0</v>
      </c>
      <c r="AD40" s="181">
        <f>ProjectInput[[#This Row],[Retrofit Cost]]</f>
        <v>0</v>
      </c>
      <c r="AE40" s="181">
        <f>ProjectInput[[#This Row],[Retrofit Cost]]-ProjectInput[[#This Row],[Incentive ($)]]</f>
        <v>0</v>
      </c>
      <c r="AF40" s="182" t="str">
        <f>IFERROR(ProjectInput[[#This Row],[Net Project Cost ($)]]/ProjectInput[[#This Row],[Energy Cost Savings ($)]], "")</f>
        <v/>
      </c>
    </row>
    <row r="41" spans="2:32" s="175" customFormat="1" ht="40" customHeight="1">
      <c r="B41" s="213">
        <v>38</v>
      </c>
      <c r="C41" s="220"/>
      <c r="D41" s="219"/>
      <c r="E41" s="176"/>
      <c r="F41" s="167"/>
      <c r="G41" s="167"/>
      <c r="H41" s="167"/>
      <c r="I41" s="167"/>
      <c r="J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1" s="176"/>
      <c r="L41" s="167"/>
      <c r="M41" s="167"/>
      <c r="N41" s="167"/>
      <c r="O41" s="167"/>
      <c r="P41" s="177" t="str">
        <f>IF(ProjectInput[[#This Row],[Existing Fixture Code]]=0, "",INDEX(Table7[WATT/ FIXT], MATCH(ProjectInput[[#This Row],[Existing Fixture Code]], Table7[FIXTURE CODE], 0)))</f>
        <v/>
      </c>
      <c r="Q41" s="176"/>
      <c r="R41" s="167"/>
      <c r="S41" s="167"/>
      <c r="T41" s="167"/>
      <c r="U41" s="167"/>
      <c r="V41" s="167"/>
      <c r="W41" s="167"/>
      <c r="X41" s="178"/>
      <c r="Y41" s="179" t="str">
        <f>IF(ProjectInput[[#This Row],[Proposed Fixture Code]]=0, "", INDEX(Table7[WATT/ FIXT], MATCH(ProjectInput[[#This Row],[Proposed Fixture Code]], Table7[FIXTURE CODE],0 )))</f>
        <v/>
      </c>
      <c r="Z41" s="180">
        <f>INDEX(ReviewCalcs[Incentive Total Energy Savings (kWh)], MATCH(ProjectInput[[#This Row],[Project Index]], ReviewCalcs[Project Index], 0))</f>
        <v>0</v>
      </c>
      <c r="AA41" s="172">
        <f>INDEX(ReviewCalcs[Incentive Total Demand Savings (kW)], MATCH(ProjectInput[[#This Row],[Project Index]], ReviewCalcs[Project Index], 0))</f>
        <v>0</v>
      </c>
      <c r="AB41" s="181">
        <f>ProjectInput[[#This Row],[Energy Savings (kWh)]]*Avg_KWh_Rate</f>
        <v>0</v>
      </c>
      <c r="AC41" s="173">
        <f>IF(C41="", 0, IF(C41="Cust.", INDEX(ReviewCalcs[Incentive ($)], MATCH(ProjectInput[[#This Row],[Project Index]], ReviewCalcs[Project Index], 0)), IF(AND(C41="Pres.", D41="1 to 6"), 3*Q41, IF(AND(C41="Pres.", D41="7 to 11"), 4*Q41, IF(AND(C41="Pres.", D41="12 to 17"), 5*Q41, IF(AND(C41="Pres.", D41="Exit Sign"), 20*Q41, IF(AND(C41="Pres.", D41="&gt; 18"), 6*Q41)))))))</f>
        <v>0</v>
      </c>
      <c r="AD41" s="181">
        <f>ProjectInput[[#This Row],[Retrofit Cost]]</f>
        <v>0</v>
      </c>
      <c r="AE41" s="181">
        <f>ProjectInput[[#This Row],[Retrofit Cost]]-ProjectInput[[#This Row],[Incentive ($)]]</f>
        <v>0</v>
      </c>
      <c r="AF41" s="182" t="str">
        <f>IFERROR(ProjectInput[[#This Row],[Net Project Cost ($)]]/ProjectInput[[#This Row],[Energy Cost Savings ($)]], "")</f>
        <v/>
      </c>
    </row>
    <row r="42" spans="2:32" s="175" customFormat="1" ht="40" customHeight="1">
      <c r="B42" s="213">
        <v>39</v>
      </c>
      <c r="C42" s="223"/>
      <c r="D42" s="224"/>
      <c r="E42" s="176"/>
      <c r="F42" s="167"/>
      <c r="G42" s="167"/>
      <c r="H42" s="167"/>
      <c r="I42" s="167"/>
      <c r="J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2" s="176"/>
      <c r="L42" s="167"/>
      <c r="M42" s="167"/>
      <c r="N42" s="167"/>
      <c r="O42" s="167"/>
      <c r="P42" s="177" t="str">
        <f>IF(ProjectInput[[#This Row],[Existing Fixture Code]]=0, "",INDEX(Table7[WATT/ FIXT], MATCH(ProjectInput[[#This Row],[Existing Fixture Code]], Table7[FIXTURE CODE], 0)))</f>
        <v/>
      </c>
      <c r="Q42" s="176"/>
      <c r="R42" s="167"/>
      <c r="S42" s="167"/>
      <c r="T42" s="167"/>
      <c r="U42" s="167"/>
      <c r="V42" s="167"/>
      <c r="W42" s="167"/>
      <c r="X42" s="178"/>
      <c r="Y42" s="179" t="str">
        <f>IF(ProjectInput[[#This Row],[Proposed Fixture Code]]=0, "", INDEX(Table7[WATT/ FIXT], MATCH(ProjectInput[[#This Row],[Proposed Fixture Code]], Table7[FIXTURE CODE],0 )))</f>
        <v/>
      </c>
      <c r="Z42" s="180">
        <f>INDEX(ReviewCalcs[Incentive Total Energy Savings (kWh)], MATCH(ProjectInput[[#This Row],[Project Index]], ReviewCalcs[Project Index], 0))</f>
        <v>0</v>
      </c>
      <c r="AA42" s="172">
        <f>INDEX(ReviewCalcs[Incentive Total Demand Savings (kW)], MATCH(ProjectInput[[#This Row],[Project Index]], ReviewCalcs[Project Index], 0))</f>
        <v>0</v>
      </c>
      <c r="AB42" s="181">
        <f>ProjectInput[[#This Row],[Energy Savings (kWh)]]*Avg_KWh_Rate</f>
        <v>0</v>
      </c>
      <c r="AC42" s="173">
        <f>IF(C42="", 0, IF(C42="Cust.", INDEX(ReviewCalcs[Incentive ($)], MATCH(ProjectInput[[#This Row],[Project Index]], ReviewCalcs[Project Index], 0)), IF(AND(C42="Pres.", D42="1 to 6"), 3*Q42, IF(AND(C42="Pres.", D42="7 to 11"), 4*Q42, IF(AND(C42="Pres.", D42="12 to 17"), 5*Q42, IF(AND(C42="Pres.", D42="Exit Sign"), 20*Q42, IF(AND(C42="Pres.", D42="&gt; 18"), 6*Q42)))))))</f>
        <v>0</v>
      </c>
      <c r="AD42" s="181">
        <f>ProjectInput[[#This Row],[Retrofit Cost]]</f>
        <v>0</v>
      </c>
      <c r="AE42" s="181">
        <f>ProjectInput[[#This Row],[Retrofit Cost]]-ProjectInput[[#This Row],[Incentive ($)]]</f>
        <v>0</v>
      </c>
      <c r="AF42" s="182" t="str">
        <f>IFERROR(ProjectInput[[#This Row],[Net Project Cost ($)]]/ProjectInput[[#This Row],[Energy Cost Savings ($)]], "")</f>
        <v/>
      </c>
    </row>
    <row r="43" spans="2:32" s="175" customFormat="1" ht="40" customHeight="1">
      <c r="B43" s="213">
        <v>40</v>
      </c>
      <c r="C43" s="220"/>
      <c r="D43" s="219"/>
      <c r="E43" s="176"/>
      <c r="F43" s="167"/>
      <c r="G43" s="167"/>
      <c r="H43" s="167"/>
      <c r="I43" s="167"/>
      <c r="J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3" s="176"/>
      <c r="L43" s="167"/>
      <c r="M43" s="167"/>
      <c r="N43" s="167"/>
      <c r="O43" s="167"/>
      <c r="P43" s="177" t="str">
        <f>IF(ProjectInput[[#This Row],[Existing Fixture Code]]=0, "",INDEX(Table7[WATT/ FIXT], MATCH(ProjectInput[[#This Row],[Existing Fixture Code]], Table7[FIXTURE CODE], 0)))</f>
        <v/>
      </c>
      <c r="Q43" s="176"/>
      <c r="R43" s="167"/>
      <c r="S43" s="167"/>
      <c r="T43" s="167"/>
      <c r="U43" s="167"/>
      <c r="V43" s="167"/>
      <c r="W43" s="167"/>
      <c r="X43" s="178"/>
      <c r="Y43" s="179" t="str">
        <f>IF(ProjectInput[[#This Row],[Proposed Fixture Code]]=0, "", INDEX(Table7[WATT/ FIXT], MATCH(ProjectInput[[#This Row],[Proposed Fixture Code]], Table7[FIXTURE CODE],0 )))</f>
        <v/>
      </c>
      <c r="Z43" s="180">
        <f>INDEX(ReviewCalcs[Incentive Total Energy Savings (kWh)], MATCH(ProjectInput[[#This Row],[Project Index]], ReviewCalcs[Project Index], 0))</f>
        <v>0</v>
      </c>
      <c r="AA43" s="172">
        <f>INDEX(ReviewCalcs[Incentive Total Demand Savings (kW)], MATCH(ProjectInput[[#This Row],[Project Index]], ReviewCalcs[Project Index], 0))</f>
        <v>0</v>
      </c>
      <c r="AB43" s="181">
        <f>ProjectInput[[#This Row],[Energy Savings (kWh)]]*Avg_KWh_Rate</f>
        <v>0</v>
      </c>
      <c r="AC43" s="173">
        <f>IF(C43="", 0, IF(C43="Cust.", INDEX(ReviewCalcs[Incentive ($)], MATCH(ProjectInput[[#This Row],[Project Index]], ReviewCalcs[Project Index], 0)), IF(AND(C43="Pres.", D43="1 to 6"), 3*Q43, IF(AND(C43="Pres.", D43="7 to 11"), 4*Q43, IF(AND(C43="Pres.", D43="12 to 17"), 5*Q43, IF(AND(C43="Pres.", D43="Exit Sign"), 20*Q43, IF(AND(C43="Pres.", D43="&gt; 18"), 6*Q43)))))))</f>
        <v>0</v>
      </c>
      <c r="AD43" s="181">
        <f>ProjectInput[[#This Row],[Retrofit Cost]]</f>
        <v>0</v>
      </c>
      <c r="AE43" s="181">
        <f>ProjectInput[[#This Row],[Retrofit Cost]]-ProjectInput[[#This Row],[Incentive ($)]]</f>
        <v>0</v>
      </c>
      <c r="AF43" s="182" t="str">
        <f>IFERROR(ProjectInput[[#This Row],[Net Project Cost ($)]]/ProjectInput[[#This Row],[Energy Cost Savings ($)]], "")</f>
        <v/>
      </c>
    </row>
    <row r="44" spans="2:32" s="175" customFormat="1" ht="40" customHeight="1">
      <c r="B44" s="213">
        <v>41</v>
      </c>
      <c r="C44" s="223"/>
      <c r="D44" s="224"/>
      <c r="E44" s="176"/>
      <c r="F44" s="167"/>
      <c r="G44" s="167"/>
      <c r="H44" s="167"/>
      <c r="I44" s="167"/>
      <c r="J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4" s="176"/>
      <c r="L44" s="167"/>
      <c r="M44" s="167"/>
      <c r="N44" s="167"/>
      <c r="O44" s="167"/>
      <c r="P44" s="177" t="str">
        <f>IF(ProjectInput[[#This Row],[Existing Fixture Code]]=0, "",INDEX(Table7[WATT/ FIXT], MATCH(ProjectInput[[#This Row],[Existing Fixture Code]], Table7[FIXTURE CODE], 0)))</f>
        <v/>
      </c>
      <c r="Q44" s="176"/>
      <c r="R44" s="167"/>
      <c r="S44" s="167"/>
      <c r="T44" s="167"/>
      <c r="U44" s="167"/>
      <c r="V44" s="167"/>
      <c r="W44" s="167"/>
      <c r="X44" s="178"/>
      <c r="Y44" s="179" t="str">
        <f>IF(ProjectInput[[#This Row],[Proposed Fixture Code]]=0, "", INDEX(Table7[WATT/ FIXT], MATCH(ProjectInput[[#This Row],[Proposed Fixture Code]], Table7[FIXTURE CODE],0 )))</f>
        <v/>
      </c>
      <c r="Z44" s="180">
        <f>INDEX(ReviewCalcs[Incentive Total Energy Savings (kWh)], MATCH(ProjectInput[[#This Row],[Project Index]], ReviewCalcs[Project Index], 0))</f>
        <v>0</v>
      </c>
      <c r="AA44" s="172">
        <f>INDEX(ReviewCalcs[Incentive Total Demand Savings (kW)], MATCH(ProjectInput[[#This Row],[Project Index]], ReviewCalcs[Project Index], 0))</f>
        <v>0</v>
      </c>
      <c r="AB44" s="181">
        <f>ProjectInput[[#This Row],[Energy Savings (kWh)]]*Avg_KWh_Rate</f>
        <v>0</v>
      </c>
      <c r="AC44" s="173">
        <f>IF(C44="", 0, IF(C44="Cust.", INDEX(ReviewCalcs[Incentive ($)], MATCH(ProjectInput[[#This Row],[Project Index]], ReviewCalcs[Project Index], 0)), IF(AND(C44="Pres.", D44="1 to 6"), 3*Q44, IF(AND(C44="Pres.", D44="7 to 11"), 4*Q44, IF(AND(C44="Pres.", D44="12 to 17"), 5*Q44, IF(AND(C44="Pres.", D44="Exit Sign"), 20*Q44, IF(AND(C44="Pres.", D44="&gt; 18"), 6*Q44)))))))</f>
        <v>0</v>
      </c>
      <c r="AD44" s="181">
        <f>ProjectInput[[#This Row],[Retrofit Cost]]</f>
        <v>0</v>
      </c>
      <c r="AE44" s="181">
        <f>ProjectInput[[#This Row],[Retrofit Cost]]-ProjectInput[[#This Row],[Incentive ($)]]</f>
        <v>0</v>
      </c>
      <c r="AF44" s="182" t="str">
        <f>IFERROR(ProjectInput[[#This Row],[Net Project Cost ($)]]/ProjectInput[[#This Row],[Energy Cost Savings ($)]], "")</f>
        <v/>
      </c>
    </row>
    <row r="45" spans="2:32" s="175" customFormat="1" ht="40" customHeight="1">
      <c r="B45" s="213">
        <v>42</v>
      </c>
      <c r="C45" s="220"/>
      <c r="D45" s="219"/>
      <c r="E45" s="176"/>
      <c r="F45" s="167"/>
      <c r="G45" s="167"/>
      <c r="H45" s="167"/>
      <c r="I45" s="167"/>
      <c r="J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5" s="176"/>
      <c r="L45" s="167"/>
      <c r="M45" s="167"/>
      <c r="N45" s="167"/>
      <c r="O45" s="167"/>
      <c r="P45" s="177" t="str">
        <f>IF(ProjectInput[[#This Row],[Existing Fixture Code]]=0, "",INDEX(Table7[WATT/ FIXT], MATCH(ProjectInput[[#This Row],[Existing Fixture Code]], Table7[FIXTURE CODE], 0)))</f>
        <v/>
      </c>
      <c r="Q45" s="176"/>
      <c r="R45" s="167"/>
      <c r="S45" s="167"/>
      <c r="T45" s="167"/>
      <c r="U45" s="167"/>
      <c r="V45" s="167"/>
      <c r="W45" s="167"/>
      <c r="X45" s="178"/>
      <c r="Y45" s="179" t="str">
        <f>IF(ProjectInput[[#This Row],[Proposed Fixture Code]]=0, "", INDEX(Table7[WATT/ FIXT], MATCH(ProjectInput[[#This Row],[Proposed Fixture Code]], Table7[FIXTURE CODE],0 )))</f>
        <v/>
      </c>
      <c r="Z45" s="180">
        <f>INDEX(ReviewCalcs[Incentive Total Energy Savings (kWh)], MATCH(ProjectInput[[#This Row],[Project Index]], ReviewCalcs[Project Index], 0))</f>
        <v>0</v>
      </c>
      <c r="AA45" s="172">
        <f>INDEX(ReviewCalcs[Incentive Total Demand Savings (kW)], MATCH(ProjectInput[[#This Row],[Project Index]], ReviewCalcs[Project Index], 0))</f>
        <v>0</v>
      </c>
      <c r="AB45" s="181">
        <f>ProjectInput[[#This Row],[Energy Savings (kWh)]]*Avg_KWh_Rate</f>
        <v>0</v>
      </c>
      <c r="AC45" s="173">
        <f>IF(C45="", 0, IF(C45="Cust.", INDEX(ReviewCalcs[Incentive ($)], MATCH(ProjectInput[[#This Row],[Project Index]], ReviewCalcs[Project Index], 0)), IF(AND(C45="Pres.", D45="1 to 6"), 3*Q45, IF(AND(C45="Pres.", D45="7 to 11"), 4*Q45, IF(AND(C45="Pres.", D45="12 to 17"), 5*Q45, IF(AND(C45="Pres.", D45="Exit Sign"), 20*Q45, IF(AND(C45="Pres.", D45="&gt; 18"), 6*Q45)))))))</f>
        <v>0</v>
      </c>
      <c r="AD45" s="181">
        <f>ProjectInput[[#This Row],[Retrofit Cost]]</f>
        <v>0</v>
      </c>
      <c r="AE45" s="181">
        <f>ProjectInput[[#This Row],[Retrofit Cost]]-ProjectInput[[#This Row],[Incentive ($)]]</f>
        <v>0</v>
      </c>
      <c r="AF45" s="182" t="str">
        <f>IFERROR(ProjectInput[[#This Row],[Net Project Cost ($)]]/ProjectInput[[#This Row],[Energy Cost Savings ($)]], "")</f>
        <v/>
      </c>
    </row>
    <row r="46" spans="2:32" s="175" customFormat="1" ht="40" customHeight="1">
      <c r="B46" s="213">
        <v>43</v>
      </c>
      <c r="C46" s="223"/>
      <c r="D46" s="224"/>
      <c r="E46" s="176"/>
      <c r="F46" s="167"/>
      <c r="G46" s="167"/>
      <c r="H46" s="167"/>
      <c r="I46" s="167"/>
      <c r="J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6" s="176"/>
      <c r="L46" s="167"/>
      <c r="M46" s="167"/>
      <c r="N46" s="167"/>
      <c r="O46" s="167"/>
      <c r="P46" s="177" t="str">
        <f>IF(ProjectInput[[#This Row],[Existing Fixture Code]]=0, "",INDEX(Table7[WATT/ FIXT], MATCH(ProjectInput[[#This Row],[Existing Fixture Code]], Table7[FIXTURE CODE], 0)))</f>
        <v/>
      </c>
      <c r="Q46" s="176"/>
      <c r="R46" s="167"/>
      <c r="S46" s="167"/>
      <c r="T46" s="167"/>
      <c r="U46" s="167"/>
      <c r="V46" s="167"/>
      <c r="W46" s="167"/>
      <c r="X46" s="178"/>
      <c r="Y46" s="179" t="str">
        <f>IF(ProjectInput[[#This Row],[Proposed Fixture Code]]=0, "", INDEX(Table7[WATT/ FIXT], MATCH(ProjectInput[[#This Row],[Proposed Fixture Code]], Table7[FIXTURE CODE],0 )))</f>
        <v/>
      </c>
      <c r="Z46" s="180">
        <f>INDEX(ReviewCalcs[Incentive Total Energy Savings (kWh)], MATCH(ProjectInput[[#This Row],[Project Index]], ReviewCalcs[Project Index], 0))</f>
        <v>0</v>
      </c>
      <c r="AA46" s="172">
        <f>INDEX(ReviewCalcs[Incentive Total Demand Savings (kW)], MATCH(ProjectInput[[#This Row],[Project Index]], ReviewCalcs[Project Index], 0))</f>
        <v>0</v>
      </c>
      <c r="AB46" s="181">
        <f>ProjectInput[[#This Row],[Energy Savings (kWh)]]*Avg_KWh_Rate</f>
        <v>0</v>
      </c>
      <c r="AC46" s="173">
        <f>IF(C46="", 0, IF(C46="Cust.", INDEX(ReviewCalcs[Incentive ($)], MATCH(ProjectInput[[#This Row],[Project Index]], ReviewCalcs[Project Index], 0)), IF(AND(C46="Pres.", D46="1 to 6"), 3*Q46, IF(AND(C46="Pres.", D46="7 to 11"), 4*Q46, IF(AND(C46="Pres.", D46="12 to 17"), 5*Q46, IF(AND(C46="Pres.", D46="Exit Sign"), 20*Q46, IF(AND(C46="Pres.", D46="&gt; 18"), 6*Q46)))))))</f>
        <v>0</v>
      </c>
      <c r="AD46" s="181">
        <f>ProjectInput[[#This Row],[Retrofit Cost]]</f>
        <v>0</v>
      </c>
      <c r="AE46" s="181">
        <f>ProjectInput[[#This Row],[Retrofit Cost]]-ProjectInput[[#This Row],[Incentive ($)]]</f>
        <v>0</v>
      </c>
      <c r="AF46" s="182" t="str">
        <f>IFERROR(ProjectInput[[#This Row],[Net Project Cost ($)]]/ProjectInput[[#This Row],[Energy Cost Savings ($)]], "")</f>
        <v/>
      </c>
    </row>
    <row r="47" spans="2:32" s="175" customFormat="1" ht="40" customHeight="1">
      <c r="B47" s="213">
        <v>44</v>
      </c>
      <c r="C47" s="220"/>
      <c r="D47" s="219"/>
      <c r="E47" s="176"/>
      <c r="F47" s="167"/>
      <c r="G47" s="167"/>
      <c r="H47" s="167"/>
      <c r="I47" s="167"/>
      <c r="J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7" s="176"/>
      <c r="L47" s="167"/>
      <c r="M47" s="167"/>
      <c r="N47" s="167"/>
      <c r="O47" s="167"/>
      <c r="P47" s="177" t="str">
        <f>IF(ProjectInput[[#This Row],[Existing Fixture Code]]=0, "",INDEX(Table7[WATT/ FIXT], MATCH(ProjectInput[[#This Row],[Existing Fixture Code]], Table7[FIXTURE CODE], 0)))</f>
        <v/>
      </c>
      <c r="Q47" s="176"/>
      <c r="R47" s="167"/>
      <c r="S47" s="167"/>
      <c r="T47" s="167"/>
      <c r="U47" s="167"/>
      <c r="V47" s="167"/>
      <c r="W47" s="167"/>
      <c r="X47" s="178"/>
      <c r="Y47" s="179" t="str">
        <f>IF(ProjectInput[[#This Row],[Proposed Fixture Code]]=0, "", INDEX(Table7[WATT/ FIXT], MATCH(ProjectInput[[#This Row],[Proposed Fixture Code]], Table7[FIXTURE CODE],0 )))</f>
        <v/>
      </c>
      <c r="Z47" s="180">
        <f>INDEX(ReviewCalcs[Incentive Total Energy Savings (kWh)], MATCH(ProjectInput[[#This Row],[Project Index]], ReviewCalcs[Project Index], 0))</f>
        <v>0</v>
      </c>
      <c r="AA47" s="172">
        <f>INDEX(ReviewCalcs[Incentive Total Demand Savings (kW)], MATCH(ProjectInput[[#This Row],[Project Index]], ReviewCalcs[Project Index], 0))</f>
        <v>0</v>
      </c>
      <c r="AB47" s="181">
        <f>ProjectInput[[#This Row],[Energy Savings (kWh)]]*Avg_KWh_Rate</f>
        <v>0</v>
      </c>
      <c r="AC47" s="173">
        <f>IF(C47="", 0, IF(C47="Cust.", INDEX(ReviewCalcs[Incentive ($)], MATCH(ProjectInput[[#This Row],[Project Index]], ReviewCalcs[Project Index], 0)), IF(AND(C47="Pres.", D47="1 to 6"), 3*Q47, IF(AND(C47="Pres.", D47="7 to 11"), 4*Q47, IF(AND(C47="Pres.", D47="12 to 17"), 5*Q47, IF(AND(C47="Pres.", D47="Exit Sign"), 20*Q47, IF(AND(C47="Pres.", D47="&gt; 18"), 6*Q47)))))))</f>
        <v>0</v>
      </c>
      <c r="AD47" s="181">
        <f>ProjectInput[[#This Row],[Retrofit Cost]]</f>
        <v>0</v>
      </c>
      <c r="AE47" s="181">
        <f>ProjectInput[[#This Row],[Retrofit Cost]]-ProjectInput[[#This Row],[Incentive ($)]]</f>
        <v>0</v>
      </c>
      <c r="AF47" s="182" t="str">
        <f>IFERROR(ProjectInput[[#This Row],[Net Project Cost ($)]]/ProjectInput[[#This Row],[Energy Cost Savings ($)]], "")</f>
        <v/>
      </c>
    </row>
    <row r="48" spans="2:32" s="175" customFormat="1" ht="40" customHeight="1">
      <c r="B48" s="213">
        <v>45</v>
      </c>
      <c r="C48" s="223"/>
      <c r="D48" s="224"/>
      <c r="E48" s="176"/>
      <c r="F48" s="167"/>
      <c r="G48" s="167"/>
      <c r="H48" s="167"/>
      <c r="I48" s="167"/>
      <c r="J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8" s="176"/>
      <c r="L48" s="167"/>
      <c r="M48" s="167"/>
      <c r="N48" s="167"/>
      <c r="O48" s="167"/>
      <c r="P48" s="177" t="str">
        <f>IF(ProjectInput[[#This Row],[Existing Fixture Code]]=0, "",INDEX(Table7[WATT/ FIXT], MATCH(ProjectInput[[#This Row],[Existing Fixture Code]], Table7[FIXTURE CODE], 0)))</f>
        <v/>
      </c>
      <c r="Q48" s="176"/>
      <c r="R48" s="167"/>
      <c r="S48" s="167"/>
      <c r="T48" s="167"/>
      <c r="U48" s="167"/>
      <c r="V48" s="167"/>
      <c r="W48" s="167"/>
      <c r="X48" s="178"/>
      <c r="Y48" s="179" t="str">
        <f>IF(ProjectInput[[#This Row],[Proposed Fixture Code]]=0, "", INDEX(Table7[WATT/ FIXT], MATCH(ProjectInput[[#This Row],[Proposed Fixture Code]], Table7[FIXTURE CODE],0 )))</f>
        <v/>
      </c>
      <c r="Z48" s="180">
        <f>INDEX(ReviewCalcs[Incentive Total Energy Savings (kWh)], MATCH(ProjectInput[[#This Row],[Project Index]], ReviewCalcs[Project Index], 0))</f>
        <v>0</v>
      </c>
      <c r="AA48" s="172">
        <f>INDEX(ReviewCalcs[Incentive Total Demand Savings (kW)], MATCH(ProjectInput[[#This Row],[Project Index]], ReviewCalcs[Project Index], 0))</f>
        <v>0</v>
      </c>
      <c r="AB48" s="181">
        <f>ProjectInput[[#This Row],[Energy Savings (kWh)]]*Avg_KWh_Rate</f>
        <v>0</v>
      </c>
      <c r="AC48" s="173">
        <f>IF(C48="", 0, IF(C48="Cust.", INDEX(ReviewCalcs[Incentive ($)], MATCH(ProjectInput[[#This Row],[Project Index]], ReviewCalcs[Project Index], 0)), IF(AND(C48="Pres.", D48="1 to 6"), 3*Q48, IF(AND(C48="Pres.", D48="7 to 11"), 4*Q48, IF(AND(C48="Pres.", D48="12 to 17"), 5*Q48, IF(AND(C48="Pres.", D48="Exit Sign"), 20*Q48, IF(AND(C48="Pres.", D48="&gt; 18"), 6*Q48)))))))</f>
        <v>0</v>
      </c>
      <c r="AD48" s="181">
        <f>ProjectInput[[#This Row],[Retrofit Cost]]</f>
        <v>0</v>
      </c>
      <c r="AE48" s="181">
        <f>ProjectInput[[#This Row],[Retrofit Cost]]-ProjectInput[[#This Row],[Incentive ($)]]</f>
        <v>0</v>
      </c>
      <c r="AF48" s="182" t="str">
        <f>IFERROR(ProjectInput[[#This Row],[Net Project Cost ($)]]/ProjectInput[[#This Row],[Energy Cost Savings ($)]], "")</f>
        <v/>
      </c>
    </row>
    <row r="49" spans="2:32" s="175" customFormat="1" ht="40" customHeight="1">
      <c r="B49" s="213">
        <v>46</v>
      </c>
      <c r="C49" s="220"/>
      <c r="D49" s="219"/>
      <c r="E49" s="176"/>
      <c r="F49" s="167"/>
      <c r="G49" s="167"/>
      <c r="H49" s="167"/>
      <c r="I49" s="167"/>
      <c r="J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49" s="176"/>
      <c r="L49" s="167"/>
      <c r="M49" s="167"/>
      <c r="N49" s="167"/>
      <c r="O49" s="167"/>
      <c r="P49" s="177" t="str">
        <f>IF(ProjectInput[[#This Row],[Existing Fixture Code]]=0, "",INDEX(Table7[WATT/ FIXT], MATCH(ProjectInput[[#This Row],[Existing Fixture Code]], Table7[FIXTURE CODE], 0)))</f>
        <v/>
      </c>
      <c r="Q49" s="176"/>
      <c r="R49" s="167"/>
      <c r="S49" s="167"/>
      <c r="T49" s="167"/>
      <c r="U49" s="167"/>
      <c r="V49" s="167"/>
      <c r="W49" s="167"/>
      <c r="X49" s="178"/>
      <c r="Y49" s="179" t="str">
        <f>IF(ProjectInput[[#This Row],[Proposed Fixture Code]]=0, "", INDEX(Table7[WATT/ FIXT], MATCH(ProjectInput[[#This Row],[Proposed Fixture Code]], Table7[FIXTURE CODE],0 )))</f>
        <v/>
      </c>
      <c r="Z49" s="180">
        <f>INDEX(ReviewCalcs[Incentive Total Energy Savings (kWh)], MATCH(ProjectInput[[#This Row],[Project Index]], ReviewCalcs[Project Index], 0))</f>
        <v>0</v>
      </c>
      <c r="AA49" s="172">
        <f>INDEX(ReviewCalcs[Incentive Total Demand Savings (kW)], MATCH(ProjectInput[[#This Row],[Project Index]], ReviewCalcs[Project Index], 0))</f>
        <v>0</v>
      </c>
      <c r="AB49" s="181">
        <f>ProjectInput[[#This Row],[Energy Savings (kWh)]]*Avg_KWh_Rate</f>
        <v>0</v>
      </c>
      <c r="AC49" s="173">
        <f>IF(C49="", 0, IF(C49="Cust.", INDEX(ReviewCalcs[Incentive ($)], MATCH(ProjectInput[[#This Row],[Project Index]], ReviewCalcs[Project Index], 0)), IF(AND(C49="Pres.", D49="1 to 6"), 3*Q49, IF(AND(C49="Pres.", D49="7 to 11"), 4*Q49, IF(AND(C49="Pres.", D49="12 to 17"), 5*Q49, IF(AND(C49="Pres.", D49="Exit Sign"), 20*Q49, IF(AND(C49="Pres.", D49="&gt; 18"), 6*Q49)))))))</f>
        <v>0</v>
      </c>
      <c r="AD49" s="181">
        <f>ProjectInput[[#This Row],[Retrofit Cost]]</f>
        <v>0</v>
      </c>
      <c r="AE49" s="181">
        <f>ProjectInput[[#This Row],[Retrofit Cost]]-ProjectInput[[#This Row],[Incentive ($)]]</f>
        <v>0</v>
      </c>
      <c r="AF49" s="182" t="str">
        <f>IFERROR(ProjectInput[[#This Row],[Net Project Cost ($)]]/ProjectInput[[#This Row],[Energy Cost Savings ($)]], "")</f>
        <v/>
      </c>
    </row>
    <row r="50" spans="2:32" s="175" customFormat="1" ht="40" customHeight="1">
      <c r="B50" s="213">
        <v>47</v>
      </c>
      <c r="C50" s="223"/>
      <c r="D50" s="224"/>
      <c r="E50" s="176"/>
      <c r="F50" s="167"/>
      <c r="G50" s="167"/>
      <c r="H50" s="167"/>
      <c r="I50" s="167"/>
      <c r="J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0" s="176"/>
      <c r="L50" s="167"/>
      <c r="M50" s="167"/>
      <c r="N50" s="167"/>
      <c r="O50" s="167"/>
      <c r="P50" s="177" t="str">
        <f>IF(ProjectInput[[#This Row],[Existing Fixture Code]]=0, "",INDEX(Table7[WATT/ FIXT], MATCH(ProjectInput[[#This Row],[Existing Fixture Code]], Table7[FIXTURE CODE], 0)))</f>
        <v/>
      </c>
      <c r="Q50" s="176"/>
      <c r="R50" s="167"/>
      <c r="S50" s="167"/>
      <c r="T50" s="167"/>
      <c r="U50" s="167"/>
      <c r="V50" s="167"/>
      <c r="W50" s="167"/>
      <c r="X50" s="178"/>
      <c r="Y50" s="179" t="str">
        <f>IF(ProjectInput[[#This Row],[Proposed Fixture Code]]=0, "", INDEX(Table7[WATT/ FIXT], MATCH(ProjectInput[[#This Row],[Proposed Fixture Code]], Table7[FIXTURE CODE],0 )))</f>
        <v/>
      </c>
      <c r="Z50" s="180">
        <f>INDEX(ReviewCalcs[Incentive Total Energy Savings (kWh)], MATCH(ProjectInput[[#This Row],[Project Index]], ReviewCalcs[Project Index], 0))</f>
        <v>0</v>
      </c>
      <c r="AA50" s="172">
        <f>INDEX(ReviewCalcs[Incentive Total Demand Savings (kW)], MATCH(ProjectInput[[#This Row],[Project Index]], ReviewCalcs[Project Index], 0))</f>
        <v>0</v>
      </c>
      <c r="AB50" s="181">
        <f>ProjectInput[[#This Row],[Energy Savings (kWh)]]*Avg_KWh_Rate</f>
        <v>0</v>
      </c>
      <c r="AC50" s="173">
        <f>IF(C50="", 0, IF(C50="Cust.", INDEX(ReviewCalcs[Incentive ($)], MATCH(ProjectInput[[#This Row],[Project Index]], ReviewCalcs[Project Index], 0)), IF(AND(C50="Pres.", D50="1 to 6"), 3*Q50, IF(AND(C50="Pres.", D50="7 to 11"), 4*Q50, IF(AND(C50="Pres.", D50="12 to 17"), 5*Q50, IF(AND(C50="Pres.", D50="Exit Sign"), 20*Q50, IF(AND(C50="Pres.", D50="&gt; 18"), 6*Q50)))))))</f>
        <v>0</v>
      </c>
      <c r="AD50" s="181">
        <f>ProjectInput[[#This Row],[Retrofit Cost]]</f>
        <v>0</v>
      </c>
      <c r="AE50" s="181">
        <f>ProjectInput[[#This Row],[Retrofit Cost]]-ProjectInput[[#This Row],[Incentive ($)]]</f>
        <v>0</v>
      </c>
      <c r="AF50" s="182" t="str">
        <f>IFERROR(ProjectInput[[#This Row],[Net Project Cost ($)]]/ProjectInput[[#This Row],[Energy Cost Savings ($)]], "")</f>
        <v/>
      </c>
    </row>
    <row r="51" spans="2:32" s="175" customFormat="1" ht="40" customHeight="1">
      <c r="B51" s="213">
        <v>48</v>
      </c>
      <c r="C51" s="220"/>
      <c r="D51" s="219"/>
      <c r="E51" s="176"/>
      <c r="F51" s="167"/>
      <c r="G51" s="167"/>
      <c r="H51" s="167"/>
      <c r="I51" s="167"/>
      <c r="J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1" s="176"/>
      <c r="L51" s="167"/>
      <c r="M51" s="167"/>
      <c r="N51" s="167"/>
      <c r="O51" s="167"/>
      <c r="P51" s="177" t="str">
        <f>IF(ProjectInput[[#This Row],[Existing Fixture Code]]=0, "",INDEX(Table7[WATT/ FIXT], MATCH(ProjectInput[[#This Row],[Existing Fixture Code]], Table7[FIXTURE CODE], 0)))</f>
        <v/>
      </c>
      <c r="Q51" s="176"/>
      <c r="R51" s="167"/>
      <c r="S51" s="167"/>
      <c r="T51" s="167"/>
      <c r="U51" s="167"/>
      <c r="V51" s="167"/>
      <c r="W51" s="167"/>
      <c r="X51" s="178"/>
      <c r="Y51" s="179" t="str">
        <f>IF(ProjectInput[[#This Row],[Proposed Fixture Code]]=0, "", INDEX(Table7[WATT/ FIXT], MATCH(ProjectInput[[#This Row],[Proposed Fixture Code]], Table7[FIXTURE CODE],0 )))</f>
        <v/>
      </c>
      <c r="Z51" s="180">
        <f>INDEX(ReviewCalcs[Incentive Total Energy Savings (kWh)], MATCH(ProjectInput[[#This Row],[Project Index]], ReviewCalcs[Project Index], 0))</f>
        <v>0</v>
      </c>
      <c r="AA51" s="172">
        <f>INDEX(ReviewCalcs[Incentive Total Demand Savings (kW)], MATCH(ProjectInput[[#This Row],[Project Index]], ReviewCalcs[Project Index], 0))</f>
        <v>0</v>
      </c>
      <c r="AB51" s="181">
        <f>ProjectInput[[#This Row],[Energy Savings (kWh)]]*Avg_KWh_Rate</f>
        <v>0</v>
      </c>
      <c r="AC51" s="173">
        <f>IF(C51="", 0, IF(C51="Cust.", INDEX(ReviewCalcs[Incentive ($)], MATCH(ProjectInput[[#This Row],[Project Index]], ReviewCalcs[Project Index], 0)), IF(AND(C51="Pres.", D51="1 to 6"), 3*Q51, IF(AND(C51="Pres.", D51="7 to 11"), 4*Q51, IF(AND(C51="Pres.", D51="12 to 17"), 5*Q51, IF(AND(C51="Pres.", D51="Exit Sign"), 20*Q51, IF(AND(C51="Pres.", D51="&gt; 18"), 6*Q51)))))))</f>
        <v>0</v>
      </c>
      <c r="AD51" s="181">
        <f>ProjectInput[[#This Row],[Retrofit Cost]]</f>
        <v>0</v>
      </c>
      <c r="AE51" s="181">
        <f>ProjectInput[[#This Row],[Retrofit Cost]]-ProjectInput[[#This Row],[Incentive ($)]]</f>
        <v>0</v>
      </c>
      <c r="AF51" s="182" t="str">
        <f>IFERROR(ProjectInput[[#This Row],[Net Project Cost ($)]]/ProjectInput[[#This Row],[Energy Cost Savings ($)]], "")</f>
        <v/>
      </c>
    </row>
    <row r="52" spans="2:32" s="175" customFormat="1" ht="40" customHeight="1">
      <c r="B52" s="213">
        <v>49</v>
      </c>
      <c r="C52" s="223"/>
      <c r="D52" s="224"/>
      <c r="E52" s="176"/>
      <c r="F52" s="167"/>
      <c r="G52" s="167"/>
      <c r="H52" s="167"/>
      <c r="I52" s="167"/>
      <c r="J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2" s="176"/>
      <c r="L52" s="167"/>
      <c r="M52" s="167"/>
      <c r="N52" s="167"/>
      <c r="O52" s="167"/>
      <c r="P52" s="177" t="str">
        <f>IF(ProjectInput[[#This Row],[Existing Fixture Code]]=0, "",INDEX(Table7[WATT/ FIXT], MATCH(ProjectInput[[#This Row],[Existing Fixture Code]], Table7[FIXTURE CODE], 0)))</f>
        <v/>
      </c>
      <c r="Q52" s="176"/>
      <c r="R52" s="167"/>
      <c r="S52" s="167"/>
      <c r="T52" s="167"/>
      <c r="U52" s="167"/>
      <c r="V52" s="167"/>
      <c r="W52" s="167"/>
      <c r="X52" s="178"/>
      <c r="Y52" s="179" t="str">
        <f>IF(ProjectInput[[#This Row],[Proposed Fixture Code]]=0, "", INDEX(Table7[WATT/ FIXT], MATCH(ProjectInput[[#This Row],[Proposed Fixture Code]], Table7[FIXTURE CODE],0 )))</f>
        <v/>
      </c>
      <c r="Z52" s="180">
        <f>INDEX(ReviewCalcs[Incentive Total Energy Savings (kWh)], MATCH(ProjectInput[[#This Row],[Project Index]], ReviewCalcs[Project Index], 0))</f>
        <v>0</v>
      </c>
      <c r="AA52" s="172">
        <f>INDEX(ReviewCalcs[Incentive Total Demand Savings (kW)], MATCH(ProjectInput[[#This Row],[Project Index]], ReviewCalcs[Project Index], 0))</f>
        <v>0</v>
      </c>
      <c r="AB52" s="181">
        <f>ProjectInput[[#This Row],[Energy Savings (kWh)]]*Avg_KWh_Rate</f>
        <v>0</v>
      </c>
      <c r="AC52" s="173">
        <f>IF(C52="", 0, IF(C52="Cust.", INDEX(ReviewCalcs[Incentive ($)], MATCH(ProjectInput[[#This Row],[Project Index]], ReviewCalcs[Project Index], 0)), IF(AND(C52="Pres.", D52="1 to 6"), 3*Q52, IF(AND(C52="Pres.", D52="7 to 11"), 4*Q52, IF(AND(C52="Pres.", D52="12 to 17"), 5*Q52, IF(AND(C52="Pres.", D52="Exit Sign"), 20*Q52, IF(AND(C52="Pres.", D52="&gt; 18"), 6*Q52)))))))</f>
        <v>0</v>
      </c>
      <c r="AD52" s="181">
        <f>ProjectInput[[#This Row],[Retrofit Cost]]</f>
        <v>0</v>
      </c>
      <c r="AE52" s="181">
        <f>ProjectInput[[#This Row],[Retrofit Cost]]-ProjectInput[[#This Row],[Incentive ($)]]</f>
        <v>0</v>
      </c>
      <c r="AF52" s="182" t="str">
        <f>IFERROR(ProjectInput[[#This Row],[Net Project Cost ($)]]/ProjectInput[[#This Row],[Energy Cost Savings ($)]], "")</f>
        <v/>
      </c>
    </row>
    <row r="53" spans="2:32" s="175" customFormat="1" ht="40" customHeight="1">
      <c r="B53" s="213">
        <v>50</v>
      </c>
      <c r="C53" s="220"/>
      <c r="D53" s="219"/>
      <c r="E53" s="176"/>
      <c r="F53" s="167"/>
      <c r="G53" s="167"/>
      <c r="H53" s="167"/>
      <c r="I53" s="167"/>
      <c r="J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3" s="176"/>
      <c r="L53" s="167"/>
      <c r="M53" s="167"/>
      <c r="N53" s="167"/>
      <c r="O53" s="167"/>
      <c r="P53" s="177" t="str">
        <f>IF(ProjectInput[[#This Row],[Existing Fixture Code]]=0, "",INDEX(Table7[WATT/ FIXT], MATCH(ProjectInput[[#This Row],[Existing Fixture Code]], Table7[FIXTURE CODE], 0)))</f>
        <v/>
      </c>
      <c r="Q53" s="176"/>
      <c r="R53" s="167"/>
      <c r="S53" s="167"/>
      <c r="T53" s="167"/>
      <c r="U53" s="167"/>
      <c r="V53" s="167"/>
      <c r="W53" s="167"/>
      <c r="X53" s="178"/>
      <c r="Y53" s="179" t="str">
        <f>IF(ProjectInput[[#This Row],[Proposed Fixture Code]]=0, "", INDEX(Table7[WATT/ FIXT], MATCH(ProjectInput[[#This Row],[Proposed Fixture Code]], Table7[FIXTURE CODE],0 )))</f>
        <v/>
      </c>
      <c r="Z53" s="180">
        <f>INDEX(ReviewCalcs[Incentive Total Energy Savings (kWh)], MATCH(ProjectInput[[#This Row],[Project Index]], ReviewCalcs[Project Index], 0))</f>
        <v>0</v>
      </c>
      <c r="AA53" s="172">
        <f>INDEX(ReviewCalcs[Incentive Total Demand Savings (kW)], MATCH(ProjectInput[[#This Row],[Project Index]], ReviewCalcs[Project Index], 0))</f>
        <v>0</v>
      </c>
      <c r="AB53" s="181">
        <f>ProjectInput[[#This Row],[Energy Savings (kWh)]]*Avg_KWh_Rate</f>
        <v>0</v>
      </c>
      <c r="AC53" s="173">
        <f>IF(C53="", 0, IF(C53="Cust.", INDEX(ReviewCalcs[Incentive ($)], MATCH(ProjectInput[[#This Row],[Project Index]], ReviewCalcs[Project Index], 0)), IF(AND(C53="Pres.", D53="1 to 6"), 3*Q53, IF(AND(C53="Pres.", D53="7 to 11"), 4*Q53, IF(AND(C53="Pres.", D53="12 to 17"), 5*Q53, IF(AND(C53="Pres.", D53="Exit Sign"), 20*Q53, IF(AND(C53="Pres.", D53="&gt; 18"), 6*Q53)))))))</f>
        <v>0</v>
      </c>
      <c r="AD53" s="181">
        <f>ProjectInput[[#This Row],[Retrofit Cost]]</f>
        <v>0</v>
      </c>
      <c r="AE53" s="181">
        <f>ProjectInput[[#This Row],[Retrofit Cost]]-ProjectInput[[#This Row],[Incentive ($)]]</f>
        <v>0</v>
      </c>
      <c r="AF53" s="182" t="str">
        <f>IFERROR(ProjectInput[[#This Row],[Net Project Cost ($)]]/ProjectInput[[#This Row],[Energy Cost Savings ($)]], "")</f>
        <v/>
      </c>
    </row>
    <row r="54" spans="2:32" s="175" customFormat="1" ht="40" customHeight="1">
      <c r="B54" s="213">
        <v>51</v>
      </c>
      <c r="C54" s="223"/>
      <c r="D54" s="224"/>
      <c r="E54" s="176"/>
      <c r="F54" s="167"/>
      <c r="G54" s="167"/>
      <c r="H54" s="167"/>
      <c r="I54" s="167"/>
      <c r="J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4" s="176"/>
      <c r="L54" s="167"/>
      <c r="M54" s="167"/>
      <c r="N54" s="167"/>
      <c r="O54" s="167"/>
      <c r="P54" s="177" t="str">
        <f>IF(ProjectInput[[#This Row],[Existing Fixture Code]]=0, "",INDEX(Table7[WATT/ FIXT], MATCH(ProjectInput[[#This Row],[Existing Fixture Code]], Table7[FIXTURE CODE], 0)))</f>
        <v/>
      </c>
      <c r="Q54" s="176"/>
      <c r="R54" s="167"/>
      <c r="S54" s="167"/>
      <c r="T54" s="167"/>
      <c r="U54" s="167"/>
      <c r="V54" s="167"/>
      <c r="W54" s="167"/>
      <c r="X54" s="178"/>
      <c r="Y54" s="179" t="str">
        <f>IF(ProjectInput[[#This Row],[Proposed Fixture Code]]=0, "", INDEX(Table7[WATT/ FIXT], MATCH(ProjectInput[[#This Row],[Proposed Fixture Code]], Table7[FIXTURE CODE],0 )))</f>
        <v/>
      </c>
      <c r="Z54" s="180">
        <f>INDEX(ReviewCalcs[Incentive Total Energy Savings (kWh)], MATCH(ProjectInput[[#This Row],[Project Index]], ReviewCalcs[Project Index], 0))</f>
        <v>0</v>
      </c>
      <c r="AA54" s="172">
        <f>INDEX(ReviewCalcs[Incentive Total Demand Savings (kW)], MATCH(ProjectInput[[#This Row],[Project Index]], ReviewCalcs[Project Index], 0))</f>
        <v>0</v>
      </c>
      <c r="AB54" s="181">
        <f>ProjectInput[[#This Row],[Energy Savings (kWh)]]*Avg_KWh_Rate</f>
        <v>0</v>
      </c>
      <c r="AC54" s="173">
        <f>IF(C54="", 0, IF(C54="Cust.", INDEX(ReviewCalcs[Incentive ($)], MATCH(ProjectInput[[#This Row],[Project Index]], ReviewCalcs[Project Index], 0)), IF(AND(C54="Pres.", D54="1 to 6"), 3*Q54, IF(AND(C54="Pres.", D54="7 to 11"), 4*Q54, IF(AND(C54="Pres.", D54="12 to 17"), 5*Q54, IF(AND(C54="Pres.", D54="Exit Sign"), 20*Q54, IF(AND(C54="Pres.", D54="&gt; 18"), 6*Q54)))))))</f>
        <v>0</v>
      </c>
      <c r="AD54" s="181">
        <f>ProjectInput[[#This Row],[Retrofit Cost]]</f>
        <v>0</v>
      </c>
      <c r="AE54" s="181">
        <f>ProjectInput[[#This Row],[Retrofit Cost]]-ProjectInput[[#This Row],[Incentive ($)]]</f>
        <v>0</v>
      </c>
      <c r="AF54" s="182" t="str">
        <f>IFERROR(ProjectInput[[#This Row],[Net Project Cost ($)]]/ProjectInput[[#This Row],[Energy Cost Savings ($)]], "")</f>
        <v/>
      </c>
    </row>
    <row r="55" spans="2:32" s="175" customFormat="1" ht="40" customHeight="1">
      <c r="B55" s="213">
        <v>52</v>
      </c>
      <c r="C55" s="220"/>
      <c r="D55" s="219"/>
      <c r="E55" s="176"/>
      <c r="F55" s="167"/>
      <c r="G55" s="167"/>
      <c r="H55" s="167"/>
      <c r="I55" s="167"/>
      <c r="J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5" s="176"/>
      <c r="L55" s="167"/>
      <c r="M55" s="167"/>
      <c r="N55" s="167"/>
      <c r="O55" s="167"/>
      <c r="P55" s="177" t="str">
        <f>IF(ProjectInput[[#This Row],[Existing Fixture Code]]=0, "",INDEX(Table7[WATT/ FIXT], MATCH(ProjectInput[[#This Row],[Existing Fixture Code]], Table7[FIXTURE CODE], 0)))</f>
        <v/>
      </c>
      <c r="Q55" s="176"/>
      <c r="R55" s="167"/>
      <c r="S55" s="167"/>
      <c r="T55" s="167"/>
      <c r="U55" s="167"/>
      <c r="V55" s="167"/>
      <c r="W55" s="167"/>
      <c r="X55" s="178"/>
      <c r="Y55" s="179" t="str">
        <f>IF(ProjectInput[[#This Row],[Proposed Fixture Code]]=0, "", INDEX(Table7[WATT/ FIXT], MATCH(ProjectInput[[#This Row],[Proposed Fixture Code]], Table7[FIXTURE CODE],0 )))</f>
        <v/>
      </c>
      <c r="Z55" s="180">
        <f>INDEX(ReviewCalcs[Incentive Total Energy Savings (kWh)], MATCH(ProjectInput[[#This Row],[Project Index]], ReviewCalcs[Project Index], 0))</f>
        <v>0</v>
      </c>
      <c r="AA55" s="172">
        <f>INDEX(ReviewCalcs[Incentive Total Demand Savings (kW)], MATCH(ProjectInput[[#This Row],[Project Index]], ReviewCalcs[Project Index], 0))</f>
        <v>0</v>
      </c>
      <c r="AB55" s="181">
        <f>ProjectInput[[#This Row],[Energy Savings (kWh)]]*Avg_KWh_Rate</f>
        <v>0</v>
      </c>
      <c r="AC55" s="173">
        <f>IF(C55="", 0, IF(C55="Cust.", INDEX(ReviewCalcs[Incentive ($)], MATCH(ProjectInput[[#This Row],[Project Index]], ReviewCalcs[Project Index], 0)), IF(AND(C55="Pres.", D55="1 to 6"), 3*Q55, IF(AND(C55="Pres.", D55="7 to 11"), 4*Q55, IF(AND(C55="Pres.", D55="12 to 17"), 5*Q55, IF(AND(C55="Pres.", D55="Exit Sign"), 20*Q55, IF(AND(C55="Pres.", D55="&gt; 18"), 6*Q55)))))))</f>
        <v>0</v>
      </c>
      <c r="AD55" s="181">
        <f>ProjectInput[[#This Row],[Retrofit Cost]]</f>
        <v>0</v>
      </c>
      <c r="AE55" s="181">
        <f>ProjectInput[[#This Row],[Retrofit Cost]]-ProjectInput[[#This Row],[Incentive ($)]]</f>
        <v>0</v>
      </c>
      <c r="AF55" s="182" t="str">
        <f>IFERROR(ProjectInput[[#This Row],[Net Project Cost ($)]]/ProjectInput[[#This Row],[Energy Cost Savings ($)]], "")</f>
        <v/>
      </c>
    </row>
    <row r="56" spans="2:32" s="175" customFormat="1" ht="40" customHeight="1">
      <c r="B56" s="213">
        <v>53</v>
      </c>
      <c r="C56" s="223"/>
      <c r="D56" s="224"/>
      <c r="E56" s="176"/>
      <c r="F56" s="167"/>
      <c r="G56" s="167"/>
      <c r="H56" s="167"/>
      <c r="I56" s="167"/>
      <c r="J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6" s="176"/>
      <c r="L56" s="167"/>
      <c r="M56" s="167"/>
      <c r="N56" s="167"/>
      <c r="O56" s="167"/>
      <c r="P56" s="177" t="str">
        <f>IF(ProjectInput[[#This Row],[Existing Fixture Code]]=0, "",INDEX(Table7[WATT/ FIXT], MATCH(ProjectInput[[#This Row],[Existing Fixture Code]], Table7[FIXTURE CODE], 0)))</f>
        <v/>
      </c>
      <c r="Q56" s="176"/>
      <c r="R56" s="167"/>
      <c r="S56" s="167"/>
      <c r="T56" s="167"/>
      <c r="U56" s="167"/>
      <c r="V56" s="167"/>
      <c r="W56" s="167"/>
      <c r="X56" s="178"/>
      <c r="Y56" s="179" t="str">
        <f>IF(ProjectInput[[#This Row],[Proposed Fixture Code]]=0, "", INDEX(Table7[WATT/ FIXT], MATCH(ProjectInput[[#This Row],[Proposed Fixture Code]], Table7[FIXTURE CODE],0 )))</f>
        <v/>
      </c>
      <c r="Z56" s="180">
        <f>INDEX(ReviewCalcs[Incentive Total Energy Savings (kWh)], MATCH(ProjectInput[[#This Row],[Project Index]], ReviewCalcs[Project Index], 0))</f>
        <v>0</v>
      </c>
      <c r="AA56" s="172">
        <f>INDEX(ReviewCalcs[Incentive Total Demand Savings (kW)], MATCH(ProjectInput[[#This Row],[Project Index]], ReviewCalcs[Project Index], 0))</f>
        <v>0</v>
      </c>
      <c r="AB56" s="181">
        <f>ProjectInput[[#This Row],[Energy Savings (kWh)]]*Avg_KWh_Rate</f>
        <v>0</v>
      </c>
      <c r="AC56" s="173">
        <f>IF(C56="", 0, IF(C56="Cust.", INDEX(ReviewCalcs[Incentive ($)], MATCH(ProjectInput[[#This Row],[Project Index]], ReviewCalcs[Project Index], 0)), IF(AND(C56="Pres.", D56="1 to 6"), 3*Q56, IF(AND(C56="Pres.", D56="7 to 11"), 4*Q56, IF(AND(C56="Pres.", D56="12 to 17"), 5*Q56, IF(AND(C56="Pres.", D56="Exit Sign"), 20*Q56, IF(AND(C56="Pres.", D56="&gt; 18"), 6*Q56)))))))</f>
        <v>0</v>
      </c>
      <c r="AD56" s="181">
        <f>ProjectInput[[#This Row],[Retrofit Cost]]</f>
        <v>0</v>
      </c>
      <c r="AE56" s="181">
        <f>ProjectInput[[#This Row],[Retrofit Cost]]-ProjectInput[[#This Row],[Incentive ($)]]</f>
        <v>0</v>
      </c>
      <c r="AF56" s="182" t="str">
        <f>IFERROR(ProjectInput[[#This Row],[Net Project Cost ($)]]/ProjectInput[[#This Row],[Energy Cost Savings ($)]], "")</f>
        <v/>
      </c>
    </row>
    <row r="57" spans="2:32" s="175" customFormat="1" ht="40" customHeight="1">
      <c r="B57" s="213">
        <v>54</v>
      </c>
      <c r="C57" s="220"/>
      <c r="D57" s="219"/>
      <c r="E57" s="176"/>
      <c r="F57" s="167"/>
      <c r="G57" s="167"/>
      <c r="H57" s="167"/>
      <c r="I57" s="167"/>
      <c r="J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7" s="176"/>
      <c r="L57" s="167"/>
      <c r="M57" s="167"/>
      <c r="N57" s="167"/>
      <c r="O57" s="167"/>
      <c r="P57" s="177" t="str">
        <f>IF(ProjectInput[[#This Row],[Existing Fixture Code]]=0, "",INDEX(Table7[WATT/ FIXT], MATCH(ProjectInput[[#This Row],[Existing Fixture Code]], Table7[FIXTURE CODE], 0)))</f>
        <v/>
      </c>
      <c r="Q57" s="176"/>
      <c r="R57" s="167"/>
      <c r="S57" s="167"/>
      <c r="T57" s="167"/>
      <c r="U57" s="167"/>
      <c r="V57" s="167"/>
      <c r="W57" s="167"/>
      <c r="X57" s="178"/>
      <c r="Y57" s="179" t="str">
        <f>IF(ProjectInput[[#This Row],[Proposed Fixture Code]]=0, "", INDEX(Table7[WATT/ FIXT], MATCH(ProjectInput[[#This Row],[Proposed Fixture Code]], Table7[FIXTURE CODE],0 )))</f>
        <v/>
      </c>
      <c r="Z57" s="180">
        <f>INDEX(ReviewCalcs[Incentive Total Energy Savings (kWh)], MATCH(ProjectInput[[#This Row],[Project Index]], ReviewCalcs[Project Index], 0))</f>
        <v>0</v>
      </c>
      <c r="AA57" s="172">
        <f>INDEX(ReviewCalcs[Incentive Total Demand Savings (kW)], MATCH(ProjectInput[[#This Row],[Project Index]], ReviewCalcs[Project Index], 0))</f>
        <v>0</v>
      </c>
      <c r="AB57" s="181">
        <f>ProjectInput[[#This Row],[Energy Savings (kWh)]]*Avg_KWh_Rate</f>
        <v>0</v>
      </c>
      <c r="AC57" s="173">
        <f>IF(C57="", 0, IF(C57="Cust.", INDEX(ReviewCalcs[Incentive ($)], MATCH(ProjectInput[[#This Row],[Project Index]], ReviewCalcs[Project Index], 0)), IF(AND(C57="Pres.", D57="1 to 6"), 3*Q57, IF(AND(C57="Pres.", D57="7 to 11"), 4*Q57, IF(AND(C57="Pres.", D57="12 to 17"), 5*Q57, IF(AND(C57="Pres.", D57="Exit Sign"), 20*Q57, IF(AND(C57="Pres.", D57="&gt; 18"), 6*Q57)))))))</f>
        <v>0</v>
      </c>
      <c r="AD57" s="181">
        <f>ProjectInput[[#This Row],[Retrofit Cost]]</f>
        <v>0</v>
      </c>
      <c r="AE57" s="181">
        <f>ProjectInput[[#This Row],[Retrofit Cost]]-ProjectInput[[#This Row],[Incentive ($)]]</f>
        <v>0</v>
      </c>
      <c r="AF57" s="182" t="str">
        <f>IFERROR(ProjectInput[[#This Row],[Net Project Cost ($)]]/ProjectInput[[#This Row],[Energy Cost Savings ($)]], "")</f>
        <v/>
      </c>
    </row>
    <row r="58" spans="2:32" s="175" customFormat="1" ht="40" customHeight="1">
      <c r="B58" s="213">
        <v>55</v>
      </c>
      <c r="C58" s="223"/>
      <c r="D58" s="224"/>
      <c r="E58" s="176"/>
      <c r="F58" s="167"/>
      <c r="G58" s="167"/>
      <c r="H58" s="167"/>
      <c r="I58" s="167"/>
      <c r="J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8" s="176"/>
      <c r="L58" s="167"/>
      <c r="M58" s="167"/>
      <c r="N58" s="167"/>
      <c r="O58" s="167"/>
      <c r="P58" s="177" t="str">
        <f>IF(ProjectInput[[#This Row],[Existing Fixture Code]]=0, "",INDEX(Table7[WATT/ FIXT], MATCH(ProjectInput[[#This Row],[Existing Fixture Code]], Table7[FIXTURE CODE], 0)))</f>
        <v/>
      </c>
      <c r="Q58" s="176"/>
      <c r="R58" s="167"/>
      <c r="S58" s="167"/>
      <c r="T58" s="167"/>
      <c r="U58" s="167"/>
      <c r="V58" s="167"/>
      <c r="W58" s="167"/>
      <c r="X58" s="178"/>
      <c r="Y58" s="179" t="str">
        <f>IF(ProjectInput[[#This Row],[Proposed Fixture Code]]=0, "", INDEX(Table7[WATT/ FIXT], MATCH(ProjectInput[[#This Row],[Proposed Fixture Code]], Table7[FIXTURE CODE],0 )))</f>
        <v/>
      </c>
      <c r="Z58" s="180">
        <f>INDEX(ReviewCalcs[Incentive Total Energy Savings (kWh)], MATCH(ProjectInput[[#This Row],[Project Index]], ReviewCalcs[Project Index], 0))</f>
        <v>0</v>
      </c>
      <c r="AA58" s="172">
        <f>INDEX(ReviewCalcs[Incentive Total Demand Savings (kW)], MATCH(ProjectInput[[#This Row],[Project Index]], ReviewCalcs[Project Index], 0))</f>
        <v>0</v>
      </c>
      <c r="AB58" s="181">
        <f>ProjectInput[[#This Row],[Energy Savings (kWh)]]*Avg_KWh_Rate</f>
        <v>0</v>
      </c>
      <c r="AC58" s="173">
        <f>IF(C58="", 0, IF(C58="Cust.", INDEX(ReviewCalcs[Incentive ($)], MATCH(ProjectInput[[#This Row],[Project Index]], ReviewCalcs[Project Index], 0)), IF(AND(C58="Pres.", D58="1 to 6"), 3*Q58, IF(AND(C58="Pres.", D58="7 to 11"), 4*Q58, IF(AND(C58="Pres.", D58="12 to 17"), 5*Q58, IF(AND(C58="Pres.", D58="Exit Sign"), 20*Q58, IF(AND(C58="Pres.", D58="&gt; 18"), 6*Q58)))))))</f>
        <v>0</v>
      </c>
      <c r="AD58" s="181">
        <f>ProjectInput[[#This Row],[Retrofit Cost]]</f>
        <v>0</v>
      </c>
      <c r="AE58" s="181">
        <f>ProjectInput[[#This Row],[Retrofit Cost]]-ProjectInput[[#This Row],[Incentive ($)]]</f>
        <v>0</v>
      </c>
      <c r="AF58" s="182" t="str">
        <f>IFERROR(ProjectInput[[#This Row],[Net Project Cost ($)]]/ProjectInput[[#This Row],[Energy Cost Savings ($)]], "")</f>
        <v/>
      </c>
    </row>
    <row r="59" spans="2:32" s="175" customFormat="1" ht="40" customHeight="1">
      <c r="B59" s="213">
        <v>56</v>
      </c>
      <c r="C59" s="220"/>
      <c r="D59" s="219"/>
      <c r="E59" s="176"/>
      <c r="F59" s="167"/>
      <c r="G59" s="167"/>
      <c r="H59" s="167"/>
      <c r="I59" s="167"/>
      <c r="J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59" s="176"/>
      <c r="L59" s="167"/>
      <c r="M59" s="167"/>
      <c r="N59" s="167"/>
      <c r="O59" s="167"/>
      <c r="P59" s="177" t="str">
        <f>IF(ProjectInput[[#This Row],[Existing Fixture Code]]=0, "",INDEX(Table7[WATT/ FIXT], MATCH(ProjectInput[[#This Row],[Existing Fixture Code]], Table7[FIXTURE CODE], 0)))</f>
        <v/>
      </c>
      <c r="Q59" s="176"/>
      <c r="R59" s="167"/>
      <c r="S59" s="167"/>
      <c r="T59" s="167"/>
      <c r="U59" s="167"/>
      <c r="V59" s="167"/>
      <c r="W59" s="167"/>
      <c r="X59" s="178"/>
      <c r="Y59" s="179" t="str">
        <f>IF(ProjectInput[[#This Row],[Proposed Fixture Code]]=0, "", INDEX(Table7[WATT/ FIXT], MATCH(ProjectInput[[#This Row],[Proposed Fixture Code]], Table7[FIXTURE CODE],0 )))</f>
        <v/>
      </c>
      <c r="Z59" s="180">
        <f>INDEX(ReviewCalcs[Incentive Total Energy Savings (kWh)], MATCH(ProjectInput[[#This Row],[Project Index]], ReviewCalcs[Project Index], 0))</f>
        <v>0</v>
      </c>
      <c r="AA59" s="172">
        <f>INDEX(ReviewCalcs[Incentive Total Demand Savings (kW)], MATCH(ProjectInput[[#This Row],[Project Index]], ReviewCalcs[Project Index], 0))</f>
        <v>0</v>
      </c>
      <c r="AB59" s="181">
        <f>ProjectInput[[#This Row],[Energy Savings (kWh)]]*Avg_KWh_Rate</f>
        <v>0</v>
      </c>
      <c r="AC59" s="173">
        <f>IF(C59="", 0, IF(C59="Cust.", INDEX(ReviewCalcs[Incentive ($)], MATCH(ProjectInput[[#This Row],[Project Index]], ReviewCalcs[Project Index], 0)), IF(AND(C59="Pres.", D59="1 to 6"), 3*Q59, IF(AND(C59="Pres.", D59="7 to 11"), 4*Q59, IF(AND(C59="Pres.", D59="12 to 17"), 5*Q59, IF(AND(C59="Pres.", D59="Exit Sign"), 20*Q59, IF(AND(C59="Pres.", D59="&gt; 18"), 6*Q59)))))))</f>
        <v>0</v>
      </c>
      <c r="AD59" s="181">
        <f>ProjectInput[[#This Row],[Retrofit Cost]]</f>
        <v>0</v>
      </c>
      <c r="AE59" s="181">
        <f>ProjectInput[[#This Row],[Retrofit Cost]]-ProjectInput[[#This Row],[Incentive ($)]]</f>
        <v>0</v>
      </c>
      <c r="AF59" s="182" t="str">
        <f>IFERROR(ProjectInput[[#This Row],[Net Project Cost ($)]]/ProjectInput[[#This Row],[Energy Cost Savings ($)]], "")</f>
        <v/>
      </c>
    </row>
    <row r="60" spans="2:32" s="175" customFormat="1" ht="40" customHeight="1">
      <c r="B60" s="213">
        <v>57</v>
      </c>
      <c r="C60" s="223"/>
      <c r="D60" s="224"/>
      <c r="E60" s="176"/>
      <c r="F60" s="167"/>
      <c r="G60" s="167"/>
      <c r="H60" s="167"/>
      <c r="I60" s="167"/>
      <c r="J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0" s="176"/>
      <c r="L60" s="167"/>
      <c r="M60" s="167"/>
      <c r="N60" s="167"/>
      <c r="O60" s="167"/>
      <c r="P60" s="177" t="str">
        <f>IF(ProjectInput[[#This Row],[Existing Fixture Code]]=0, "",INDEX(Table7[WATT/ FIXT], MATCH(ProjectInput[[#This Row],[Existing Fixture Code]], Table7[FIXTURE CODE], 0)))</f>
        <v/>
      </c>
      <c r="Q60" s="176"/>
      <c r="R60" s="167"/>
      <c r="S60" s="167"/>
      <c r="T60" s="167"/>
      <c r="U60" s="167"/>
      <c r="V60" s="167"/>
      <c r="W60" s="167"/>
      <c r="X60" s="178"/>
      <c r="Y60" s="179" t="str">
        <f>IF(ProjectInput[[#This Row],[Proposed Fixture Code]]=0, "", INDEX(Table7[WATT/ FIXT], MATCH(ProjectInput[[#This Row],[Proposed Fixture Code]], Table7[FIXTURE CODE],0 )))</f>
        <v/>
      </c>
      <c r="Z60" s="180">
        <f>INDEX(ReviewCalcs[Incentive Total Energy Savings (kWh)], MATCH(ProjectInput[[#This Row],[Project Index]], ReviewCalcs[Project Index], 0))</f>
        <v>0</v>
      </c>
      <c r="AA60" s="172">
        <f>INDEX(ReviewCalcs[Incentive Total Demand Savings (kW)], MATCH(ProjectInput[[#This Row],[Project Index]], ReviewCalcs[Project Index], 0))</f>
        <v>0</v>
      </c>
      <c r="AB60" s="181">
        <f>ProjectInput[[#This Row],[Energy Savings (kWh)]]*Avg_KWh_Rate</f>
        <v>0</v>
      </c>
      <c r="AC60" s="173">
        <f>IF(C60="", 0, IF(C60="Cust.", INDEX(ReviewCalcs[Incentive ($)], MATCH(ProjectInput[[#This Row],[Project Index]], ReviewCalcs[Project Index], 0)), IF(AND(C60="Pres.", D60="1 to 6"), 3*Q60, IF(AND(C60="Pres.", D60="7 to 11"), 4*Q60, IF(AND(C60="Pres.", D60="12 to 17"), 5*Q60, IF(AND(C60="Pres.", D60="Exit Sign"), 20*Q60, IF(AND(C60="Pres.", D60="&gt; 18"), 6*Q60)))))))</f>
        <v>0</v>
      </c>
      <c r="AD60" s="181">
        <f>ProjectInput[[#This Row],[Retrofit Cost]]</f>
        <v>0</v>
      </c>
      <c r="AE60" s="181">
        <f>ProjectInput[[#This Row],[Retrofit Cost]]-ProjectInput[[#This Row],[Incentive ($)]]</f>
        <v>0</v>
      </c>
      <c r="AF60" s="182" t="str">
        <f>IFERROR(ProjectInput[[#This Row],[Net Project Cost ($)]]/ProjectInput[[#This Row],[Energy Cost Savings ($)]], "")</f>
        <v/>
      </c>
    </row>
    <row r="61" spans="2:32" s="175" customFormat="1" ht="40" customHeight="1">
      <c r="B61" s="213">
        <v>58</v>
      </c>
      <c r="C61" s="220"/>
      <c r="D61" s="219"/>
      <c r="E61" s="176"/>
      <c r="F61" s="167"/>
      <c r="G61" s="167"/>
      <c r="H61" s="167"/>
      <c r="I61" s="167"/>
      <c r="J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1" s="176"/>
      <c r="L61" s="167"/>
      <c r="M61" s="167"/>
      <c r="N61" s="167"/>
      <c r="O61" s="167"/>
      <c r="P61" s="177" t="str">
        <f>IF(ProjectInput[[#This Row],[Existing Fixture Code]]=0, "",INDEX(Table7[WATT/ FIXT], MATCH(ProjectInput[[#This Row],[Existing Fixture Code]], Table7[FIXTURE CODE], 0)))</f>
        <v/>
      </c>
      <c r="Q61" s="176"/>
      <c r="R61" s="167"/>
      <c r="S61" s="167"/>
      <c r="T61" s="167"/>
      <c r="U61" s="167"/>
      <c r="V61" s="167"/>
      <c r="W61" s="167"/>
      <c r="X61" s="178"/>
      <c r="Y61" s="179" t="str">
        <f>IF(ProjectInput[[#This Row],[Proposed Fixture Code]]=0, "", INDEX(Table7[WATT/ FIXT], MATCH(ProjectInput[[#This Row],[Proposed Fixture Code]], Table7[FIXTURE CODE],0 )))</f>
        <v/>
      </c>
      <c r="Z61" s="180">
        <f>INDEX(ReviewCalcs[Incentive Total Energy Savings (kWh)], MATCH(ProjectInput[[#This Row],[Project Index]], ReviewCalcs[Project Index], 0))</f>
        <v>0</v>
      </c>
      <c r="AA61" s="172">
        <f>INDEX(ReviewCalcs[Incentive Total Demand Savings (kW)], MATCH(ProjectInput[[#This Row],[Project Index]], ReviewCalcs[Project Index], 0))</f>
        <v>0</v>
      </c>
      <c r="AB61" s="181">
        <f>ProjectInput[[#This Row],[Energy Savings (kWh)]]*Avg_KWh_Rate</f>
        <v>0</v>
      </c>
      <c r="AC61" s="173">
        <f>IF(C61="", 0, IF(C61="Cust.", INDEX(ReviewCalcs[Incentive ($)], MATCH(ProjectInput[[#This Row],[Project Index]], ReviewCalcs[Project Index], 0)), IF(AND(C61="Pres.", D61="1 to 6"), 3*Q61, IF(AND(C61="Pres.", D61="7 to 11"), 4*Q61, IF(AND(C61="Pres.", D61="12 to 17"), 5*Q61, IF(AND(C61="Pres.", D61="Exit Sign"), 20*Q61, IF(AND(C61="Pres.", D61="&gt; 18"), 6*Q61)))))))</f>
        <v>0</v>
      </c>
      <c r="AD61" s="181">
        <f>ProjectInput[[#This Row],[Retrofit Cost]]</f>
        <v>0</v>
      </c>
      <c r="AE61" s="181">
        <f>ProjectInput[[#This Row],[Retrofit Cost]]-ProjectInput[[#This Row],[Incentive ($)]]</f>
        <v>0</v>
      </c>
      <c r="AF61" s="182" t="str">
        <f>IFERROR(ProjectInput[[#This Row],[Net Project Cost ($)]]/ProjectInput[[#This Row],[Energy Cost Savings ($)]], "")</f>
        <v/>
      </c>
    </row>
    <row r="62" spans="2:32" s="175" customFormat="1" ht="40" customHeight="1">
      <c r="B62" s="213">
        <v>59</v>
      </c>
      <c r="C62" s="223"/>
      <c r="D62" s="224"/>
      <c r="E62" s="176"/>
      <c r="F62" s="167"/>
      <c r="G62" s="167"/>
      <c r="H62" s="167"/>
      <c r="I62" s="167"/>
      <c r="J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2" s="176"/>
      <c r="L62" s="167"/>
      <c r="M62" s="167"/>
      <c r="N62" s="167"/>
      <c r="O62" s="167"/>
      <c r="P62" s="177" t="str">
        <f>IF(ProjectInput[[#This Row],[Existing Fixture Code]]=0, "",INDEX(Table7[WATT/ FIXT], MATCH(ProjectInput[[#This Row],[Existing Fixture Code]], Table7[FIXTURE CODE], 0)))</f>
        <v/>
      </c>
      <c r="Q62" s="176"/>
      <c r="R62" s="167"/>
      <c r="S62" s="167"/>
      <c r="T62" s="167"/>
      <c r="U62" s="167"/>
      <c r="V62" s="167"/>
      <c r="W62" s="167"/>
      <c r="X62" s="178"/>
      <c r="Y62" s="179" t="str">
        <f>IF(ProjectInput[[#This Row],[Proposed Fixture Code]]=0, "", INDEX(Table7[WATT/ FIXT], MATCH(ProjectInput[[#This Row],[Proposed Fixture Code]], Table7[FIXTURE CODE],0 )))</f>
        <v/>
      </c>
      <c r="Z62" s="180">
        <f>INDEX(ReviewCalcs[Incentive Total Energy Savings (kWh)], MATCH(ProjectInput[[#This Row],[Project Index]], ReviewCalcs[Project Index], 0))</f>
        <v>0</v>
      </c>
      <c r="AA62" s="172">
        <f>INDEX(ReviewCalcs[Incentive Total Demand Savings (kW)], MATCH(ProjectInput[[#This Row],[Project Index]], ReviewCalcs[Project Index], 0))</f>
        <v>0</v>
      </c>
      <c r="AB62" s="181">
        <f>ProjectInput[[#This Row],[Energy Savings (kWh)]]*Avg_KWh_Rate</f>
        <v>0</v>
      </c>
      <c r="AC62" s="173">
        <f>IF(C62="", 0, IF(C62="Cust.", INDEX(ReviewCalcs[Incentive ($)], MATCH(ProjectInput[[#This Row],[Project Index]], ReviewCalcs[Project Index], 0)), IF(AND(C62="Pres.", D62="1 to 6"), 3*Q62, IF(AND(C62="Pres.", D62="7 to 11"), 4*Q62, IF(AND(C62="Pres.", D62="12 to 17"), 5*Q62, IF(AND(C62="Pres.", D62="Exit Sign"), 20*Q62, IF(AND(C62="Pres.", D62="&gt; 18"), 6*Q62)))))))</f>
        <v>0</v>
      </c>
      <c r="AD62" s="181">
        <f>ProjectInput[[#This Row],[Retrofit Cost]]</f>
        <v>0</v>
      </c>
      <c r="AE62" s="181">
        <f>ProjectInput[[#This Row],[Retrofit Cost]]-ProjectInput[[#This Row],[Incentive ($)]]</f>
        <v>0</v>
      </c>
      <c r="AF62" s="182" t="str">
        <f>IFERROR(ProjectInput[[#This Row],[Net Project Cost ($)]]/ProjectInput[[#This Row],[Energy Cost Savings ($)]], "")</f>
        <v/>
      </c>
    </row>
    <row r="63" spans="2:32" s="175" customFormat="1" ht="40" customHeight="1">
      <c r="B63" s="213">
        <v>60</v>
      </c>
      <c r="C63" s="220"/>
      <c r="D63" s="219"/>
      <c r="E63" s="176"/>
      <c r="F63" s="167"/>
      <c r="G63" s="167"/>
      <c r="H63" s="167"/>
      <c r="I63" s="167"/>
      <c r="J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3" s="176"/>
      <c r="L63" s="167"/>
      <c r="M63" s="167"/>
      <c r="N63" s="167"/>
      <c r="O63" s="167"/>
      <c r="P63" s="177" t="str">
        <f>IF(ProjectInput[[#This Row],[Existing Fixture Code]]=0, "",INDEX(Table7[WATT/ FIXT], MATCH(ProjectInput[[#This Row],[Existing Fixture Code]], Table7[FIXTURE CODE], 0)))</f>
        <v/>
      </c>
      <c r="Q63" s="176"/>
      <c r="R63" s="167"/>
      <c r="S63" s="167"/>
      <c r="T63" s="167"/>
      <c r="U63" s="167"/>
      <c r="V63" s="167"/>
      <c r="W63" s="167"/>
      <c r="X63" s="178"/>
      <c r="Y63" s="179" t="str">
        <f>IF(ProjectInput[[#This Row],[Proposed Fixture Code]]=0, "", INDEX(Table7[WATT/ FIXT], MATCH(ProjectInput[[#This Row],[Proposed Fixture Code]], Table7[FIXTURE CODE],0 )))</f>
        <v/>
      </c>
      <c r="Z63" s="180">
        <f>INDEX(ReviewCalcs[Incentive Total Energy Savings (kWh)], MATCH(ProjectInput[[#This Row],[Project Index]], ReviewCalcs[Project Index], 0))</f>
        <v>0</v>
      </c>
      <c r="AA63" s="172">
        <f>INDEX(ReviewCalcs[Incentive Total Demand Savings (kW)], MATCH(ProjectInput[[#This Row],[Project Index]], ReviewCalcs[Project Index], 0))</f>
        <v>0</v>
      </c>
      <c r="AB63" s="181">
        <f>ProjectInput[[#This Row],[Energy Savings (kWh)]]*Avg_KWh_Rate</f>
        <v>0</v>
      </c>
      <c r="AC63" s="173">
        <f>IF(C63="", 0, IF(C63="Cust.", INDEX(ReviewCalcs[Incentive ($)], MATCH(ProjectInput[[#This Row],[Project Index]], ReviewCalcs[Project Index], 0)), IF(AND(C63="Pres.", D63="1 to 6"), 3*Q63, IF(AND(C63="Pres.", D63="7 to 11"), 4*Q63, IF(AND(C63="Pres.", D63="12 to 17"), 5*Q63, IF(AND(C63="Pres.", D63="Exit Sign"), 20*Q63, IF(AND(C63="Pres.", D63="&gt; 18"), 6*Q63)))))))</f>
        <v>0</v>
      </c>
      <c r="AD63" s="181">
        <f>ProjectInput[[#This Row],[Retrofit Cost]]</f>
        <v>0</v>
      </c>
      <c r="AE63" s="181">
        <f>ProjectInput[[#This Row],[Retrofit Cost]]-ProjectInput[[#This Row],[Incentive ($)]]</f>
        <v>0</v>
      </c>
      <c r="AF63" s="182" t="str">
        <f>IFERROR(ProjectInput[[#This Row],[Net Project Cost ($)]]/ProjectInput[[#This Row],[Energy Cost Savings ($)]], "")</f>
        <v/>
      </c>
    </row>
    <row r="64" spans="2:32" s="175" customFormat="1" ht="40" customHeight="1">
      <c r="B64" s="213">
        <v>61</v>
      </c>
      <c r="C64" s="223"/>
      <c r="D64" s="224"/>
      <c r="E64" s="176"/>
      <c r="F64" s="167"/>
      <c r="G64" s="167"/>
      <c r="H64" s="167"/>
      <c r="I64" s="167"/>
      <c r="J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4" s="176"/>
      <c r="L64" s="167"/>
      <c r="M64" s="167"/>
      <c r="N64" s="167"/>
      <c r="O64" s="167"/>
      <c r="P64" s="177" t="str">
        <f>IF(ProjectInput[[#This Row],[Existing Fixture Code]]=0, "",INDEX(Table7[WATT/ FIXT], MATCH(ProjectInput[[#This Row],[Existing Fixture Code]], Table7[FIXTURE CODE], 0)))</f>
        <v/>
      </c>
      <c r="Q64" s="176"/>
      <c r="R64" s="167"/>
      <c r="S64" s="167"/>
      <c r="T64" s="167"/>
      <c r="U64" s="167"/>
      <c r="V64" s="167"/>
      <c r="W64" s="167"/>
      <c r="X64" s="178"/>
      <c r="Y64" s="179" t="str">
        <f>IF(ProjectInput[[#This Row],[Proposed Fixture Code]]=0, "", INDEX(Table7[WATT/ FIXT], MATCH(ProjectInput[[#This Row],[Proposed Fixture Code]], Table7[FIXTURE CODE],0 )))</f>
        <v/>
      </c>
      <c r="Z64" s="180">
        <f>INDEX(ReviewCalcs[Incentive Total Energy Savings (kWh)], MATCH(ProjectInput[[#This Row],[Project Index]], ReviewCalcs[Project Index], 0))</f>
        <v>0</v>
      </c>
      <c r="AA64" s="172">
        <f>INDEX(ReviewCalcs[Incentive Total Demand Savings (kW)], MATCH(ProjectInput[[#This Row],[Project Index]], ReviewCalcs[Project Index], 0))</f>
        <v>0</v>
      </c>
      <c r="AB64" s="181">
        <f>ProjectInput[[#This Row],[Energy Savings (kWh)]]*Avg_KWh_Rate</f>
        <v>0</v>
      </c>
      <c r="AC64" s="173">
        <f>IF(C64="", 0, IF(C64="Cust.", INDEX(ReviewCalcs[Incentive ($)], MATCH(ProjectInput[[#This Row],[Project Index]], ReviewCalcs[Project Index], 0)), IF(AND(C64="Pres.", D64="1 to 6"), 3*Q64, IF(AND(C64="Pres.", D64="7 to 11"), 4*Q64, IF(AND(C64="Pres.", D64="12 to 17"), 5*Q64, IF(AND(C64="Pres.", D64="Exit Sign"), 20*Q64, IF(AND(C64="Pres.", D64="&gt; 18"), 6*Q64)))))))</f>
        <v>0</v>
      </c>
      <c r="AD64" s="181">
        <f>ProjectInput[[#This Row],[Retrofit Cost]]</f>
        <v>0</v>
      </c>
      <c r="AE64" s="181">
        <f>ProjectInput[[#This Row],[Retrofit Cost]]-ProjectInput[[#This Row],[Incentive ($)]]</f>
        <v>0</v>
      </c>
      <c r="AF64" s="182" t="str">
        <f>IFERROR(ProjectInput[[#This Row],[Net Project Cost ($)]]/ProjectInput[[#This Row],[Energy Cost Savings ($)]], "")</f>
        <v/>
      </c>
    </row>
    <row r="65" spans="2:32" s="175" customFormat="1" ht="40" customHeight="1">
      <c r="B65" s="213">
        <v>62</v>
      </c>
      <c r="C65" s="220"/>
      <c r="D65" s="219"/>
      <c r="E65" s="176"/>
      <c r="F65" s="167"/>
      <c r="G65" s="167"/>
      <c r="H65" s="167"/>
      <c r="I65" s="167"/>
      <c r="J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5" s="176"/>
      <c r="L65" s="167"/>
      <c r="M65" s="167"/>
      <c r="N65" s="167"/>
      <c r="O65" s="167"/>
      <c r="P65" s="177" t="str">
        <f>IF(ProjectInput[[#This Row],[Existing Fixture Code]]=0, "",INDEX(Table7[WATT/ FIXT], MATCH(ProjectInput[[#This Row],[Existing Fixture Code]], Table7[FIXTURE CODE], 0)))</f>
        <v/>
      </c>
      <c r="Q65" s="176"/>
      <c r="R65" s="167"/>
      <c r="S65" s="167"/>
      <c r="T65" s="167"/>
      <c r="U65" s="167"/>
      <c r="V65" s="167"/>
      <c r="W65" s="167"/>
      <c r="X65" s="178"/>
      <c r="Y65" s="179" t="str">
        <f>IF(ProjectInput[[#This Row],[Proposed Fixture Code]]=0, "", INDEX(Table7[WATT/ FIXT], MATCH(ProjectInput[[#This Row],[Proposed Fixture Code]], Table7[FIXTURE CODE],0 )))</f>
        <v/>
      </c>
      <c r="Z65" s="180">
        <f>INDEX(ReviewCalcs[Incentive Total Energy Savings (kWh)], MATCH(ProjectInput[[#This Row],[Project Index]], ReviewCalcs[Project Index], 0))</f>
        <v>0</v>
      </c>
      <c r="AA65" s="172">
        <f>INDEX(ReviewCalcs[Incentive Total Demand Savings (kW)], MATCH(ProjectInput[[#This Row],[Project Index]], ReviewCalcs[Project Index], 0))</f>
        <v>0</v>
      </c>
      <c r="AB65" s="181">
        <f>ProjectInput[[#This Row],[Energy Savings (kWh)]]*Avg_KWh_Rate</f>
        <v>0</v>
      </c>
      <c r="AC65" s="173">
        <f>IF(C65="", 0, IF(C65="Cust.", INDEX(ReviewCalcs[Incentive ($)], MATCH(ProjectInput[[#This Row],[Project Index]], ReviewCalcs[Project Index], 0)), IF(AND(C65="Pres.", D65="1 to 6"), 3*Q65, IF(AND(C65="Pres.", D65="7 to 11"), 4*Q65, IF(AND(C65="Pres.", D65="12 to 17"), 5*Q65, IF(AND(C65="Pres.", D65="Exit Sign"), 20*Q65, IF(AND(C65="Pres.", D65="&gt; 18"), 6*Q65)))))))</f>
        <v>0</v>
      </c>
      <c r="AD65" s="181">
        <f>ProjectInput[[#This Row],[Retrofit Cost]]</f>
        <v>0</v>
      </c>
      <c r="AE65" s="181">
        <f>ProjectInput[[#This Row],[Retrofit Cost]]-ProjectInput[[#This Row],[Incentive ($)]]</f>
        <v>0</v>
      </c>
      <c r="AF65" s="182" t="str">
        <f>IFERROR(ProjectInput[[#This Row],[Net Project Cost ($)]]/ProjectInput[[#This Row],[Energy Cost Savings ($)]], "")</f>
        <v/>
      </c>
    </row>
    <row r="66" spans="2:32" s="175" customFormat="1" ht="40" customHeight="1">
      <c r="B66" s="213">
        <v>63</v>
      </c>
      <c r="C66" s="223"/>
      <c r="D66" s="224"/>
      <c r="E66" s="176"/>
      <c r="F66" s="167"/>
      <c r="G66" s="167"/>
      <c r="H66" s="167"/>
      <c r="I66" s="167"/>
      <c r="J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6" s="176"/>
      <c r="L66" s="167"/>
      <c r="M66" s="167"/>
      <c r="N66" s="167"/>
      <c r="O66" s="167"/>
      <c r="P66" s="177" t="str">
        <f>IF(ProjectInput[[#This Row],[Existing Fixture Code]]=0, "",INDEX(Table7[WATT/ FIXT], MATCH(ProjectInput[[#This Row],[Existing Fixture Code]], Table7[FIXTURE CODE], 0)))</f>
        <v/>
      </c>
      <c r="Q66" s="176"/>
      <c r="R66" s="167"/>
      <c r="S66" s="167"/>
      <c r="T66" s="167"/>
      <c r="U66" s="167"/>
      <c r="V66" s="167"/>
      <c r="W66" s="167"/>
      <c r="X66" s="178"/>
      <c r="Y66" s="179" t="str">
        <f>IF(ProjectInput[[#This Row],[Proposed Fixture Code]]=0, "", INDEX(Table7[WATT/ FIXT], MATCH(ProjectInput[[#This Row],[Proposed Fixture Code]], Table7[FIXTURE CODE],0 )))</f>
        <v/>
      </c>
      <c r="Z66" s="180">
        <f>INDEX(ReviewCalcs[Incentive Total Energy Savings (kWh)], MATCH(ProjectInput[[#This Row],[Project Index]], ReviewCalcs[Project Index], 0))</f>
        <v>0</v>
      </c>
      <c r="AA66" s="172">
        <f>INDEX(ReviewCalcs[Incentive Total Demand Savings (kW)], MATCH(ProjectInput[[#This Row],[Project Index]], ReviewCalcs[Project Index], 0))</f>
        <v>0</v>
      </c>
      <c r="AB66" s="181">
        <f>ProjectInput[[#This Row],[Energy Savings (kWh)]]*Avg_KWh_Rate</f>
        <v>0</v>
      </c>
      <c r="AC66" s="173">
        <f>IF(C66="", 0, IF(C66="Cust.", INDEX(ReviewCalcs[Incentive ($)], MATCH(ProjectInput[[#This Row],[Project Index]], ReviewCalcs[Project Index], 0)), IF(AND(C66="Pres.", D66="1 to 6"), 3*Q66, IF(AND(C66="Pres.", D66="7 to 11"), 4*Q66, IF(AND(C66="Pres.", D66="12 to 17"), 5*Q66, IF(AND(C66="Pres.", D66="Exit Sign"), 20*Q66, IF(AND(C66="Pres.", D66="&gt; 18"), 6*Q66)))))))</f>
        <v>0</v>
      </c>
      <c r="AD66" s="181">
        <f>ProjectInput[[#This Row],[Retrofit Cost]]</f>
        <v>0</v>
      </c>
      <c r="AE66" s="181">
        <f>ProjectInput[[#This Row],[Retrofit Cost]]-ProjectInput[[#This Row],[Incentive ($)]]</f>
        <v>0</v>
      </c>
      <c r="AF66" s="182" t="str">
        <f>IFERROR(ProjectInput[[#This Row],[Net Project Cost ($)]]/ProjectInput[[#This Row],[Energy Cost Savings ($)]], "")</f>
        <v/>
      </c>
    </row>
    <row r="67" spans="2:32" s="175" customFormat="1" ht="40" customHeight="1">
      <c r="B67" s="213">
        <v>64</v>
      </c>
      <c r="C67" s="220"/>
      <c r="D67" s="219"/>
      <c r="E67" s="183"/>
      <c r="F67" s="167"/>
      <c r="G67" s="167"/>
      <c r="H67" s="167"/>
      <c r="I67" s="167"/>
      <c r="J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7" s="176"/>
      <c r="L67" s="167"/>
      <c r="M67" s="167"/>
      <c r="N67" s="167"/>
      <c r="O67" s="167"/>
      <c r="P67" s="177" t="str">
        <f>IF(ProjectInput[[#This Row],[Existing Fixture Code]]=0, "",INDEX(Table7[WATT/ FIXT], MATCH(ProjectInput[[#This Row],[Existing Fixture Code]], Table7[FIXTURE CODE], 0)))</f>
        <v/>
      </c>
      <c r="Q67" s="176"/>
      <c r="R67" s="167"/>
      <c r="S67" s="167"/>
      <c r="T67" s="167"/>
      <c r="U67" s="167"/>
      <c r="V67" s="167"/>
      <c r="W67" s="167"/>
      <c r="X67" s="178"/>
      <c r="Y67" s="179" t="str">
        <f>IF(ProjectInput[[#This Row],[Proposed Fixture Code]]=0, "", INDEX(Table7[WATT/ FIXT], MATCH(ProjectInput[[#This Row],[Proposed Fixture Code]], Table7[FIXTURE CODE],0 )))</f>
        <v/>
      </c>
      <c r="Z67" s="180">
        <f>INDEX(ReviewCalcs[Incentive Total Energy Savings (kWh)], MATCH(ProjectInput[[#This Row],[Project Index]], ReviewCalcs[Project Index], 0))</f>
        <v>0</v>
      </c>
      <c r="AA67" s="172">
        <f>INDEX(ReviewCalcs[Incentive Total Demand Savings (kW)], MATCH(ProjectInput[[#This Row],[Project Index]], ReviewCalcs[Project Index], 0))</f>
        <v>0</v>
      </c>
      <c r="AB67" s="181">
        <f>ProjectInput[[#This Row],[Energy Savings (kWh)]]*Avg_KWh_Rate</f>
        <v>0</v>
      </c>
      <c r="AC67" s="173">
        <f>IF(C67="", 0, IF(C67="Cust.", INDEX(ReviewCalcs[Incentive ($)], MATCH(ProjectInput[[#This Row],[Project Index]], ReviewCalcs[Project Index], 0)), IF(AND(C67="Pres.", D67="1 to 6"), 3*Q67, IF(AND(C67="Pres.", D67="7 to 11"), 4*Q67, IF(AND(C67="Pres.", D67="12 to 17"), 5*Q67, IF(AND(C67="Pres.", D67="Exit Sign"), 20*Q67, IF(AND(C67="Pres.", D67="&gt; 18"), 6*Q67)))))))</f>
        <v>0</v>
      </c>
      <c r="AD67" s="181">
        <f>ProjectInput[[#This Row],[Retrofit Cost]]</f>
        <v>0</v>
      </c>
      <c r="AE67" s="181">
        <f>ProjectInput[[#This Row],[Retrofit Cost]]-ProjectInput[[#This Row],[Incentive ($)]]</f>
        <v>0</v>
      </c>
      <c r="AF67" s="182" t="str">
        <f>IFERROR(ProjectInput[[#This Row],[Net Project Cost ($)]]/ProjectInput[[#This Row],[Energy Cost Savings ($)]], "")</f>
        <v/>
      </c>
    </row>
    <row r="68" spans="2:32" s="175" customFormat="1" ht="40" customHeight="1">
      <c r="B68" s="213">
        <v>65</v>
      </c>
      <c r="C68" s="223"/>
      <c r="D68" s="224"/>
      <c r="E68" s="183"/>
      <c r="F68" s="167"/>
      <c r="G68" s="167"/>
      <c r="H68" s="167"/>
      <c r="I68" s="167"/>
      <c r="J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8" s="176"/>
      <c r="L68" s="167"/>
      <c r="M68" s="167"/>
      <c r="N68" s="167"/>
      <c r="O68" s="167"/>
      <c r="P68" s="177" t="str">
        <f>IF(ProjectInput[[#This Row],[Existing Fixture Code]]=0, "",INDEX(Table7[WATT/ FIXT], MATCH(ProjectInput[[#This Row],[Existing Fixture Code]], Table7[FIXTURE CODE], 0)))</f>
        <v/>
      </c>
      <c r="Q68" s="176"/>
      <c r="R68" s="167"/>
      <c r="S68" s="167"/>
      <c r="T68" s="167"/>
      <c r="U68" s="167"/>
      <c r="V68" s="167"/>
      <c r="W68" s="167"/>
      <c r="X68" s="178"/>
      <c r="Y68" s="179" t="str">
        <f>IF(ProjectInput[[#This Row],[Proposed Fixture Code]]=0, "", INDEX(Table7[WATT/ FIXT], MATCH(ProjectInput[[#This Row],[Proposed Fixture Code]], Table7[FIXTURE CODE],0 )))</f>
        <v/>
      </c>
      <c r="Z68" s="180">
        <f>INDEX(ReviewCalcs[Incentive Total Energy Savings (kWh)], MATCH(ProjectInput[[#This Row],[Project Index]], ReviewCalcs[Project Index], 0))</f>
        <v>0</v>
      </c>
      <c r="AA68" s="172">
        <f>INDEX(ReviewCalcs[Incentive Total Demand Savings (kW)], MATCH(ProjectInput[[#This Row],[Project Index]], ReviewCalcs[Project Index], 0))</f>
        <v>0</v>
      </c>
      <c r="AB68" s="181">
        <f>ProjectInput[[#This Row],[Energy Savings (kWh)]]*Avg_KWh_Rate</f>
        <v>0</v>
      </c>
      <c r="AC68" s="173">
        <f>IF(C68="", 0, IF(C68="Cust.", INDEX(ReviewCalcs[Incentive ($)], MATCH(ProjectInput[[#This Row],[Project Index]], ReviewCalcs[Project Index], 0)), IF(AND(C68="Pres.", D68="1 to 6"), 3*Q68, IF(AND(C68="Pres.", D68="7 to 11"), 4*Q68, IF(AND(C68="Pres.", D68="12 to 17"), 5*Q68, IF(AND(C68="Pres.", D68="Exit Sign"), 20*Q68, IF(AND(C68="Pres.", D68="&gt; 18"), 6*Q68)))))))</f>
        <v>0</v>
      </c>
      <c r="AD68" s="181">
        <f>ProjectInput[[#This Row],[Retrofit Cost]]</f>
        <v>0</v>
      </c>
      <c r="AE68" s="181">
        <f>ProjectInput[[#This Row],[Retrofit Cost]]-ProjectInput[[#This Row],[Incentive ($)]]</f>
        <v>0</v>
      </c>
      <c r="AF68" s="182" t="str">
        <f>IFERROR(ProjectInput[[#This Row],[Net Project Cost ($)]]/ProjectInput[[#This Row],[Energy Cost Savings ($)]], "")</f>
        <v/>
      </c>
    </row>
    <row r="69" spans="2:32" s="175" customFormat="1" ht="40" customHeight="1">
      <c r="B69" s="213">
        <v>66</v>
      </c>
      <c r="C69" s="220"/>
      <c r="D69" s="219"/>
      <c r="E69" s="183"/>
      <c r="F69" s="167"/>
      <c r="G69" s="167"/>
      <c r="H69" s="167"/>
      <c r="I69" s="167"/>
      <c r="J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69" s="176"/>
      <c r="L69" s="167"/>
      <c r="M69" s="167"/>
      <c r="N69" s="167"/>
      <c r="O69" s="167"/>
      <c r="P69" s="177" t="str">
        <f>IF(ProjectInput[[#This Row],[Existing Fixture Code]]=0, "",INDEX(Table7[WATT/ FIXT], MATCH(ProjectInput[[#This Row],[Existing Fixture Code]], Table7[FIXTURE CODE], 0)))</f>
        <v/>
      </c>
      <c r="Q69" s="176"/>
      <c r="R69" s="167"/>
      <c r="S69" s="167"/>
      <c r="T69" s="167"/>
      <c r="U69" s="167"/>
      <c r="V69" s="167"/>
      <c r="W69" s="167"/>
      <c r="X69" s="178"/>
      <c r="Y69" s="179" t="str">
        <f>IF(ProjectInput[[#This Row],[Proposed Fixture Code]]=0, "", INDEX(Table7[WATT/ FIXT], MATCH(ProjectInput[[#This Row],[Proposed Fixture Code]], Table7[FIXTURE CODE],0 )))</f>
        <v/>
      </c>
      <c r="Z69" s="180">
        <f>INDEX(ReviewCalcs[Incentive Total Energy Savings (kWh)], MATCH(ProjectInput[[#This Row],[Project Index]], ReviewCalcs[Project Index], 0))</f>
        <v>0</v>
      </c>
      <c r="AA69" s="172">
        <f>INDEX(ReviewCalcs[Incentive Total Demand Savings (kW)], MATCH(ProjectInput[[#This Row],[Project Index]], ReviewCalcs[Project Index], 0))</f>
        <v>0</v>
      </c>
      <c r="AB69" s="181">
        <f>ProjectInput[[#This Row],[Energy Savings (kWh)]]*Avg_KWh_Rate</f>
        <v>0</v>
      </c>
      <c r="AC69" s="173">
        <f>IF(C69="", 0, IF(C69="Cust.", INDEX(ReviewCalcs[Incentive ($)], MATCH(ProjectInput[[#This Row],[Project Index]], ReviewCalcs[Project Index], 0)), IF(AND(C69="Pres.", D69="1 to 6"), 3*Q69, IF(AND(C69="Pres.", D69="7 to 11"), 4*Q69, IF(AND(C69="Pres.", D69="12 to 17"), 5*Q69, IF(AND(C69="Pres.", D69="Exit Sign"), 20*Q69, IF(AND(C69="Pres.", D69="&gt; 18"), 6*Q69)))))))</f>
        <v>0</v>
      </c>
      <c r="AD69" s="181">
        <f>ProjectInput[[#This Row],[Retrofit Cost]]</f>
        <v>0</v>
      </c>
      <c r="AE69" s="181">
        <f>ProjectInput[[#This Row],[Retrofit Cost]]-ProjectInput[[#This Row],[Incentive ($)]]</f>
        <v>0</v>
      </c>
      <c r="AF69" s="182" t="str">
        <f>IFERROR(ProjectInput[[#This Row],[Net Project Cost ($)]]/ProjectInput[[#This Row],[Energy Cost Savings ($)]], "")</f>
        <v/>
      </c>
    </row>
    <row r="70" spans="2:32" s="175" customFormat="1" ht="40" customHeight="1">
      <c r="B70" s="213">
        <v>67</v>
      </c>
      <c r="C70" s="223"/>
      <c r="D70" s="224"/>
      <c r="E70" s="183"/>
      <c r="F70" s="167"/>
      <c r="G70" s="167"/>
      <c r="H70" s="167"/>
      <c r="I70" s="167"/>
      <c r="J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0" s="176"/>
      <c r="L70" s="167"/>
      <c r="M70" s="167"/>
      <c r="N70" s="167"/>
      <c r="O70" s="167"/>
      <c r="P70" s="177" t="str">
        <f>IF(ProjectInput[[#This Row],[Existing Fixture Code]]=0, "",INDEX(Table7[WATT/ FIXT], MATCH(ProjectInput[[#This Row],[Existing Fixture Code]], Table7[FIXTURE CODE], 0)))</f>
        <v/>
      </c>
      <c r="Q70" s="176"/>
      <c r="R70" s="167"/>
      <c r="S70" s="167"/>
      <c r="T70" s="167"/>
      <c r="U70" s="167"/>
      <c r="V70" s="167"/>
      <c r="W70" s="167"/>
      <c r="X70" s="178"/>
      <c r="Y70" s="179" t="str">
        <f>IF(ProjectInput[[#This Row],[Proposed Fixture Code]]=0, "", INDEX(Table7[WATT/ FIXT], MATCH(ProjectInput[[#This Row],[Proposed Fixture Code]], Table7[FIXTURE CODE],0 )))</f>
        <v/>
      </c>
      <c r="Z70" s="180">
        <f>INDEX(ReviewCalcs[Incentive Total Energy Savings (kWh)], MATCH(ProjectInput[[#This Row],[Project Index]], ReviewCalcs[Project Index], 0))</f>
        <v>0</v>
      </c>
      <c r="AA70" s="172">
        <f>INDEX(ReviewCalcs[Incentive Total Demand Savings (kW)], MATCH(ProjectInput[[#This Row],[Project Index]], ReviewCalcs[Project Index], 0))</f>
        <v>0</v>
      </c>
      <c r="AB70" s="181">
        <f>ProjectInput[[#This Row],[Energy Savings (kWh)]]*Avg_KWh_Rate</f>
        <v>0</v>
      </c>
      <c r="AC70" s="173">
        <f>IF(C70="", 0, IF(C70="Cust.", INDEX(ReviewCalcs[Incentive ($)], MATCH(ProjectInput[[#This Row],[Project Index]], ReviewCalcs[Project Index], 0)), IF(AND(C70="Pres.", D70="1 to 6"), 3*Q70, IF(AND(C70="Pres.", D70="7 to 11"), 4*Q70, IF(AND(C70="Pres.", D70="12 to 17"), 5*Q70, IF(AND(C70="Pres.", D70="Exit Sign"), 20*Q70, IF(AND(C70="Pres.", D70="&gt; 18"), 6*Q70)))))))</f>
        <v>0</v>
      </c>
      <c r="AD70" s="181">
        <f>ProjectInput[[#This Row],[Retrofit Cost]]</f>
        <v>0</v>
      </c>
      <c r="AE70" s="181">
        <f>ProjectInput[[#This Row],[Retrofit Cost]]-ProjectInput[[#This Row],[Incentive ($)]]</f>
        <v>0</v>
      </c>
      <c r="AF70" s="182" t="str">
        <f>IFERROR(ProjectInput[[#This Row],[Net Project Cost ($)]]/ProjectInput[[#This Row],[Energy Cost Savings ($)]], "")</f>
        <v/>
      </c>
    </row>
    <row r="71" spans="2:32" s="175" customFormat="1" ht="40" customHeight="1">
      <c r="B71" s="213">
        <v>68</v>
      </c>
      <c r="C71" s="220"/>
      <c r="D71" s="219"/>
      <c r="E71" s="183"/>
      <c r="F71" s="167"/>
      <c r="G71" s="167"/>
      <c r="H71" s="167"/>
      <c r="I71" s="167"/>
      <c r="J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1" s="176"/>
      <c r="L71" s="167"/>
      <c r="M71" s="167"/>
      <c r="N71" s="167"/>
      <c r="O71" s="167"/>
      <c r="P71" s="177" t="str">
        <f>IF(ProjectInput[[#This Row],[Existing Fixture Code]]=0, "",INDEX(Table7[WATT/ FIXT], MATCH(ProjectInput[[#This Row],[Existing Fixture Code]], Table7[FIXTURE CODE], 0)))</f>
        <v/>
      </c>
      <c r="Q71" s="176"/>
      <c r="R71" s="167"/>
      <c r="S71" s="167"/>
      <c r="T71" s="167"/>
      <c r="U71" s="167"/>
      <c r="V71" s="167"/>
      <c r="W71" s="167"/>
      <c r="X71" s="178"/>
      <c r="Y71" s="179" t="str">
        <f>IF(ProjectInput[[#This Row],[Proposed Fixture Code]]=0, "", INDEX(Table7[WATT/ FIXT], MATCH(ProjectInput[[#This Row],[Proposed Fixture Code]], Table7[FIXTURE CODE],0 )))</f>
        <v/>
      </c>
      <c r="Z71" s="180">
        <f>INDEX(ReviewCalcs[Incentive Total Energy Savings (kWh)], MATCH(ProjectInput[[#This Row],[Project Index]], ReviewCalcs[Project Index], 0))</f>
        <v>0</v>
      </c>
      <c r="AA71" s="172">
        <f>INDEX(ReviewCalcs[Incentive Total Demand Savings (kW)], MATCH(ProjectInput[[#This Row],[Project Index]], ReviewCalcs[Project Index], 0))</f>
        <v>0</v>
      </c>
      <c r="AB71" s="181">
        <f>ProjectInput[[#This Row],[Energy Savings (kWh)]]*Avg_KWh_Rate</f>
        <v>0</v>
      </c>
      <c r="AC71" s="173">
        <f>IF(C71="", 0, IF(C71="Cust.", INDEX(ReviewCalcs[Incentive ($)], MATCH(ProjectInput[[#This Row],[Project Index]], ReviewCalcs[Project Index], 0)), IF(AND(C71="Pres.", D71="1 to 6"), 3*Q71, IF(AND(C71="Pres.", D71="7 to 11"), 4*Q71, IF(AND(C71="Pres.", D71="12 to 17"), 5*Q71, IF(AND(C71="Pres.", D71="Exit Sign"), 20*Q71, IF(AND(C71="Pres.", D71="&gt; 18"), 6*Q71)))))))</f>
        <v>0</v>
      </c>
      <c r="AD71" s="181">
        <f>ProjectInput[[#This Row],[Retrofit Cost]]</f>
        <v>0</v>
      </c>
      <c r="AE71" s="181">
        <f>ProjectInput[[#This Row],[Retrofit Cost]]-ProjectInput[[#This Row],[Incentive ($)]]</f>
        <v>0</v>
      </c>
      <c r="AF71" s="182" t="str">
        <f>IFERROR(ProjectInput[[#This Row],[Net Project Cost ($)]]/ProjectInput[[#This Row],[Energy Cost Savings ($)]], "")</f>
        <v/>
      </c>
    </row>
    <row r="72" spans="2:32" s="175" customFormat="1" ht="40" customHeight="1">
      <c r="B72" s="213">
        <v>69</v>
      </c>
      <c r="C72" s="223"/>
      <c r="D72" s="224"/>
      <c r="E72" s="183"/>
      <c r="F72" s="167"/>
      <c r="G72" s="167"/>
      <c r="H72" s="167"/>
      <c r="I72" s="167"/>
      <c r="J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2" s="176"/>
      <c r="L72" s="167"/>
      <c r="M72" s="167"/>
      <c r="N72" s="167"/>
      <c r="O72" s="167"/>
      <c r="P72" s="177" t="str">
        <f>IF(ProjectInput[[#This Row],[Existing Fixture Code]]=0, "",INDEX(Table7[WATT/ FIXT], MATCH(ProjectInput[[#This Row],[Existing Fixture Code]], Table7[FIXTURE CODE], 0)))</f>
        <v/>
      </c>
      <c r="Q72" s="176"/>
      <c r="R72" s="167"/>
      <c r="S72" s="167"/>
      <c r="T72" s="167"/>
      <c r="U72" s="167"/>
      <c r="V72" s="167"/>
      <c r="W72" s="167"/>
      <c r="X72" s="178"/>
      <c r="Y72" s="179" t="str">
        <f>IF(ProjectInput[[#This Row],[Proposed Fixture Code]]=0, "", INDEX(Table7[WATT/ FIXT], MATCH(ProjectInput[[#This Row],[Proposed Fixture Code]], Table7[FIXTURE CODE],0 )))</f>
        <v/>
      </c>
      <c r="Z72" s="180">
        <f>INDEX(ReviewCalcs[Incentive Total Energy Savings (kWh)], MATCH(ProjectInput[[#This Row],[Project Index]], ReviewCalcs[Project Index], 0))</f>
        <v>0</v>
      </c>
      <c r="AA72" s="172">
        <f>INDEX(ReviewCalcs[Incentive Total Demand Savings (kW)], MATCH(ProjectInput[[#This Row],[Project Index]], ReviewCalcs[Project Index], 0))</f>
        <v>0</v>
      </c>
      <c r="AB72" s="181">
        <f>ProjectInput[[#This Row],[Energy Savings (kWh)]]*Avg_KWh_Rate</f>
        <v>0</v>
      </c>
      <c r="AC72" s="173">
        <f>IF(C72="", 0, IF(C72="Cust.", INDEX(ReviewCalcs[Incentive ($)], MATCH(ProjectInput[[#This Row],[Project Index]], ReviewCalcs[Project Index], 0)), IF(AND(C72="Pres.", D72="1 to 6"), 3*Q72, IF(AND(C72="Pres.", D72="7 to 11"), 4*Q72, IF(AND(C72="Pres.", D72="12 to 17"), 5*Q72, IF(AND(C72="Pres.", D72="Exit Sign"), 20*Q72, IF(AND(C72="Pres.", D72="&gt; 18"), 6*Q72)))))))</f>
        <v>0</v>
      </c>
      <c r="AD72" s="181">
        <f>ProjectInput[[#This Row],[Retrofit Cost]]</f>
        <v>0</v>
      </c>
      <c r="AE72" s="181">
        <f>ProjectInput[[#This Row],[Retrofit Cost]]-ProjectInput[[#This Row],[Incentive ($)]]</f>
        <v>0</v>
      </c>
      <c r="AF72" s="182" t="str">
        <f>IFERROR(ProjectInput[[#This Row],[Net Project Cost ($)]]/ProjectInput[[#This Row],[Energy Cost Savings ($)]], "")</f>
        <v/>
      </c>
    </row>
    <row r="73" spans="2:32" s="175" customFormat="1" ht="40" customHeight="1">
      <c r="B73" s="213">
        <v>70</v>
      </c>
      <c r="C73" s="220"/>
      <c r="D73" s="219"/>
      <c r="E73" s="183"/>
      <c r="F73" s="167"/>
      <c r="G73" s="167"/>
      <c r="H73" s="167"/>
      <c r="I73" s="167"/>
      <c r="J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3" s="176"/>
      <c r="L73" s="167"/>
      <c r="M73" s="167"/>
      <c r="N73" s="167"/>
      <c r="O73" s="167"/>
      <c r="P73" s="177" t="str">
        <f>IF(ProjectInput[[#This Row],[Existing Fixture Code]]=0, "",INDEX(Table7[WATT/ FIXT], MATCH(ProjectInput[[#This Row],[Existing Fixture Code]], Table7[FIXTURE CODE], 0)))</f>
        <v/>
      </c>
      <c r="Q73" s="176"/>
      <c r="R73" s="167"/>
      <c r="S73" s="167"/>
      <c r="T73" s="167"/>
      <c r="U73" s="167"/>
      <c r="V73" s="167"/>
      <c r="W73" s="167"/>
      <c r="X73" s="178"/>
      <c r="Y73" s="179" t="str">
        <f>IF(ProjectInput[[#This Row],[Proposed Fixture Code]]=0, "", INDEX(Table7[WATT/ FIXT], MATCH(ProjectInput[[#This Row],[Proposed Fixture Code]], Table7[FIXTURE CODE],0 )))</f>
        <v/>
      </c>
      <c r="Z73" s="180">
        <f>INDEX(ReviewCalcs[Incentive Total Energy Savings (kWh)], MATCH(ProjectInput[[#This Row],[Project Index]], ReviewCalcs[Project Index], 0))</f>
        <v>0</v>
      </c>
      <c r="AA73" s="172">
        <f>INDEX(ReviewCalcs[Incentive Total Demand Savings (kW)], MATCH(ProjectInput[[#This Row],[Project Index]], ReviewCalcs[Project Index], 0))</f>
        <v>0</v>
      </c>
      <c r="AB73" s="181">
        <f>ProjectInput[[#This Row],[Energy Savings (kWh)]]*Avg_KWh_Rate</f>
        <v>0</v>
      </c>
      <c r="AC73" s="173">
        <f>IF(C73="", 0, IF(C73="Cust.", INDEX(ReviewCalcs[Incentive ($)], MATCH(ProjectInput[[#This Row],[Project Index]], ReviewCalcs[Project Index], 0)), IF(AND(C73="Pres.", D73="1 to 6"), 3*Q73, IF(AND(C73="Pres.", D73="7 to 11"), 4*Q73, IF(AND(C73="Pres.", D73="12 to 17"), 5*Q73, IF(AND(C73="Pres.", D73="Exit Sign"), 20*Q73, IF(AND(C73="Pres.", D73="&gt; 18"), 6*Q73)))))))</f>
        <v>0</v>
      </c>
      <c r="AD73" s="181">
        <f>ProjectInput[[#This Row],[Retrofit Cost]]</f>
        <v>0</v>
      </c>
      <c r="AE73" s="181">
        <f>ProjectInput[[#This Row],[Retrofit Cost]]-ProjectInput[[#This Row],[Incentive ($)]]</f>
        <v>0</v>
      </c>
      <c r="AF73" s="182" t="str">
        <f>IFERROR(ProjectInput[[#This Row],[Net Project Cost ($)]]/ProjectInput[[#This Row],[Energy Cost Savings ($)]], "")</f>
        <v/>
      </c>
    </row>
    <row r="74" spans="2:32" s="175" customFormat="1" ht="40" customHeight="1">
      <c r="B74" s="213">
        <v>71</v>
      </c>
      <c r="C74" s="223"/>
      <c r="D74" s="224"/>
      <c r="E74" s="183"/>
      <c r="F74" s="167"/>
      <c r="G74" s="167"/>
      <c r="H74" s="167"/>
      <c r="I74" s="167"/>
      <c r="J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4" s="176"/>
      <c r="L74" s="167"/>
      <c r="M74" s="167"/>
      <c r="N74" s="167"/>
      <c r="O74" s="167"/>
      <c r="P74" s="177" t="str">
        <f>IF(ProjectInput[[#This Row],[Existing Fixture Code]]=0, "",INDEX(Table7[WATT/ FIXT], MATCH(ProjectInput[[#This Row],[Existing Fixture Code]], Table7[FIXTURE CODE], 0)))</f>
        <v/>
      </c>
      <c r="Q74" s="176"/>
      <c r="R74" s="167"/>
      <c r="S74" s="167"/>
      <c r="T74" s="167"/>
      <c r="U74" s="167"/>
      <c r="V74" s="167"/>
      <c r="W74" s="167"/>
      <c r="X74" s="178"/>
      <c r="Y74" s="179" t="str">
        <f>IF(ProjectInput[[#This Row],[Proposed Fixture Code]]=0, "", INDEX(Table7[WATT/ FIXT], MATCH(ProjectInput[[#This Row],[Proposed Fixture Code]], Table7[FIXTURE CODE],0 )))</f>
        <v/>
      </c>
      <c r="Z74" s="180">
        <f>INDEX(ReviewCalcs[Incentive Total Energy Savings (kWh)], MATCH(ProjectInput[[#This Row],[Project Index]], ReviewCalcs[Project Index], 0))</f>
        <v>0</v>
      </c>
      <c r="AA74" s="172">
        <f>INDEX(ReviewCalcs[Incentive Total Demand Savings (kW)], MATCH(ProjectInput[[#This Row],[Project Index]], ReviewCalcs[Project Index], 0))</f>
        <v>0</v>
      </c>
      <c r="AB74" s="181">
        <f>ProjectInput[[#This Row],[Energy Savings (kWh)]]*Avg_KWh_Rate</f>
        <v>0</v>
      </c>
      <c r="AC74" s="173">
        <f>IF(C74="", 0, IF(C74="Cust.", INDEX(ReviewCalcs[Incentive ($)], MATCH(ProjectInput[[#This Row],[Project Index]], ReviewCalcs[Project Index], 0)), IF(AND(C74="Pres.", D74="1 to 6"), 3*Q74, IF(AND(C74="Pres.", D74="7 to 11"), 4*Q74, IF(AND(C74="Pres.", D74="12 to 17"), 5*Q74, IF(AND(C74="Pres.", D74="Exit Sign"), 20*Q74, IF(AND(C74="Pres.", D74="&gt; 18"), 6*Q74)))))))</f>
        <v>0</v>
      </c>
      <c r="AD74" s="181">
        <f>ProjectInput[[#This Row],[Retrofit Cost]]</f>
        <v>0</v>
      </c>
      <c r="AE74" s="181">
        <f>ProjectInput[[#This Row],[Retrofit Cost]]-ProjectInput[[#This Row],[Incentive ($)]]</f>
        <v>0</v>
      </c>
      <c r="AF74" s="182" t="str">
        <f>IFERROR(ProjectInput[[#This Row],[Net Project Cost ($)]]/ProjectInput[[#This Row],[Energy Cost Savings ($)]], "")</f>
        <v/>
      </c>
    </row>
    <row r="75" spans="2:32" s="175" customFormat="1" ht="40" customHeight="1">
      <c r="B75" s="213">
        <v>72</v>
      </c>
      <c r="C75" s="220"/>
      <c r="D75" s="219"/>
      <c r="E75" s="183"/>
      <c r="F75" s="167"/>
      <c r="G75" s="167"/>
      <c r="H75" s="167"/>
      <c r="I75" s="167"/>
      <c r="J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5" s="176"/>
      <c r="L75" s="167"/>
      <c r="M75" s="167"/>
      <c r="N75" s="167"/>
      <c r="O75" s="167"/>
      <c r="P75" s="177" t="str">
        <f>IF(ProjectInput[[#This Row],[Existing Fixture Code]]=0, "",INDEX(Table7[WATT/ FIXT], MATCH(ProjectInput[[#This Row],[Existing Fixture Code]], Table7[FIXTURE CODE], 0)))</f>
        <v/>
      </c>
      <c r="Q75" s="176"/>
      <c r="R75" s="167"/>
      <c r="S75" s="167"/>
      <c r="T75" s="167"/>
      <c r="U75" s="167"/>
      <c r="V75" s="167"/>
      <c r="W75" s="167"/>
      <c r="X75" s="178"/>
      <c r="Y75" s="179" t="str">
        <f>IF(ProjectInput[[#This Row],[Proposed Fixture Code]]=0, "", INDEX(Table7[WATT/ FIXT], MATCH(ProjectInput[[#This Row],[Proposed Fixture Code]], Table7[FIXTURE CODE],0 )))</f>
        <v/>
      </c>
      <c r="Z75" s="180">
        <f>INDEX(ReviewCalcs[Incentive Total Energy Savings (kWh)], MATCH(ProjectInput[[#This Row],[Project Index]], ReviewCalcs[Project Index], 0))</f>
        <v>0</v>
      </c>
      <c r="AA75" s="172">
        <f>INDEX(ReviewCalcs[Incentive Total Demand Savings (kW)], MATCH(ProjectInput[[#This Row],[Project Index]], ReviewCalcs[Project Index], 0))</f>
        <v>0</v>
      </c>
      <c r="AB75" s="181">
        <f>ProjectInput[[#This Row],[Energy Savings (kWh)]]*Avg_KWh_Rate</f>
        <v>0</v>
      </c>
      <c r="AC75" s="173">
        <f>IF(C75="", 0, IF(C75="Cust.", INDEX(ReviewCalcs[Incentive ($)], MATCH(ProjectInput[[#This Row],[Project Index]], ReviewCalcs[Project Index], 0)), IF(AND(C75="Pres.", D75="1 to 6"), 3*Q75, IF(AND(C75="Pres.", D75="7 to 11"), 4*Q75, IF(AND(C75="Pres.", D75="12 to 17"), 5*Q75, IF(AND(C75="Pres.", D75="Exit Sign"), 20*Q75, IF(AND(C75="Pres.", D75="&gt; 18"), 6*Q75)))))))</f>
        <v>0</v>
      </c>
      <c r="AD75" s="181">
        <f>ProjectInput[[#This Row],[Retrofit Cost]]</f>
        <v>0</v>
      </c>
      <c r="AE75" s="181">
        <f>ProjectInput[[#This Row],[Retrofit Cost]]-ProjectInput[[#This Row],[Incentive ($)]]</f>
        <v>0</v>
      </c>
      <c r="AF75" s="182" t="str">
        <f>IFERROR(ProjectInput[[#This Row],[Net Project Cost ($)]]/ProjectInput[[#This Row],[Energy Cost Savings ($)]], "")</f>
        <v/>
      </c>
    </row>
    <row r="76" spans="2:32" s="175" customFormat="1" ht="40" customHeight="1">
      <c r="B76" s="213">
        <v>73</v>
      </c>
      <c r="C76" s="223"/>
      <c r="D76" s="224"/>
      <c r="E76" s="183"/>
      <c r="F76" s="167"/>
      <c r="G76" s="167"/>
      <c r="H76" s="167"/>
      <c r="I76" s="167"/>
      <c r="J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6" s="176"/>
      <c r="L76" s="167"/>
      <c r="M76" s="167"/>
      <c r="N76" s="167"/>
      <c r="O76" s="167"/>
      <c r="P76" s="177" t="str">
        <f>IF(ProjectInput[[#This Row],[Existing Fixture Code]]=0, "",INDEX(Table7[WATT/ FIXT], MATCH(ProjectInput[[#This Row],[Existing Fixture Code]], Table7[FIXTURE CODE], 0)))</f>
        <v/>
      </c>
      <c r="Q76" s="176"/>
      <c r="R76" s="167"/>
      <c r="S76" s="167"/>
      <c r="T76" s="167"/>
      <c r="U76" s="167"/>
      <c r="V76" s="167"/>
      <c r="W76" s="167"/>
      <c r="X76" s="178"/>
      <c r="Y76" s="179" t="str">
        <f>IF(ProjectInput[[#This Row],[Proposed Fixture Code]]=0, "", INDEX(Table7[WATT/ FIXT], MATCH(ProjectInput[[#This Row],[Proposed Fixture Code]], Table7[FIXTURE CODE],0 )))</f>
        <v/>
      </c>
      <c r="Z76" s="180">
        <f>INDEX(ReviewCalcs[Incentive Total Energy Savings (kWh)], MATCH(ProjectInput[[#This Row],[Project Index]], ReviewCalcs[Project Index], 0))</f>
        <v>0</v>
      </c>
      <c r="AA76" s="172">
        <f>INDEX(ReviewCalcs[Incentive Total Demand Savings (kW)], MATCH(ProjectInput[[#This Row],[Project Index]], ReviewCalcs[Project Index], 0))</f>
        <v>0</v>
      </c>
      <c r="AB76" s="181">
        <f>ProjectInput[[#This Row],[Energy Savings (kWh)]]*Avg_KWh_Rate</f>
        <v>0</v>
      </c>
      <c r="AC76" s="173">
        <f>IF(C76="", 0, IF(C76="Cust.", INDEX(ReviewCalcs[Incentive ($)], MATCH(ProjectInput[[#This Row],[Project Index]], ReviewCalcs[Project Index], 0)), IF(AND(C76="Pres.", D76="1 to 6"), 3*Q76, IF(AND(C76="Pres.", D76="7 to 11"), 4*Q76, IF(AND(C76="Pres.", D76="12 to 17"), 5*Q76, IF(AND(C76="Pres.", D76="Exit Sign"), 20*Q76, IF(AND(C76="Pres.", D76="&gt; 18"), 6*Q76)))))))</f>
        <v>0</v>
      </c>
      <c r="AD76" s="181">
        <f>ProjectInput[[#This Row],[Retrofit Cost]]</f>
        <v>0</v>
      </c>
      <c r="AE76" s="181">
        <f>ProjectInput[[#This Row],[Retrofit Cost]]-ProjectInput[[#This Row],[Incentive ($)]]</f>
        <v>0</v>
      </c>
      <c r="AF76" s="182" t="str">
        <f>IFERROR(ProjectInput[[#This Row],[Net Project Cost ($)]]/ProjectInput[[#This Row],[Energy Cost Savings ($)]], "")</f>
        <v/>
      </c>
    </row>
    <row r="77" spans="2:32" s="175" customFormat="1" ht="40" customHeight="1">
      <c r="B77" s="213">
        <v>74</v>
      </c>
      <c r="C77" s="220"/>
      <c r="D77" s="219"/>
      <c r="E77" s="183"/>
      <c r="F77" s="167"/>
      <c r="G77" s="167"/>
      <c r="H77" s="167"/>
      <c r="I77" s="167"/>
      <c r="J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7" s="176"/>
      <c r="L77" s="167"/>
      <c r="M77" s="167"/>
      <c r="N77" s="167"/>
      <c r="O77" s="167"/>
      <c r="P77" s="177" t="str">
        <f>IF(ProjectInput[[#This Row],[Existing Fixture Code]]=0, "",INDEX(Table7[WATT/ FIXT], MATCH(ProjectInput[[#This Row],[Existing Fixture Code]], Table7[FIXTURE CODE], 0)))</f>
        <v/>
      </c>
      <c r="Q77" s="176"/>
      <c r="R77" s="167"/>
      <c r="S77" s="167"/>
      <c r="T77" s="167"/>
      <c r="U77" s="167"/>
      <c r="V77" s="167"/>
      <c r="W77" s="167"/>
      <c r="X77" s="178"/>
      <c r="Y77" s="179" t="str">
        <f>IF(ProjectInput[[#This Row],[Proposed Fixture Code]]=0, "", INDEX(Table7[WATT/ FIXT], MATCH(ProjectInput[[#This Row],[Proposed Fixture Code]], Table7[FIXTURE CODE],0 )))</f>
        <v/>
      </c>
      <c r="Z77" s="180">
        <f>INDEX(ReviewCalcs[Incentive Total Energy Savings (kWh)], MATCH(ProjectInput[[#This Row],[Project Index]], ReviewCalcs[Project Index], 0))</f>
        <v>0</v>
      </c>
      <c r="AA77" s="172">
        <f>INDEX(ReviewCalcs[Incentive Total Demand Savings (kW)], MATCH(ProjectInput[[#This Row],[Project Index]], ReviewCalcs[Project Index], 0))</f>
        <v>0</v>
      </c>
      <c r="AB77" s="181">
        <f>ProjectInput[[#This Row],[Energy Savings (kWh)]]*Avg_KWh_Rate</f>
        <v>0</v>
      </c>
      <c r="AC77" s="173">
        <f>IF(C77="", 0, IF(C77="Cust.", INDEX(ReviewCalcs[Incentive ($)], MATCH(ProjectInput[[#This Row],[Project Index]], ReviewCalcs[Project Index], 0)), IF(AND(C77="Pres.", D77="1 to 6"), 3*Q77, IF(AND(C77="Pres.", D77="7 to 11"), 4*Q77, IF(AND(C77="Pres.", D77="12 to 17"), 5*Q77, IF(AND(C77="Pres.", D77="Exit Sign"), 20*Q77, IF(AND(C77="Pres.", D77="&gt; 18"), 6*Q77)))))))</f>
        <v>0</v>
      </c>
      <c r="AD77" s="181">
        <f>ProjectInput[[#This Row],[Retrofit Cost]]</f>
        <v>0</v>
      </c>
      <c r="AE77" s="181">
        <f>ProjectInput[[#This Row],[Retrofit Cost]]-ProjectInput[[#This Row],[Incentive ($)]]</f>
        <v>0</v>
      </c>
      <c r="AF77" s="182" t="str">
        <f>IFERROR(ProjectInput[[#This Row],[Net Project Cost ($)]]/ProjectInput[[#This Row],[Energy Cost Savings ($)]], "")</f>
        <v/>
      </c>
    </row>
    <row r="78" spans="2:32" s="175" customFormat="1" ht="40" customHeight="1">
      <c r="B78" s="213">
        <v>75</v>
      </c>
      <c r="C78" s="223"/>
      <c r="D78" s="224"/>
      <c r="E78" s="183"/>
      <c r="F78" s="167"/>
      <c r="G78" s="167"/>
      <c r="H78" s="167"/>
      <c r="I78" s="167"/>
      <c r="J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8" s="176"/>
      <c r="L78" s="167"/>
      <c r="M78" s="167"/>
      <c r="N78" s="167"/>
      <c r="O78" s="167"/>
      <c r="P78" s="177" t="str">
        <f>IF(ProjectInput[[#This Row],[Existing Fixture Code]]=0, "",INDEX(Table7[WATT/ FIXT], MATCH(ProjectInput[[#This Row],[Existing Fixture Code]], Table7[FIXTURE CODE], 0)))</f>
        <v/>
      </c>
      <c r="Q78" s="176"/>
      <c r="R78" s="167"/>
      <c r="S78" s="167"/>
      <c r="T78" s="167"/>
      <c r="U78" s="167"/>
      <c r="V78" s="167"/>
      <c r="W78" s="167"/>
      <c r="X78" s="178"/>
      <c r="Y78" s="179" t="str">
        <f>IF(ProjectInput[[#This Row],[Proposed Fixture Code]]=0, "", INDEX(Table7[WATT/ FIXT], MATCH(ProjectInput[[#This Row],[Proposed Fixture Code]], Table7[FIXTURE CODE],0 )))</f>
        <v/>
      </c>
      <c r="Z78" s="180">
        <f>INDEX(ReviewCalcs[Incentive Total Energy Savings (kWh)], MATCH(ProjectInput[[#This Row],[Project Index]], ReviewCalcs[Project Index], 0))</f>
        <v>0</v>
      </c>
      <c r="AA78" s="172">
        <f>INDEX(ReviewCalcs[Incentive Total Demand Savings (kW)], MATCH(ProjectInput[[#This Row],[Project Index]], ReviewCalcs[Project Index], 0))</f>
        <v>0</v>
      </c>
      <c r="AB78" s="181">
        <f>ProjectInput[[#This Row],[Energy Savings (kWh)]]*Avg_KWh_Rate</f>
        <v>0</v>
      </c>
      <c r="AC78" s="173">
        <f>IF(C78="", 0, IF(C78="Cust.", INDEX(ReviewCalcs[Incentive ($)], MATCH(ProjectInput[[#This Row],[Project Index]], ReviewCalcs[Project Index], 0)), IF(AND(C78="Pres.", D78="1 to 6"), 3*Q78, IF(AND(C78="Pres.", D78="7 to 11"), 4*Q78, IF(AND(C78="Pres.", D78="12 to 17"), 5*Q78, IF(AND(C78="Pres.", D78="Exit Sign"), 20*Q78, IF(AND(C78="Pres.", D78="&gt; 18"), 6*Q78)))))))</f>
        <v>0</v>
      </c>
      <c r="AD78" s="181">
        <f>ProjectInput[[#This Row],[Retrofit Cost]]</f>
        <v>0</v>
      </c>
      <c r="AE78" s="181">
        <f>ProjectInput[[#This Row],[Retrofit Cost]]-ProjectInput[[#This Row],[Incentive ($)]]</f>
        <v>0</v>
      </c>
      <c r="AF78" s="182" t="str">
        <f>IFERROR(ProjectInput[[#This Row],[Net Project Cost ($)]]/ProjectInput[[#This Row],[Energy Cost Savings ($)]], "")</f>
        <v/>
      </c>
    </row>
    <row r="79" spans="2:32" s="175" customFormat="1" ht="40" customHeight="1">
      <c r="B79" s="213">
        <v>76</v>
      </c>
      <c r="C79" s="220"/>
      <c r="D79" s="219"/>
      <c r="E79" s="183"/>
      <c r="F79" s="167"/>
      <c r="G79" s="167"/>
      <c r="H79" s="167"/>
      <c r="I79" s="167"/>
      <c r="J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79" s="176"/>
      <c r="L79" s="167"/>
      <c r="M79" s="167"/>
      <c r="N79" s="167"/>
      <c r="O79" s="167"/>
      <c r="P79" s="177" t="str">
        <f>IF(ProjectInput[[#This Row],[Existing Fixture Code]]=0, "",INDEX(Table7[WATT/ FIXT], MATCH(ProjectInput[[#This Row],[Existing Fixture Code]], Table7[FIXTURE CODE], 0)))</f>
        <v/>
      </c>
      <c r="Q79" s="176"/>
      <c r="R79" s="167"/>
      <c r="S79" s="167"/>
      <c r="T79" s="167"/>
      <c r="U79" s="167"/>
      <c r="V79" s="167"/>
      <c r="W79" s="167"/>
      <c r="X79" s="178"/>
      <c r="Y79" s="179" t="str">
        <f>IF(ProjectInput[[#This Row],[Proposed Fixture Code]]=0, "", INDEX(Table7[WATT/ FIXT], MATCH(ProjectInput[[#This Row],[Proposed Fixture Code]], Table7[FIXTURE CODE],0 )))</f>
        <v/>
      </c>
      <c r="Z79" s="180">
        <f>INDEX(ReviewCalcs[Incentive Total Energy Savings (kWh)], MATCH(ProjectInput[[#This Row],[Project Index]], ReviewCalcs[Project Index], 0))</f>
        <v>0</v>
      </c>
      <c r="AA79" s="172">
        <f>INDEX(ReviewCalcs[Incentive Total Demand Savings (kW)], MATCH(ProjectInput[[#This Row],[Project Index]], ReviewCalcs[Project Index], 0))</f>
        <v>0</v>
      </c>
      <c r="AB79" s="181">
        <f>ProjectInput[[#This Row],[Energy Savings (kWh)]]*Avg_KWh_Rate</f>
        <v>0</v>
      </c>
      <c r="AC79" s="173">
        <f>IF(C79="", 0, IF(C79="Cust.", INDEX(ReviewCalcs[Incentive ($)], MATCH(ProjectInput[[#This Row],[Project Index]], ReviewCalcs[Project Index], 0)), IF(AND(C79="Pres.", D79="1 to 6"), 3*Q79, IF(AND(C79="Pres.", D79="7 to 11"), 4*Q79, IF(AND(C79="Pres.", D79="12 to 17"), 5*Q79, IF(AND(C79="Pres.", D79="Exit Sign"), 20*Q79, IF(AND(C79="Pres.", D79="&gt; 18"), 6*Q79)))))))</f>
        <v>0</v>
      </c>
      <c r="AD79" s="181">
        <f>ProjectInput[[#This Row],[Retrofit Cost]]</f>
        <v>0</v>
      </c>
      <c r="AE79" s="181">
        <f>ProjectInput[[#This Row],[Retrofit Cost]]-ProjectInput[[#This Row],[Incentive ($)]]</f>
        <v>0</v>
      </c>
      <c r="AF79" s="182" t="str">
        <f>IFERROR(ProjectInput[[#This Row],[Net Project Cost ($)]]/ProjectInput[[#This Row],[Energy Cost Savings ($)]], "")</f>
        <v/>
      </c>
    </row>
    <row r="80" spans="2:32" s="175" customFormat="1" ht="40" customHeight="1">
      <c r="B80" s="213">
        <v>77</v>
      </c>
      <c r="C80" s="223"/>
      <c r="D80" s="224"/>
      <c r="E80" s="183"/>
      <c r="F80" s="167"/>
      <c r="G80" s="167"/>
      <c r="H80" s="167"/>
      <c r="I80" s="167"/>
      <c r="J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0" s="176"/>
      <c r="L80" s="167"/>
      <c r="M80" s="167"/>
      <c r="N80" s="167"/>
      <c r="O80" s="167"/>
      <c r="P80" s="177" t="str">
        <f>IF(ProjectInput[[#This Row],[Existing Fixture Code]]=0, "",INDEX(Table7[WATT/ FIXT], MATCH(ProjectInput[[#This Row],[Existing Fixture Code]], Table7[FIXTURE CODE], 0)))</f>
        <v/>
      </c>
      <c r="Q80" s="176"/>
      <c r="R80" s="167"/>
      <c r="S80" s="167"/>
      <c r="T80" s="167"/>
      <c r="U80" s="167"/>
      <c r="V80" s="167"/>
      <c r="W80" s="167"/>
      <c r="X80" s="178"/>
      <c r="Y80" s="179" t="str">
        <f>IF(ProjectInput[[#This Row],[Proposed Fixture Code]]=0, "", INDEX(Table7[WATT/ FIXT], MATCH(ProjectInput[[#This Row],[Proposed Fixture Code]], Table7[FIXTURE CODE],0 )))</f>
        <v/>
      </c>
      <c r="Z80" s="180">
        <f>INDEX(ReviewCalcs[Incentive Total Energy Savings (kWh)], MATCH(ProjectInput[[#This Row],[Project Index]], ReviewCalcs[Project Index], 0))</f>
        <v>0</v>
      </c>
      <c r="AA80" s="172">
        <f>INDEX(ReviewCalcs[Incentive Total Demand Savings (kW)], MATCH(ProjectInput[[#This Row],[Project Index]], ReviewCalcs[Project Index], 0))</f>
        <v>0</v>
      </c>
      <c r="AB80" s="181">
        <f>ProjectInput[[#This Row],[Energy Savings (kWh)]]*Avg_KWh_Rate</f>
        <v>0</v>
      </c>
      <c r="AC80" s="173">
        <f>IF(C80="", 0, IF(C80="Cust.", INDEX(ReviewCalcs[Incentive ($)], MATCH(ProjectInput[[#This Row],[Project Index]], ReviewCalcs[Project Index], 0)), IF(AND(C80="Pres.", D80="1 to 6"), 3*Q80, IF(AND(C80="Pres.", D80="7 to 11"), 4*Q80, IF(AND(C80="Pres.", D80="12 to 17"), 5*Q80, IF(AND(C80="Pres.", D80="Exit Sign"), 20*Q80, IF(AND(C80="Pres.", D80="&gt; 18"), 6*Q80)))))))</f>
        <v>0</v>
      </c>
      <c r="AD80" s="181">
        <f>ProjectInput[[#This Row],[Retrofit Cost]]</f>
        <v>0</v>
      </c>
      <c r="AE80" s="181">
        <f>ProjectInput[[#This Row],[Retrofit Cost]]-ProjectInput[[#This Row],[Incentive ($)]]</f>
        <v>0</v>
      </c>
      <c r="AF80" s="182" t="str">
        <f>IFERROR(ProjectInput[[#This Row],[Net Project Cost ($)]]/ProjectInput[[#This Row],[Energy Cost Savings ($)]], "")</f>
        <v/>
      </c>
    </row>
    <row r="81" spans="2:32" s="175" customFormat="1" ht="40" customHeight="1">
      <c r="B81" s="213">
        <v>78</v>
      </c>
      <c r="C81" s="220"/>
      <c r="D81" s="219"/>
      <c r="E81" s="183"/>
      <c r="F81" s="167"/>
      <c r="G81" s="167"/>
      <c r="H81" s="167"/>
      <c r="I81" s="167"/>
      <c r="J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1" s="176"/>
      <c r="L81" s="167"/>
      <c r="M81" s="167"/>
      <c r="N81" s="167"/>
      <c r="O81" s="167"/>
      <c r="P81" s="177" t="str">
        <f>IF(ProjectInput[[#This Row],[Existing Fixture Code]]=0, "",INDEX(Table7[WATT/ FIXT], MATCH(ProjectInput[[#This Row],[Existing Fixture Code]], Table7[FIXTURE CODE], 0)))</f>
        <v/>
      </c>
      <c r="Q81" s="176"/>
      <c r="R81" s="167"/>
      <c r="S81" s="167"/>
      <c r="T81" s="167"/>
      <c r="U81" s="167"/>
      <c r="V81" s="167"/>
      <c r="W81" s="167"/>
      <c r="X81" s="178"/>
      <c r="Y81" s="179" t="str">
        <f>IF(ProjectInput[[#This Row],[Proposed Fixture Code]]=0, "", INDEX(Table7[WATT/ FIXT], MATCH(ProjectInput[[#This Row],[Proposed Fixture Code]], Table7[FIXTURE CODE],0 )))</f>
        <v/>
      </c>
      <c r="Z81" s="180">
        <f>INDEX(ReviewCalcs[Incentive Total Energy Savings (kWh)], MATCH(ProjectInput[[#This Row],[Project Index]], ReviewCalcs[Project Index], 0))</f>
        <v>0</v>
      </c>
      <c r="AA81" s="172">
        <f>INDEX(ReviewCalcs[Incentive Total Demand Savings (kW)], MATCH(ProjectInput[[#This Row],[Project Index]], ReviewCalcs[Project Index], 0))</f>
        <v>0</v>
      </c>
      <c r="AB81" s="181">
        <f>ProjectInput[[#This Row],[Energy Savings (kWh)]]*Avg_KWh_Rate</f>
        <v>0</v>
      </c>
      <c r="AC81" s="173">
        <f>IF(C81="", 0, IF(C81="Cust.", INDEX(ReviewCalcs[Incentive ($)], MATCH(ProjectInput[[#This Row],[Project Index]], ReviewCalcs[Project Index], 0)), IF(AND(C81="Pres.", D81="1 to 6"), 3*Q81, IF(AND(C81="Pres.", D81="7 to 11"), 4*Q81, IF(AND(C81="Pres.", D81="12 to 17"), 5*Q81, IF(AND(C81="Pres.", D81="Exit Sign"), 20*Q81, IF(AND(C81="Pres.", D81="&gt; 18"), 6*Q81)))))))</f>
        <v>0</v>
      </c>
      <c r="AD81" s="181">
        <f>ProjectInput[[#This Row],[Retrofit Cost]]</f>
        <v>0</v>
      </c>
      <c r="AE81" s="181">
        <f>ProjectInput[[#This Row],[Retrofit Cost]]-ProjectInput[[#This Row],[Incentive ($)]]</f>
        <v>0</v>
      </c>
      <c r="AF81" s="182" t="str">
        <f>IFERROR(ProjectInput[[#This Row],[Net Project Cost ($)]]/ProjectInput[[#This Row],[Energy Cost Savings ($)]], "")</f>
        <v/>
      </c>
    </row>
    <row r="82" spans="2:32" s="175" customFormat="1" ht="40" customHeight="1">
      <c r="B82" s="213">
        <v>79</v>
      </c>
      <c r="C82" s="223"/>
      <c r="D82" s="224"/>
      <c r="E82" s="183"/>
      <c r="F82" s="167"/>
      <c r="G82" s="167"/>
      <c r="H82" s="167"/>
      <c r="I82" s="167"/>
      <c r="J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2" s="176"/>
      <c r="L82" s="167"/>
      <c r="M82" s="167"/>
      <c r="N82" s="167"/>
      <c r="O82" s="167"/>
      <c r="P82" s="177" t="str">
        <f>IF(ProjectInput[[#This Row],[Existing Fixture Code]]=0, "",INDEX(Table7[WATT/ FIXT], MATCH(ProjectInput[[#This Row],[Existing Fixture Code]], Table7[FIXTURE CODE], 0)))</f>
        <v/>
      </c>
      <c r="Q82" s="176"/>
      <c r="R82" s="167"/>
      <c r="S82" s="167"/>
      <c r="T82" s="167"/>
      <c r="U82" s="167"/>
      <c r="V82" s="167"/>
      <c r="W82" s="167"/>
      <c r="X82" s="178"/>
      <c r="Y82" s="179" t="str">
        <f>IF(ProjectInput[[#This Row],[Proposed Fixture Code]]=0, "", INDEX(Table7[WATT/ FIXT], MATCH(ProjectInput[[#This Row],[Proposed Fixture Code]], Table7[FIXTURE CODE],0 )))</f>
        <v/>
      </c>
      <c r="Z82" s="180">
        <f>INDEX(ReviewCalcs[Incentive Total Energy Savings (kWh)], MATCH(ProjectInput[[#This Row],[Project Index]], ReviewCalcs[Project Index], 0))</f>
        <v>0</v>
      </c>
      <c r="AA82" s="172">
        <f>INDEX(ReviewCalcs[Incentive Total Demand Savings (kW)], MATCH(ProjectInput[[#This Row],[Project Index]], ReviewCalcs[Project Index], 0))</f>
        <v>0</v>
      </c>
      <c r="AB82" s="181">
        <f>ProjectInput[[#This Row],[Energy Savings (kWh)]]*Avg_KWh_Rate</f>
        <v>0</v>
      </c>
      <c r="AC82" s="173">
        <f>IF(C82="", 0, IF(C82="Cust.", INDEX(ReviewCalcs[Incentive ($)], MATCH(ProjectInput[[#This Row],[Project Index]], ReviewCalcs[Project Index], 0)), IF(AND(C82="Pres.", D82="1 to 6"), 3*Q82, IF(AND(C82="Pres.", D82="7 to 11"), 4*Q82, IF(AND(C82="Pres.", D82="12 to 17"), 5*Q82, IF(AND(C82="Pres.", D82="Exit Sign"), 20*Q82, IF(AND(C82="Pres.", D82="&gt; 18"), 6*Q82)))))))</f>
        <v>0</v>
      </c>
      <c r="AD82" s="181">
        <f>ProjectInput[[#This Row],[Retrofit Cost]]</f>
        <v>0</v>
      </c>
      <c r="AE82" s="181">
        <f>ProjectInput[[#This Row],[Retrofit Cost]]-ProjectInput[[#This Row],[Incentive ($)]]</f>
        <v>0</v>
      </c>
      <c r="AF82" s="182" t="str">
        <f>IFERROR(ProjectInput[[#This Row],[Net Project Cost ($)]]/ProjectInput[[#This Row],[Energy Cost Savings ($)]], "")</f>
        <v/>
      </c>
    </row>
    <row r="83" spans="2:32" s="175" customFormat="1" ht="40" customHeight="1">
      <c r="B83" s="213">
        <v>80</v>
      </c>
      <c r="C83" s="220"/>
      <c r="D83" s="219"/>
      <c r="E83" s="183"/>
      <c r="F83" s="167"/>
      <c r="G83" s="167"/>
      <c r="H83" s="167"/>
      <c r="I83" s="167"/>
      <c r="J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3" s="176"/>
      <c r="L83" s="167"/>
      <c r="M83" s="167"/>
      <c r="N83" s="167"/>
      <c r="O83" s="167"/>
      <c r="P83" s="177" t="str">
        <f>IF(ProjectInput[[#This Row],[Existing Fixture Code]]=0, "",INDEX(Table7[WATT/ FIXT], MATCH(ProjectInput[[#This Row],[Existing Fixture Code]], Table7[FIXTURE CODE], 0)))</f>
        <v/>
      </c>
      <c r="Q83" s="176"/>
      <c r="R83" s="167"/>
      <c r="S83" s="167"/>
      <c r="T83" s="167"/>
      <c r="U83" s="167"/>
      <c r="V83" s="167"/>
      <c r="W83" s="167"/>
      <c r="X83" s="178"/>
      <c r="Y83" s="179" t="str">
        <f>IF(ProjectInput[[#This Row],[Proposed Fixture Code]]=0, "", INDEX(Table7[WATT/ FIXT], MATCH(ProjectInput[[#This Row],[Proposed Fixture Code]], Table7[FIXTURE CODE],0 )))</f>
        <v/>
      </c>
      <c r="Z83" s="180">
        <f>INDEX(ReviewCalcs[Incentive Total Energy Savings (kWh)], MATCH(ProjectInput[[#This Row],[Project Index]], ReviewCalcs[Project Index], 0))</f>
        <v>0</v>
      </c>
      <c r="AA83" s="172">
        <f>INDEX(ReviewCalcs[Incentive Total Demand Savings (kW)], MATCH(ProjectInput[[#This Row],[Project Index]], ReviewCalcs[Project Index], 0))</f>
        <v>0</v>
      </c>
      <c r="AB83" s="181">
        <f>ProjectInput[[#This Row],[Energy Savings (kWh)]]*Avg_KWh_Rate</f>
        <v>0</v>
      </c>
      <c r="AC83" s="173">
        <f>IF(C83="", 0, IF(C83="Cust.", INDEX(ReviewCalcs[Incentive ($)], MATCH(ProjectInput[[#This Row],[Project Index]], ReviewCalcs[Project Index], 0)), IF(AND(C83="Pres.", D83="1 to 6"), 3*Q83, IF(AND(C83="Pres.", D83="7 to 11"), 4*Q83, IF(AND(C83="Pres.", D83="12 to 17"), 5*Q83, IF(AND(C83="Pres.", D83="Exit Sign"), 20*Q83, IF(AND(C83="Pres.", D83="&gt; 18"), 6*Q83)))))))</f>
        <v>0</v>
      </c>
      <c r="AD83" s="181">
        <f>ProjectInput[[#This Row],[Retrofit Cost]]</f>
        <v>0</v>
      </c>
      <c r="AE83" s="181">
        <f>ProjectInput[[#This Row],[Retrofit Cost]]-ProjectInput[[#This Row],[Incentive ($)]]</f>
        <v>0</v>
      </c>
      <c r="AF83" s="182" t="str">
        <f>IFERROR(ProjectInput[[#This Row],[Net Project Cost ($)]]/ProjectInput[[#This Row],[Energy Cost Savings ($)]], "")</f>
        <v/>
      </c>
    </row>
    <row r="84" spans="2:32" s="175" customFormat="1" ht="40" customHeight="1">
      <c r="B84" s="213">
        <v>81</v>
      </c>
      <c r="C84" s="223"/>
      <c r="D84" s="224"/>
      <c r="E84" s="183"/>
      <c r="F84" s="167"/>
      <c r="G84" s="184"/>
      <c r="H84" s="167"/>
      <c r="I84" s="184"/>
      <c r="J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4" s="183"/>
      <c r="L84" s="167"/>
      <c r="M84" s="184"/>
      <c r="N84" s="184"/>
      <c r="O84" s="184"/>
      <c r="P84" s="177" t="str">
        <f>IF(ProjectInput[[#This Row],[Existing Fixture Code]]=0, "",INDEX(Table7[WATT/ FIXT], MATCH(ProjectInput[[#This Row],[Existing Fixture Code]], Table7[FIXTURE CODE], 0)))</f>
        <v/>
      </c>
      <c r="Q84" s="183"/>
      <c r="R84" s="167"/>
      <c r="S84" s="184"/>
      <c r="T84" s="184"/>
      <c r="U84" s="184"/>
      <c r="V84" s="184"/>
      <c r="W84" s="167"/>
      <c r="X84" s="185"/>
      <c r="Y84" s="179" t="str">
        <f>IF(ProjectInput[[#This Row],[Proposed Fixture Code]]=0, "", INDEX(Table7[WATT/ FIXT], MATCH(ProjectInput[[#This Row],[Proposed Fixture Code]], Table7[FIXTURE CODE],0 )))</f>
        <v/>
      </c>
      <c r="Z84" s="180">
        <f>INDEX(ReviewCalcs[Incentive Total Energy Savings (kWh)], MATCH(ProjectInput[[#This Row],[Project Index]], ReviewCalcs[Project Index], 0))</f>
        <v>0</v>
      </c>
      <c r="AA84" s="172">
        <f>INDEX(ReviewCalcs[Incentive Total Demand Savings (kW)], MATCH(ProjectInput[[#This Row],[Project Index]], ReviewCalcs[Project Index], 0))</f>
        <v>0</v>
      </c>
      <c r="AB84" s="181">
        <f>ProjectInput[[#This Row],[Energy Savings (kWh)]]*Avg_KWh_Rate</f>
        <v>0</v>
      </c>
      <c r="AC84" s="173">
        <f>IF(C84="", 0, IF(C84="Cust.", INDEX(ReviewCalcs[Incentive ($)], MATCH(ProjectInput[[#This Row],[Project Index]], ReviewCalcs[Project Index], 0)), IF(AND(C84="Pres.", D84="1 to 6"), 3*Q84, IF(AND(C84="Pres.", D84="7 to 11"), 4*Q84, IF(AND(C84="Pres.", D84="12 to 17"), 5*Q84, IF(AND(C84="Pres.", D84="Exit Sign"), 20*Q84, IF(AND(C84="Pres.", D84="&gt; 18"), 6*Q84)))))))</f>
        <v>0</v>
      </c>
      <c r="AD84" s="181">
        <f>ProjectInput[[#This Row],[Retrofit Cost]]</f>
        <v>0</v>
      </c>
      <c r="AE84" s="181">
        <f>ProjectInput[[#This Row],[Retrofit Cost]]-ProjectInput[[#This Row],[Incentive ($)]]</f>
        <v>0</v>
      </c>
      <c r="AF84" s="182" t="str">
        <f>IFERROR(ProjectInput[[#This Row],[Net Project Cost ($)]]/ProjectInput[[#This Row],[Energy Cost Savings ($)]], "")</f>
        <v/>
      </c>
    </row>
    <row r="85" spans="2:32" s="175" customFormat="1" ht="40" customHeight="1">
      <c r="B85" s="213">
        <v>82</v>
      </c>
      <c r="C85" s="220"/>
      <c r="D85" s="219"/>
      <c r="E85" s="183"/>
      <c r="F85" s="167"/>
      <c r="G85" s="184"/>
      <c r="H85" s="167"/>
      <c r="I85" s="184"/>
      <c r="J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5" s="183"/>
      <c r="L85" s="167"/>
      <c r="M85" s="184"/>
      <c r="N85" s="184"/>
      <c r="O85" s="184"/>
      <c r="P85" s="177" t="str">
        <f>IF(ProjectInput[[#This Row],[Existing Fixture Code]]=0, "",INDEX(Table7[WATT/ FIXT], MATCH(ProjectInput[[#This Row],[Existing Fixture Code]], Table7[FIXTURE CODE], 0)))</f>
        <v/>
      </c>
      <c r="Q85" s="183"/>
      <c r="R85" s="167"/>
      <c r="S85" s="184"/>
      <c r="T85" s="184"/>
      <c r="U85" s="184"/>
      <c r="V85" s="184"/>
      <c r="W85" s="167"/>
      <c r="X85" s="185"/>
      <c r="Y85" s="179" t="str">
        <f>IF(ProjectInput[[#This Row],[Proposed Fixture Code]]=0, "", INDEX(Table7[WATT/ FIXT], MATCH(ProjectInput[[#This Row],[Proposed Fixture Code]], Table7[FIXTURE CODE],0 )))</f>
        <v/>
      </c>
      <c r="Z85" s="180">
        <f>INDEX(ReviewCalcs[Incentive Total Energy Savings (kWh)], MATCH(ProjectInput[[#This Row],[Project Index]], ReviewCalcs[Project Index], 0))</f>
        <v>0</v>
      </c>
      <c r="AA85" s="172">
        <f>INDEX(ReviewCalcs[Incentive Total Demand Savings (kW)], MATCH(ProjectInput[[#This Row],[Project Index]], ReviewCalcs[Project Index], 0))</f>
        <v>0</v>
      </c>
      <c r="AB85" s="181">
        <f>ProjectInput[[#This Row],[Energy Savings (kWh)]]*Avg_KWh_Rate</f>
        <v>0</v>
      </c>
      <c r="AC85" s="173">
        <f>IF(C85="", 0, IF(C85="Cust.", INDEX(ReviewCalcs[Incentive ($)], MATCH(ProjectInput[[#This Row],[Project Index]], ReviewCalcs[Project Index], 0)), IF(AND(C85="Pres.", D85="1 to 6"), 3*Q85, IF(AND(C85="Pres.", D85="7 to 11"), 4*Q85, IF(AND(C85="Pres.", D85="12 to 17"), 5*Q85, IF(AND(C85="Pres.", D85="Exit Sign"), 20*Q85, IF(AND(C85="Pres.", D85="&gt; 18"), 6*Q85)))))))</f>
        <v>0</v>
      </c>
      <c r="AD85" s="181">
        <f>ProjectInput[[#This Row],[Retrofit Cost]]</f>
        <v>0</v>
      </c>
      <c r="AE85" s="181">
        <f>ProjectInput[[#This Row],[Retrofit Cost]]-ProjectInput[[#This Row],[Incentive ($)]]</f>
        <v>0</v>
      </c>
      <c r="AF85" s="182" t="str">
        <f>IFERROR(ProjectInput[[#This Row],[Net Project Cost ($)]]/ProjectInput[[#This Row],[Energy Cost Savings ($)]], "")</f>
        <v/>
      </c>
    </row>
    <row r="86" spans="2:32" s="175" customFormat="1" ht="40" customHeight="1">
      <c r="B86" s="213">
        <v>83</v>
      </c>
      <c r="C86" s="223"/>
      <c r="D86" s="224"/>
      <c r="E86" s="183"/>
      <c r="F86" s="167"/>
      <c r="G86" s="184"/>
      <c r="H86" s="167"/>
      <c r="I86" s="184"/>
      <c r="J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6" s="183"/>
      <c r="L86" s="167"/>
      <c r="M86" s="184"/>
      <c r="N86" s="184"/>
      <c r="O86" s="184"/>
      <c r="P86" s="177" t="str">
        <f>IF(ProjectInput[[#This Row],[Existing Fixture Code]]=0, "",INDEX(Table7[WATT/ FIXT], MATCH(ProjectInput[[#This Row],[Existing Fixture Code]], Table7[FIXTURE CODE], 0)))</f>
        <v/>
      </c>
      <c r="Q86" s="183"/>
      <c r="R86" s="167"/>
      <c r="S86" s="184"/>
      <c r="T86" s="184"/>
      <c r="U86" s="184"/>
      <c r="V86" s="184"/>
      <c r="W86" s="167"/>
      <c r="X86" s="185"/>
      <c r="Y86" s="179" t="str">
        <f>IF(ProjectInput[[#This Row],[Proposed Fixture Code]]=0, "", INDEX(Table7[WATT/ FIXT], MATCH(ProjectInput[[#This Row],[Proposed Fixture Code]], Table7[FIXTURE CODE],0 )))</f>
        <v/>
      </c>
      <c r="Z86" s="180">
        <f>INDEX(ReviewCalcs[Incentive Total Energy Savings (kWh)], MATCH(ProjectInput[[#This Row],[Project Index]], ReviewCalcs[Project Index], 0))</f>
        <v>0</v>
      </c>
      <c r="AA86" s="172">
        <f>INDEX(ReviewCalcs[Incentive Total Demand Savings (kW)], MATCH(ProjectInput[[#This Row],[Project Index]], ReviewCalcs[Project Index], 0))</f>
        <v>0</v>
      </c>
      <c r="AB86" s="181">
        <f>ProjectInput[[#This Row],[Energy Savings (kWh)]]*Avg_KWh_Rate</f>
        <v>0</v>
      </c>
      <c r="AC86" s="173">
        <f>IF(C86="", 0, IF(C86="Cust.", INDEX(ReviewCalcs[Incentive ($)], MATCH(ProjectInput[[#This Row],[Project Index]], ReviewCalcs[Project Index], 0)), IF(AND(C86="Pres.", D86="1 to 6"), 3*Q86, IF(AND(C86="Pres.", D86="7 to 11"), 4*Q86, IF(AND(C86="Pres.", D86="12 to 17"), 5*Q86, IF(AND(C86="Pres.", D86="Exit Sign"), 20*Q86, IF(AND(C86="Pres.", D86="&gt; 18"), 6*Q86)))))))</f>
        <v>0</v>
      </c>
      <c r="AD86" s="181">
        <f>ProjectInput[[#This Row],[Retrofit Cost]]</f>
        <v>0</v>
      </c>
      <c r="AE86" s="181">
        <f>ProjectInput[[#This Row],[Retrofit Cost]]-ProjectInput[[#This Row],[Incentive ($)]]</f>
        <v>0</v>
      </c>
      <c r="AF86" s="182" t="str">
        <f>IFERROR(ProjectInput[[#This Row],[Net Project Cost ($)]]/ProjectInput[[#This Row],[Energy Cost Savings ($)]], "")</f>
        <v/>
      </c>
    </row>
    <row r="87" spans="2:32" s="175" customFormat="1" ht="40" customHeight="1">
      <c r="B87" s="213">
        <v>84</v>
      </c>
      <c r="C87" s="220"/>
      <c r="D87" s="219"/>
      <c r="E87" s="183"/>
      <c r="F87" s="167"/>
      <c r="G87" s="184"/>
      <c r="H87" s="167"/>
      <c r="I87" s="184"/>
      <c r="J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7" s="183"/>
      <c r="L87" s="167"/>
      <c r="M87" s="184"/>
      <c r="N87" s="184"/>
      <c r="O87" s="184"/>
      <c r="P87" s="177" t="str">
        <f>IF(ProjectInput[[#This Row],[Existing Fixture Code]]=0, "",INDEX(Table7[WATT/ FIXT], MATCH(ProjectInput[[#This Row],[Existing Fixture Code]], Table7[FIXTURE CODE], 0)))</f>
        <v/>
      </c>
      <c r="Q87" s="183"/>
      <c r="R87" s="167"/>
      <c r="S87" s="184"/>
      <c r="T87" s="184"/>
      <c r="U87" s="184"/>
      <c r="V87" s="184"/>
      <c r="W87" s="167"/>
      <c r="X87" s="185"/>
      <c r="Y87" s="179" t="str">
        <f>IF(ProjectInput[[#This Row],[Proposed Fixture Code]]=0, "", INDEX(Table7[WATT/ FIXT], MATCH(ProjectInput[[#This Row],[Proposed Fixture Code]], Table7[FIXTURE CODE],0 )))</f>
        <v/>
      </c>
      <c r="Z87" s="180">
        <f>INDEX(ReviewCalcs[Incentive Total Energy Savings (kWh)], MATCH(ProjectInput[[#This Row],[Project Index]], ReviewCalcs[Project Index], 0))</f>
        <v>0</v>
      </c>
      <c r="AA87" s="172">
        <f>INDEX(ReviewCalcs[Incentive Total Demand Savings (kW)], MATCH(ProjectInput[[#This Row],[Project Index]], ReviewCalcs[Project Index], 0))</f>
        <v>0</v>
      </c>
      <c r="AB87" s="181">
        <f>ProjectInput[[#This Row],[Energy Savings (kWh)]]*Avg_KWh_Rate</f>
        <v>0</v>
      </c>
      <c r="AC87" s="173">
        <f>IF(C87="", 0, IF(C87="Cust.", INDEX(ReviewCalcs[Incentive ($)], MATCH(ProjectInput[[#This Row],[Project Index]], ReviewCalcs[Project Index], 0)), IF(AND(C87="Pres.", D87="1 to 6"), 3*Q87, IF(AND(C87="Pres.", D87="7 to 11"), 4*Q87, IF(AND(C87="Pres.", D87="12 to 17"), 5*Q87, IF(AND(C87="Pres.", D87="Exit Sign"), 20*Q87, IF(AND(C87="Pres.", D87="&gt; 18"), 6*Q87)))))))</f>
        <v>0</v>
      </c>
      <c r="AD87" s="181">
        <f>ProjectInput[[#This Row],[Retrofit Cost]]</f>
        <v>0</v>
      </c>
      <c r="AE87" s="181">
        <f>ProjectInput[[#This Row],[Retrofit Cost]]-ProjectInput[[#This Row],[Incentive ($)]]</f>
        <v>0</v>
      </c>
      <c r="AF87" s="182" t="str">
        <f>IFERROR(ProjectInput[[#This Row],[Net Project Cost ($)]]/ProjectInput[[#This Row],[Energy Cost Savings ($)]], "")</f>
        <v/>
      </c>
    </row>
    <row r="88" spans="2:32" s="175" customFormat="1" ht="40" customHeight="1">
      <c r="B88" s="213">
        <v>85</v>
      </c>
      <c r="C88" s="223"/>
      <c r="D88" s="224"/>
      <c r="E88" s="183"/>
      <c r="F88" s="167"/>
      <c r="G88" s="184"/>
      <c r="H88" s="167"/>
      <c r="I88" s="184"/>
      <c r="J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8" s="183"/>
      <c r="L88" s="167"/>
      <c r="M88" s="184"/>
      <c r="N88" s="184"/>
      <c r="O88" s="184"/>
      <c r="P88" s="177" t="str">
        <f>IF(ProjectInput[[#This Row],[Existing Fixture Code]]=0, "",INDEX(Table7[WATT/ FIXT], MATCH(ProjectInput[[#This Row],[Existing Fixture Code]], Table7[FIXTURE CODE], 0)))</f>
        <v/>
      </c>
      <c r="Q88" s="183"/>
      <c r="R88" s="167"/>
      <c r="S88" s="184"/>
      <c r="T88" s="184"/>
      <c r="U88" s="184"/>
      <c r="V88" s="184"/>
      <c r="W88" s="167"/>
      <c r="X88" s="185"/>
      <c r="Y88" s="179" t="str">
        <f>IF(ProjectInput[[#This Row],[Proposed Fixture Code]]=0, "", INDEX(Table7[WATT/ FIXT], MATCH(ProjectInput[[#This Row],[Proposed Fixture Code]], Table7[FIXTURE CODE],0 )))</f>
        <v/>
      </c>
      <c r="Z88" s="180">
        <f>INDEX(ReviewCalcs[Incentive Total Energy Savings (kWh)], MATCH(ProjectInput[[#This Row],[Project Index]], ReviewCalcs[Project Index], 0))</f>
        <v>0</v>
      </c>
      <c r="AA88" s="172">
        <f>INDEX(ReviewCalcs[Incentive Total Demand Savings (kW)], MATCH(ProjectInput[[#This Row],[Project Index]], ReviewCalcs[Project Index], 0))</f>
        <v>0</v>
      </c>
      <c r="AB88" s="181">
        <f>ProjectInput[[#This Row],[Energy Savings (kWh)]]*Avg_KWh_Rate</f>
        <v>0</v>
      </c>
      <c r="AC88" s="173">
        <f>IF(C88="", 0, IF(C88="Cust.", INDEX(ReviewCalcs[Incentive ($)], MATCH(ProjectInput[[#This Row],[Project Index]], ReviewCalcs[Project Index], 0)), IF(AND(C88="Pres.", D88="1 to 6"), 3*Q88, IF(AND(C88="Pres.", D88="7 to 11"), 4*Q88, IF(AND(C88="Pres.", D88="12 to 17"), 5*Q88, IF(AND(C88="Pres.", D88="Exit Sign"), 20*Q88, IF(AND(C88="Pres.", D88="&gt; 18"), 6*Q88)))))))</f>
        <v>0</v>
      </c>
      <c r="AD88" s="181">
        <f>ProjectInput[[#This Row],[Retrofit Cost]]</f>
        <v>0</v>
      </c>
      <c r="AE88" s="181">
        <f>ProjectInput[[#This Row],[Retrofit Cost]]-ProjectInput[[#This Row],[Incentive ($)]]</f>
        <v>0</v>
      </c>
      <c r="AF88" s="182" t="str">
        <f>IFERROR(ProjectInput[[#This Row],[Net Project Cost ($)]]/ProjectInput[[#This Row],[Energy Cost Savings ($)]], "")</f>
        <v/>
      </c>
    </row>
    <row r="89" spans="2:32" s="175" customFormat="1" ht="40" customHeight="1">
      <c r="B89" s="213">
        <v>86</v>
      </c>
      <c r="C89" s="220"/>
      <c r="D89" s="219"/>
      <c r="E89" s="183"/>
      <c r="F89" s="167"/>
      <c r="G89" s="184"/>
      <c r="H89" s="167"/>
      <c r="I89" s="184"/>
      <c r="J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89" s="183"/>
      <c r="L89" s="167"/>
      <c r="M89" s="184"/>
      <c r="N89" s="184"/>
      <c r="O89" s="184"/>
      <c r="P89" s="177" t="str">
        <f>IF(ProjectInput[[#This Row],[Existing Fixture Code]]=0, "",INDEX(Table7[WATT/ FIXT], MATCH(ProjectInput[[#This Row],[Existing Fixture Code]], Table7[FIXTURE CODE], 0)))</f>
        <v/>
      </c>
      <c r="Q89" s="183"/>
      <c r="R89" s="167"/>
      <c r="S89" s="184"/>
      <c r="T89" s="184"/>
      <c r="U89" s="184"/>
      <c r="V89" s="184"/>
      <c r="W89" s="167"/>
      <c r="X89" s="185"/>
      <c r="Y89" s="179" t="str">
        <f>IF(ProjectInput[[#This Row],[Proposed Fixture Code]]=0, "", INDEX(Table7[WATT/ FIXT], MATCH(ProjectInput[[#This Row],[Proposed Fixture Code]], Table7[FIXTURE CODE],0 )))</f>
        <v/>
      </c>
      <c r="Z89" s="180">
        <f>INDEX(ReviewCalcs[Incentive Total Energy Savings (kWh)], MATCH(ProjectInput[[#This Row],[Project Index]], ReviewCalcs[Project Index], 0))</f>
        <v>0</v>
      </c>
      <c r="AA89" s="172">
        <f>INDEX(ReviewCalcs[Incentive Total Demand Savings (kW)], MATCH(ProjectInput[[#This Row],[Project Index]], ReviewCalcs[Project Index], 0))</f>
        <v>0</v>
      </c>
      <c r="AB89" s="181">
        <f>ProjectInput[[#This Row],[Energy Savings (kWh)]]*Avg_KWh_Rate</f>
        <v>0</v>
      </c>
      <c r="AC89" s="173">
        <f>IF(C89="", 0, IF(C89="Cust.", INDEX(ReviewCalcs[Incentive ($)], MATCH(ProjectInput[[#This Row],[Project Index]], ReviewCalcs[Project Index], 0)), IF(AND(C89="Pres.", D89="1 to 6"), 3*Q89, IF(AND(C89="Pres.", D89="7 to 11"), 4*Q89, IF(AND(C89="Pres.", D89="12 to 17"), 5*Q89, IF(AND(C89="Pres.", D89="Exit Sign"), 20*Q89, IF(AND(C89="Pres.", D89="&gt; 18"), 6*Q89)))))))</f>
        <v>0</v>
      </c>
      <c r="AD89" s="181">
        <f>ProjectInput[[#This Row],[Retrofit Cost]]</f>
        <v>0</v>
      </c>
      <c r="AE89" s="181">
        <f>ProjectInput[[#This Row],[Retrofit Cost]]-ProjectInput[[#This Row],[Incentive ($)]]</f>
        <v>0</v>
      </c>
      <c r="AF89" s="182" t="str">
        <f>IFERROR(ProjectInput[[#This Row],[Net Project Cost ($)]]/ProjectInput[[#This Row],[Energy Cost Savings ($)]], "")</f>
        <v/>
      </c>
    </row>
    <row r="90" spans="2:32" s="175" customFormat="1" ht="40" customHeight="1">
      <c r="B90" s="213">
        <v>87</v>
      </c>
      <c r="C90" s="223"/>
      <c r="D90" s="224"/>
      <c r="E90" s="183"/>
      <c r="F90" s="167"/>
      <c r="G90" s="184"/>
      <c r="H90" s="167"/>
      <c r="I90" s="184"/>
      <c r="J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0" s="183"/>
      <c r="L90" s="167"/>
      <c r="M90" s="184"/>
      <c r="N90" s="184"/>
      <c r="O90" s="184"/>
      <c r="P90" s="177" t="str">
        <f>IF(ProjectInput[[#This Row],[Existing Fixture Code]]=0, "",INDEX(Table7[WATT/ FIXT], MATCH(ProjectInput[[#This Row],[Existing Fixture Code]], Table7[FIXTURE CODE], 0)))</f>
        <v/>
      </c>
      <c r="Q90" s="183"/>
      <c r="R90" s="167"/>
      <c r="S90" s="184"/>
      <c r="T90" s="184"/>
      <c r="U90" s="184"/>
      <c r="V90" s="184"/>
      <c r="W90" s="167"/>
      <c r="X90" s="185"/>
      <c r="Y90" s="179" t="str">
        <f>IF(ProjectInput[[#This Row],[Proposed Fixture Code]]=0, "", INDEX(Table7[WATT/ FIXT], MATCH(ProjectInput[[#This Row],[Proposed Fixture Code]], Table7[FIXTURE CODE],0 )))</f>
        <v/>
      </c>
      <c r="Z90" s="180">
        <f>INDEX(ReviewCalcs[Incentive Total Energy Savings (kWh)], MATCH(ProjectInput[[#This Row],[Project Index]], ReviewCalcs[Project Index], 0))</f>
        <v>0</v>
      </c>
      <c r="AA90" s="172">
        <f>INDEX(ReviewCalcs[Incentive Total Demand Savings (kW)], MATCH(ProjectInput[[#This Row],[Project Index]], ReviewCalcs[Project Index], 0))</f>
        <v>0</v>
      </c>
      <c r="AB90" s="181">
        <f>ProjectInput[[#This Row],[Energy Savings (kWh)]]*Avg_KWh_Rate</f>
        <v>0</v>
      </c>
      <c r="AC90" s="173">
        <f>IF(C90="", 0, IF(C90="Cust.", INDEX(ReviewCalcs[Incentive ($)], MATCH(ProjectInput[[#This Row],[Project Index]], ReviewCalcs[Project Index], 0)), IF(AND(C90="Pres.", D90="1 to 6"), 3*Q90, IF(AND(C90="Pres.", D90="7 to 11"), 4*Q90, IF(AND(C90="Pres.", D90="12 to 17"), 5*Q90, IF(AND(C90="Pres.", D90="Exit Sign"), 20*Q90, IF(AND(C90="Pres.", D90="&gt; 18"), 6*Q90)))))))</f>
        <v>0</v>
      </c>
      <c r="AD90" s="181">
        <f>ProjectInput[[#This Row],[Retrofit Cost]]</f>
        <v>0</v>
      </c>
      <c r="AE90" s="181">
        <f>ProjectInput[[#This Row],[Retrofit Cost]]-ProjectInput[[#This Row],[Incentive ($)]]</f>
        <v>0</v>
      </c>
      <c r="AF90" s="182" t="str">
        <f>IFERROR(ProjectInput[[#This Row],[Net Project Cost ($)]]/ProjectInput[[#This Row],[Energy Cost Savings ($)]], "")</f>
        <v/>
      </c>
    </row>
    <row r="91" spans="2:32" s="175" customFormat="1" ht="40" customHeight="1">
      <c r="B91" s="213">
        <v>88</v>
      </c>
      <c r="C91" s="220"/>
      <c r="D91" s="219"/>
      <c r="E91" s="183"/>
      <c r="F91" s="167"/>
      <c r="G91" s="184"/>
      <c r="H91" s="167"/>
      <c r="I91" s="184"/>
      <c r="J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1" s="183"/>
      <c r="L91" s="167"/>
      <c r="M91" s="184"/>
      <c r="N91" s="184"/>
      <c r="O91" s="184"/>
      <c r="P91" s="177" t="str">
        <f>IF(ProjectInput[[#This Row],[Existing Fixture Code]]=0, "",INDEX(Table7[WATT/ FIXT], MATCH(ProjectInput[[#This Row],[Existing Fixture Code]], Table7[FIXTURE CODE], 0)))</f>
        <v/>
      </c>
      <c r="Q91" s="183"/>
      <c r="R91" s="167"/>
      <c r="S91" s="184"/>
      <c r="T91" s="184"/>
      <c r="U91" s="184"/>
      <c r="V91" s="184"/>
      <c r="W91" s="167"/>
      <c r="X91" s="185"/>
      <c r="Y91" s="179" t="str">
        <f>IF(ProjectInput[[#This Row],[Proposed Fixture Code]]=0, "", INDEX(Table7[WATT/ FIXT], MATCH(ProjectInput[[#This Row],[Proposed Fixture Code]], Table7[FIXTURE CODE],0 )))</f>
        <v/>
      </c>
      <c r="Z91" s="180">
        <f>INDEX(ReviewCalcs[Incentive Total Energy Savings (kWh)], MATCH(ProjectInput[[#This Row],[Project Index]], ReviewCalcs[Project Index], 0))</f>
        <v>0</v>
      </c>
      <c r="AA91" s="172">
        <f>INDEX(ReviewCalcs[Incentive Total Demand Savings (kW)], MATCH(ProjectInput[[#This Row],[Project Index]], ReviewCalcs[Project Index], 0))</f>
        <v>0</v>
      </c>
      <c r="AB91" s="181">
        <f>ProjectInput[[#This Row],[Energy Savings (kWh)]]*Avg_KWh_Rate</f>
        <v>0</v>
      </c>
      <c r="AC91" s="173">
        <f>IF(C91="", 0, IF(C91="Cust.", INDEX(ReviewCalcs[Incentive ($)], MATCH(ProjectInput[[#This Row],[Project Index]], ReviewCalcs[Project Index], 0)), IF(AND(C91="Pres.", D91="1 to 6"), 3*Q91, IF(AND(C91="Pres.", D91="7 to 11"), 4*Q91, IF(AND(C91="Pres.", D91="12 to 17"), 5*Q91, IF(AND(C91="Pres.", D91="Exit Sign"), 20*Q91, IF(AND(C91="Pres.", D91="&gt; 18"), 6*Q91)))))))</f>
        <v>0</v>
      </c>
      <c r="AD91" s="181">
        <f>ProjectInput[[#This Row],[Retrofit Cost]]</f>
        <v>0</v>
      </c>
      <c r="AE91" s="181">
        <f>ProjectInput[[#This Row],[Retrofit Cost]]-ProjectInput[[#This Row],[Incentive ($)]]</f>
        <v>0</v>
      </c>
      <c r="AF91" s="182" t="str">
        <f>IFERROR(ProjectInput[[#This Row],[Net Project Cost ($)]]/ProjectInput[[#This Row],[Energy Cost Savings ($)]], "")</f>
        <v/>
      </c>
    </row>
    <row r="92" spans="2:32" s="175" customFormat="1" ht="40" customHeight="1">
      <c r="B92" s="213">
        <v>89</v>
      </c>
      <c r="C92" s="223"/>
      <c r="D92" s="224"/>
      <c r="E92" s="183"/>
      <c r="F92" s="167"/>
      <c r="G92" s="184"/>
      <c r="H92" s="167"/>
      <c r="I92" s="184"/>
      <c r="J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2" s="183"/>
      <c r="L92" s="167"/>
      <c r="M92" s="184"/>
      <c r="N92" s="184"/>
      <c r="O92" s="184"/>
      <c r="P92" s="177" t="str">
        <f>IF(ProjectInput[[#This Row],[Existing Fixture Code]]=0, "",INDEX(Table7[WATT/ FIXT], MATCH(ProjectInput[[#This Row],[Existing Fixture Code]], Table7[FIXTURE CODE], 0)))</f>
        <v/>
      </c>
      <c r="Q92" s="183"/>
      <c r="R92" s="167"/>
      <c r="S92" s="184"/>
      <c r="T92" s="184"/>
      <c r="U92" s="184"/>
      <c r="V92" s="184"/>
      <c r="W92" s="167"/>
      <c r="X92" s="185"/>
      <c r="Y92" s="179" t="str">
        <f>IF(ProjectInput[[#This Row],[Proposed Fixture Code]]=0, "", INDEX(Table7[WATT/ FIXT], MATCH(ProjectInput[[#This Row],[Proposed Fixture Code]], Table7[FIXTURE CODE],0 )))</f>
        <v/>
      </c>
      <c r="Z92" s="180">
        <f>INDEX(ReviewCalcs[Incentive Total Energy Savings (kWh)], MATCH(ProjectInput[[#This Row],[Project Index]], ReviewCalcs[Project Index], 0))</f>
        <v>0</v>
      </c>
      <c r="AA92" s="172">
        <f>INDEX(ReviewCalcs[Incentive Total Demand Savings (kW)], MATCH(ProjectInput[[#This Row],[Project Index]], ReviewCalcs[Project Index], 0))</f>
        <v>0</v>
      </c>
      <c r="AB92" s="181">
        <f>ProjectInput[[#This Row],[Energy Savings (kWh)]]*Avg_KWh_Rate</f>
        <v>0</v>
      </c>
      <c r="AC92" s="173">
        <f>IF(C92="", 0, IF(C92="Cust.", INDEX(ReviewCalcs[Incentive ($)], MATCH(ProjectInput[[#This Row],[Project Index]], ReviewCalcs[Project Index], 0)), IF(AND(C92="Pres.", D92="1 to 6"), 3*Q92, IF(AND(C92="Pres.", D92="7 to 11"), 4*Q92, IF(AND(C92="Pres.", D92="12 to 17"), 5*Q92, IF(AND(C92="Pres.", D92="Exit Sign"), 20*Q92, IF(AND(C92="Pres.", D92="&gt; 18"), 6*Q92)))))))</f>
        <v>0</v>
      </c>
      <c r="AD92" s="181">
        <f>ProjectInput[[#This Row],[Retrofit Cost]]</f>
        <v>0</v>
      </c>
      <c r="AE92" s="181">
        <f>ProjectInput[[#This Row],[Retrofit Cost]]-ProjectInput[[#This Row],[Incentive ($)]]</f>
        <v>0</v>
      </c>
      <c r="AF92" s="182" t="str">
        <f>IFERROR(ProjectInput[[#This Row],[Net Project Cost ($)]]/ProjectInput[[#This Row],[Energy Cost Savings ($)]], "")</f>
        <v/>
      </c>
    </row>
    <row r="93" spans="2:32" s="175" customFormat="1" ht="40" customHeight="1">
      <c r="B93" s="213">
        <v>90</v>
      </c>
      <c r="C93" s="220"/>
      <c r="D93" s="219"/>
      <c r="E93" s="183"/>
      <c r="F93" s="167"/>
      <c r="G93" s="184"/>
      <c r="H93" s="167"/>
      <c r="I93" s="184"/>
      <c r="J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3" s="183"/>
      <c r="L93" s="167"/>
      <c r="M93" s="184"/>
      <c r="N93" s="184"/>
      <c r="O93" s="184"/>
      <c r="P93" s="177" t="str">
        <f>IF(ProjectInput[[#This Row],[Existing Fixture Code]]=0, "",INDEX(Table7[WATT/ FIXT], MATCH(ProjectInput[[#This Row],[Existing Fixture Code]], Table7[FIXTURE CODE], 0)))</f>
        <v/>
      </c>
      <c r="Q93" s="183"/>
      <c r="R93" s="167"/>
      <c r="S93" s="184"/>
      <c r="T93" s="184"/>
      <c r="U93" s="184"/>
      <c r="V93" s="184"/>
      <c r="W93" s="167"/>
      <c r="X93" s="185"/>
      <c r="Y93" s="179" t="str">
        <f>IF(ProjectInput[[#This Row],[Proposed Fixture Code]]=0, "", INDEX(Table7[WATT/ FIXT], MATCH(ProjectInput[[#This Row],[Proposed Fixture Code]], Table7[FIXTURE CODE],0 )))</f>
        <v/>
      </c>
      <c r="Z93" s="180">
        <f>INDEX(ReviewCalcs[Incentive Total Energy Savings (kWh)], MATCH(ProjectInput[[#This Row],[Project Index]], ReviewCalcs[Project Index], 0))</f>
        <v>0</v>
      </c>
      <c r="AA93" s="172">
        <f>INDEX(ReviewCalcs[Incentive Total Demand Savings (kW)], MATCH(ProjectInput[[#This Row],[Project Index]], ReviewCalcs[Project Index], 0))</f>
        <v>0</v>
      </c>
      <c r="AB93" s="181">
        <f>ProjectInput[[#This Row],[Energy Savings (kWh)]]*Avg_KWh_Rate</f>
        <v>0</v>
      </c>
      <c r="AC93" s="173">
        <f>IF(C93="", 0, IF(C93="Cust.", INDEX(ReviewCalcs[Incentive ($)], MATCH(ProjectInput[[#This Row],[Project Index]], ReviewCalcs[Project Index], 0)), IF(AND(C93="Pres.", D93="1 to 6"), 3*Q93, IF(AND(C93="Pres.", D93="7 to 11"), 4*Q93, IF(AND(C93="Pres.", D93="12 to 17"), 5*Q93, IF(AND(C93="Pres.", D93="Exit Sign"), 20*Q93, IF(AND(C93="Pres.", D93="&gt; 18"), 6*Q93)))))))</f>
        <v>0</v>
      </c>
      <c r="AD93" s="181">
        <f>ProjectInput[[#This Row],[Retrofit Cost]]</f>
        <v>0</v>
      </c>
      <c r="AE93" s="181">
        <f>ProjectInput[[#This Row],[Retrofit Cost]]-ProjectInput[[#This Row],[Incentive ($)]]</f>
        <v>0</v>
      </c>
      <c r="AF93" s="182" t="str">
        <f>IFERROR(ProjectInput[[#This Row],[Net Project Cost ($)]]/ProjectInput[[#This Row],[Energy Cost Savings ($)]], "")</f>
        <v/>
      </c>
    </row>
    <row r="94" spans="2:32" s="175" customFormat="1" ht="40" customHeight="1">
      <c r="B94" s="213">
        <v>91</v>
      </c>
      <c r="C94" s="223"/>
      <c r="D94" s="224"/>
      <c r="E94" s="183"/>
      <c r="F94" s="167"/>
      <c r="G94" s="184"/>
      <c r="H94" s="167"/>
      <c r="I94" s="184"/>
      <c r="J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4" s="183"/>
      <c r="L94" s="167"/>
      <c r="M94" s="184"/>
      <c r="N94" s="184"/>
      <c r="O94" s="184"/>
      <c r="P94" s="177" t="str">
        <f>IF(ProjectInput[[#This Row],[Existing Fixture Code]]=0, "",INDEX(Table7[WATT/ FIXT], MATCH(ProjectInput[[#This Row],[Existing Fixture Code]], Table7[FIXTURE CODE], 0)))</f>
        <v/>
      </c>
      <c r="Q94" s="183"/>
      <c r="R94" s="167"/>
      <c r="S94" s="184"/>
      <c r="T94" s="184"/>
      <c r="U94" s="184"/>
      <c r="V94" s="184"/>
      <c r="W94" s="167"/>
      <c r="X94" s="185"/>
      <c r="Y94" s="179" t="str">
        <f>IF(ProjectInput[[#This Row],[Proposed Fixture Code]]=0, "", INDEX(Table7[WATT/ FIXT], MATCH(ProjectInput[[#This Row],[Proposed Fixture Code]], Table7[FIXTURE CODE],0 )))</f>
        <v/>
      </c>
      <c r="Z94" s="180">
        <f>INDEX(ReviewCalcs[Incentive Total Energy Savings (kWh)], MATCH(ProjectInput[[#This Row],[Project Index]], ReviewCalcs[Project Index], 0))</f>
        <v>0</v>
      </c>
      <c r="AA94" s="172">
        <f>INDEX(ReviewCalcs[Incentive Total Demand Savings (kW)], MATCH(ProjectInput[[#This Row],[Project Index]], ReviewCalcs[Project Index], 0))</f>
        <v>0</v>
      </c>
      <c r="AB94" s="181">
        <f>ProjectInput[[#This Row],[Energy Savings (kWh)]]*Avg_KWh_Rate</f>
        <v>0</v>
      </c>
      <c r="AC94" s="173">
        <f>IF(C94="", 0, IF(C94="Cust.", INDEX(ReviewCalcs[Incentive ($)], MATCH(ProjectInput[[#This Row],[Project Index]], ReviewCalcs[Project Index], 0)), IF(AND(C94="Pres.", D94="1 to 6"), 3*Q94, IF(AND(C94="Pres.", D94="7 to 11"), 4*Q94, IF(AND(C94="Pres.", D94="12 to 17"), 5*Q94, IF(AND(C94="Pres.", D94="Exit Sign"), 20*Q94, IF(AND(C94="Pres.", D94="&gt; 18"), 6*Q94)))))))</f>
        <v>0</v>
      </c>
      <c r="AD94" s="181">
        <f>ProjectInput[[#This Row],[Retrofit Cost]]</f>
        <v>0</v>
      </c>
      <c r="AE94" s="181">
        <f>ProjectInput[[#This Row],[Retrofit Cost]]-ProjectInput[[#This Row],[Incentive ($)]]</f>
        <v>0</v>
      </c>
      <c r="AF94" s="182" t="str">
        <f>IFERROR(ProjectInput[[#This Row],[Net Project Cost ($)]]/ProjectInput[[#This Row],[Energy Cost Savings ($)]], "")</f>
        <v/>
      </c>
    </row>
    <row r="95" spans="2:32" s="175" customFormat="1" ht="40" customHeight="1">
      <c r="B95" s="213">
        <v>92</v>
      </c>
      <c r="C95" s="220"/>
      <c r="D95" s="219"/>
      <c r="E95" s="183"/>
      <c r="F95" s="167"/>
      <c r="G95" s="184"/>
      <c r="H95" s="167"/>
      <c r="I95" s="184"/>
      <c r="J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5" s="183"/>
      <c r="L95" s="167"/>
      <c r="M95" s="184"/>
      <c r="N95" s="184"/>
      <c r="O95" s="184"/>
      <c r="P95" s="177" t="str">
        <f>IF(ProjectInput[[#This Row],[Existing Fixture Code]]=0, "",INDEX(Table7[WATT/ FIXT], MATCH(ProjectInput[[#This Row],[Existing Fixture Code]], Table7[FIXTURE CODE], 0)))</f>
        <v/>
      </c>
      <c r="Q95" s="183"/>
      <c r="R95" s="167"/>
      <c r="S95" s="184"/>
      <c r="T95" s="184"/>
      <c r="U95" s="184"/>
      <c r="V95" s="184"/>
      <c r="W95" s="167"/>
      <c r="X95" s="185"/>
      <c r="Y95" s="179" t="str">
        <f>IF(ProjectInput[[#This Row],[Proposed Fixture Code]]=0, "", INDEX(Table7[WATT/ FIXT], MATCH(ProjectInput[[#This Row],[Proposed Fixture Code]], Table7[FIXTURE CODE],0 )))</f>
        <v/>
      </c>
      <c r="Z95" s="180">
        <f>INDEX(ReviewCalcs[Incentive Total Energy Savings (kWh)], MATCH(ProjectInput[[#This Row],[Project Index]], ReviewCalcs[Project Index], 0))</f>
        <v>0</v>
      </c>
      <c r="AA95" s="172">
        <f>INDEX(ReviewCalcs[Incentive Total Demand Savings (kW)], MATCH(ProjectInput[[#This Row],[Project Index]], ReviewCalcs[Project Index], 0))</f>
        <v>0</v>
      </c>
      <c r="AB95" s="181">
        <f>ProjectInput[[#This Row],[Energy Savings (kWh)]]*Avg_KWh_Rate</f>
        <v>0</v>
      </c>
      <c r="AC95" s="173">
        <f>IF(C95="", 0, IF(C95="Cust.", INDEX(ReviewCalcs[Incentive ($)], MATCH(ProjectInput[[#This Row],[Project Index]], ReviewCalcs[Project Index], 0)), IF(AND(C95="Pres.", D95="1 to 6"), 3*Q95, IF(AND(C95="Pres.", D95="7 to 11"), 4*Q95, IF(AND(C95="Pres.", D95="12 to 17"), 5*Q95, IF(AND(C95="Pres.", D95="Exit Sign"), 20*Q95, IF(AND(C95="Pres.", D95="&gt; 18"), 6*Q95)))))))</f>
        <v>0</v>
      </c>
      <c r="AD95" s="181">
        <f>ProjectInput[[#This Row],[Retrofit Cost]]</f>
        <v>0</v>
      </c>
      <c r="AE95" s="181">
        <f>ProjectInput[[#This Row],[Retrofit Cost]]-ProjectInput[[#This Row],[Incentive ($)]]</f>
        <v>0</v>
      </c>
      <c r="AF95" s="182" t="str">
        <f>IFERROR(ProjectInput[[#This Row],[Net Project Cost ($)]]/ProjectInput[[#This Row],[Energy Cost Savings ($)]], "")</f>
        <v/>
      </c>
    </row>
    <row r="96" spans="2:32" s="175" customFormat="1" ht="40" customHeight="1">
      <c r="B96" s="213">
        <v>93</v>
      </c>
      <c r="C96" s="223"/>
      <c r="D96" s="224"/>
      <c r="E96" s="183"/>
      <c r="F96" s="167"/>
      <c r="G96" s="184"/>
      <c r="H96" s="167"/>
      <c r="I96" s="184"/>
      <c r="J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6" s="183"/>
      <c r="L96" s="167"/>
      <c r="M96" s="184"/>
      <c r="N96" s="184"/>
      <c r="O96" s="184"/>
      <c r="P96" s="177" t="str">
        <f>IF(ProjectInput[[#This Row],[Existing Fixture Code]]=0, "",INDEX(Table7[WATT/ FIXT], MATCH(ProjectInput[[#This Row],[Existing Fixture Code]], Table7[FIXTURE CODE], 0)))</f>
        <v/>
      </c>
      <c r="Q96" s="183"/>
      <c r="R96" s="167"/>
      <c r="S96" s="184"/>
      <c r="T96" s="184"/>
      <c r="U96" s="184"/>
      <c r="V96" s="184"/>
      <c r="W96" s="167"/>
      <c r="X96" s="185"/>
      <c r="Y96" s="179" t="str">
        <f>IF(ProjectInput[[#This Row],[Proposed Fixture Code]]=0, "", INDEX(Table7[WATT/ FIXT], MATCH(ProjectInput[[#This Row],[Proposed Fixture Code]], Table7[FIXTURE CODE],0 )))</f>
        <v/>
      </c>
      <c r="Z96" s="180">
        <f>INDEX(ReviewCalcs[Incentive Total Energy Savings (kWh)], MATCH(ProjectInput[[#This Row],[Project Index]], ReviewCalcs[Project Index], 0))</f>
        <v>0</v>
      </c>
      <c r="AA96" s="172">
        <f>INDEX(ReviewCalcs[Incentive Total Demand Savings (kW)], MATCH(ProjectInput[[#This Row],[Project Index]], ReviewCalcs[Project Index], 0))</f>
        <v>0</v>
      </c>
      <c r="AB96" s="181">
        <f>ProjectInput[[#This Row],[Energy Savings (kWh)]]*Avg_KWh_Rate</f>
        <v>0</v>
      </c>
      <c r="AC96" s="173">
        <f>IF(C96="", 0, IF(C96="Cust.", INDEX(ReviewCalcs[Incentive ($)], MATCH(ProjectInput[[#This Row],[Project Index]], ReviewCalcs[Project Index], 0)), IF(AND(C96="Pres.", D96="1 to 6"), 3*Q96, IF(AND(C96="Pres.", D96="7 to 11"), 4*Q96, IF(AND(C96="Pres.", D96="12 to 17"), 5*Q96, IF(AND(C96="Pres.", D96="Exit Sign"), 20*Q96, IF(AND(C96="Pres.", D96="&gt; 18"), 6*Q96)))))))</f>
        <v>0</v>
      </c>
      <c r="AD96" s="181">
        <f>ProjectInput[[#This Row],[Retrofit Cost]]</f>
        <v>0</v>
      </c>
      <c r="AE96" s="181">
        <f>ProjectInput[[#This Row],[Retrofit Cost]]-ProjectInput[[#This Row],[Incentive ($)]]</f>
        <v>0</v>
      </c>
      <c r="AF96" s="182" t="str">
        <f>IFERROR(ProjectInput[[#This Row],[Net Project Cost ($)]]/ProjectInput[[#This Row],[Energy Cost Savings ($)]], "")</f>
        <v/>
      </c>
    </row>
    <row r="97" spans="2:32" s="175" customFormat="1" ht="40" customHeight="1">
      <c r="B97" s="213">
        <v>94</v>
      </c>
      <c r="C97" s="220"/>
      <c r="D97" s="219"/>
      <c r="E97" s="183"/>
      <c r="F97" s="167"/>
      <c r="G97" s="184"/>
      <c r="H97" s="167"/>
      <c r="I97" s="184"/>
      <c r="J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7" s="183"/>
      <c r="L97" s="167"/>
      <c r="M97" s="184"/>
      <c r="N97" s="184"/>
      <c r="O97" s="184"/>
      <c r="P97" s="177" t="str">
        <f>IF(ProjectInput[[#This Row],[Existing Fixture Code]]=0, "",INDEX(Table7[WATT/ FIXT], MATCH(ProjectInput[[#This Row],[Existing Fixture Code]], Table7[FIXTURE CODE], 0)))</f>
        <v/>
      </c>
      <c r="Q97" s="183"/>
      <c r="R97" s="167"/>
      <c r="S97" s="184"/>
      <c r="T97" s="184"/>
      <c r="U97" s="184"/>
      <c r="V97" s="184"/>
      <c r="W97" s="167"/>
      <c r="X97" s="185"/>
      <c r="Y97" s="179" t="str">
        <f>IF(ProjectInput[[#This Row],[Proposed Fixture Code]]=0, "", INDEX(Table7[WATT/ FIXT], MATCH(ProjectInput[[#This Row],[Proposed Fixture Code]], Table7[FIXTURE CODE],0 )))</f>
        <v/>
      </c>
      <c r="Z97" s="180">
        <f>INDEX(ReviewCalcs[Incentive Total Energy Savings (kWh)], MATCH(ProjectInput[[#This Row],[Project Index]], ReviewCalcs[Project Index], 0))</f>
        <v>0</v>
      </c>
      <c r="AA97" s="172">
        <f>INDEX(ReviewCalcs[Incentive Total Demand Savings (kW)], MATCH(ProjectInput[[#This Row],[Project Index]], ReviewCalcs[Project Index], 0))</f>
        <v>0</v>
      </c>
      <c r="AB97" s="181">
        <f>ProjectInput[[#This Row],[Energy Savings (kWh)]]*Avg_KWh_Rate</f>
        <v>0</v>
      </c>
      <c r="AC97" s="173">
        <f>IF(C97="", 0, IF(C97="Cust.", INDEX(ReviewCalcs[Incentive ($)], MATCH(ProjectInput[[#This Row],[Project Index]], ReviewCalcs[Project Index], 0)), IF(AND(C97="Pres.", D97="1 to 6"), 3*Q97, IF(AND(C97="Pres.", D97="7 to 11"), 4*Q97, IF(AND(C97="Pres.", D97="12 to 17"), 5*Q97, IF(AND(C97="Pres.", D97="Exit Sign"), 20*Q97, IF(AND(C97="Pres.", D97="&gt; 18"), 6*Q97)))))))</f>
        <v>0</v>
      </c>
      <c r="AD97" s="181">
        <f>ProjectInput[[#This Row],[Retrofit Cost]]</f>
        <v>0</v>
      </c>
      <c r="AE97" s="181">
        <f>ProjectInput[[#This Row],[Retrofit Cost]]-ProjectInput[[#This Row],[Incentive ($)]]</f>
        <v>0</v>
      </c>
      <c r="AF97" s="182" t="str">
        <f>IFERROR(ProjectInput[[#This Row],[Net Project Cost ($)]]/ProjectInput[[#This Row],[Energy Cost Savings ($)]], "")</f>
        <v/>
      </c>
    </row>
    <row r="98" spans="2:32" s="175" customFormat="1" ht="40" customHeight="1">
      <c r="B98" s="213">
        <v>95</v>
      </c>
      <c r="C98" s="223"/>
      <c r="D98" s="224"/>
      <c r="E98" s="183"/>
      <c r="F98" s="167"/>
      <c r="G98" s="184"/>
      <c r="H98" s="167"/>
      <c r="I98" s="184"/>
      <c r="J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8" s="183"/>
      <c r="L98" s="167"/>
      <c r="M98" s="184"/>
      <c r="N98" s="184"/>
      <c r="O98" s="184"/>
      <c r="P98" s="177" t="str">
        <f>IF(ProjectInput[[#This Row],[Existing Fixture Code]]=0, "",INDEX(Table7[WATT/ FIXT], MATCH(ProjectInput[[#This Row],[Existing Fixture Code]], Table7[FIXTURE CODE], 0)))</f>
        <v/>
      </c>
      <c r="Q98" s="183"/>
      <c r="R98" s="167"/>
      <c r="S98" s="184"/>
      <c r="T98" s="184"/>
      <c r="U98" s="184"/>
      <c r="V98" s="184"/>
      <c r="W98" s="167"/>
      <c r="X98" s="185"/>
      <c r="Y98" s="179" t="str">
        <f>IF(ProjectInput[[#This Row],[Proposed Fixture Code]]=0, "", INDEX(Table7[WATT/ FIXT], MATCH(ProjectInput[[#This Row],[Proposed Fixture Code]], Table7[FIXTURE CODE],0 )))</f>
        <v/>
      </c>
      <c r="Z98" s="180">
        <f>INDEX(ReviewCalcs[Incentive Total Energy Savings (kWh)], MATCH(ProjectInput[[#This Row],[Project Index]], ReviewCalcs[Project Index], 0))</f>
        <v>0</v>
      </c>
      <c r="AA98" s="172">
        <f>INDEX(ReviewCalcs[Incentive Total Demand Savings (kW)], MATCH(ProjectInput[[#This Row],[Project Index]], ReviewCalcs[Project Index], 0))</f>
        <v>0</v>
      </c>
      <c r="AB98" s="181">
        <f>ProjectInput[[#This Row],[Energy Savings (kWh)]]*Avg_KWh_Rate</f>
        <v>0</v>
      </c>
      <c r="AC98" s="173">
        <f>IF(C98="", 0, IF(C98="Cust.", INDEX(ReviewCalcs[Incentive ($)], MATCH(ProjectInput[[#This Row],[Project Index]], ReviewCalcs[Project Index], 0)), IF(AND(C98="Pres.", D98="1 to 6"), 3*Q98, IF(AND(C98="Pres.", D98="7 to 11"), 4*Q98, IF(AND(C98="Pres.", D98="12 to 17"), 5*Q98, IF(AND(C98="Pres.", D98="Exit Sign"), 20*Q98, IF(AND(C98="Pres.", D98="&gt; 18"), 6*Q98)))))))</f>
        <v>0</v>
      </c>
      <c r="AD98" s="181">
        <f>ProjectInput[[#This Row],[Retrofit Cost]]</f>
        <v>0</v>
      </c>
      <c r="AE98" s="181">
        <f>ProjectInput[[#This Row],[Retrofit Cost]]-ProjectInput[[#This Row],[Incentive ($)]]</f>
        <v>0</v>
      </c>
      <c r="AF98" s="182" t="str">
        <f>IFERROR(ProjectInput[[#This Row],[Net Project Cost ($)]]/ProjectInput[[#This Row],[Energy Cost Savings ($)]], "")</f>
        <v/>
      </c>
    </row>
    <row r="99" spans="2:32" s="175" customFormat="1" ht="40" customHeight="1">
      <c r="B99" s="213">
        <v>96</v>
      </c>
      <c r="C99" s="220"/>
      <c r="D99" s="219"/>
      <c r="E99" s="183"/>
      <c r="F99" s="167"/>
      <c r="G99" s="184"/>
      <c r="H99" s="167"/>
      <c r="I99" s="184"/>
      <c r="J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99" s="183"/>
      <c r="L99" s="167"/>
      <c r="M99" s="184"/>
      <c r="N99" s="184"/>
      <c r="O99" s="184"/>
      <c r="P99" s="177" t="str">
        <f>IF(ProjectInput[[#This Row],[Existing Fixture Code]]=0, "",INDEX(Table7[WATT/ FIXT], MATCH(ProjectInput[[#This Row],[Existing Fixture Code]], Table7[FIXTURE CODE], 0)))</f>
        <v/>
      </c>
      <c r="Q99" s="183"/>
      <c r="R99" s="167"/>
      <c r="S99" s="184"/>
      <c r="T99" s="184"/>
      <c r="U99" s="184"/>
      <c r="V99" s="184"/>
      <c r="W99" s="167"/>
      <c r="X99" s="185"/>
      <c r="Y99" s="179" t="str">
        <f>IF(ProjectInput[[#This Row],[Proposed Fixture Code]]=0, "", INDEX(Table7[WATT/ FIXT], MATCH(ProjectInput[[#This Row],[Proposed Fixture Code]], Table7[FIXTURE CODE],0 )))</f>
        <v/>
      </c>
      <c r="Z99" s="180">
        <f>INDEX(ReviewCalcs[Incentive Total Energy Savings (kWh)], MATCH(ProjectInput[[#This Row],[Project Index]], ReviewCalcs[Project Index], 0))</f>
        <v>0</v>
      </c>
      <c r="AA99" s="172">
        <f>INDEX(ReviewCalcs[Incentive Total Demand Savings (kW)], MATCH(ProjectInput[[#This Row],[Project Index]], ReviewCalcs[Project Index], 0))</f>
        <v>0</v>
      </c>
      <c r="AB99" s="181">
        <f>ProjectInput[[#This Row],[Energy Savings (kWh)]]*Avg_KWh_Rate</f>
        <v>0</v>
      </c>
      <c r="AC99" s="173">
        <f>IF(C99="", 0, IF(C99="Cust.", INDEX(ReviewCalcs[Incentive ($)], MATCH(ProjectInput[[#This Row],[Project Index]], ReviewCalcs[Project Index], 0)), IF(AND(C99="Pres.", D99="1 to 6"), 3*Q99, IF(AND(C99="Pres.", D99="7 to 11"), 4*Q99, IF(AND(C99="Pres.", D99="12 to 17"), 5*Q99, IF(AND(C99="Pres.", D99="Exit Sign"), 20*Q99, IF(AND(C99="Pres.", D99="&gt; 18"), 6*Q99)))))))</f>
        <v>0</v>
      </c>
      <c r="AD99" s="181">
        <f>ProjectInput[[#This Row],[Retrofit Cost]]</f>
        <v>0</v>
      </c>
      <c r="AE99" s="181">
        <f>ProjectInput[[#This Row],[Retrofit Cost]]-ProjectInput[[#This Row],[Incentive ($)]]</f>
        <v>0</v>
      </c>
      <c r="AF99" s="182" t="str">
        <f>IFERROR(ProjectInput[[#This Row],[Net Project Cost ($)]]/ProjectInput[[#This Row],[Energy Cost Savings ($)]], "")</f>
        <v/>
      </c>
    </row>
    <row r="100" spans="2:32" s="175" customFormat="1" ht="40" customHeight="1">
      <c r="B100" s="213">
        <v>97</v>
      </c>
      <c r="C100" s="223"/>
      <c r="D100" s="224"/>
      <c r="E100" s="183"/>
      <c r="F100" s="167"/>
      <c r="G100" s="184"/>
      <c r="H100" s="167"/>
      <c r="I100" s="184"/>
      <c r="J1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0" s="183"/>
      <c r="L100" s="167"/>
      <c r="M100" s="184"/>
      <c r="N100" s="184"/>
      <c r="O100" s="184"/>
      <c r="P100" s="177" t="str">
        <f>IF(ProjectInput[[#This Row],[Existing Fixture Code]]=0, "",INDEX(Table7[WATT/ FIXT], MATCH(ProjectInput[[#This Row],[Existing Fixture Code]], Table7[FIXTURE CODE], 0)))</f>
        <v/>
      </c>
      <c r="Q100" s="183"/>
      <c r="R100" s="167"/>
      <c r="S100" s="184"/>
      <c r="T100" s="184"/>
      <c r="U100" s="184"/>
      <c r="V100" s="184"/>
      <c r="W100" s="167"/>
      <c r="X100" s="185"/>
      <c r="Y100" s="179" t="str">
        <f>IF(ProjectInput[[#This Row],[Proposed Fixture Code]]=0, "", INDEX(Table7[WATT/ FIXT], MATCH(ProjectInput[[#This Row],[Proposed Fixture Code]], Table7[FIXTURE CODE],0 )))</f>
        <v/>
      </c>
      <c r="Z100" s="180">
        <f>INDEX(ReviewCalcs[Incentive Total Energy Savings (kWh)], MATCH(ProjectInput[[#This Row],[Project Index]], ReviewCalcs[Project Index], 0))</f>
        <v>0</v>
      </c>
      <c r="AA100" s="172">
        <f>INDEX(ReviewCalcs[Incentive Total Demand Savings (kW)], MATCH(ProjectInput[[#This Row],[Project Index]], ReviewCalcs[Project Index], 0))</f>
        <v>0</v>
      </c>
      <c r="AB100" s="181">
        <f>ProjectInput[[#This Row],[Energy Savings (kWh)]]*Avg_KWh_Rate</f>
        <v>0</v>
      </c>
      <c r="AC100" s="173">
        <f>IF(C100="", 0, IF(C100="Cust.", INDEX(ReviewCalcs[Incentive ($)], MATCH(ProjectInput[[#This Row],[Project Index]], ReviewCalcs[Project Index], 0)), IF(AND(C100="Pres.", D100="1 to 6"), 3*Q100, IF(AND(C100="Pres.", D100="7 to 11"), 4*Q100, IF(AND(C100="Pres.", D100="12 to 17"), 5*Q100, IF(AND(C100="Pres.", D100="Exit Sign"), 20*Q100, IF(AND(C100="Pres.", D100="&gt; 18"), 6*Q100)))))))</f>
        <v>0</v>
      </c>
      <c r="AD100" s="181">
        <f>ProjectInput[[#This Row],[Retrofit Cost]]</f>
        <v>0</v>
      </c>
      <c r="AE100" s="181">
        <f>ProjectInput[[#This Row],[Retrofit Cost]]-ProjectInput[[#This Row],[Incentive ($)]]</f>
        <v>0</v>
      </c>
      <c r="AF100" s="182" t="str">
        <f>IFERROR(ProjectInput[[#This Row],[Net Project Cost ($)]]/ProjectInput[[#This Row],[Energy Cost Savings ($)]], "")</f>
        <v/>
      </c>
    </row>
    <row r="101" spans="2:32" s="175" customFormat="1" ht="40" customHeight="1">
      <c r="B101" s="213">
        <v>98</v>
      </c>
      <c r="C101" s="220"/>
      <c r="D101" s="219"/>
      <c r="E101" s="183"/>
      <c r="F101" s="167"/>
      <c r="G101" s="184"/>
      <c r="H101" s="167"/>
      <c r="I101" s="184"/>
      <c r="J1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1" s="183"/>
      <c r="L101" s="167"/>
      <c r="M101" s="184"/>
      <c r="N101" s="184"/>
      <c r="O101" s="184"/>
      <c r="P101" s="177" t="str">
        <f>IF(ProjectInput[[#This Row],[Existing Fixture Code]]=0, "",INDEX(Table7[WATT/ FIXT], MATCH(ProjectInput[[#This Row],[Existing Fixture Code]], Table7[FIXTURE CODE], 0)))</f>
        <v/>
      </c>
      <c r="Q101" s="183"/>
      <c r="R101" s="167"/>
      <c r="S101" s="184"/>
      <c r="T101" s="184"/>
      <c r="U101" s="184"/>
      <c r="V101" s="184"/>
      <c r="W101" s="167"/>
      <c r="X101" s="185"/>
      <c r="Y101" s="179" t="str">
        <f>IF(ProjectInput[[#This Row],[Proposed Fixture Code]]=0, "", INDEX(Table7[WATT/ FIXT], MATCH(ProjectInput[[#This Row],[Proposed Fixture Code]], Table7[FIXTURE CODE],0 )))</f>
        <v/>
      </c>
      <c r="Z101" s="180">
        <f>INDEX(ReviewCalcs[Incentive Total Energy Savings (kWh)], MATCH(ProjectInput[[#This Row],[Project Index]], ReviewCalcs[Project Index], 0))</f>
        <v>0</v>
      </c>
      <c r="AA101" s="172">
        <f>INDEX(ReviewCalcs[Incentive Total Demand Savings (kW)], MATCH(ProjectInput[[#This Row],[Project Index]], ReviewCalcs[Project Index], 0))</f>
        <v>0</v>
      </c>
      <c r="AB101" s="181">
        <f>ProjectInput[[#This Row],[Energy Savings (kWh)]]*Avg_KWh_Rate</f>
        <v>0</v>
      </c>
      <c r="AC101" s="173">
        <f>IF(C101="", 0, IF(C101="Cust.", INDEX(ReviewCalcs[Incentive ($)], MATCH(ProjectInput[[#This Row],[Project Index]], ReviewCalcs[Project Index], 0)), IF(AND(C101="Pres.", D101="1 to 6"), 3*Q101, IF(AND(C101="Pres.", D101="7 to 11"), 4*Q101, IF(AND(C101="Pres.", D101="12 to 17"), 5*Q101, IF(AND(C101="Pres.", D101="Exit Sign"), 20*Q101, IF(AND(C101="Pres.", D101="&gt; 18"), 6*Q101)))))))</f>
        <v>0</v>
      </c>
      <c r="AD101" s="181">
        <f>ProjectInput[[#This Row],[Retrofit Cost]]</f>
        <v>0</v>
      </c>
      <c r="AE101" s="181">
        <f>ProjectInput[[#This Row],[Retrofit Cost]]-ProjectInput[[#This Row],[Incentive ($)]]</f>
        <v>0</v>
      </c>
      <c r="AF101" s="182" t="str">
        <f>IFERROR(ProjectInput[[#This Row],[Net Project Cost ($)]]/ProjectInput[[#This Row],[Energy Cost Savings ($)]], "")</f>
        <v/>
      </c>
    </row>
    <row r="102" spans="2:32" s="175" customFormat="1" ht="40" customHeight="1">
      <c r="B102" s="213">
        <v>99</v>
      </c>
      <c r="C102" s="223"/>
      <c r="D102" s="224"/>
      <c r="E102" s="183"/>
      <c r="F102" s="167"/>
      <c r="G102" s="184"/>
      <c r="H102" s="167"/>
      <c r="I102" s="184"/>
      <c r="J1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2" s="183"/>
      <c r="L102" s="167"/>
      <c r="M102" s="184"/>
      <c r="N102" s="184"/>
      <c r="O102" s="184"/>
      <c r="P102" s="177" t="str">
        <f>IF(ProjectInput[[#This Row],[Existing Fixture Code]]=0, "",INDEX(Table7[WATT/ FIXT], MATCH(ProjectInput[[#This Row],[Existing Fixture Code]], Table7[FIXTURE CODE], 0)))</f>
        <v/>
      </c>
      <c r="Q102" s="183"/>
      <c r="R102" s="167"/>
      <c r="S102" s="184"/>
      <c r="T102" s="184"/>
      <c r="U102" s="184"/>
      <c r="V102" s="184"/>
      <c r="W102" s="167"/>
      <c r="X102" s="185"/>
      <c r="Y102" s="179" t="str">
        <f>IF(ProjectInput[[#This Row],[Proposed Fixture Code]]=0, "", INDEX(Table7[WATT/ FIXT], MATCH(ProjectInput[[#This Row],[Proposed Fixture Code]], Table7[FIXTURE CODE],0 )))</f>
        <v/>
      </c>
      <c r="Z102" s="180">
        <f>INDEX(ReviewCalcs[Incentive Total Energy Savings (kWh)], MATCH(ProjectInput[[#This Row],[Project Index]], ReviewCalcs[Project Index], 0))</f>
        <v>0</v>
      </c>
      <c r="AA102" s="172">
        <f>INDEX(ReviewCalcs[Incentive Total Demand Savings (kW)], MATCH(ProjectInput[[#This Row],[Project Index]], ReviewCalcs[Project Index], 0))</f>
        <v>0</v>
      </c>
      <c r="AB102" s="181">
        <f>ProjectInput[[#This Row],[Energy Savings (kWh)]]*Avg_KWh_Rate</f>
        <v>0</v>
      </c>
      <c r="AC102" s="173">
        <f>IF(C102="", 0, IF(C102="Cust.", INDEX(ReviewCalcs[Incentive ($)], MATCH(ProjectInput[[#This Row],[Project Index]], ReviewCalcs[Project Index], 0)), IF(AND(C102="Pres.", D102="1 to 6"), 3*Q102, IF(AND(C102="Pres.", D102="7 to 11"), 4*Q102, IF(AND(C102="Pres.", D102="12 to 17"), 5*Q102, IF(AND(C102="Pres.", D102="Exit Sign"), 20*Q102, IF(AND(C102="Pres.", D102="&gt; 18"), 6*Q102)))))))</f>
        <v>0</v>
      </c>
      <c r="AD102" s="181">
        <f>ProjectInput[[#This Row],[Retrofit Cost]]</f>
        <v>0</v>
      </c>
      <c r="AE102" s="181">
        <f>ProjectInput[[#This Row],[Retrofit Cost]]-ProjectInput[[#This Row],[Incentive ($)]]</f>
        <v>0</v>
      </c>
      <c r="AF102" s="182" t="str">
        <f>IFERROR(ProjectInput[[#This Row],[Net Project Cost ($)]]/ProjectInput[[#This Row],[Energy Cost Savings ($)]], "")</f>
        <v/>
      </c>
    </row>
    <row r="103" spans="2:32" s="175" customFormat="1" ht="40" customHeight="1">
      <c r="B103" s="213">
        <v>100</v>
      </c>
      <c r="C103" s="220"/>
      <c r="D103" s="219"/>
      <c r="E103" s="183"/>
      <c r="F103" s="167"/>
      <c r="G103" s="184"/>
      <c r="H103" s="167"/>
      <c r="I103" s="184"/>
      <c r="J10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3" s="183"/>
      <c r="L103" s="167"/>
      <c r="M103" s="184"/>
      <c r="N103" s="184"/>
      <c r="O103" s="184"/>
      <c r="P103" s="177" t="str">
        <f>IF(ProjectInput[[#This Row],[Existing Fixture Code]]=0, "",INDEX(Table7[WATT/ FIXT], MATCH(ProjectInput[[#This Row],[Existing Fixture Code]], Table7[FIXTURE CODE], 0)))</f>
        <v/>
      </c>
      <c r="Q103" s="183"/>
      <c r="R103" s="167"/>
      <c r="S103" s="184"/>
      <c r="T103" s="184"/>
      <c r="U103" s="184"/>
      <c r="V103" s="184"/>
      <c r="W103" s="167"/>
      <c r="X103" s="185"/>
      <c r="Y103" s="179" t="str">
        <f>IF(ProjectInput[[#This Row],[Proposed Fixture Code]]=0, "", INDEX(Table7[WATT/ FIXT], MATCH(ProjectInput[[#This Row],[Proposed Fixture Code]], Table7[FIXTURE CODE],0 )))</f>
        <v/>
      </c>
      <c r="Z103" s="180">
        <f>INDEX(ReviewCalcs[Incentive Total Energy Savings (kWh)], MATCH(ProjectInput[[#This Row],[Project Index]], ReviewCalcs[Project Index], 0))</f>
        <v>0</v>
      </c>
      <c r="AA103" s="172">
        <f>INDEX(ReviewCalcs[Incentive Total Demand Savings (kW)], MATCH(ProjectInput[[#This Row],[Project Index]], ReviewCalcs[Project Index], 0))</f>
        <v>0</v>
      </c>
      <c r="AB103" s="181">
        <f>ProjectInput[[#This Row],[Energy Savings (kWh)]]*Avg_KWh_Rate</f>
        <v>0</v>
      </c>
      <c r="AC103" s="173">
        <f>IF(C103="", 0, IF(C103="Cust.", INDEX(ReviewCalcs[Incentive ($)], MATCH(ProjectInput[[#This Row],[Project Index]], ReviewCalcs[Project Index], 0)), IF(AND(C103="Pres.", D103="1 to 6"), 3*Q103, IF(AND(C103="Pres.", D103="7 to 11"), 4*Q103, IF(AND(C103="Pres.", D103="12 to 17"), 5*Q103, IF(AND(C103="Pres.", D103="Exit Sign"), 20*Q103, IF(AND(C103="Pres.", D103="&gt; 18"), 6*Q103)))))))</f>
        <v>0</v>
      </c>
      <c r="AD103" s="181">
        <f>ProjectInput[[#This Row],[Retrofit Cost]]</f>
        <v>0</v>
      </c>
      <c r="AE103" s="181">
        <f>ProjectInput[[#This Row],[Retrofit Cost]]-ProjectInput[[#This Row],[Incentive ($)]]</f>
        <v>0</v>
      </c>
      <c r="AF103" s="182" t="str">
        <f>IFERROR(ProjectInput[[#This Row],[Net Project Cost ($)]]/ProjectInput[[#This Row],[Energy Cost Savings ($)]], "")</f>
        <v/>
      </c>
    </row>
    <row r="104" spans="2:32" s="175" customFormat="1" ht="40" customHeight="1">
      <c r="B104" s="213">
        <v>101</v>
      </c>
      <c r="C104" s="223"/>
      <c r="D104" s="224"/>
      <c r="E104" s="183"/>
      <c r="F104" s="167"/>
      <c r="G104" s="184"/>
      <c r="H104" s="167"/>
      <c r="I104" s="184"/>
      <c r="J10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4" s="183"/>
      <c r="L104" s="167"/>
      <c r="M104" s="184"/>
      <c r="N104" s="184"/>
      <c r="O104" s="184"/>
      <c r="P104" s="177" t="str">
        <f>IF(ProjectInput[[#This Row],[Existing Fixture Code]]=0, "",INDEX(Table7[WATT/ FIXT], MATCH(ProjectInput[[#This Row],[Existing Fixture Code]], Table7[FIXTURE CODE], 0)))</f>
        <v/>
      </c>
      <c r="Q104" s="183"/>
      <c r="R104" s="167"/>
      <c r="S104" s="184"/>
      <c r="T104" s="184"/>
      <c r="U104" s="184"/>
      <c r="V104" s="184"/>
      <c r="W104" s="167"/>
      <c r="X104" s="185"/>
      <c r="Y104" s="179" t="str">
        <f>IF(ProjectInput[[#This Row],[Proposed Fixture Code]]=0, "", INDEX(Table7[WATT/ FIXT], MATCH(ProjectInput[[#This Row],[Proposed Fixture Code]], Table7[FIXTURE CODE],0 )))</f>
        <v/>
      </c>
      <c r="Z104" s="180">
        <f>INDEX(ReviewCalcs[Incentive Total Energy Savings (kWh)], MATCH(ProjectInput[[#This Row],[Project Index]], ReviewCalcs[Project Index], 0))</f>
        <v>0</v>
      </c>
      <c r="AA104" s="172">
        <f>INDEX(ReviewCalcs[Incentive Total Demand Savings (kW)], MATCH(ProjectInput[[#This Row],[Project Index]], ReviewCalcs[Project Index], 0))</f>
        <v>0</v>
      </c>
      <c r="AB104" s="181">
        <f>ProjectInput[[#This Row],[Energy Savings (kWh)]]*Avg_KWh_Rate</f>
        <v>0</v>
      </c>
      <c r="AC104" s="173">
        <f>IF(C104="", 0, IF(C104="Cust.", INDEX(ReviewCalcs[Incentive ($)], MATCH(ProjectInput[[#This Row],[Project Index]], ReviewCalcs[Project Index], 0)), IF(AND(C104="Pres.", D104="1 to 6"), 3*Q104, IF(AND(C104="Pres.", D104="7 to 11"), 4*Q104, IF(AND(C104="Pres.", D104="12 to 17"), 5*Q104, IF(AND(C104="Pres.", D104="Exit Sign"), 20*Q104, IF(AND(C104="Pres.", D104="&gt; 18"), 6*Q104)))))))</f>
        <v>0</v>
      </c>
      <c r="AD104" s="181">
        <f>ProjectInput[[#This Row],[Retrofit Cost]]</f>
        <v>0</v>
      </c>
      <c r="AE104" s="181">
        <f>ProjectInput[[#This Row],[Retrofit Cost]]-ProjectInput[[#This Row],[Incentive ($)]]</f>
        <v>0</v>
      </c>
      <c r="AF104" s="182" t="str">
        <f>IFERROR(ProjectInput[[#This Row],[Net Project Cost ($)]]/ProjectInput[[#This Row],[Energy Cost Savings ($)]], "")</f>
        <v/>
      </c>
    </row>
    <row r="105" spans="2:32" s="175" customFormat="1" ht="40" customHeight="1">
      <c r="B105" s="213">
        <v>102</v>
      </c>
      <c r="C105" s="220"/>
      <c r="D105" s="219"/>
      <c r="E105" s="183"/>
      <c r="F105" s="167"/>
      <c r="G105" s="184"/>
      <c r="H105" s="167"/>
      <c r="I105" s="184"/>
      <c r="J10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5" s="183"/>
      <c r="L105" s="167"/>
      <c r="M105" s="184"/>
      <c r="N105" s="184"/>
      <c r="O105" s="184"/>
      <c r="P105" s="177" t="str">
        <f>IF(ProjectInput[[#This Row],[Existing Fixture Code]]=0, "",INDEX(Table7[WATT/ FIXT], MATCH(ProjectInput[[#This Row],[Existing Fixture Code]], Table7[FIXTURE CODE], 0)))</f>
        <v/>
      </c>
      <c r="Q105" s="183"/>
      <c r="R105" s="167"/>
      <c r="S105" s="184"/>
      <c r="T105" s="184"/>
      <c r="U105" s="184"/>
      <c r="V105" s="184"/>
      <c r="W105" s="167"/>
      <c r="X105" s="185"/>
      <c r="Y105" s="179" t="str">
        <f>IF(ProjectInput[[#This Row],[Proposed Fixture Code]]=0, "", INDEX(Table7[WATT/ FIXT], MATCH(ProjectInput[[#This Row],[Proposed Fixture Code]], Table7[FIXTURE CODE],0 )))</f>
        <v/>
      </c>
      <c r="Z105" s="180">
        <f>INDEX(ReviewCalcs[Incentive Total Energy Savings (kWh)], MATCH(ProjectInput[[#This Row],[Project Index]], ReviewCalcs[Project Index], 0))</f>
        <v>0</v>
      </c>
      <c r="AA105" s="172">
        <f>INDEX(ReviewCalcs[Incentive Total Demand Savings (kW)], MATCH(ProjectInput[[#This Row],[Project Index]], ReviewCalcs[Project Index], 0))</f>
        <v>0</v>
      </c>
      <c r="AB105" s="181">
        <f>ProjectInput[[#This Row],[Energy Savings (kWh)]]*Avg_KWh_Rate</f>
        <v>0</v>
      </c>
      <c r="AC105" s="173">
        <f>IF(C105="", 0, IF(C105="Cust.", INDEX(ReviewCalcs[Incentive ($)], MATCH(ProjectInput[[#This Row],[Project Index]], ReviewCalcs[Project Index], 0)), IF(AND(C105="Pres.", D105="1 to 6"), 3*Q105, IF(AND(C105="Pres.", D105="7 to 11"), 4*Q105, IF(AND(C105="Pres.", D105="12 to 17"), 5*Q105, IF(AND(C105="Pres.", D105="Exit Sign"), 20*Q105, IF(AND(C105="Pres.", D105="&gt; 18"), 6*Q105)))))))</f>
        <v>0</v>
      </c>
      <c r="AD105" s="181">
        <f>ProjectInput[[#This Row],[Retrofit Cost]]</f>
        <v>0</v>
      </c>
      <c r="AE105" s="181">
        <f>ProjectInput[[#This Row],[Retrofit Cost]]-ProjectInput[[#This Row],[Incentive ($)]]</f>
        <v>0</v>
      </c>
      <c r="AF105" s="182" t="str">
        <f>IFERROR(ProjectInput[[#This Row],[Net Project Cost ($)]]/ProjectInput[[#This Row],[Energy Cost Savings ($)]], "")</f>
        <v/>
      </c>
    </row>
    <row r="106" spans="2:32" s="175" customFormat="1" ht="40" customHeight="1">
      <c r="B106" s="213">
        <v>103</v>
      </c>
      <c r="C106" s="223"/>
      <c r="D106" s="224"/>
      <c r="E106" s="183"/>
      <c r="F106" s="167"/>
      <c r="G106" s="184"/>
      <c r="H106" s="167"/>
      <c r="I106" s="184"/>
      <c r="J10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6" s="183"/>
      <c r="L106" s="167"/>
      <c r="M106" s="184"/>
      <c r="N106" s="184"/>
      <c r="O106" s="184"/>
      <c r="P106" s="177" t="str">
        <f>IF(ProjectInput[[#This Row],[Existing Fixture Code]]=0, "",INDEX(Table7[WATT/ FIXT], MATCH(ProjectInput[[#This Row],[Existing Fixture Code]], Table7[FIXTURE CODE], 0)))</f>
        <v/>
      </c>
      <c r="Q106" s="183"/>
      <c r="R106" s="167"/>
      <c r="S106" s="184"/>
      <c r="T106" s="184"/>
      <c r="U106" s="184"/>
      <c r="V106" s="184"/>
      <c r="W106" s="167"/>
      <c r="X106" s="185"/>
      <c r="Y106" s="179" t="str">
        <f>IF(ProjectInput[[#This Row],[Proposed Fixture Code]]=0, "", INDEX(Table7[WATT/ FIXT], MATCH(ProjectInput[[#This Row],[Proposed Fixture Code]], Table7[FIXTURE CODE],0 )))</f>
        <v/>
      </c>
      <c r="Z106" s="180">
        <f>INDEX(ReviewCalcs[Incentive Total Energy Savings (kWh)], MATCH(ProjectInput[[#This Row],[Project Index]], ReviewCalcs[Project Index], 0))</f>
        <v>0</v>
      </c>
      <c r="AA106" s="172">
        <f>INDEX(ReviewCalcs[Incentive Total Demand Savings (kW)], MATCH(ProjectInput[[#This Row],[Project Index]], ReviewCalcs[Project Index], 0))</f>
        <v>0</v>
      </c>
      <c r="AB106" s="181">
        <f>ProjectInput[[#This Row],[Energy Savings (kWh)]]*Avg_KWh_Rate</f>
        <v>0</v>
      </c>
      <c r="AC106" s="173">
        <f>IF(C106="", 0, IF(C106="Cust.", INDEX(ReviewCalcs[Incentive ($)], MATCH(ProjectInput[[#This Row],[Project Index]], ReviewCalcs[Project Index], 0)), IF(AND(C106="Pres.", D106="1 to 6"), 3*Q106, IF(AND(C106="Pres.", D106="7 to 11"), 4*Q106, IF(AND(C106="Pres.", D106="12 to 17"), 5*Q106, IF(AND(C106="Pres.", D106="Exit Sign"), 20*Q106, IF(AND(C106="Pres.", D106="&gt; 18"), 6*Q106)))))))</f>
        <v>0</v>
      </c>
      <c r="AD106" s="181">
        <f>ProjectInput[[#This Row],[Retrofit Cost]]</f>
        <v>0</v>
      </c>
      <c r="AE106" s="181">
        <f>ProjectInput[[#This Row],[Retrofit Cost]]-ProjectInput[[#This Row],[Incentive ($)]]</f>
        <v>0</v>
      </c>
      <c r="AF106" s="182" t="str">
        <f>IFERROR(ProjectInput[[#This Row],[Net Project Cost ($)]]/ProjectInput[[#This Row],[Energy Cost Savings ($)]], "")</f>
        <v/>
      </c>
    </row>
    <row r="107" spans="2:32" s="175" customFormat="1" ht="40" customHeight="1">
      <c r="B107" s="213">
        <v>104</v>
      </c>
      <c r="C107" s="220"/>
      <c r="D107" s="219"/>
      <c r="E107" s="183"/>
      <c r="F107" s="167"/>
      <c r="G107" s="184"/>
      <c r="H107" s="167"/>
      <c r="I107" s="184"/>
      <c r="J10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7" s="183"/>
      <c r="L107" s="167"/>
      <c r="M107" s="184"/>
      <c r="N107" s="184"/>
      <c r="O107" s="184"/>
      <c r="P107" s="177" t="str">
        <f>IF(ProjectInput[[#This Row],[Existing Fixture Code]]=0, "",INDEX(Table7[WATT/ FIXT], MATCH(ProjectInput[[#This Row],[Existing Fixture Code]], Table7[FIXTURE CODE], 0)))</f>
        <v/>
      </c>
      <c r="Q107" s="183"/>
      <c r="R107" s="167"/>
      <c r="S107" s="184"/>
      <c r="T107" s="184"/>
      <c r="U107" s="184"/>
      <c r="V107" s="184"/>
      <c r="W107" s="167"/>
      <c r="X107" s="185"/>
      <c r="Y107" s="179" t="str">
        <f>IF(ProjectInput[[#This Row],[Proposed Fixture Code]]=0, "", INDEX(Table7[WATT/ FIXT], MATCH(ProjectInput[[#This Row],[Proposed Fixture Code]], Table7[FIXTURE CODE],0 )))</f>
        <v/>
      </c>
      <c r="Z107" s="180">
        <f>INDEX(ReviewCalcs[Incentive Total Energy Savings (kWh)], MATCH(ProjectInput[[#This Row],[Project Index]], ReviewCalcs[Project Index], 0))</f>
        <v>0</v>
      </c>
      <c r="AA107" s="172">
        <f>INDEX(ReviewCalcs[Incentive Total Demand Savings (kW)], MATCH(ProjectInput[[#This Row],[Project Index]], ReviewCalcs[Project Index], 0))</f>
        <v>0</v>
      </c>
      <c r="AB107" s="181">
        <f>ProjectInput[[#This Row],[Energy Savings (kWh)]]*Avg_KWh_Rate</f>
        <v>0</v>
      </c>
      <c r="AC107" s="173">
        <f>IF(C107="", 0, IF(C107="Cust.", INDEX(ReviewCalcs[Incentive ($)], MATCH(ProjectInput[[#This Row],[Project Index]], ReviewCalcs[Project Index], 0)), IF(AND(C107="Pres.", D107="1 to 6"), 3*Q107, IF(AND(C107="Pres.", D107="7 to 11"), 4*Q107, IF(AND(C107="Pres.", D107="12 to 17"), 5*Q107, IF(AND(C107="Pres.", D107="Exit Sign"), 20*Q107, IF(AND(C107="Pres.", D107="&gt; 18"), 6*Q107)))))))</f>
        <v>0</v>
      </c>
      <c r="AD107" s="181">
        <f>ProjectInput[[#This Row],[Retrofit Cost]]</f>
        <v>0</v>
      </c>
      <c r="AE107" s="181">
        <f>ProjectInput[[#This Row],[Retrofit Cost]]-ProjectInput[[#This Row],[Incentive ($)]]</f>
        <v>0</v>
      </c>
      <c r="AF107" s="182" t="str">
        <f>IFERROR(ProjectInput[[#This Row],[Net Project Cost ($)]]/ProjectInput[[#This Row],[Energy Cost Savings ($)]], "")</f>
        <v/>
      </c>
    </row>
    <row r="108" spans="2:32" s="175" customFormat="1" ht="40" customHeight="1">
      <c r="B108" s="213">
        <v>105</v>
      </c>
      <c r="C108" s="223"/>
      <c r="D108" s="224"/>
      <c r="E108" s="183"/>
      <c r="F108" s="167"/>
      <c r="G108" s="184"/>
      <c r="H108" s="167"/>
      <c r="I108" s="184"/>
      <c r="J10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8" s="183"/>
      <c r="L108" s="167"/>
      <c r="M108" s="184"/>
      <c r="N108" s="184"/>
      <c r="O108" s="184"/>
      <c r="P108" s="177" t="str">
        <f>IF(ProjectInput[[#This Row],[Existing Fixture Code]]=0, "",INDEX(Table7[WATT/ FIXT], MATCH(ProjectInput[[#This Row],[Existing Fixture Code]], Table7[FIXTURE CODE], 0)))</f>
        <v/>
      </c>
      <c r="Q108" s="183"/>
      <c r="R108" s="167"/>
      <c r="S108" s="184"/>
      <c r="T108" s="184"/>
      <c r="U108" s="184"/>
      <c r="V108" s="184"/>
      <c r="W108" s="167"/>
      <c r="X108" s="185"/>
      <c r="Y108" s="179" t="str">
        <f>IF(ProjectInput[[#This Row],[Proposed Fixture Code]]=0, "", INDEX(Table7[WATT/ FIXT], MATCH(ProjectInput[[#This Row],[Proposed Fixture Code]], Table7[FIXTURE CODE],0 )))</f>
        <v/>
      </c>
      <c r="Z108" s="180">
        <f>INDEX(ReviewCalcs[Incentive Total Energy Savings (kWh)], MATCH(ProjectInput[[#This Row],[Project Index]], ReviewCalcs[Project Index], 0))</f>
        <v>0</v>
      </c>
      <c r="AA108" s="172">
        <f>INDEX(ReviewCalcs[Incentive Total Demand Savings (kW)], MATCH(ProjectInput[[#This Row],[Project Index]], ReviewCalcs[Project Index], 0))</f>
        <v>0</v>
      </c>
      <c r="AB108" s="181">
        <f>ProjectInput[[#This Row],[Energy Savings (kWh)]]*Avg_KWh_Rate</f>
        <v>0</v>
      </c>
      <c r="AC108" s="173">
        <f>IF(C108="", 0, IF(C108="Cust.", INDEX(ReviewCalcs[Incentive ($)], MATCH(ProjectInput[[#This Row],[Project Index]], ReviewCalcs[Project Index], 0)), IF(AND(C108="Pres.", D108="1 to 6"), 3*Q108, IF(AND(C108="Pres.", D108="7 to 11"), 4*Q108, IF(AND(C108="Pres.", D108="12 to 17"), 5*Q108, IF(AND(C108="Pres.", D108="Exit Sign"), 20*Q108, IF(AND(C108="Pres.", D108="&gt; 18"), 6*Q108)))))))</f>
        <v>0</v>
      </c>
      <c r="AD108" s="181">
        <f>ProjectInput[[#This Row],[Retrofit Cost]]</f>
        <v>0</v>
      </c>
      <c r="AE108" s="181">
        <f>ProjectInput[[#This Row],[Retrofit Cost]]-ProjectInput[[#This Row],[Incentive ($)]]</f>
        <v>0</v>
      </c>
      <c r="AF108" s="182" t="str">
        <f>IFERROR(ProjectInput[[#This Row],[Net Project Cost ($)]]/ProjectInput[[#This Row],[Energy Cost Savings ($)]], "")</f>
        <v/>
      </c>
    </row>
    <row r="109" spans="2:32" s="175" customFormat="1" ht="40" customHeight="1">
      <c r="B109" s="213">
        <v>106</v>
      </c>
      <c r="C109" s="220"/>
      <c r="D109" s="219"/>
      <c r="E109" s="183"/>
      <c r="F109" s="167"/>
      <c r="G109" s="184"/>
      <c r="H109" s="167"/>
      <c r="I109" s="184"/>
      <c r="J10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09" s="183"/>
      <c r="L109" s="167"/>
      <c r="M109" s="184"/>
      <c r="N109" s="184"/>
      <c r="O109" s="184"/>
      <c r="P109" s="177" t="str">
        <f>IF(ProjectInput[[#This Row],[Existing Fixture Code]]=0, "",INDEX(Table7[WATT/ FIXT], MATCH(ProjectInput[[#This Row],[Existing Fixture Code]], Table7[FIXTURE CODE], 0)))</f>
        <v/>
      </c>
      <c r="Q109" s="183"/>
      <c r="R109" s="167"/>
      <c r="S109" s="184"/>
      <c r="T109" s="184"/>
      <c r="U109" s="184"/>
      <c r="V109" s="184"/>
      <c r="W109" s="167"/>
      <c r="X109" s="185"/>
      <c r="Y109" s="179" t="str">
        <f>IF(ProjectInput[[#This Row],[Proposed Fixture Code]]=0, "", INDEX(Table7[WATT/ FIXT], MATCH(ProjectInput[[#This Row],[Proposed Fixture Code]], Table7[FIXTURE CODE],0 )))</f>
        <v/>
      </c>
      <c r="Z109" s="180">
        <f>INDEX(ReviewCalcs[Incentive Total Energy Savings (kWh)], MATCH(ProjectInput[[#This Row],[Project Index]], ReviewCalcs[Project Index], 0))</f>
        <v>0</v>
      </c>
      <c r="AA109" s="172">
        <f>INDEX(ReviewCalcs[Incentive Total Demand Savings (kW)], MATCH(ProjectInput[[#This Row],[Project Index]], ReviewCalcs[Project Index], 0))</f>
        <v>0</v>
      </c>
      <c r="AB109" s="181">
        <f>ProjectInput[[#This Row],[Energy Savings (kWh)]]*Avg_KWh_Rate</f>
        <v>0</v>
      </c>
      <c r="AC109" s="173">
        <f>IF(C109="", 0, IF(C109="Cust.", INDEX(ReviewCalcs[Incentive ($)], MATCH(ProjectInput[[#This Row],[Project Index]], ReviewCalcs[Project Index], 0)), IF(AND(C109="Pres.", D109="1 to 6"), 3*Q109, IF(AND(C109="Pres.", D109="7 to 11"), 4*Q109, IF(AND(C109="Pres.", D109="12 to 17"), 5*Q109, IF(AND(C109="Pres.", D109="Exit Sign"), 20*Q109, IF(AND(C109="Pres.", D109="&gt; 18"), 6*Q109)))))))</f>
        <v>0</v>
      </c>
      <c r="AD109" s="181">
        <f>ProjectInput[[#This Row],[Retrofit Cost]]</f>
        <v>0</v>
      </c>
      <c r="AE109" s="181">
        <f>ProjectInput[[#This Row],[Retrofit Cost]]-ProjectInput[[#This Row],[Incentive ($)]]</f>
        <v>0</v>
      </c>
      <c r="AF109" s="182" t="str">
        <f>IFERROR(ProjectInput[[#This Row],[Net Project Cost ($)]]/ProjectInput[[#This Row],[Energy Cost Savings ($)]], "")</f>
        <v/>
      </c>
    </row>
    <row r="110" spans="2:32" s="175" customFormat="1" ht="40" customHeight="1">
      <c r="B110" s="213">
        <v>107</v>
      </c>
      <c r="C110" s="223"/>
      <c r="D110" s="224"/>
      <c r="E110" s="183"/>
      <c r="F110" s="167"/>
      <c r="G110" s="184"/>
      <c r="H110" s="167"/>
      <c r="I110" s="184"/>
      <c r="J1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0" s="183"/>
      <c r="L110" s="167"/>
      <c r="M110" s="184"/>
      <c r="N110" s="184"/>
      <c r="O110" s="184"/>
      <c r="P110" s="177" t="str">
        <f>IF(ProjectInput[[#This Row],[Existing Fixture Code]]=0, "",INDEX(Table7[WATT/ FIXT], MATCH(ProjectInput[[#This Row],[Existing Fixture Code]], Table7[FIXTURE CODE], 0)))</f>
        <v/>
      </c>
      <c r="Q110" s="183"/>
      <c r="R110" s="167"/>
      <c r="S110" s="184"/>
      <c r="T110" s="184"/>
      <c r="U110" s="184"/>
      <c r="V110" s="184"/>
      <c r="W110" s="167"/>
      <c r="X110" s="185"/>
      <c r="Y110" s="179" t="str">
        <f>IF(ProjectInput[[#This Row],[Proposed Fixture Code]]=0, "", INDEX(Table7[WATT/ FIXT], MATCH(ProjectInput[[#This Row],[Proposed Fixture Code]], Table7[FIXTURE CODE],0 )))</f>
        <v/>
      </c>
      <c r="Z110" s="180">
        <f>INDEX(ReviewCalcs[Incentive Total Energy Savings (kWh)], MATCH(ProjectInput[[#This Row],[Project Index]], ReviewCalcs[Project Index], 0))</f>
        <v>0</v>
      </c>
      <c r="AA110" s="172">
        <f>INDEX(ReviewCalcs[Incentive Total Demand Savings (kW)], MATCH(ProjectInput[[#This Row],[Project Index]], ReviewCalcs[Project Index], 0))</f>
        <v>0</v>
      </c>
      <c r="AB110" s="181">
        <f>ProjectInput[[#This Row],[Energy Savings (kWh)]]*Avg_KWh_Rate</f>
        <v>0</v>
      </c>
      <c r="AC110" s="173">
        <f>IF(C110="", 0, IF(C110="Cust.", INDEX(ReviewCalcs[Incentive ($)], MATCH(ProjectInput[[#This Row],[Project Index]], ReviewCalcs[Project Index], 0)), IF(AND(C110="Pres.", D110="1 to 6"), 3*Q110, IF(AND(C110="Pres.", D110="7 to 11"), 4*Q110, IF(AND(C110="Pres.", D110="12 to 17"), 5*Q110, IF(AND(C110="Pres.", D110="Exit Sign"), 20*Q110, IF(AND(C110="Pres.", D110="&gt; 18"), 6*Q110)))))))</f>
        <v>0</v>
      </c>
      <c r="AD110" s="181">
        <f>ProjectInput[[#This Row],[Retrofit Cost]]</f>
        <v>0</v>
      </c>
      <c r="AE110" s="181">
        <f>ProjectInput[[#This Row],[Retrofit Cost]]-ProjectInput[[#This Row],[Incentive ($)]]</f>
        <v>0</v>
      </c>
      <c r="AF110" s="182" t="str">
        <f>IFERROR(ProjectInput[[#This Row],[Net Project Cost ($)]]/ProjectInput[[#This Row],[Energy Cost Savings ($)]], "")</f>
        <v/>
      </c>
    </row>
    <row r="111" spans="2:32" s="175" customFormat="1" ht="40" customHeight="1">
      <c r="B111" s="213">
        <v>108</v>
      </c>
      <c r="C111" s="220"/>
      <c r="D111" s="219"/>
      <c r="E111" s="183"/>
      <c r="F111" s="167"/>
      <c r="G111" s="184"/>
      <c r="H111" s="167"/>
      <c r="I111" s="184"/>
      <c r="J1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1" s="183"/>
      <c r="L111" s="167"/>
      <c r="M111" s="184"/>
      <c r="N111" s="184"/>
      <c r="O111" s="184"/>
      <c r="P111" s="177" t="str">
        <f>IF(ProjectInput[[#This Row],[Existing Fixture Code]]=0, "",INDEX(Table7[WATT/ FIXT], MATCH(ProjectInput[[#This Row],[Existing Fixture Code]], Table7[FIXTURE CODE], 0)))</f>
        <v/>
      </c>
      <c r="Q111" s="183"/>
      <c r="R111" s="167"/>
      <c r="S111" s="184"/>
      <c r="T111" s="184"/>
      <c r="U111" s="184"/>
      <c r="V111" s="184"/>
      <c r="W111" s="167"/>
      <c r="X111" s="185"/>
      <c r="Y111" s="179" t="str">
        <f>IF(ProjectInput[[#This Row],[Proposed Fixture Code]]=0, "", INDEX(Table7[WATT/ FIXT], MATCH(ProjectInput[[#This Row],[Proposed Fixture Code]], Table7[FIXTURE CODE],0 )))</f>
        <v/>
      </c>
      <c r="Z111" s="180">
        <f>INDEX(ReviewCalcs[Incentive Total Energy Savings (kWh)], MATCH(ProjectInput[[#This Row],[Project Index]], ReviewCalcs[Project Index], 0))</f>
        <v>0</v>
      </c>
      <c r="AA111" s="172">
        <f>INDEX(ReviewCalcs[Incentive Total Demand Savings (kW)], MATCH(ProjectInput[[#This Row],[Project Index]], ReviewCalcs[Project Index], 0))</f>
        <v>0</v>
      </c>
      <c r="AB111" s="181">
        <f>ProjectInput[[#This Row],[Energy Savings (kWh)]]*Avg_KWh_Rate</f>
        <v>0</v>
      </c>
      <c r="AC111" s="173">
        <f>IF(C111="", 0, IF(C111="Cust.", INDEX(ReviewCalcs[Incentive ($)], MATCH(ProjectInput[[#This Row],[Project Index]], ReviewCalcs[Project Index], 0)), IF(AND(C111="Pres.", D111="1 to 6"), 3*Q111, IF(AND(C111="Pres.", D111="7 to 11"), 4*Q111, IF(AND(C111="Pres.", D111="12 to 17"), 5*Q111, IF(AND(C111="Pres.", D111="Exit Sign"), 20*Q111, IF(AND(C111="Pres.", D111="&gt; 18"), 6*Q111)))))))</f>
        <v>0</v>
      </c>
      <c r="AD111" s="181">
        <f>ProjectInput[[#This Row],[Retrofit Cost]]</f>
        <v>0</v>
      </c>
      <c r="AE111" s="181">
        <f>ProjectInput[[#This Row],[Retrofit Cost]]-ProjectInput[[#This Row],[Incentive ($)]]</f>
        <v>0</v>
      </c>
      <c r="AF111" s="182" t="str">
        <f>IFERROR(ProjectInput[[#This Row],[Net Project Cost ($)]]/ProjectInput[[#This Row],[Energy Cost Savings ($)]], "")</f>
        <v/>
      </c>
    </row>
    <row r="112" spans="2:32" s="175" customFormat="1" ht="40" customHeight="1">
      <c r="B112" s="213">
        <v>109</v>
      </c>
      <c r="C112" s="223"/>
      <c r="D112" s="224"/>
      <c r="E112" s="183"/>
      <c r="F112" s="167"/>
      <c r="G112" s="184"/>
      <c r="H112" s="167"/>
      <c r="I112" s="184"/>
      <c r="J1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2" s="183"/>
      <c r="L112" s="167"/>
      <c r="M112" s="184"/>
      <c r="N112" s="184"/>
      <c r="O112" s="184"/>
      <c r="P112" s="177" t="str">
        <f>IF(ProjectInput[[#This Row],[Existing Fixture Code]]=0, "",INDEX(Table7[WATT/ FIXT], MATCH(ProjectInput[[#This Row],[Existing Fixture Code]], Table7[FIXTURE CODE], 0)))</f>
        <v/>
      </c>
      <c r="Q112" s="183"/>
      <c r="R112" s="167"/>
      <c r="S112" s="184"/>
      <c r="T112" s="184"/>
      <c r="U112" s="184"/>
      <c r="V112" s="184"/>
      <c r="W112" s="167"/>
      <c r="X112" s="185"/>
      <c r="Y112" s="179" t="str">
        <f>IF(ProjectInput[[#This Row],[Proposed Fixture Code]]=0, "", INDEX(Table7[WATT/ FIXT], MATCH(ProjectInput[[#This Row],[Proposed Fixture Code]], Table7[FIXTURE CODE],0 )))</f>
        <v/>
      </c>
      <c r="Z112" s="180">
        <f>INDEX(ReviewCalcs[Incentive Total Energy Savings (kWh)], MATCH(ProjectInput[[#This Row],[Project Index]], ReviewCalcs[Project Index], 0))</f>
        <v>0</v>
      </c>
      <c r="AA112" s="172">
        <f>INDEX(ReviewCalcs[Incentive Total Demand Savings (kW)], MATCH(ProjectInput[[#This Row],[Project Index]], ReviewCalcs[Project Index], 0))</f>
        <v>0</v>
      </c>
      <c r="AB112" s="181">
        <f>ProjectInput[[#This Row],[Energy Savings (kWh)]]*Avg_KWh_Rate</f>
        <v>0</v>
      </c>
      <c r="AC112" s="173">
        <f>IF(C112="", 0, IF(C112="Cust.", INDEX(ReviewCalcs[Incentive ($)], MATCH(ProjectInput[[#This Row],[Project Index]], ReviewCalcs[Project Index], 0)), IF(AND(C112="Pres.", D112="1 to 6"), 3*Q112, IF(AND(C112="Pres.", D112="7 to 11"), 4*Q112, IF(AND(C112="Pres.", D112="12 to 17"), 5*Q112, IF(AND(C112="Pres.", D112="Exit Sign"), 20*Q112, IF(AND(C112="Pres.", D112="&gt; 18"), 6*Q112)))))))</f>
        <v>0</v>
      </c>
      <c r="AD112" s="181">
        <f>ProjectInput[[#This Row],[Retrofit Cost]]</f>
        <v>0</v>
      </c>
      <c r="AE112" s="181">
        <f>ProjectInput[[#This Row],[Retrofit Cost]]-ProjectInput[[#This Row],[Incentive ($)]]</f>
        <v>0</v>
      </c>
      <c r="AF112" s="182" t="str">
        <f>IFERROR(ProjectInput[[#This Row],[Net Project Cost ($)]]/ProjectInput[[#This Row],[Energy Cost Savings ($)]], "")</f>
        <v/>
      </c>
    </row>
    <row r="113" spans="2:32" s="175" customFormat="1" ht="40" customHeight="1">
      <c r="B113" s="213">
        <v>110</v>
      </c>
      <c r="C113" s="220"/>
      <c r="D113" s="219"/>
      <c r="E113" s="183"/>
      <c r="F113" s="167"/>
      <c r="G113" s="184"/>
      <c r="H113" s="167"/>
      <c r="I113" s="184"/>
      <c r="J1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3" s="183"/>
      <c r="L113" s="167"/>
      <c r="M113" s="184"/>
      <c r="N113" s="184"/>
      <c r="O113" s="184"/>
      <c r="P113" s="177" t="str">
        <f>IF(ProjectInput[[#This Row],[Existing Fixture Code]]=0, "",INDEX(Table7[WATT/ FIXT], MATCH(ProjectInput[[#This Row],[Existing Fixture Code]], Table7[FIXTURE CODE], 0)))</f>
        <v/>
      </c>
      <c r="Q113" s="183"/>
      <c r="R113" s="167"/>
      <c r="S113" s="184"/>
      <c r="T113" s="184"/>
      <c r="U113" s="184"/>
      <c r="V113" s="184"/>
      <c r="W113" s="167"/>
      <c r="X113" s="185"/>
      <c r="Y113" s="179" t="str">
        <f>IF(ProjectInput[[#This Row],[Proposed Fixture Code]]=0, "", INDEX(Table7[WATT/ FIXT], MATCH(ProjectInput[[#This Row],[Proposed Fixture Code]], Table7[FIXTURE CODE],0 )))</f>
        <v/>
      </c>
      <c r="Z113" s="180">
        <f>INDEX(ReviewCalcs[Incentive Total Energy Savings (kWh)], MATCH(ProjectInput[[#This Row],[Project Index]], ReviewCalcs[Project Index], 0))</f>
        <v>0</v>
      </c>
      <c r="AA113" s="172">
        <f>INDEX(ReviewCalcs[Incentive Total Demand Savings (kW)], MATCH(ProjectInput[[#This Row],[Project Index]], ReviewCalcs[Project Index], 0))</f>
        <v>0</v>
      </c>
      <c r="AB113" s="181">
        <f>ProjectInput[[#This Row],[Energy Savings (kWh)]]*Avg_KWh_Rate</f>
        <v>0</v>
      </c>
      <c r="AC113" s="173">
        <f>IF(C113="", 0, IF(C113="Cust.", INDEX(ReviewCalcs[Incentive ($)], MATCH(ProjectInput[[#This Row],[Project Index]], ReviewCalcs[Project Index], 0)), IF(AND(C113="Pres.", D113="1 to 6"), 3*Q113, IF(AND(C113="Pres.", D113="7 to 11"), 4*Q113, IF(AND(C113="Pres.", D113="12 to 17"), 5*Q113, IF(AND(C113="Pres.", D113="Exit Sign"), 20*Q113, IF(AND(C113="Pres.", D113="&gt; 18"), 6*Q113)))))))</f>
        <v>0</v>
      </c>
      <c r="AD113" s="181">
        <f>ProjectInput[[#This Row],[Retrofit Cost]]</f>
        <v>0</v>
      </c>
      <c r="AE113" s="181">
        <f>ProjectInput[[#This Row],[Retrofit Cost]]-ProjectInput[[#This Row],[Incentive ($)]]</f>
        <v>0</v>
      </c>
      <c r="AF113" s="182" t="str">
        <f>IFERROR(ProjectInput[[#This Row],[Net Project Cost ($)]]/ProjectInput[[#This Row],[Energy Cost Savings ($)]], "")</f>
        <v/>
      </c>
    </row>
    <row r="114" spans="2:32" s="175" customFormat="1" ht="40" customHeight="1">
      <c r="B114" s="213">
        <v>111</v>
      </c>
      <c r="C114" s="223"/>
      <c r="D114" s="224"/>
      <c r="E114" s="183"/>
      <c r="F114" s="167"/>
      <c r="G114" s="184"/>
      <c r="H114" s="167"/>
      <c r="I114" s="184"/>
      <c r="J1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4" s="183"/>
      <c r="L114" s="167"/>
      <c r="M114" s="184"/>
      <c r="N114" s="184"/>
      <c r="O114" s="184"/>
      <c r="P114" s="177" t="str">
        <f>IF(ProjectInput[[#This Row],[Existing Fixture Code]]=0, "",INDEX(Table7[WATT/ FIXT], MATCH(ProjectInput[[#This Row],[Existing Fixture Code]], Table7[FIXTURE CODE], 0)))</f>
        <v/>
      </c>
      <c r="Q114" s="183"/>
      <c r="R114" s="167"/>
      <c r="S114" s="184"/>
      <c r="T114" s="184"/>
      <c r="U114" s="184"/>
      <c r="V114" s="184"/>
      <c r="W114" s="167"/>
      <c r="X114" s="185"/>
      <c r="Y114" s="179" t="str">
        <f>IF(ProjectInput[[#This Row],[Proposed Fixture Code]]=0, "", INDEX(Table7[WATT/ FIXT], MATCH(ProjectInput[[#This Row],[Proposed Fixture Code]], Table7[FIXTURE CODE],0 )))</f>
        <v/>
      </c>
      <c r="Z114" s="180">
        <f>INDEX(ReviewCalcs[Incentive Total Energy Savings (kWh)], MATCH(ProjectInput[[#This Row],[Project Index]], ReviewCalcs[Project Index], 0))</f>
        <v>0</v>
      </c>
      <c r="AA114" s="172">
        <f>INDEX(ReviewCalcs[Incentive Total Demand Savings (kW)], MATCH(ProjectInput[[#This Row],[Project Index]], ReviewCalcs[Project Index], 0))</f>
        <v>0</v>
      </c>
      <c r="AB114" s="181">
        <f>ProjectInput[[#This Row],[Energy Savings (kWh)]]*Avg_KWh_Rate</f>
        <v>0</v>
      </c>
      <c r="AC114" s="173">
        <f>IF(C114="", 0, IF(C114="Cust.", INDEX(ReviewCalcs[Incentive ($)], MATCH(ProjectInput[[#This Row],[Project Index]], ReviewCalcs[Project Index], 0)), IF(AND(C114="Pres.", D114="1 to 6"), 3*Q114, IF(AND(C114="Pres.", D114="7 to 11"), 4*Q114, IF(AND(C114="Pres.", D114="12 to 17"), 5*Q114, IF(AND(C114="Pres.", D114="Exit Sign"), 20*Q114, IF(AND(C114="Pres.", D114="&gt; 18"), 6*Q114)))))))</f>
        <v>0</v>
      </c>
      <c r="AD114" s="181">
        <f>ProjectInput[[#This Row],[Retrofit Cost]]</f>
        <v>0</v>
      </c>
      <c r="AE114" s="181">
        <f>ProjectInput[[#This Row],[Retrofit Cost]]-ProjectInput[[#This Row],[Incentive ($)]]</f>
        <v>0</v>
      </c>
      <c r="AF114" s="182" t="str">
        <f>IFERROR(ProjectInput[[#This Row],[Net Project Cost ($)]]/ProjectInput[[#This Row],[Energy Cost Savings ($)]], "")</f>
        <v/>
      </c>
    </row>
    <row r="115" spans="2:32" s="175" customFormat="1" ht="40" customHeight="1">
      <c r="B115" s="213">
        <v>112</v>
      </c>
      <c r="C115" s="220"/>
      <c r="D115" s="219"/>
      <c r="E115" s="183"/>
      <c r="F115" s="167"/>
      <c r="G115" s="184"/>
      <c r="H115" s="167"/>
      <c r="I115" s="184"/>
      <c r="J1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5" s="183"/>
      <c r="L115" s="167"/>
      <c r="M115" s="184"/>
      <c r="N115" s="184"/>
      <c r="O115" s="184"/>
      <c r="P115" s="177" t="str">
        <f>IF(ProjectInput[[#This Row],[Existing Fixture Code]]=0, "",INDEX(Table7[WATT/ FIXT], MATCH(ProjectInput[[#This Row],[Existing Fixture Code]], Table7[FIXTURE CODE], 0)))</f>
        <v/>
      </c>
      <c r="Q115" s="183"/>
      <c r="R115" s="167"/>
      <c r="S115" s="184"/>
      <c r="T115" s="184"/>
      <c r="U115" s="184"/>
      <c r="V115" s="184"/>
      <c r="W115" s="167"/>
      <c r="X115" s="185"/>
      <c r="Y115" s="179" t="str">
        <f>IF(ProjectInput[[#This Row],[Proposed Fixture Code]]=0, "", INDEX(Table7[WATT/ FIXT], MATCH(ProjectInput[[#This Row],[Proposed Fixture Code]], Table7[FIXTURE CODE],0 )))</f>
        <v/>
      </c>
      <c r="Z115" s="180">
        <f>INDEX(ReviewCalcs[Incentive Total Energy Savings (kWh)], MATCH(ProjectInput[[#This Row],[Project Index]], ReviewCalcs[Project Index], 0))</f>
        <v>0</v>
      </c>
      <c r="AA115" s="172">
        <f>INDEX(ReviewCalcs[Incentive Total Demand Savings (kW)], MATCH(ProjectInput[[#This Row],[Project Index]], ReviewCalcs[Project Index], 0))</f>
        <v>0</v>
      </c>
      <c r="AB115" s="181">
        <f>ProjectInput[[#This Row],[Energy Savings (kWh)]]*Avg_KWh_Rate</f>
        <v>0</v>
      </c>
      <c r="AC115" s="173">
        <f>IF(C115="", 0, IF(C115="Cust.", INDEX(ReviewCalcs[Incentive ($)], MATCH(ProjectInput[[#This Row],[Project Index]], ReviewCalcs[Project Index], 0)), IF(AND(C115="Pres.", D115="1 to 6"), 3*Q115, IF(AND(C115="Pres.", D115="7 to 11"), 4*Q115, IF(AND(C115="Pres.", D115="12 to 17"), 5*Q115, IF(AND(C115="Pres.", D115="Exit Sign"), 20*Q115, IF(AND(C115="Pres.", D115="&gt; 18"), 6*Q115)))))))</f>
        <v>0</v>
      </c>
      <c r="AD115" s="181">
        <f>ProjectInput[[#This Row],[Retrofit Cost]]</f>
        <v>0</v>
      </c>
      <c r="AE115" s="181">
        <f>ProjectInput[[#This Row],[Retrofit Cost]]-ProjectInput[[#This Row],[Incentive ($)]]</f>
        <v>0</v>
      </c>
      <c r="AF115" s="182" t="str">
        <f>IFERROR(ProjectInput[[#This Row],[Net Project Cost ($)]]/ProjectInput[[#This Row],[Energy Cost Savings ($)]], "")</f>
        <v/>
      </c>
    </row>
    <row r="116" spans="2:32" s="175" customFormat="1" ht="40" customHeight="1">
      <c r="B116" s="213">
        <v>113</v>
      </c>
      <c r="C116" s="223"/>
      <c r="D116" s="224"/>
      <c r="E116" s="183"/>
      <c r="F116" s="167"/>
      <c r="G116" s="184"/>
      <c r="H116" s="167"/>
      <c r="I116" s="184"/>
      <c r="J1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6" s="183"/>
      <c r="L116" s="167"/>
      <c r="M116" s="184"/>
      <c r="N116" s="184"/>
      <c r="O116" s="184"/>
      <c r="P116" s="177" t="str">
        <f>IF(ProjectInput[[#This Row],[Existing Fixture Code]]=0, "",INDEX(Table7[WATT/ FIXT], MATCH(ProjectInput[[#This Row],[Existing Fixture Code]], Table7[FIXTURE CODE], 0)))</f>
        <v/>
      </c>
      <c r="Q116" s="183"/>
      <c r="R116" s="167"/>
      <c r="S116" s="184"/>
      <c r="T116" s="184"/>
      <c r="U116" s="184"/>
      <c r="V116" s="184"/>
      <c r="W116" s="167"/>
      <c r="X116" s="185"/>
      <c r="Y116" s="179" t="str">
        <f>IF(ProjectInput[[#This Row],[Proposed Fixture Code]]=0, "", INDEX(Table7[WATT/ FIXT], MATCH(ProjectInput[[#This Row],[Proposed Fixture Code]], Table7[FIXTURE CODE],0 )))</f>
        <v/>
      </c>
      <c r="Z116" s="180">
        <f>INDEX(ReviewCalcs[Incentive Total Energy Savings (kWh)], MATCH(ProjectInput[[#This Row],[Project Index]], ReviewCalcs[Project Index], 0))</f>
        <v>0</v>
      </c>
      <c r="AA116" s="172">
        <f>INDEX(ReviewCalcs[Incentive Total Demand Savings (kW)], MATCH(ProjectInput[[#This Row],[Project Index]], ReviewCalcs[Project Index], 0))</f>
        <v>0</v>
      </c>
      <c r="AB116" s="181">
        <f>ProjectInput[[#This Row],[Energy Savings (kWh)]]*Avg_KWh_Rate</f>
        <v>0</v>
      </c>
      <c r="AC116" s="173">
        <f>IF(C116="", 0, IF(C116="Cust.", INDEX(ReviewCalcs[Incentive ($)], MATCH(ProjectInput[[#This Row],[Project Index]], ReviewCalcs[Project Index], 0)), IF(AND(C116="Pres.", D116="1 to 6"), 3*Q116, IF(AND(C116="Pres.", D116="7 to 11"), 4*Q116, IF(AND(C116="Pres.", D116="12 to 17"), 5*Q116, IF(AND(C116="Pres.", D116="Exit Sign"), 20*Q116, IF(AND(C116="Pres.", D116="&gt; 18"), 6*Q116)))))))</f>
        <v>0</v>
      </c>
      <c r="AD116" s="181">
        <f>ProjectInput[[#This Row],[Retrofit Cost]]</f>
        <v>0</v>
      </c>
      <c r="AE116" s="181">
        <f>ProjectInput[[#This Row],[Retrofit Cost]]-ProjectInput[[#This Row],[Incentive ($)]]</f>
        <v>0</v>
      </c>
      <c r="AF116" s="182" t="str">
        <f>IFERROR(ProjectInput[[#This Row],[Net Project Cost ($)]]/ProjectInput[[#This Row],[Energy Cost Savings ($)]], "")</f>
        <v/>
      </c>
    </row>
    <row r="117" spans="2:32" s="175" customFormat="1" ht="40" customHeight="1">
      <c r="B117" s="213">
        <v>114</v>
      </c>
      <c r="C117" s="220"/>
      <c r="D117" s="219"/>
      <c r="E117" s="183"/>
      <c r="F117" s="167"/>
      <c r="G117" s="184"/>
      <c r="H117" s="167"/>
      <c r="I117" s="184"/>
      <c r="J1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7" s="183"/>
      <c r="L117" s="167"/>
      <c r="M117" s="184"/>
      <c r="N117" s="184"/>
      <c r="O117" s="184"/>
      <c r="P117" s="177" t="str">
        <f>IF(ProjectInput[[#This Row],[Existing Fixture Code]]=0, "",INDEX(Table7[WATT/ FIXT], MATCH(ProjectInput[[#This Row],[Existing Fixture Code]], Table7[FIXTURE CODE], 0)))</f>
        <v/>
      </c>
      <c r="Q117" s="183"/>
      <c r="R117" s="167"/>
      <c r="S117" s="184"/>
      <c r="T117" s="184"/>
      <c r="U117" s="184"/>
      <c r="V117" s="184"/>
      <c r="W117" s="167"/>
      <c r="X117" s="185"/>
      <c r="Y117" s="179" t="str">
        <f>IF(ProjectInput[[#This Row],[Proposed Fixture Code]]=0, "", INDEX(Table7[WATT/ FIXT], MATCH(ProjectInput[[#This Row],[Proposed Fixture Code]], Table7[FIXTURE CODE],0 )))</f>
        <v/>
      </c>
      <c r="Z117" s="180">
        <f>INDEX(ReviewCalcs[Incentive Total Energy Savings (kWh)], MATCH(ProjectInput[[#This Row],[Project Index]], ReviewCalcs[Project Index], 0))</f>
        <v>0</v>
      </c>
      <c r="AA117" s="172">
        <f>INDEX(ReviewCalcs[Incentive Total Demand Savings (kW)], MATCH(ProjectInput[[#This Row],[Project Index]], ReviewCalcs[Project Index], 0))</f>
        <v>0</v>
      </c>
      <c r="AB117" s="181">
        <f>ProjectInput[[#This Row],[Energy Savings (kWh)]]*Avg_KWh_Rate</f>
        <v>0</v>
      </c>
      <c r="AC117" s="173">
        <f>IF(C117="", 0, IF(C117="Cust.", INDEX(ReviewCalcs[Incentive ($)], MATCH(ProjectInput[[#This Row],[Project Index]], ReviewCalcs[Project Index], 0)), IF(AND(C117="Pres.", D117="1 to 6"), 3*Q117, IF(AND(C117="Pres.", D117="7 to 11"), 4*Q117, IF(AND(C117="Pres.", D117="12 to 17"), 5*Q117, IF(AND(C117="Pres.", D117="Exit Sign"), 20*Q117, IF(AND(C117="Pres.", D117="&gt; 18"), 6*Q117)))))))</f>
        <v>0</v>
      </c>
      <c r="AD117" s="181">
        <f>ProjectInput[[#This Row],[Retrofit Cost]]</f>
        <v>0</v>
      </c>
      <c r="AE117" s="181">
        <f>ProjectInput[[#This Row],[Retrofit Cost]]-ProjectInput[[#This Row],[Incentive ($)]]</f>
        <v>0</v>
      </c>
      <c r="AF117" s="182" t="str">
        <f>IFERROR(ProjectInput[[#This Row],[Net Project Cost ($)]]/ProjectInput[[#This Row],[Energy Cost Savings ($)]], "")</f>
        <v/>
      </c>
    </row>
    <row r="118" spans="2:32" s="175" customFormat="1" ht="40" customHeight="1">
      <c r="B118" s="213">
        <v>115</v>
      </c>
      <c r="C118" s="223"/>
      <c r="D118" s="224"/>
      <c r="E118" s="183"/>
      <c r="F118" s="167"/>
      <c r="G118" s="184"/>
      <c r="H118" s="167"/>
      <c r="I118" s="184"/>
      <c r="J1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8" s="183"/>
      <c r="L118" s="167"/>
      <c r="M118" s="184"/>
      <c r="N118" s="184"/>
      <c r="O118" s="184"/>
      <c r="P118" s="177" t="str">
        <f>IF(ProjectInput[[#This Row],[Existing Fixture Code]]=0, "",INDEX(Table7[WATT/ FIXT], MATCH(ProjectInput[[#This Row],[Existing Fixture Code]], Table7[FIXTURE CODE], 0)))</f>
        <v/>
      </c>
      <c r="Q118" s="183"/>
      <c r="R118" s="167"/>
      <c r="S118" s="184"/>
      <c r="T118" s="184"/>
      <c r="U118" s="184"/>
      <c r="V118" s="184"/>
      <c r="W118" s="167"/>
      <c r="X118" s="185"/>
      <c r="Y118" s="179" t="str">
        <f>IF(ProjectInput[[#This Row],[Proposed Fixture Code]]=0, "", INDEX(Table7[WATT/ FIXT], MATCH(ProjectInput[[#This Row],[Proposed Fixture Code]], Table7[FIXTURE CODE],0 )))</f>
        <v/>
      </c>
      <c r="Z118" s="180">
        <f>INDEX(ReviewCalcs[Incentive Total Energy Savings (kWh)], MATCH(ProjectInput[[#This Row],[Project Index]], ReviewCalcs[Project Index], 0))</f>
        <v>0</v>
      </c>
      <c r="AA118" s="172">
        <f>INDEX(ReviewCalcs[Incentive Total Demand Savings (kW)], MATCH(ProjectInput[[#This Row],[Project Index]], ReviewCalcs[Project Index], 0))</f>
        <v>0</v>
      </c>
      <c r="AB118" s="181">
        <f>ProjectInput[[#This Row],[Energy Savings (kWh)]]*Avg_KWh_Rate</f>
        <v>0</v>
      </c>
      <c r="AC118" s="173">
        <f>IF(C118="", 0, IF(C118="Cust.", INDEX(ReviewCalcs[Incentive ($)], MATCH(ProjectInput[[#This Row],[Project Index]], ReviewCalcs[Project Index], 0)), IF(AND(C118="Pres.", D118="1 to 6"), 3*Q118, IF(AND(C118="Pres.", D118="7 to 11"), 4*Q118, IF(AND(C118="Pres.", D118="12 to 17"), 5*Q118, IF(AND(C118="Pres.", D118="Exit Sign"), 20*Q118, IF(AND(C118="Pres.", D118="&gt; 18"), 6*Q118)))))))</f>
        <v>0</v>
      </c>
      <c r="AD118" s="181">
        <f>ProjectInput[[#This Row],[Retrofit Cost]]</f>
        <v>0</v>
      </c>
      <c r="AE118" s="181">
        <f>ProjectInput[[#This Row],[Retrofit Cost]]-ProjectInput[[#This Row],[Incentive ($)]]</f>
        <v>0</v>
      </c>
      <c r="AF118" s="182" t="str">
        <f>IFERROR(ProjectInput[[#This Row],[Net Project Cost ($)]]/ProjectInput[[#This Row],[Energy Cost Savings ($)]], "")</f>
        <v/>
      </c>
    </row>
    <row r="119" spans="2:32" s="175" customFormat="1" ht="40" customHeight="1">
      <c r="B119" s="213">
        <v>116</v>
      </c>
      <c r="C119" s="220"/>
      <c r="D119" s="219"/>
      <c r="E119" s="183"/>
      <c r="F119" s="167"/>
      <c r="G119" s="184"/>
      <c r="H119" s="167"/>
      <c r="I119" s="184"/>
      <c r="J1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19" s="183"/>
      <c r="L119" s="167"/>
      <c r="M119" s="184"/>
      <c r="N119" s="184"/>
      <c r="O119" s="184"/>
      <c r="P119" s="177" t="str">
        <f>IF(ProjectInput[[#This Row],[Existing Fixture Code]]=0, "",INDEX(Table7[WATT/ FIXT], MATCH(ProjectInput[[#This Row],[Existing Fixture Code]], Table7[FIXTURE CODE], 0)))</f>
        <v/>
      </c>
      <c r="Q119" s="183"/>
      <c r="R119" s="167"/>
      <c r="S119" s="184"/>
      <c r="T119" s="184"/>
      <c r="U119" s="184"/>
      <c r="V119" s="184"/>
      <c r="W119" s="167"/>
      <c r="X119" s="185"/>
      <c r="Y119" s="179" t="str">
        <f>IF(ProjectInput[[#This Row],[Proposed Fixture Code]]=0, "", INDEX(Table7[WATT/ FIXT], MATCH(ProjectInput[[#This Row],[Proposed Fixture Code]], Table7[FIXTURE CODE],0 )))</f>
        <v/>
      </c>
      <c r="Z119" s="180">
        <f>INDEX(ReviewCalcs[Incentive Total Energy Savings (kWh)], MATCH(ProjectInput[[#This Row],[Project Index]], ReviewCalcs[Project Index], 0))</f>
        <v>0</v>
      </c>
      <c r="AA119" s="172">
        <f>INDEX(ReviewCalcs[Incentive Total Demand Savings (kW)], MATCH(ProjectInput[[#This Row],[Project Index]], ReviewCalcs[Project Index], 0))</f>
        <v>0</v>
      </c>
      <c r="AB119" s="181">
        <f>ProjectInput[[#This Row],[Energy Savings (kWh)]]*Avg_KWh_Rate</f>
        <v>0</v>
      </c>
      <c r="AC119" s="173">
        <f>IF(C119="", 0, IF(C119="Cust.", INDEX(ReviewCalcs[Incentive ($)], MATCH(ProjectInput[[#This Row],[Project Index]], ReviewCalcs[Project Index], 0)), IF(AND(C119="Pres.", D119="1 to 6"), 3*Q119, IF(AND(C119="Pres.", D119="7 to 11"), 4*Q119, IF(AND(C119="Pres.", D119="12 to 17"), 5*Q119, IF(AND(C119="Pres.", D119="Exit Sign"), 20*Q119, IF(AND(C119="Pres.", D119="&gt; 18"), 6*Q119)))))))</f>
        <v>0</v>
      </c>
      <c r="AD119" s="181">
        <f>ProjectInput[[#This Row],[Retrofit Cost]]</f>
        <v>0</v>
      </c>
      <c r="AE119" s="181">
        <f>ProjectInput[[#This Row],[Retrofit Cost]]-ProjectInput[[#This Row],[Incentive ($)]]</f>
        <v>0</v>
      </c>
      <c r="AF119" s="182" t="str">
        <f>IFERROR(ProjectInput[[#This Row],[Net Project Cost ($)]]/ProjectInput[[#This Row],[Energy Cost Savings ($)]], "")</f>
        <v/>
      </c>
    </row>
    <row r="120" spans="2:32" s="175" customFormat="1" ht="40" customHeight="1">
      <c r="B120" s="213">
        <v>117</v>
      </c>
      <c r="C120" s="223"/>
      <c r="D120" s="224"/>
      <c r="E120" s="183"/>
      <c r="F120" s="167"/>
      <c r="G120" s="184"/>
      <c r="H120" s="167"/>
      <c r="I120" s="184"/>
      <c r="J1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0" s="183"/>
      <c r="L120" s="167"/>
      <c r="M120" s="184"/>
      <c r="N120" s="184"/>
      <c r="O120" s="184"/>
      <c r="P120" s="177" t="str">
        <f>IF(ProjectInput[[#This Row],[Existing Fixture Code]]=0, "",INDEX(Table7[WATT/ FIXT], MATCH(ProjectInput[[#This Row],[Existing Fixture Code]], Table7[FIXTURE CODE], 0)))</f>
        <v/>
      </c>
      <c r="Q120" s="183"/>
      <c r="R120" s="167"/>
      <c r="S120" s="184"/>
      <c r="T120" s="184"/>
      <c r="U120" s="184"/>
      <c r="V120" s="184"/>
      <c r="W120" s="167"/>
      <c r="X120" s="185"/>
      <c r="Y120" s="179" t="str">
        <f>IF(ProjectInput[[#This Row],[Proposed Fixture Code]]=0, "", INDEX(Table7[WATT/ FIXT], MATCH(ProjectInput[[#This Row],[Proposed Fixture Code]], Table7[FIXTURE CODE],0 )))</f>
        <v/>
      </c>
      <c r="Z120" s="180">
        <f>INDEX(ReviewCalcs[Incentive Total Energy Savings (kWh)], MATCH(ProjectInput[[#This Row],[Project Index]], ReviewCalcs[Project Index], 0))</f>
        <v>0</v>
      </c>
      <c r="AA120" s="172">
        <f>INDEX(ReviewCalcs[Incentive Total Demand Savings (kW)], MATCH(ProjectInput[[#This Row],[Project Index]], ReviewCalcs[Project Index], 0))</f>
        <v>0</v>
      </c>
      <c r="AB120" s="181">
        <f>ProjectInput[[#This Row],[Energy Savings (kWh)]]*Avg_KWh_Rate</f>
        <v>0</v>
      </c>
      <c r="AC120" s="173">
        <f>IF(C120="", 0, IF(C120="Cust.", INDEX(ReviewCalcs[Incentive ($)], MATCH(ProjectInput[[#This Row],[Project Index]], ReviewCalcs[Project Index], 0)), IF(AND(C120="Pres.", D120="1 to 6"), 3*Q120, IF(AND(C120="Pres.", D120="7 to 11"), 4*Q120, IF(AND(C120="Pres.", D120="12 to 17"), 5*Q120, IF(AND(C120="Pres.", D120="Exit Sign"), 20*Q120, IF(AND(C120="Pres.", D120="&gt; 18"), 6*Q120)))))))</f>
        <v>0</v>
      </c>
      <c r="AD120" s="181">
        <f>ProjectInput[[#This Row],[Retrofit Cost]]</f>
        <v>0</v>
      </c>
      <c r="AE120" s="181">
        <f>ProjectInput[[#This Row],[Retrofit Cost]]-ProjectInput[[#This Row],[Incentive ($)]]</f>
        <v>0</v>
      </c>
      <c r="AF120" s="182" t="str">
        <f>IFERROR(ProjectInput[[#This Row],[Net Project Cost ($)]]/ProjectInput[[#This Row],[Energy Cost Savings ($)]], "")</f>
        <v/>
      </c>
    </row>
    <row r="121" spans="2:32" s="175" customFormat="1" ht="40" customHeight="1">
      <c r="B121" s="213">
        <v>118</v>
      </c>
      <c r="C121" s="220"/>
      <c r="D121" s="219"/>
      <c r="E121" s="183"/>
      <c r="F121" s="167"/>
      <c r="G121" s="184"/>
      <c r="H121" s="167"/>
      <c r="I121" s="184"/>
      <c r="J1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1" s="183"/>
      <c r="L121" s="167"/>
      <c r="M121" s="184"/>
      <c r="N121" s="184"/>
      <c r="O121" s="184"/>
      <c r="P121" s="177" t="str">
        <f>IF(ProjectInput[[#This Row],[Existing Fixture Code]]=0, "",INDEX(Table7[WATT/ FIXT], MATCH(ProjectInput[[#This Row],[Existing Fixture Code]], Table7[FIXTURE CODE], 0)))</f>
        <v/>
      </c>
      <c r="Q121" s="183"/>
      <c r="R121" s="167"/>
      <c r="S121" s="184"/>
      <c r="T121" s="184"/>
      <c r="U121" s="184"/>
      <c r="V121" s="184"/>
      <c r="W121" s="167"/>
      <c r="X121" s="185"/>
      <c r="Y121" s="179" t="str">
        <f>IF(ProjectInput[[#This Row],[Proposed Fixture Code]]=0, "", INDEX(Table7[WATT/ FIXT], MATCH(ProjectInput[[#This Row],[Proposed Fixture Code]], Table7[FIXTURE CODE],0 )))</f>
        <v/>
      </c>
      <c r="Z121" s="180">
        <f>INDEX(ReviewCalcs[Incentive Total Energy Savings (kWh)], MATCH(ProjectInput[[#This Row],[Project Index]], ReviewCalcs[Project Index], 0))</f>
        <v>0</v>
      </c>
      <c r="AA121" s="172">
        <f>INDEX(ReviewCalcs[Incentive Total Demand Savings (kW)], MATCH(ProjectInput[[#This Row],[Project Index]], ReviewCalcs[Project Index], 0))</f>
        <v>0</v>
      </c>
      <c r="AB121" s="181">
        <f>ProjectInput[[#This Row],[Energy Savings (kWh)]]*Avg_KWh_Rate</f>
        <v>0</v>
      </c>
      <c r="AC121" s="173">
        <f>IF(C121="", 0, IF(C121="Cust.", INDEX(ReviewCalcs[Incentive ($)], MATCH(ProjectInput[[#This Row],[Project Index]], ReviewCalcs[Project Index], 0)), IF(AND(C121="Pres.", D121="1 to 6"), 3*Q121, IF(AND(C121="Pres.", D121="7 to 11"), 4*Q121, IF(AND(C121="Pres.", D121="12 to 17"), 5*Q121, IF(AND(C121="Pres.", D121="Exit Sign"), 20*Q121, IF(AND(C121="Pres.", D121="&gt; 18"), 6*Q121)))))))</f>
        <v>0</v>
      </c>
      <c r="AD121" s="181">
        <f>ProjectInput[[#This Row],[Retrofit Cost]]</f>
        <v>0</v>
      </c>
      <c r="AE121" s="181">
        <f>ProjectInput[[#This Row],[Retrofit Cost]]-ProjectInput[[#This Row],[Incentive ($)]]</f>
        <v>0</v>
      </c>
      <c r="AF121" s="182" t="str">
        <f>IFERROR(ProjectInput[[#This Row],[Net Project Cost ($)]]/ProjectInput[[#This Row],[Energy Cost Savings ($)]], "")</f>
        <v/>
      </c>
    </row>
    <row r="122" spans="2:32" s="175" customFormat="1" ht="40" customHeight="1">
      <c r="B122" s="213">
        <v>119</v>
      </c>
      <c r="C122" s="223"/>
      <c r="D122" s="224"/>
      <c r="E122" s="183"/>
      <c r="F122" s="167"/>
      <c r="G122" s="184"/>
      <c r="H122" s="167"/>
      <c r="I122" s="184"/>
      <c r="J1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2" s="183"/>
      <c r="L122" s="167"/>
      <c r="M122" s="184"/>
      <c r="N122" s="184"/>
      <c r="O122" s="184"/>
      <c r="P122" s="177" t="str">
        <f>IF(ProjectInput[[#This Row],[Existing Fixture Code]]=0, "",INDEX(Table7[WATT/ FIXT], MATCH(ProjectInput[[#This Row],[Existing Fixture Code]], Table7[FIXTURE CODE], 0)))</f>
        <v/>
      </c>
      <c r="Q122" s="183"/>
      <c r="R122" s="167"/>
      <c r="S122" s="184"/>
      <c r="T122" s="184"/>
      <c r="U122" s="184"/>
      <c r="V122" s="184"/>
      <c r="W122" s="167"/>
      <c r="X122" s="185"/>
      <c r="Y122" s="179" t="str">
        <f>IF(ProjectInput[[#This Row],[Proposed Fixture Code]]=0, "", INDEX(Table7[WATT/ FIXT], MATCH(ProjectInput[[#This Row],[Proposed Fixture Code]], Table7[FIXTURE CODE],0 )))</f>
        <v/>
      </c>
      <c r="Z122" s="180">
        <f>INDEX(ReviewCalcs[Incentive Total Energy Savings (kWh)], MATCH(ProjectInput[[#This Row],[Project Index]], ReviewCalcs[Project Index], 0))</f>
        <v>0</v>
      </c>
      <c r="AA122" s="172">
        <f>INDEX(ReviewCalcs[Incentive Total Demand Savings (kW)], MATCH(ProjectInput[[#This Row],[Project Index]], ReviewCalcs[Project Index], 0))</f>
        <v>0</v>
      </c>
      <c r="AB122" s="181">
        <f>ProjectInput[[#This Row],[Energy Savings (kWh)]]*Avg_KWh_Rate</f>
        <v>0</v>
      </c>
      <c r="AC122" s="173">
        <f>IF(C122="", 0, IF(C122="Cust.", INDEX(ReviewCalcs[Incentive ($)], MATCH(ProjectInput[[#This Row],[Project Index]], ReviewCalcs[Project Index], 0)), IF(AND(C122="Pres.", D122="1 to 6"), 3*Q122, IF(AND(C122="Pres.", D122="7 to 11"), 4*Q122, IF(AND(C122="Pres.", D122="12 to 17"), 5*Q122, IF(AND(C122="Pres.", D122="Exit Sign"), 20*Q122, IF(AND(C122="Pres.", D122="&gt; 18"), 6*Q122)))))))</f>
        <v>0</v>
      </c>
      <c r="AD122" s="181">
        <f>ProjectInput[[#This Row],[Retrofit Cost]]</f>
        <v>0</v>
      </c>
      <c r="AE122" s="181">
        <f>ProjectInput[[#This Row],[Retrofit Cost]]-ProjectInput[[#This Row],[Incentive ($)]]</f>
        <v>0</v>
      </c>
      <c r="AF122" s="182" t="str">
        <f>IFERROR(ProjectInput[[#This Row],[Net Project Cost ($)]]/ProjectInput[[#This Row],[Energy Cost Savings ($)]], "")</f>
        <v/>
      </c>
    </row>
    <row r="123" spans="2:32" s="175" customFormat="1" ht="40" customHeight="1">
      <c r="B123" s="213">
        <v>120</v>
      </c>
      <c r="C123" s="220"/>
      <c r="D123" s="219"/>
      <c r="E123" s="183"/>
      <c r="F123" s="167"/>
      <c r="G123" s="184"/>
      <c r="H123" s="167"/>
      <c r="I123" s="184"/>
      <c r="J1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3" s="183"/>
      <c r="L123" s="167"/>
      <c r="M123" s="184"/>
      <c r="N123" s="184"/>
      <c r="O123" s="184"/>
      <c r="P123" s="177" t="str">
        <f>IF(ProjectInput[[#This Row],[Existing Fixture Code]]=0, "",INDEX(Table7[WATT/ FIXT], MATCH(ProjectInput[[#This Row],[Existing Fixture Code]], Table7[FIXTURE CODE], 0)))</f>
        <v/>
      </c>
      <c r="Q123" s="183"/>
      <c r="R123" s="167"/>
      <c r="S123" s="184"/>
      <c r="T123" s="184"/>
      <c r="U123" s="184"/>
      <c r="V123" s="184"/>
      <c r="W123" s="167"/>
      <c r="X123" s="185"/>
      <c r="Y123" s="179" t="str">
        <f>IF(ProjectInput[[#This Row],[Proposed Fixture Code]]=0, "", INDEX(Table7[WATT/ FIXT], MATCH(ProjectInput[[#This Row],[Proposed Fixture Code]], Table7[FIXTURE CODE],0 )))</f>
        <v/>
      </c>
      <c r="Z123" s="180">
        <f>INDEX(ReviewCalcs[Incentive Total Energy Savings (kWh)], MATCH(ProjectInput[[#This Row],[Project Index]], ReviewCalcs[Project Index], 0))</f>
        <v>0</v>
      </c>
      <c r="AA123" s="172">
        <f>INDEX(ReviewCalcs[Incentive Total Demand Savings (kW)], MATCH(ProjectInput[[#This Row],[Project Index]], ReviewCalcs[Project Index], 0))</f>
        <v>0</v>
      </c>
      <c r="AB123" s="181">
        <f>ProjectInput[[#This Row],[Energy Savings (kWh)]]*Avg_KWh_Rate</f>
        <v>0</v>
      </c>
      <c r="AC123" s="173">
        <f>IF(C123="", 0, IF(C123="Cust.", INDEX(ReviewCalcs[Incentive ($)], MATCH(ProjectInput[[#This Row],[Project Index]], ReviewCalcs[Project Index], 0)), IF(AND(C123="Pres.", D123="1 to 6"), 3*Q123, IF(AND(C123="Pres.", D123="7 to 11"), 4*Q123, IF(AND(C123="Pres.", D123="12 to 17"), 5*Q123, IF(AND(C123="Pres.", D123="Exit Sign"), 20*Q123, IF(AND(C123="Pres.", D123="&gt; 18"), 6*Q123)))))))</f>
        <v>0</v>
      </c>
      <c r="AD123" s="181">
        <f>ProjectInput[[#This Row],[Retrofit Cost]]</f>
        <v>0</v>
      </c>
      <c r="AE123" s="181">
        <f>ProjectInput[[#This Row],[Retrofit Cost]]-ProjectInput[[#This Row],[Incentive ($)]]</f>
        <v>0</v>
      </c>
      <c r="AF123" s="182" t="str">
        <f>IFERROR(ProjectInput[[#This Row],[Net Project Cost ($)]]/ProjectInput[[#This Row],[Energy Cost Savings ($)]], "")</f>
        <v/>
      </c>
    </row>
    <row r="124" spans="2:32" s="175" customFormat="1" ht="40" customHeight="1">
      <c r="B124" s="213">
        <v>121</v>
      </c>
      <c r="C124" s="223"/>
      <c r="D124" s="224"/>
      <c r="E124" s="183"/>
      <c r="F124" s="167"/>
      <c r="G124" s="184"/>
      <c r="H124" s="167"/>
      <c r="I124" s="184"/>
      <c r="J1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4" s="183"/>
      <c r="L124" s="167"/>
      <c r="M124" s="184"/>
      <c r="N124" s="184"/>
      <c r="O124" s="184"/>
      <c r="P124" s="177" t="str">
        <f>IF(ProjectInput[[#This Row],[Existing Fixture Code]]=0, "",INDEX(Table7[WATT/ FIXT], MATCH(ProjectInput[[#This Row],[Existing Fixture Code]], Table7[FIXTURE CODE], 0)))</f>
        <v/>
      </c>
      <c r="Q124" s="183"/>
      <c r="R124" s="167"/>
      <c r="S124" s="184"/>
      <c r="T124" s="184"/>
      <c r="U124" s="184"/>
      <c r="V124" s="184"/>
      <c r="W124" s="167"/>
      <c r="X124" s="185"/>
      <c r="Y124" s="179" t="str">
        <f>IF(ProjectInput[[#This Row],[Proposed Fixture Code]]=0, "", INDEX(Table7[WATT/ FIXT], MATCH(ProjectInput[[#This Row],[Proposed Fixture Code]], Table7[FIXTURE CODE],0 )))</f>
        <v/>
      </c>
      <c r="Z124" s="180">
        <f>INDEX(ReviewCalcs[Incentive Total Energy Savings (kWh)], MATCH(ProjectInput[[#This Row],[Project Index]], ReviewCalcs[Project Index], 0))</f>
        <v>0</v>
      </c>
      <c r="AA124" s="172">
        <f>INDEX(ReviewCalcs[Incentive Total Demand Savings (kW)], MATCH(ProjectInput[[#This Row],[Project Index]], ReviewCalcs[Project Index], 0))</f>
        <v>0</v>
      </c>
      <c r="AB124" s="181">
        <f>ProjectInput[[#This Row],[Energy Savings (kWh)]]*Avg_KWh_Rate</f>
        <v>0</v>
      </c>
      <c r="AC124" s="173">
        <f>IF(C124="", 0, IF(C124="Cust.", INDEX(ReviewCalcs[Incentive ($)], MATCH(ProjectInput[[#This Row],[Project Index]], ReviewCalcs[Project Index], 0)), IF(AND(C124="Pres.", D124="1 to 6"), 3*Q124, IF(AND(C124="Pres.", D124="7 to 11"), 4*Q124, IF(AND(C124="Pres.", D124="12 to 17"), 5*Q124, IF(AND(C124="Pres.", D124="Exit Sign"), 20*Q124, IF(AND(C124="Pres.", D124="&gt; 18"), 6*Q124)))))))</f>
        <v>0</v>
      </c>
      <c r="AD124" s="181">
        <f>ProjectInput[[#This Row],[Retrofit Cost]]</f>
        <v>0</v>
      </c>
      <c r="AE124" s="181">
        <f>ProjectInput[[#This Row],[Retrofit Cost]]-ProjectInput[[#This Row],[Incentive ($)]]</f>
        <v>0</v>
      </c>
      <c r="AF124" s="182" t="str">
        <f>IFERROR(ProjectInput[[#This Row],[Net Project Cost ($)]]/ProjectInput[[#This Row],[Energy Cost Savings ($)]], "")</f>
        <v/>
      </c>
    </row>
    <row r="125" spans="2:32" s="175" customFormat="1" ht="40" customHeight="1">
      <c r="B125" s="213">
        <v>122</v>
      </c>
      <c r="C125" s="220"/>
      <c r="D125" s="219"/>
      <c r="E125" s="183"/>
      <c r="F125" s="167"/>
      <c r="G125" s="184"/>
      <c r="H125" s="167"/>
      <c r="I125" s="184"/>
      <c r="J1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5" s="183"/>
      <c r="L125" s="167"/>
      <c r="M125" s="184"/>
      <c r="N125" s="184"/>
      <c r="O125" s="184"/>
      <c r="P125" s="177" t="str">
        <f>IF(ProjectInput[[#This Row],[Existing Fixture Code]]=0, "",INDEX(Table7[WATT/ FIXT], MATCH(ProjectInput[[#This Row],[Existing Fixture Code]], Table7[FIXTURE CODE], 0)))</f>
        <v/>
      </c>
      <c r="Q125" s="183"/>
      <c r="R125" s="167"/>
      <c r="S125" s="184"/>
      <c r="T125" s="184"/>
      <c r="U125" s="184"/>
      <c r="V125" s="184"/>
      <c r="W125" s="167"/>
      <c r="X125" s="185"/>
      <c r="Y125" s="179" t="str">
        <f>IF(ProjectInput[[#This Row],[Proposed Fixture Code]]=0, "", INDEX(Table7[WATT/ FIXT], MATCH(ProjectInput[[#This Row],[Proposed Fixture Code]], Table7[FIXTURE CODE],0 )))</f>
        <v/>
      </c>
      <c r="Z125" s="180">
        <f>INDEX(ReviewCalcs[Incentive Total Energy Savings (kWh)], MATCH(ProjectInput[[#This Row],[Project Index]], ReviewCalcs[Project Index], 0))</f>
        <v>0</v>
      </c>
      <c r="AA125" s="172">
        <f>INDEX(ReviewCalcs[Incentive Total Demand Savings (kW)], MATCH(ProjectInput[[#This Row],[Project Index]], ReviewCalcs[Project Index], 0))</f>
        <v>0</v>
      </c>
      <c r="AB125" s="181">
        <f>ProjectInput[[#This Row],[Energy Savings (kWh)]]*Avg_KWh_Rate</f>
        <v>0</v>
      </c>
      <c r="AC125" s="173">
        <f>IF(C125="", 0, IF(C125="Cust.", INDEX(ReviewCalcs[Incentive ($)], MATCH(ProjectInput[[#This Row],[Project Index]], ReviewCalcs[Project Index], 0)), IF(AND(C125="Pres.", D125="1 to 6"), 3*Q125, IF(AND(C125="Pres.", D125="7 to 11"), 4*Q125, IF(AND(C125="Pres.", D125="12 to 17"), 5*Q125, IF(AND(C125="Pres.", D125="Exit Sign"), 20*Q125, IF(AND(C125="Pres.", D125="&gt; 18"), 6*Q125)))))))</f>
        <v>0</v>
      </c>
      <c r="AD125" s="181">
        <f>ProjectInput[[#This Row],[Retrofit Cost]]</f>
        <v>0</v>
      </c>
      <c r="AE125" s="181">
        <f>ProjectInput[[#This Row],[Retrofit Cost]]-ProjectInput[[#This Row],[Incentive ($)]]</f>
        <v>0</v>
      </c>
      <c r="AF125" s="182" t="str">
        <f>IFERROR(ProjectInput[[#This Row],[Net Project Cost ($)]]/ProjectInput[[#This Row],[Energy Cost Savings ($)]], "")</f>
        <v/>
      </c>
    </row>
    <row r="126" spans="2:32" s="175" customFormat="1" ht="40" customHeight="1">
      <c r="B126" s="213">
        <v>123</v>
      </c>
      <c r="C126" s="223"/>
      <c r="D126" s="224"/>
      <c r="E126" s="183"/>
      <c r="F126" s="167"/>
      <c r="G126" s="184"/>
      <c r="H126" s="167"/>
      <c r="I126" s="184"/>
      <c r="J1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6" s="183"/>
      <c r="L126" s="167"/>
      <c r="M126" s="184"/>
      <c r="N126" s="184"/>
      <c r="O126" s="184"/>
      <c r="P126" s="177" t="str">
        <f>IF(ProjectInput[[#This Row],[Existing Fixture Code]]=0, "",INDEX(Table7[WATT/ FIXT], MATCH(ProjectInput[[#This Row],[Existing Fixture Code]], Table7[FIXTURE CODE], 0)))</f>
        <v/>
      </c>
      <c r="Q126" s="183"/>
      <c r="R126" s="167"/>
      <c r="S126" s="184"/>
      <c r="T126" s="184"/>
      <c r="U126" s="184"/>
      <c r="V126" s="184"/>
      <c r="W126" s="167"/>
      <c r="X126" s="185"/>
      <c r="Y126" s="179" t="str">
        <f>IF(ProjectInput[[#This Row],[Proposed Fixture Code]]=0, "", INDEX(Table7[WATT/ FIXT], MATCH(ProjectInput[[#This Row],[Proposed Fixture Code]], Table7[FIXTURE CODE],0 )))</f>
        <v/>
      </c>
      <c r="Z126" s="180">
        <f>INDEX(ReviewCalcs[Incentive Total Energy Savings (kWh)], MATCH(ProjectInput[[#This Row],[Project Index]], ReviewCalcs[Project Index], 0))</f>
        <v>0</v>
      </c>
      <c r="AA126" s="172">
        <f>INDEX(ReviewCalcs[Incentive Total Demand Savings (kW)], MATCH(ProjectInput[[#This Row],[Project Index]], ReviewCalcs[Project Index], 0))</f>
        <v>0</v>
      </c>
      <c r="AB126" s="181">
        <f>ProjectInput[[#This Row],[Energy Savings (kWh)]]*Avg_KWh_Rate</f>
        <v>0</v>
      </c>
      <c r="AC126" s="173">
        <f>IF(C126="", 0, IF(C126="Cust.", INDEX(ReviewCalcs[Incentive ($)], MATCH(ProjectInput[[#This Row],[Project Index]], ReviewCalcs[Project Index], 0)), IF(AND(C126="Pres.", D126="1 to 6"), 3*Q126, IF(AND(C126="Pres.", D126="7 to 11"), 4*Q126, IF(AND(C126="Pres.", D126="12 to 17"), 5*Q126, IF(AND(C126="Pres.", D126="Exit Sign"), 20*Q126, IF(AND(C126="Pres.", D126="&gt; 18"), 6*Q126)))))))</f>
        <v>0</v>
      </c>
      <c r="AD126" s="181">
        <f>ProjectInput[[#This Row],[Retrofit Cost]]</f>
        <v>0</v>
      </c>
      <c r="AE126" s="181">
        <f>ProjectInput[[#This Row],[Retrofit Cost]]-ProjectInput[[#This Row],[Incentive ($)]]</f>
        <v>0</v>
      </c>
      <c r="AF126" s="182" t="str">
        <f>IFERROR(ProjectInput[[#This Row],[Net Project Cost ($)]]/ProjectInput[[#This Row],[Energy Cost Savings ($)]], "")</f>
        <v/>
      </c>
    </row>
    <row r="127" spans="2:32" s="175" customFormat="1" ht="40" customHeight="1">
      <c r="B127" s="213">
        <v>124</v>
      </c>
      <c r="C127" s="220"/>
      <c r="D127" s="219"/>
      <c r="E127" s="183"/>
      <c r="F127" s="167"/>
      <c r="G127" s="184"/>
      <c r="H127" s="167"/>
      <c r="I127" s="184"/>
      <c r="J1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7" s="183"/>
      <c r="L127" s="167"/>
      <c r="M127" s="184"/>
      <c r="N127" s="184"/>
      <c r="O127" s="184"/>
      <c r="P127" s="177" t="str">
        <f>IF(ProjectInput[[#This Row],[Existing Fixture Code]]=0, "",INDEX(Table7[WATT/ FIXT], MATCH(ProjectInput[[#This Row],[Existing Fixture Code]], Table7[FIXTURE CODE], 0)))</f>
        <v/>
      </c>
      <c r="Q127" s="183"/>
      <c r="R127" s="167"/>
      <c r="S127" s="184"/>
      <c r="T127" s="184"/>
      <c r="U127" s="184"/>
      <c r="V127" s="184"/>
      <c r="W127" s="167"/>
      <c r="X127" s="185"/>
      <c r="Y127" s="179" t="str">
        <f>IF(ProjectInput[[#This Row],[Proposed Fixture Code]]=0, "", INDEX(Table7[WATT/ FIXT], MATCH(ProjectInput[[#This Row],[Proposed Fixture Code]], Table7[FIXTURE CODE],0 )))</f>
        <v/>
      </c>
      <c r="Z127" s="180">
        <f>INDEX(ReviewCalcs[Incentive Total Energy Savings (kWh)], MATCH(ProjectInput[[#This Row],[Project Index]], ReviewCalcs[Project Index], 0))</f>
        <v>0</v>
      </c>
      <c r="AA127" s="172">
        <f>INDEX(ReviewCalcs[Incentive Total Demand Savings (kW)], MATCH(ProjectInput[[#This Row],[Project Index]], ReviewCalcs[Project Index], 0))</f>
        <v>0</v>
      </c>
      <c r="AB127" s="181">
        <f>ProjectInput[[#This Row],[Energy Savings (kWh)]]*Avg_KWh_Rate</f>
        <v>0</v>
      </c>
      <c r="AC127" s="173">
        <f>IF(C127="", 0, IF(C127="Cust.", INDEX(ReviewCalcs[Incentive ($)], MATCH(ProjectInput[[#This Row],[Project Index]], ReviewCalcs[Project Index], 0)), IF(AND(C127="Pres.", D127="1 to 6"), 3*Q127, IF(AND(C127="Pres.", D127="7 to 11"), 4*Q127, IF(AND(C127="Pres.", D127="12 to 17"), 5*Q127, IF(AND(C127="Pres.", D127="Exit Sign"), 20*Q127, IF(AND(C127="Pres.", D127="&gt; 18"), 6*Q127)))))))</f>
        <v>0</v>
      </c>
      <c r="AD127" s="181">
        <f>ProjectInput[[#This Row],[Retrofit Cost]]</f>
        <v>0</v>
      </c>
      <c r="AE127" s="181">
        <f>ProjectInput[[#This Row],[Retrofit Cost]]-ProjectInput[[#This Row],[Incentive ($)]]</f>
        <v>0</v>
      </c>
      <c r="AF127" s="182" t="str">
        <f>IFERROR(ProjectInput[[#This Row],[Net Project Cost ($)]]/ProjectInput[[#This Row],[Energy Cost Savings ($)]], "")</f>
        <v/>
      </c>
    </row>
    <row r="128" spans="2:32" s="175" customFormat="1" ht="40" customHeight="1">
      <c r="B128" s="213">
        <v>125</v>
      </c>
      <c r="C128" s="223"/>
      <c r="D128" s="224"/>
      <c r="E128" s="183"/>
      <c r="F128" s="167"/>
      <c r="G128" s="184"/>
      <c r="H128" s="167"/>
      <c r="I128" s="184"/>
      <c r="J1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8" s="183"/>
      <c r="L128" s="167"/>
      <c r="M128" s="184"/>
      <c r="N128" s="184"/>
      <c r="O128" s="184"/>
      <c r="P128" s="177" t="str">
        <f>IF(ProjectInput[[#This Row],[Existing Fixture Code]]=0, "",INDEX(Table7[WATT/ FIXT], MATCH(ProjectInput[[#This Row],[Existing Fixture Code]], Table7[FIXTURE CODE], 0)))</f>
        <v/>
      </c>
      <c r="Q128" s="183"/>
      <c r="R128" s="167"/>
      <c r="S128" s="184"/>
      <c r="T128" s="184"/>
      <c r="U128" s="184"/>
      <c r="V128" s="184"/>
      <c r="W128" s="167"/>
      <c r="X128" s="185"/>
      <c r="Y128" s="179" t="str">
        <f>IF(ProjectInput[[#This Row],[Proposed Fixture Code]]=0, "", INDEX(Table7[WATT/ FIXT], MATCH(ProjectInput[[#This Row],[Proposed Fixture Code]], Table7[FIXTURE CODE],0 )))</f>
        <v/>
      </c>
      <c r="Z128" s="180">
        <f>INDEX(ReviewCalcs[Incentive Total Energy Savings (kWh)], MATCH(ProjectInput[[#This Row],[Project Index]], ReviewCalcs[Project Index], 0))</f>
        <v>0</v>
      </c>
      <c r="AA128" s="172">
        <f>INDEX(ReviewCalcs[Incentive Total Demand Savings (kW)], MATCH(ProjectInput[[#This Row],[Project Index]], ReviewCalcs[Project Index], 0))</f>
        <v>0</v>
      </c>
      <c r="AB128" s="181">
        <f>ProjectInput[[#This Row],[Energy Savings (kWh)]]*Avg_KWh_Rate</f>
        <v>0</v>
      </c>
      <c r="AC128" s="173">
        <f>IF(C128="", 0, IF(C128="Cust.", INDEX(ReviewCalcs[Incentive ($)], MATCH(ProjectInput[[#This Row],[Project Index]], ReviewCalcs[Project Index], 0)), IF(AND(C128="Pres.", D128="1 to 6"), 3*Q128, IF(AND(C128="Pres.", D128="7 to 11"), 4*Q128, IF(AND(C128="Pres.", D128="12 to 17"), 5*Q128, IF(AND(C128="Pres.", D128="Exit Sign"), 20*Q128, IF(AND(C128="Pres.", D128="&gt; 18"), 6*Q128)))))))</f>
        <v>0</v>
      </c>
      <c r="AD128" s="181">
        <f>ProjectInput[[#This Row],[Retrofit Cost]]</f>
        <v>0</v>
      </c>
      <c r="AE128" s="181">
        <f>ProjectInput[[#This Row],[Retrofit Cost]]-ProjectInput[[#This Row],[Incentive ($)]]</f>
        <v>0</v>
      </c>
      <c r="AF128" s="182" t="str">
        <f>IFERROR(ProjectInput[[#This Row],[Net Project Cost ($)]]/ProjectInput[[#This Row],[Energy Cost Savings ($)]], "")</f>
        <v/>
      </c>
    </row>
    <row r="129" spans="2:32" s="175" customFormat="1" ht="40" customHeight="1">
      <c r="B129" s="213">
        <v>126</v>
      </c>
      <c r="C129" s="220"/>
      <c r="D129" s="219"/>
      <c r="E129" s="183"/>
      <c r="F129" s="167"/>
      <c r="G129" s="184"/>
      <c r="H129" s="167"/>
      <c r="I129" s="184"/>
      <c r="J1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29" s="183"/>
      <c r="L129" s="167"/>
      <c r="M129" s="184"/>
      <c r="N129" s="184"/>
      <c r="O129" s="184"/>
      <c r="P129" s="177" t="str">
        <f>IF(ProjectInput[[#This Row],[Existing Fixture Code]]=0, "",INDEX(Table7[WATT/ FIXT], MATCH(ProjectInput[[#This Row],[Existing Fixture Code]], Table7[FIXTURE CODE], 0)))</f>
        <v/>
      </c>
      <c r="Q129" s="183"/>
      <c r="R129" s="167"/>
      <c r="S129" s="184"/>
      <c r="T129" s="184"/>
      <c r="U129" s="184"/>
      <c r="V129" s="184"/>
      <c r="W129" s="167"/>
      <c r="X129" s="185"/>
      <c r="Y129" s="179" t="str">
        <f>IF(ProjectInput[[#This Row],[Proposed Fixture Code]]=0, "", INDEX(Table7[WATT/ FIXT], MATCH(ProjectInput[[#This Row],[Proposed Fixture Code]], Table7[FIXTURE CODE],0 )))</f>
        <v/>
      </c>
      <c r="Z129" s="180">
        <f>INDEX(ReviewCalcs[Incentive Total Energy Savings (kWh)], MATCH(ProjectInput[[#This Row],[Project Index]], ReviewCalcs[Project Index], 0))</f>
        <v>0</v>
      </c>
      <c r="AA129" s="172">
        <f>INDEX(ReviewCalcs[Incentive Total Demand Savings (kW)], MATCH(ProjectInput[[#This Row],[Project Index]], ReviewCalcs[Project Index], 0))</f>
        <v>0</v>
      </c>
      <c r="AB129" s="181">
        <f>ProjectInput[[#This Row],[Energy Savings (kWh)]]*Avg_KWh_Rate</f>
        <v>0</v>
      </c>
      <c r="AC129" s="173">
        <f>IF(C129="", 0, IF(C129="Cust.", INDEX(ReviewCalcs[Incentive ($)], MATCH(ProjectInput[[#This Row],[Project Index]], ReviewCalcs[Project Index], 0)), IF(AND(C129="Pres.", D129="1 to 6"), 3*Q129, IF(AND(C129="Pres.", D129="7 to 11"), 4*Q129, IF(AND(C129="Pres.", D129="12 to 17"), 5*Q129, IF(AND(C129="Pres.", D129="Exit Sign"), 20*Q129, IF(AND(C129="Pres.", D129="&gt; 18"), 6*Q129)))))))</f>
        <v>0</v>
      </c>
      <c r="AD129" s="181">
        <f>ProjectInput[[#This Row],[Retrofit Cost]]</f>
        <v>0</v>
      </c>
      <c r="AE129" s="181">
        <f>ProjectInput[[#This Row],[Retrofit Cost]]-ProjectInput[[#This Row],[Incentive ($)]]</f>
        <v>0</v>
      </c>
      <c r="AF129" s="182" t="str">
        <f>IFERROR(ProjectInput[[#This Row],[Net Project Cost ($)]]/ProjectInput[[#This Row],[Energy Cost Savings ($)]], "")</f>
        <v/>
      </c>
    </row>
    <row r="130" spans="2:32" s="175" customFormat="1" ht="40" customHeight="1">
      <c r="B130" s="213">
        <v>127</v>
      </c>
      <c r="C130" s="223"/>
      <c r="D130" s="224"/>
      <c r="E130" s="183"/>
      <c r="F130" s="167"/>
      <c r="G130" s="184"/>
      <c r="H130" s="167"/>
      <c r="I130" s="184"/>
      <c r="J1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0" s="183"/>
      <c r="L130" s="167"/>
      <c r="M130" s="184"/>
      <c r="N130" s="184"/>
      <c r="O130" s="184"/>
      <c r="P130" s="177" t="str">
        <f>IF(ProjectInput[[#This Row],[Existing Fixture Code]]=0, "",INDEX(Table7[WATT/ FIXT], MATCH(ProjectInput[[#This Row],[Existing Fixture Code]], Table7[FIXTURE CODE], 0)))</f>
        <v/>
      </c>
      <c r="Q130" s="183"/>
      <c r="R130" s="167"/>
      <c r="S130" s="184"/>
      <c r="T130" s="184"/>
      <c r="U130" s="184"/>
      <c r="V130" s="184"/>
      <c r="W130" s="167"/>
      <c r="X130" s="185"/>
      <c r="Y130" s="179" t="str">
        <f>IF(ProjectInput[[#This Row],[Proposed Fixture Code]]=0, "", INDEX(Table7[WATT/ FIXT], MATCH(ProjectInput[[#This Row],[Proposed Fixture Code]], Table7[FIXTURE CODE],0 )))</f>
        <v/>
      </c>
      <c r="Z130" s="180">
        <f>INDEX(ReviewCalcs[Incentive Total Energy Savings (kWh)], MATCH(ProjectInput[[#This Row],[Project Index]], ReviewCalcs[Project Index], 0))</f>
        <v>0</v>
      </c>
      <c r="AA130" s="172">
        <f>INDEX(ReviewCalcs[Incentive Total Demand Savings (kW)], MATCH(ProjectInput[[#This Row],[Project Index]], ReviewCalcs[Project Index], 0))</f>
        <v>0</v>
      </c>
      <c r="AB130" s="181">
        <f>ProjectInput[[#This Row],[Energy Savings (kWh)]]*Avg_KWh_Rate</f>
        <v>0</v>
      </c>
      <c r="AC130" s="173">
        <f>IF(C130="", 0, IF(C130="Cust.", INDEX(ReviewCalcs[Incentive ($)], MATCH(ProjectInput[[#This Row],[Project Index]], ReviewCalcs[Project Index], 0)), IF(AND(C130="Pres.", D130="1 to 6"), 3*Q130, IF(AND(C130="Pres.", D130="7 to 11"), 4*Q130, IF(AND(C130="Pres.", D130="12 to 17"), 5*Q130, IF(AND(C130="Pres.", D130="Exit Sign"), 20*Q130, IF(AND(C130="Pres.", D130="&gt; 18"), 6*Q130)))))))</f>
        <v>0</v>
      </c>
      <c r="AD130" s="181">
        <f>ProjectInput[[#This Row],[Retrofit Cost]]</f>
        <v>0</v>
      </c>
      <c r="AE130" s="181">
        <f>ProjectInput[[#This Row],[Retrofit Cost]]-ProjectInput[[#This Row],[Incentive ($)]]</f>
        <v>0</v>
      </c>
      <c r="AF130" s="182" t="str">
        <f>IFERROR(ProjectInput[[#This Row],[Net Project Cost ($)]]/ProjectInput[[#This Row],[Energy Cost Savings ($)]], "")</f>
        <v/>
      </c>
    </row>
    <row r="131" spans="2:32" s="175" customFormat="1" ht="40" customHeight="1">
      <c r="B131" s="213">
        <v>128</v>
      </c>
      <c r="C131" s="220"/>
      <c r="D131" s="219"/>
      <c r="E131" s="183"/>
      <c r="F131" s="167"/>
      <c r="G131" s="184"/>
      <c r="H131" s="167"/>
      <c r="I131" s="184"/>
      <c r="J1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1" s="183"/>
      <c r="L131" s="167"/>
      <c r="M131" s="184"/>
      <c r="N131" s="184"/>
      <c r="O131" s="184"/>
      <c r="P131" s="177" t="str">
        <f>IF(ProjectInput[[#This Row],[Existing Fixture Code]]=0, "",INDEX(Table7[WATT/ FIXT], MATCH(ProjectInput[[#This Row],[Existing Fixture Code]], Table7[FIXTURE CODE], 0)))</f>
        <v/>
      </c>
      <c r="Q131" s="183"/>
      <c r="R131" s="167"/>
      <c r="S131" s="184"/>
      <c r="T131" s="184"/>
      <c r="U131" s="184"/>
      <c r="V131" s="184"/>
      <c r="W131" s="167"/>
      <c r="X131" s="185"/>
      <c r="Y131" s="179" t="str">
        <f>IF(ProjectInput[[#This Row],[Proposed Fixture Code]]=0, "", INDEX(Table7[WATT/ FIXT], MATCH(ProjectInput[[#This Row],[Proposed Fixture Code]], Table7[FIXTURE CODE],0 )))</f>
        <v/>
      </c>
      <c r="Z131" s="180">
        <f>INDEX(ReviewCalcs[Incentive Total Energy Savings (kWh)], MATCH(ProjectInput[[#This Row],[Project Index]], ReviewCalcs[Project Index], 0))</f>
        <v>0</v>
      </c>
      <c r="AA131" s="172">
        <f>INDEX(ReviewCalcs[Incentive Total Demand Savings (kW)], MATCH(ProjectInput[[#This Row],[Project Index]], ReviewCalcs[Project Index], 0))</f>
        <v>0</v>
      </c>
      <c r="AB131" s="181">
        <f>ProjectInput[[#This Row],[Energy Savings (kWh)]]*Avg_KWh_Rate</f>
        <v>0</v>
      </c>
      <c r="AC131" s="173">
        <f>IF(C131="", 0, IF(C131="Cust.", INDEX(ReviewCalcs[Incentive ($)], MATCH(ProjectInput[[#This Row],[Project Index]], ReviewCalcs[Project Index], 0)), IF(AND(C131="Pres.", D131="1 to 6"), 3*Q131, IF(AND(C131="Pres.", D131="7 to 11"), 4*Q131, IF(AND(C131="Pres.", D131="12 to 17"), 5*Q131, IF(AND(C131="Pres.", D131="Exit Sign"), 20*Q131, IF(AND(C131="Pres.", D131="&gt; 18"), 6*Q131)))))))</f>
        <v>0</v>
      </c>
      <c r="AD131" s="181">
        <f>ProjectInput[[#This Row],[Retrofit Cost]]</f>
        <v>0</v>
      </c>
      <c r="AE131" s="181">
        <f>ProjectInput[[#This Row],[Retrofit Cost]]-ProjectInput[[#This Row],[Incentive ($)]]</f>
        <v>0</v>
      </c>
      <c r="AF131" s="182" t="str">
        <f>IFERROR(ProjectInput[[#This Row],[Net Project Cost ($)]]/ProjectInput[[#This Row],[Energy Cost Savings ($)]], "")</f>
        <v/>
      </c>
    </row>
    <row r="132" spans="2:32" s="175" customFormat="1" ht="40" customHeight="1">
      <c r="B132" s="213">
        <v>129</v>
      </c>
      <c r="C132" s="223"/>
      <c r="D132" s="224"/>
      <c r="E132" s="183"/>
      <c r="F132" s="167"/>
      <c r="G132" s="184"/>
      <c r="H132" s="167"/>
      <c r="I132" s="184"/>
      <c r="J1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2" s="183"/>
      <c r="L132" s="167"/>
      <c r="M132" s="184"/>
      <c r="N132" s="184"/>
      <c r="O132" s="184"/>
      <c r="P132" s="177" t="str">
        <f>IF(ProjectInput[[#This Row],[Existing Fixture Code]]=0, "",INDEX(Table7[WATT/ FIXT], MATCH(ProjectInput[[#This Row],[Existing Fixture Code]], Table7[FIXTURE CODE], 0)))</f>
        <v/>
      </c>
      <c r="Q132" s="183"/>
      <c r="R132" s="167"/>
      <c r="S132" s="184"/>
      <c r="T132" s="184"/>
      <c r="U132" s="184"/>
      <c r="V132" s="184"/>
      <c r="W132" s="167"/>
      <c r="X132" s="185"/>
      <c r="Y132" s="179" t="str">
        <f>IF(ProjectInput[[#This Row],[Proposed Fixture Code]]=0, "", INDEX(Table7[WATT/ FIXT], MATCH(ProjectInput[[#This Row],[Proposed Fixture Code]], Table7[FIXTURE CODE],0 )))</f>
        <v/>
      </c>
      <c r="Z132" s="180">
        <f>INDEX(ReviewCalcs[Incentive Total Energy Savings (kWh)], MATCH(ProjectInput[[#This Row],[Project Index]], ReviewCalcs[Project Index], 0))</f>
        <v>0</v>
      </c>
      <c r="AA132" s="172">
        <f>INDEX(ReviewCalcs[Incentive Total Demand Savings (kW)], MATCH(ProjectInput[[#This Row],[Project Index]], ReviewCalcs[Project Index], 0))</f>
        <v>0</v>
      </c>
      <c r="AB132" s="181">
        <f>ProjectInput[[#This Row],[Energy Savings (kWh)]]*Avg_KWh_Rate</f>
        <v>0</v>
      </c>
      <c r="AC132" s="173">
        <f>IF(C132="", 0, IF(C132="Cust.", INDEX(ReviewCalcs[Incentive ($)], MATCH(ProjectInput[[#This Row],[Project Index]], ReviewCalcs[Project Index], 0)), IF(AND(C132="Pres.", D132="1 to 6"), 3*Q132, IF(AND(C132="Pres.", D132="7 to 11"), 4*Q132, IF(AND(C132="Pres.", D132="12 to 17"), 5*Q132, IF(AND(C132="Pres.", D132="Exit Sign"), 20*Q132, IF(AND(C132="Pres.", D132="&gt; 18"), 6*Q132)))))))</f>
        <v>0</v>
      </c>
      <c r="AD132" s="181">
        <f>ProjectInput[[#This Row],[Retrofit Cost]]</f>
        <v>0</v>
      </c>
      <c r="AE132" s="181">
        <f>ProjectInput[[#This Row],[Retrofit Cost]]-ProjectInput[[#This Row],[Incentive ($)]]</f>
        <v>0</v>
      </c>
      <c r="AF132" s="182" t="str">
        <f>IFERROR(ProjectInput[[#This Row],[Net Project Cost ($)]]/ProjectInput[[#This Row],[Energy Cost Savings ($)]], "")</f>
        <v/>
      </c>
    </row>
    <row r="133" spans="2:32" s="175" customFormat="1" ht="40" customHeight="1">
      <c r="B133" s="213">
        <v>130</v>
      </c>
      <c r="C133" s="220"/>
      <c r="D133" s="219"/>
      <c r="E133" s="183"/>
      <c r="F133" s="167"/>
      <c r="G133" s="184"/>
      <c r="H133" s="167"/>
      <c r="I133" s="184"/>
      <c r="J1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3" s="183"/>
      <c r="L133" s="167"/>
      <c r="M133" s="184"/>
      <c r="N133" s="184"/>
      <c r="O133" s="184"/>
      <c r="P133" s="177" t="str">
        <f>IF(ProjectInput[[#This Row],[Existing Fixture Code]]=0, "",INDEX(Table7[WATT/ FIXT], MATCH(ProjectInput[[#This Row],[Existing Fixture Code]], Table7[FIXTURE CODE], 0)))</f>
        <v/>
      </c>
      <c r="Q133" s="183"/>
      <c r="R133" s="167"/>
      <c r="S133" s="184"/>
      <c r="T133" s="184"/>
      <c r="U133" s="184"/>
      <c r="V133" s="184"/>
      <c r="W133" s="167"/>
      <c r="X133" s="185"/>
      <c r="Y133" s="179" t="str">
        <f>IF(ProjectInput[[#This Row],[Proposed Fixture Code]]=0, "", INDEX(Table7[WATT/ FIXT], MATCH(ProjectInput[[#This Row],[Proposed Fixture Code]], Table7[FIXTURE CODE],0 )))</f>
        <v/>
      </c>
      <c r="Z133" s="180">
        <f>INDEX(ReviewCalcs[Incentive Total Energy Savings (kWh)], MATCH(ProjectInput[[#This Row],[Project Index]], ReviewCalcs[Project Index], 0))</f>
        <v>0</v>
      </c>
      <c r="AA133" s="172">
        <f>INDEX(ReviewCalcs[Incentive Total Demand Savings (kW)], MATCH(ProjectInput[[#This Row],[Project Index]], ReviewCalcs[Project Index], 0))</f>
        <v>0</v>
      </c>
      <c r="AB133" s="181">
        <f>ProjectInput[[#This Row],[Energy Savings (kWh)]]*Avg_KWh_Rate</f>
        <v>0</v>
      </c>
      <c r="AC133" s="173">
        <f>IF(C133="", 0, IF(C133="Cust.", INDEX(ReviewCalcs[Incentive ($)], MATCH(ProjectInput[[#This Row],[Project Index]], ReviewCalcs[Project Index], 0)), IF(AND(C133="Pres.", D133="1 to 6"), 3*Q133, IF(AND(C133="Pres.", D133="7 to 11"), 4*Q133, IF(AND(C133="Pres.", D133="12 to 17"), 5*Q133, IF(AND(C133="Pres.", D133="Exit Sign"), 20*Q133, IF(AND(C133="Pres.", D133="&gt; 18"), 6*Q133)))))))</f>
        <v>0</v>
      </c>
      <c r="AD133" s="181">
        <f>ProjectInput[[#This Row],[Retrofit Cost]]</f>
        <v>0</v>
      </c>
      <c r="AE133" s="181">
        <f>ProjectInput[[#This Row],[Retrofit Cost]]-ProjectInput[[#This Row],[Incentive ($)]]</f>
        <v>0</v>
      </c>
      <c r="AF133" s="182" t="str">
        <f>IFERROR(ProjectInput[[#This Row],[Net Project Cost ($)]]/ProjectInput[[#This Row],[Energy Cost Savings ($)]], "")</f>
        <v/>
      </c>
    </row>
    <row r="134" spans="2:32" s="175" customFormat="1" ht="40" customHeight="1">
      <c r="B134" s="213">
        <v>131</v>
      </c>
      <c r="C134" s="223"/>
      <c r="D134" s="224"/>
      <c r="E134" s="183"/>
      <c r="F134" s="167"/>
      <c r="G134" s="184"/>
      <c r="H134" s="167"/>
      <c r="I134" s="184"/>
      <c r="J1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4" s="183"/>
      <c r="L134" s="167"/>
      <c r="M134" s="184"/>
      <c r="N134" s="184"/>
      <c r="O134" s="184"/>
      <c r="P134" s="177" t="str">
        <f>IF(ProjectInput[[#This Row],[Existing Fixture Code]]=0, "",INDEX(Table7[WATT/ FIXT], MATCH(ProjectInput[[#This Row],[Existing Fixture Code]], Table7[FIXTURE CODE], 0)))</f>
        <v/>
      </c>
      <c r="Q134" s="183"/>
      <c r="R134" s="167"/>
      <c r="S134" s="184"/>
      <c r="T134" s="184"/>
      <c r="U134" s="184"/>
      <c r="V134" s="184"/>
      <c r="W134" s="167"/>
      <c r="X134" s="185"/>
      <c r="Y134" s="179" t="str">
        <f>IF(ProjectInput[[#This Row],[Proposed Fixture Code]]=0, "", INDEX(Table7[WATT/ FIXT], MATCH(ProjectInput[[#This Row],[Proposed Fixture Code]], Table7[FIXTURE CODE],0 )))</f>
        <v/>
      </c>
      <c r="Z134" s="180">
        <f>INDEX(ReviewCalcs[Incentive Total Energy Savings (kWh)], MATCH(ProjectInput[[#This Row],[Project Index]], ReviewCalcs[Project Index], 0))</f>
        <v>0</v>
      </c>
      <c r="AA134" s="172">
        <f>INDEX(ReviewCalcs[Incentive Total Demand Savings (kW)], MATCH(ProjectInput[[#This Row],[Project Index]], ReviewCalcs[Project Index], 0))</f>
        <v>0</v>
      </c>
      <c r="AB134" s="181">
        <f>ProjectInput[[#This Row],[Energy Savings (kWh)]]*Avg_KWh_Rate</f>
        <v>0</v>
      </c>
      <c r="AC134" s="173">
        <f>IF(C134="", 0, IF(C134="Cust.", INDEX(ReviewCalcs[Incentive ($)], MATCH(ProjectInput[[#This Row],[Project Index]], ReviewCalcs[Project Index], 0)), IF(AND(C134="Pres.", D134="1 to 6"), 3*Q134, IF(AND(C134="Pres.", D134="7 to 11"), 4*Q134, IF(AND(C134="Pres.", D134="12 to 17"), 5*Q134, IF(AND(C134="Pres.", D134="Exit Sign"), 20*Q134, IF(AND(C134="Pres.", D134="&gt; 18"), 6*Q134)))))))</f>
        <v>0</v>
      </c>
      <c r="AD134" s="181">
        <f>ProjectInput[[#This Row],[Retrofit Cost]]</f>
        <v>0</v>
      </c>
      <c r="AE134" s="181">
        <f>ProjectInput[[#This Row],[Retrofit Cost]]-ProjectInput[[#This Row],[Incentive ($)]]</f>
        <v>0</v>
      </c>
      <c r="AF134" s="182" t="str">
        <f>IFERROR(ProjectInput[[#This Row],[Net Project Cost ($)]]/ProjectInput[[#This Row],[Energy Cost Savings ($)]], "")</f>
        <v/>
      </c>
    </row>
    <row r="135" spans="2:32" s="175" customFormat="1" ht="40" customHeight="1">
      <c r="B135" s="213">
        <v>132</v>
      </c>
      <c r="C135" s="220"/>
      <c r="D135" s="219"/>
      <c r="E135" s="183"/>
      <c r="F135" s="167"/>
      <c r="G135" s="184"/>
      <c r="H135" s="167"/>
      <c r="I135" s="184"/>
      <c r="J1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5" s="183"/>
      <c r="L135" s="167"/>
      <c r="M135" s="184"/>
      <c r="N135" s="184"/>
      <c r="O135" s="184"/>
      <c r="P135" s="177" t="str">
        <f>IF(ProjectInput[[#This Row],[Existing Fixture Code]]=0, "",INDEX(Table7[WATT/ FIXT], MATCH(ProjectInput[[#This Row],[Existing Fixture Code]], Table7[FIXTURE CODE], 0)))</f>
        <v/>
      </c>
      <c r="Q135" s="183"/>
      <c r="R135" s="167"/>
      <c r="S135" s="184"/>
      <c r="T135" s="184"/>
      <c r="U135" s="184"/>
      <c r="V135" s="184"/>
      <c r="W135" s="167"/>
      <c r="X135" s="185"/>
      <c r="Y135" s="179" t="str">
        <f>IF(ProjectInput[[#This Row],[Proposed Fixture Code]]=0, "", INDEX(Table7[WATT/ FIXT], MATCH(ProjectInput[[#This Row],[Proposed Fixture Code]], Table7[FIXTURE CODE],0 )))</f>
        <v/>
      </c>
      <c r="Z135" s="180">
        <f>INDEX(ReviewCalcs[Incentive Total Energy Savings (kWh)], MATCH(ProjectInput[[#This Row],[Project Index]], ReviewCalcs[Project Index], 0))</f>
        <v>0</v>
      </c>
      <c r="AA135" s="172">
        <f>INDEX(ReviewCalcs[Incentive Total Demand Savings (kW)], MATCH(ProjectInput[[#This Row],[Project Index]], ReviewCalcs[Project Index], 0))</f>
        <v>0</v>
      </c>
      <c r="AB135" s="181">
        <f>ProjectInput[[#This Row],[Energy Savings (kWh)]]*Avg_KWh_Rate</f>
        <v>0</v>
      </c>
      <c r="AC135" s="173">
        <f>IF(C135="", 0, IF(C135="Cust.", INDEX(ReviewCalcs[Incentive ($)], MATCH(ProjectInput[[#This Row],[Project Index]], ReviewCalcs[Project Index], 0)), IF(AND(C135="Pres.", D135="1 to 6"), 3*Q135, IF(AND(C135="Pres.", D135="7 to 11"), 4*Q135, IF(AND(C135="Pres.", D135="12 to 17"), 5*Q135, IF(AND(C135="Pres.", D135="Exit Sign"), 20*Q135, IF(AND(C135="Pres.", D135="&gt; 18"), 6*Q135)))))))</f>
        <v>0</v>
      </c>
      <c r="AD135" s="181">
        <f>ProjectInput[[#This Row],[Retrofit Cost]]</f>
        <v>0</v>
      </c>
      <c r="AE135" s="181">
        <f>ProjectInput[[#This Row],[Retrofit Cost]]-ProjectInput[[#This Row],[Incentive ($)]]</f>
        <v>0</v>
      </c>
      <c r="AF135" s="182" t="str">
        <f>IFERROR(ProjectInput[[#This Row],[Net Project Cost ($)]]/ProjectInput[[#This Row],[Energy Cost Savings ($)]], "")</f>
        <v/>
      </c>
    </row>
    <row r="136" spans="2:32" s="175" customFormat="1" ht="40" customHeight="1">
      <c r="B136" s="213">
        <v>133</v>
      </c>
      <c r="C136" s="223"/>
      <c r="D136" s="224"/>
      <c r="E136" s="183"/>
      <c r="F136" s="167"/>
      <c r="G136" s="184"/>
      <c r="H136" s="167"/>
      <c r="I136" s="184"/>
      <c r="J1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6" s="183"/>
      <c r="L136" s="167"/>
      <c r="M136" s="184"/>
      <c r="N136" s="184"/>
      <c r="O136" s="184"/>
      <c r="P136" s="177" t="str">
        <f>IF(ProjectInput[[#This Row],[Existing Fixture Code]]=0, "",INDEX(Table7[WATT/ FIXT], MATCH(ProjectInput[[#This Row],[Existing Fixture Code]], Table7[FIXTURE CODE], 0)))</f>
        <v/>
      </c>
      <c r="Q136" s="183"/>
      <c r="R136" s="167"/>
      <c r="S136" s="184"/>
      <c r="T136" s="184"/>
      <c r="U136" s="184"/>
      <c r="V136" s="184"/>
      <c r="W136" s="167"/>
      <c r="X136" s="185"/>
      <c r="Y136" s="179" t="str">
        <f>IF(ProjectInput[[#This Row],[Proposed Fixture Code]]=0, "", INDEX(Table7[WATT/ FIXT], MATCH(ProjectInput[[#This Row],[Proposed Fixture Code]], Table7[FIXTURE CODE],0 )))</f>
        <v/>
      </c>
      <c r="Z136" s="180">
        <f>INDEX(ReviewCalcs[Incentive Total Energy Savings (kWh)], MATCH(ProjectInput[[#This Row],[Project Index]], ReviewCalcs[Project Index], 0))</f>
        <v>0</v>
      </c>
      <c r="AA136" s="172">
        <f>INDEX(ReviewCalcs[Incentive Total Demand Savings (kW)], MATCH(ProjectInput[[#This Row],[Project Index]], ReviewCalcs[Project Index], 0))</f>
        <v>0</v>
      </c>
      <c r="AB136" s="181">
        <f>ProjectInput[[#This Row],[Energy Savings (kWh)]]*Avg_KWh_Rate</f>
        <v>0</v>
      </c>
      <c r="AC136" s="173">
        <f>IF(C136="", 0, IF(C136="Cust.", INDEX(ReviewCalcs[Incentive ($)], MATCH(ProjectInput[[#This Row],[Project Index]], ReviewCalcs[Project Index], 0)), IF(AND(C136="Pres.", D136="1 to 6"), 3*Q136, IF(AND(C136="Pres.", D136="7 to 11"), 4*Q136, IF(AND(C136="Pres.", D136="12 to 17"), 5*Q136, IF(AND(C136="Pres.", D136="Exit Sign"), 20*Q136, IF(AND(C136="Pres.", D136="&gt; 18"), 6*Q136)))))))</f>
        <v>0</v>
      </c>
      <c r="AD136" s="181">
        <f>ProjectInput[[#This Row],[Retrofit Cost]]</f>
        <v>0</v>
      </c>
      <c r="AE136" s="181">
        <f>ProjectInput[[#This Row],[Retrofit Cost]]-ProjectInput[[#This Row],[Incentive ($)]]</f>
        <v>0</v>
      </c>
      <c r="AF136" s="182" t="str">
        <f>IFERROR(ProjectInput[[#This Row],[Net Project Cost ($)]]/ProjectInput[[#This Row],[Energy Cost Savings ($)]], "")</f>
        <v/>
      </c>
    </row>
    <row r="137" spans="2:32" s="175" customFormat="1" ht="40" customHeight="1">
      <c r="B137" s="213">
        <v>134</v>
      </c>
      <c r="C137" s="220"/>
      <c r="D137" s="219"/>
      <c r="E137" s="183"/>
      <c r="F137" s="167"/>
      <c r="G137" s="184"/>
      <c r="H137" s="167"/>
      <c r="I137" s="184"/>
      <c r="J1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7" s="183"/>
      <c r="L137" s="167"/>
      <c r="M137" s="184"/>
      <c r="N137" s="184"/>
      <c r="O137" s="184"/>
      <c r="P137" s="177" t="str">
        <f>IF(ProjectInput[[#This Row],[Existing Fixture Code]]=0, "",INDEX(Table7[WATT/ FIXT], MATCH(ProjectInput[[#This Row],[Existing Fixture Code]], Table7[FIXTURE CODE], 0)))</f>
        <v/>
      </c>
      <c r="Q137" s="183"/>
      <c r="R137" s="167"/>
      <c r="S137" s="184"/>
      <c r="T137" s="184"/>
      <c r="U137" s="184"/>
      <c r="V137" s="184"/>
      <c r="W137" s="167"/>
      <c r="X137" s="185"/>
      <c r="Y137" s="179" t="str">
        <f>IF(ProjectInput[[#This Row],[Proposed Fixture Code]]=0, "", INDEX(Table7[WATT/ FIXT], MATCH(ProjectInput[[#This Row],[Proposed Fixture Code]], Table7[FIXTURE CODE],0 )))</f>
        <v/>
      </c>
      <c r="Z137" s="180">
        <f>INDEX(ReviewCalcs[Incentive Total Energy Savings (kWh)], MATCH(ProjectInput[[#This Row],[Project Index]], ReviewCalcs[Project Index], 0))</f>
        <v>0</v>
      </c>
      <c r="AA137" s="172">
        <f>INDEX(ReviewCalcs[Incentive Total Demand Savings (kW)], MATCH(ProjectInput[[#This Row],[Project Index]], ReviewCalcs[Project Index], 0))</f>
        <v>0</v>
      </c>
      <c r="AB137" s="181">
        <f>ProjectInput[[#This Row],[Energy Savings (kWh)]]*Avg_KWh_Rate</f>
        <v>0</v>
      </c>
      <c r="AC137" s="173">
        <f>IF(C137="", 0, IF(C137="Cust.", INDEX(ReviewCalcs[Incentive ($)], MATCH(ProjectInput[[#This Row],[Project Index]], ReviewCalcs[Project Index], 0)), IF(AND(C137="Pres.", D137="1 to 6"), 3*Q137, IF(AND(C137="Pres.", D137="7 to 11"), 4*Q137, IF(AND(C137="Pres.", D137="12 to 17"), 5*Q137, IF(AND(C137="Pres.", D137="Exit Sign"), 20*Q137, IF(AND(C137="Pres.", D137="&gt; 18"), 6*Q137)))))))</f>
        <v>0</v>
      </c>
      <c r="AD137" s="181">
        <f>ProjectInput[[#This Row],[Retrofit Cost]]</f>
        <v>0</v>
      </c>
      <c r="AE137" s="181">
        <f>ProjectInput[[#This Row],[Retrofit Cost]]-ProjectInput[[#This Row],[Incentive ($)]]</f>
        <v>0</v>
      </c>
      <c r="AF137" s="182" t="str">
        <f>IFERROR(ProjectInput[[#This Row],[Net Project Cost ($)]]/ProjectInput[[#This Row],[Energy Cost Savings ($)]], "")</f>
        <v/>
      </c>
    </row>
    <row r="138" spans="2:32" s="175" customFormat="1" ht="40" customHeight="1">
      <c r="B138" s="213">
        <v>135</v>
      </c>
      <c r="C138" s="223"/>
      <c r="D138" s="224"/>
      <c r="E138" s="183"/>
      <c r="F138" s="167"/>
      <c r="G138" s="184"/>
      <c r="H138" s="167"/>
      <c r="I138" s="184"/>
      <c r="J1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8" s="183"/>
      <c r="L138" s="167"/>
      <c r="M138" s="184"/>
      <c r="N138" s="184"/>
      <c r="O138" s="184"/>
      <c r="P138" s="177" t="str">
        <f>IF(ProjectInput[[#This Row],[Existing Fixture Code]]=0, "",INDEX(Table7[WATT/ FIXT], MATCH(ProjectInput[[#This Row],[Existing Fixture Code]], Table7[FIXTURE CODE], 0)))</f>
        <v/>
      </c>
      <c r="Q138" s="183"/>
      <c r="R138" s="167"/>
      <c r="S138" s="184"/>
      <c r="T138" s="184"/>
      <c r="U138" s="184"/>
      <c r="V138" s="184"/>
      <c r="W138" s="167"/>
      <c r="X138" s="185"/>
      <c r="Y138" s="179" t="str">
        <f>IF(ProjectInput[[#This Row],[Proposed Fixture Code]]=0, "", INDEX(Table7[WATT/ FIXT], MATCH(ProjectInput[[#This Row],[Proposed Fixture Code]], Table7[FIXTURE CODE],0 )))</f>
        <v/>
      </c>
      <c r="Z138" s="180">
        <f>INDEX(ReviewCalcs[Incentive Total Energy Savings (kWh)], MATCH(ProjectInput[[#This Row],[Project Index]], ReviewCalcs[Project Index], 0))</f>
        <v>0</v>
      </c>
      <c r="AA138" s="172">
        <f>INDEX(ReviewCalcs[Incentive Total Demand Savings (kW)], MATCH(ProjectInput[[#This Row],[Project Index]], ReviewCalcs[Project Index], 0))</f>
        <v>0</v>
      </c>
      <c r="AB138" s="181">
        <f>ProjectInput[[#This Row],[Energy Savings (kWh)]]*Avg_KWh_Rate</f>
        <v>0</v>
      </c>
      <c r="AC138" s="173">
        <f>IF(C138="", 0, IF(C138="Cust.", INDEX(ReviewCalcs[Incentive ($)], MATCH(ProjectInput[[#This Row],[Project Index]], ReviewCalcs[Project Index], 0)), IF(AND(C138="Pres.", D138="1 to 6"), 3*Q138, IF(AND(C138="Pres.", D138="7 to 11"), 4*Q138, IF(AND(C138="Pres.", D138="12 to 17"), 5*Q138, IF(AND(C138="Pres.", D138="Exit Sign"), 20*Q138, IF(AND(C138="Pres.", D138="&gt; 18"), 6*Q138)))))))</f>
        <v>0</v>
      </c>
      <c r="AD138" s="181">
        <f>ProjectInput[[#This Row],[Retrofit Cost]]</f>
        <v>0</v>
      </c>
      <c r="AE138" s="181">
        <f>ProjectInput[[#This Row],[Retrofit Cost]]-ProjectInput[[#This Row],[Incentive ($)]]</f>
        <v>0</v>
      </c>
      <c r="AF138" s="182" t="str">
        <f>IFERROR(ProjectInput[[#This Row],[Net Project Cost ($)]]/ProjectInput[[#This Row],[Energy Cost Savings ($)]], "")</f>
        <v/>
      </c>
    </row>
    <row r="139" spans="2:32" s="175" customFormat="1" ht="40" customHeight="1">
      <c r="B139" s="213">
        <v>136</v>
      </c>
      <c r="C139" s="220"/>
      <c r="D139" s="219"/>
      <c r="E139" s="183"/>
      <c r="F139" s="167"/>
      <c r="G139" s="184"/>
      <c r="H139" s="167"/>
      <c r="I139" s="184"/>
      <c r="J1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39" s="183"/>
      <c r="L139" s="167"/>
      <c r="M139" s="184"/>
      <c r="N139" s="184"/>
      <c r="O139" s="184"/>
      <c r="P139" s="177" t="str">
        <f>IF(ProjectInput[[#This Row],[Existing Fixture Code]]=0, "",INDEX(Table7[WATT/ FIXT], MATCH(ProjectInput[[#This Row],[Existing Fixture Code]], Table7[FIXTURE CODE], 0)))</f>
        <v/>
      </c>
      <c r="Q139" s="183"/>
      <c r="R139" s="167"/>
      <c r="S139" s="184"/>
      <c r="T139" s="184"/>
      <c r="U139" s="184"/>
      <c r="V139" s="184"/>
      <c r="W139" s="167"/>
      <c r="X139" s="185"/>
      <c r="Y139" s="179" t="str">
        <f>IF(ProjectInput[[#This Row],[Proposed Fixture Code]]=0, "", INDEX(Table7[WATT/ FIXT], MATCH(ProjectInput[[#This Row],[Proposed Fixture Code]], Table7[FIXTURE CODE],0 )))</f>
        <v/>
      </c>
      <c r="Z139" s="180">
        <f>INDEX(ReviewCalcs[Incentive Total Energy Savings (kWh)], MATCH(ProjectInput[[#This Row],[Project Index]], ReviewCalcs[Project Index], 0))</f>
        <v>0</v>
      </c>
      <c r="AA139" s="172">
        <f>INDEX(ReviewCalcs[Incentive Total Demand Savings (kW)], MATCH(ProjectInput[[#This Row],[Project Index]], ReviewCalcs[Project Index], 0))</f>
        <v>0</v>
      </c>
      <c r="AB139" s="181">
        <f>ProjectInput[[#This Row],[Energy Savings (kWh)]]*Avg_KWh_Rate</f>
        <v>0</v>
      </c>
      <c r="AC139" s="173">
        <f>IF(C139="", 0, IF(C139="Cust.", INDEX(ReviewCalcs[Incentive ($)], MATCH(ProjectInput[[#This Row],[Project Index]], ReviewCalcs[Project Index], 0)), IF(AND(C139="Pres.", D139="1 to 6"), 3*Q139, IF(AND(C139="Pres.", D139="7 to 11"), 4*Q139, IF(AND(C139="Pres.", D139="12 to 17"), 5*Q139, IF(AND(C139="Pres.", D139="Exit Sign"), 20*Q139, IF(AND(C139="Pres.", D139="&gt; 18"), 6*Q139)))))))</f>
        <v>0</v>
      </c>
      <c r="AD139" s="181">
        <f>ProjectInput[[#This Row],[Retrofit Cost]]</f>
        <v>0</v>
      </c>
      <c r="AE139" s="181">
        <f>ProjectInput[[#This Row],[Retrofit Cost]]-ProjectInput[[#This Row],[Incentive ($)]]</f>
        <v>0</v>
      </c>
      <c r="AF139" s="182" t="str">
        <f>IFERROR(ProjectInput[[#This Row],[Net Project Cost ($)]]/ProjectInput[[#This Row],[Energy Cost Savings ($)]], "")</f>
        <v/>
      </c>
    </row>
    <row r="140" spans="2:32" s="175" customFormat="1" ht="40" customHeight="1">
      <c r="B140" s="213">
        <v>137</v>
      </c>
      <c r="C140" s="223"/>
      <c r="D140" s="224"/>
      <c r="E140" s="183"/>
      <c r="F140" s="167"/>
      <c r="G140" s="184"/>
      <c r="H140" s="167"/>
      <c r="I140" s="184"/>
      <c r="J1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0" s="183"/>
      <c r="L140" s="167"/>
      <c r="M140" s="184"/>
      <c r="N140" s="184"/>
      <c r="O140" s="184"/>
      <c r="P140" s="177" t="str">
        <f>IF(ProjectInput[[#This Row],[Existing Fixture Code]]=0, "",INDEX(Table7[WATT/ FIXT], MATCH(ProjectInput[[#This Row],[Existing Fixture Code]], Table7[FIXTURE CODE], 0)))</f>
        <v/>
      </c>
      <c r="Q140" s="183"/>
      <c r="R140" s="167"/>
      <c r="S140" s="184"/>
      <c r="T140" s="184"/>
      <c r="U140" s="184"/>
      <c r="V140" s="184"/>
      <c r="W140" s="167"/>
      <c r="X140" s="185"/>
      <c r="Y140" s="179" t="str">
        <f>IF(ProjectInput[[#This Row],[Proposed Fixture Code]]=0, "", INDEX(Table7[WATT/ FIXT], MATCH(ProjectInput[[#This Row],[Proposed Fixture Code]], Table7[FIXTURE CODE],0 )))</f>
        <v/>
      </c>
      <c r="Z140" s="180">
        <f>INDEX(ReviewCalcs[Incentive Total Energy Savings (kWh)], MATCH(ProjectInput[[#This Row],[Project Index]], ReviewCalcs[Project Index], 0))</f>
        <v>0</v>
      </c>
      <c r="AA140" s="172">
        <f>INDEX(ReviewCalcs[Incentive Total Demand Savings (kW)], MATCH(ProjectInput[[#This Row],[Project Index]], ReviewCalcs[Project Index], 0))</f>
        <v>0</v>
      </c>
      <c r="AB140" s="181">
        <f>ProjectInput[[#This Row],[Energy Savings (kWh)]]*Avg_KWh_Rate</f>
        <v>0</v>
      </c>
      <c r="AC140" s="173">
        <f>IF(C140="", 0, IF(C140="Cust.", INDEX(ReviewCalcs[Incentive ($)], MATCH(ProjectInput[[#This Row],[Project Index]], ReviewCalcs[Project Index], 0)), IF(AND(C140="Pres.", D140="1 to 6"), 3*Q140, IF(AND(C140="Pres.", D140="7 to 11"), 4*Q140, IF(AND(C140="Pres.", D140="12 to 17"), 5*Q140, IF(AND(C140="Pres.", D140="Exit Sign"), 20*Q140, IF(AND(C140="Pres.", D140="&gt; 18"), 6*Q140)))))))</f>
        <v>0</v>
      </c>
      <c r="AD140" s="181">
        <f>ProjectInput[[#This Row],[Retrofit Cost]]</f>
        <v>0</v>
      </c>
      <c r="AE140" s="181">
        <f>ProjectInput[[#This Row],[Retrofit Cost]]-ProjectInput[[#This Row],[Incentive ($)]]</f>
        <v>0</v>
      </c>
      <c r="AF140" s="182" t="str">
        <f>IFERROR(ProjectInput[[#This Row],[Net Project Cost ($)]]/ProjectInput[[#This Row],[Energy Cost Savings ($)]], "")</f>
        <v/>
      </c>
    </row>
    <row r="141" spans="2:32" s="175" customFormat="1" ht="40" customHeight="1">
      <c r="B141" s="213">
        <v>138</v>
      </c>
      <c r="C141" s="220"/>
      <c r="D141" s="219"/>
      <c r="E141" s="183"/>
      <c r="F141" s="167"/>
      <c r="G141" s="184"/>
      <c r="H141" s="167"/>
      <c r="I141" s="184"/>
      <c r="J1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1" s="183"/>
      <c r="L141" s="167"/>
      <c r="M141" s="184"/>
      <c r="N141" s="184"/>
      <c r="O141" s="184"/>
      <c r="P141" s="177" t="str">
        <f>IF(ProjectInput[[#This Row],[Existing Fixture Code]]=0, "",INDEX(Table7[WATT/ FIXT], MATCH(ProjectInput[[#This Row],[Existing Fixture Code]], Table7[FIXTURE CODE], 0)))</f>
        <v/>
      </c>
      <c r="Q141" s="183"/>
      <c r="R141" s="167"/>
      <c r="S141" s="184"/>
      <c r="T141" s="184"/>
      <c r="U141" s="184"/>
      <c r="V141" s="184"/>
      <c r="W141" s="167"/>
      <c r="X141" s="185"/>
      <c r="Y141" s="179" t="str">
        <f>IF(ProjectInput[[#This Row],[Proposed Fixture Code]]=0, "", INDEX(Table7[WATT/ FIXT], MATCH(ProjectInput[[#This Row],[Proposed Fixture Code]], Table7[FIXTURE CODE],0 )))</f>
        <v/>
      </c>
      <c r="Z141" s="180">
        <f>INDEX(ReviewCalcs[Incentive Total Energy Savings (kWh)], MATCH(ProjectInput[[#This Row],[Project Index]], ReviewCalcs[Project Index], 0))</f>
        <v>0</v>
      </c>
      <c r="AA141" s="172">
        <f>INDEX(ReviewCalcs[Incentive Total Demand Savings (kW)], MATCH(ProjectInput[[#This Row],[Project Index]], ReviewCalcs[Project Index], 0))</f>
        <v>0</v>
      </c>
      <c r="AB141" s="181">
        <f>ProjectInput[[#This Row],[Energy Savings (kWh)]]*Avg_KWh_Rate</f>
        <v>0</v>
      </c>
      <c r="AC141" s="173">
        <f>IF(C141="", 0, IF(C141="Cust.", INDEX(ReviewCalcs[Incentive ($)], MATCH(ProjectInput[[#This Row],[Project Index]], ReviewCalcs[Project Index], 0)), IF(AND(C141="Pres.", D141="1 to 6"), 3*Q141, IF(AND(C141="Pres.", D141="7 to 11"), 4*Q141, IF(AND(C141="Pres.", D141="12 to 17"), 5*Q141, IF(AND(C141="Pres.", D141="Exit Sign"), 20*Q141, IF(AND(C141="Pres.", D141="&gt; 18"), 6*Q141)))))))</f>
        <v>0</v>
      </c>
      <c r="AD141" s="181">
        <f>ProjectInput[[#This Row],[Retrofit Cost]]</f>
        <v>0</v>
      </c>
      <c r="AE141" s="181">
        <f>ProjectInput[[#This Row],[Retrofit Cost]]-ProjectInput[[#This Row],[Incentive ($)]]</f>
        <v>0</v>
      </c>
      <c r="AF141" s="182" t="str">
        <f>IFERROR(ProjectInput[[#This Row],[Net Project Cost ($)]]/ProjectInput[[#This Row],[Energy Cost Savings ($)]], "")</f>
        <v/>
      </c>
    </row>
    <row r="142" spans="2:32" s="175" customFormat="1" ht="40" customHeight="1">
      <c r="B142" s="213">
        <v>139</v>
      </c>
      <c r="C142" s="223"/>
      <c r="D142" s="224"/>
      <c r="E142" s="183"/>
      <c r="F142" s="167"/>
      <c r="G142" s="184"/>
      <c r="H142" s="167"/>
      <c r="I142" s="184"/>
      <c r="J1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2" s="183"/>
      <c r="L142" s="167"/>
      <c r="M142" s="184"/>
      <c r="N142" s="184"/>
      <c r="O142" s="184"/>
      <c r="P142" s="177" t="str">
        <f>IF(ProjectInput[[#This Row],[Existing Fixture Code]]=0, "",INDEX(Table7[WATT/ FIXT], MATCH(ProjectInput[[#This Row],[Existing Fixture Code]], Table7[FIXTURE CODE], 0)))</f>
        <v/>
      </c>
      <c r="Q142" s="183"/>
      <c r="R142" s="167"/>
      <c r="S142" s="184"/>
      <c r="T142" s="184"/>
      <c r="U142" s="184"/>
      <c r="V142" s="184"/>
      <c r="W142" s="167"/>
      <c r="X142" s="185"/>
      <c r="Y142" s="179" t="str">
        <f>IF(ProjectInput[[#This Row],[Proposed Fixture Code]]=0, "", INDEX(Table7[WATT/ FIXT], MATCH(ProjectInput[[#This Row],[Proposed Fixture Code]], Table7[FIXTURE CODE],0 )))</f>
        <v/>
      </c>
      <c r="Z142" s="180">
        <f>INDEX(ReviewCalcs[Incentive Total Energy Savings (kWh)], MATCH(ProjectInput[[#This Row],[Project Index]], ReviewCalcs[Project Index], 0))</f>
        <v>0</v>
      </c>
      <c r="AA142" s="172">
        <f>INDEX(ReviewCalcs[Incentive Total Demand Savings (kW)], MATCH(ProjectInput[[#This Row],[Project Index]], ReviewCalcs[Project Index], 0))</f>
        <v>0</v>
      </c>
      <c r="AB142" s="181">
        <f>ProjectInput[[#This Row],[Energy Savings (kWh)]]*Avg_KWh_Rate</f>
        <v>0</v>
      </c>
      <c r="AC142" s="173">
        <f>IF(C142="", 0, IF(C142="Cust.", INDEX(ReviewCalcs[Incentive ($)], MATCH(ProjectInput[[#This Row],[Project Index]], ReviewCalcs[Project Index], 0)), IF(AND(C142="Pres.", D142="1 to 6"), 3*Q142, IF(AND(C142="Pres.", D142="7 to 11"), 4*Q142, IF(AND(C142="Pres.", D142="12 to 17"), 5*Q142, IF(AND(C142="Pres.", D142="Exit Sign"), 20*Q142, IF(AND(C142="Pres.", D142="&gt; 18"), 6*Q142)))))))</f>
        <v>0</v>
      </c>
      <c r="AD142" s="181">
        <f>ProjectInput[[#This Row],[Retrofit Cost]]</f>
        <v>0</v>
      </c>
      <c r="AE142" s="181">
        <f>ProjectInput[[#This Row],[Retrofit Cost]]-ProjectInput[[#This Row],[Incentive ($)]]</f>
        <v>0</v>
      </c>
      <c r="AF142" s="182" t="str">
        <f>IFERROR(ProjectInput[[#This Row],[Net Project Cost ($)]]/ProjectInput[[#This Row],[Energy Cost Savings ($)]], "")</f>
        <v/>
      </c>
    </row>
    <row r="143" spans="2:32" s="175" customFormat="1" ht="40" customHeight="1">
      <c r="B143" s="213">
        <v>140</v>
      </c>
      <c r="C143" s="220"/>
      <c r="D143" s="219"/>
      <c r="E143" s="183"/>
      <c r="F143" s="167"/>
      <c r="G143" s="184"/>
      <c r="H143" s="167"/>
      <c r="I143" s="184"/>
      <c r="J1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3" s="183"/>
      <c r="L143" s="167"/>
      <c r="M143" s="184"/>
      <c r="N143" s="184"/>
      <c r="O143" s="184"/>
      <c r="P143" s="177" t="str">
        <f>IF(ProjectInput[[#This Row],[Existing Fixture Code]]=0, "",INDEX(Table7[WATT/ FIXT], MATCH(ProjectInput[[#This Row],[Existing Fixture Code]], Table7[FIXTURE CODE], 0)))</f>
        <v/>
      </c>
      <c r="Q143" s="183"/>
      <c r="R143" s="167"/>
      <c r="S143" s="184"/>
      <c r="T143" s="184"/>
      <c r="U143" s="184"/>
      <c r="V143" s="184"/>
      <c r="W143" s="167"/>
      <c r="X143" s="185"/>
      <c r="Y143" s="179" t="str">
        <f>IF(ProjectInput[[#This Row],[Proposed Fixture Code]]=0, "", INDEX(Table7[WATT/ FIXT], MATCH(ProjectInput[[#This Row],[Proposed Fixture Code]], Table7[FIXTURE CODE],0 )))</f>
        <v/>
      </c>
      <c r="Z143" s="180">
        <f>INDEX(ReviewCalcs[Incentive Total Energy Savings (kWh)], MATCH(ProjectInput[[#This Row],[Project Index]], ReviewCalcs[Project Index], 0))</f>
        <v>0</v>
      </c>
      <c r="AA143" s="172">
        <f>INDEX(ReviewCalcs[Incentive Total Demand Savings (kW)], MATCH(ProjectInput[[#This Row],[Project Index]], ReviewCalcs[Project Index], 0))</f>
        <v>0</v>
      </c>
      <c r="AB143" s="181">
        <f>ProjectInput[[#This Row],[Energy Savings (kWh)]]*Avg_KWh_Rate</f>
        <v>0</v>
      </c>
      <c r="AC143" s="173">
        <f>IF(C143="", 0, IF(C143="Cust.", INDEX(ReviewCalcs[Incentive ($)], MATCH(ProjectInput[[#This Row],[Project Index]], ReviewCalcs[Project Index], 0)), IF(AND(C143="Pres.", D143="1 to 6"), 3*Q143, IF(AND(C143="Pres.", D143="7 to 11"), 4*Q143, IF(AND(C143="Pres.", D143="12 to 17"), 5*Q143, IF(AND(C143="Pres.", D143="Exit Sign"), 20*Q143, IF(AND(C143="Pres.", D143="&gt; 18"), 6*Q143)))))))</f>
        <v>0</v>
      </c>
      <c r="AD143" s="181">
        <f>ProjectInput[[#This Row],[Retrofit Cost]]</f>
        <v>0</v>
      </c>
      <c r="AE143" s="181">
        <f>ProjectInput[[#This Row],[Retrofit Cost]]-ProjectInput[[#This Row],[Incentive ($)]]</f>
        <v>0</v>
      </c>
      <c r="AF143" s="182" t="str">
        <f>IFERROR(ProjectInput[[#This Row],[Net Project Cost ($)]]/ProjectInput[[#This Row],[Energy Cost Savings ($)]], "")</f>
        <v/>
      </c>
    </row>
    <row r="144" spans="2:32" s="175" customFormat="1" ht="40" customHeight="1">
      <c r="B144" s="213">
        <v>141</v>
      </c>
      <c r="C144" s="223"/>
      <c r="D144" s="224"/>
      <c r="E144" s="183"/>
      <c r="F144" s="167"/>
      <c r="G144" s="184"/>
      <c r="H144" s="167"/>
      <c r="I144" s="184"/>
      <c r="J1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4" s="183"/>
      <c r="L144" s="167"/>
      <c r="M144" s="184"/>
      <c r="N144" s="184"/>
      <c r="O144" s="184"/>
      <c r="P144" s="177" t="str">
        <f>IF(ProjectInput[[#This Row],[Existing Fixture Code]]=0, "",INDEX(Table7[WATT/ FIXT], MATCH(ProjectInput[[#This Row],[Existing Fixture Code]], Table7[FIXTURE CODE], 0)))</f>
        <v/>
      </c>
      <c r="Q144" s="183"/>
      <c r="R144" s="167"/>
      <c r="S144" s="184"/>
      <c r="T144" s="184"/>
      <c r="U144" s="184"/>
      <c r="V144" s="184"/>
      <c r="W144" s="167"/>
      <c r="X144" s="185"/>
      <c r="Y144" s="179" t="str">
        <f>IF(ProjectInput[[#This Row],[Proposed Fixture Code]]=0, "", INDEX(Table7[WATT/ FIXT], MATCH(ProjectInput[[#This Row],[Proposed Fixture Code]], Table7[FIXTURE CODE],0 )))</f>
        <v/>
      </c>
      <c r="Z144" s="180">
        <f>INDEX(ReviewCalcs[Incentive Total Energy Savings (kWh)], MATCH(ProjectInput[[#This Row],[Project Index]], ReviewCalcs[Project Index], 0))</f>
        <v>0</v>
      </c>
      <c r="AA144" s="172">
        <f>INDEX(ReviewCalcs[Incentive Total Demand Savings (kW)], MATCH(ProjectInput[[#This Row],[Project Index]], ReviewCalcs[Project Index], 0))</f>
        <v>0</v>
      </c>
      <c r="AB144" s="181">
        <f>ProjectInput[[#This Row],[Energy Savings (kWh)]]*Avg_KWh_Rate</f>
        <v>0</v>
      </c>
      <c r="AC144" s="173">
        <f>IF(C144="", 0, IF(C144="Cust.", INDEX(ReviewCalcs[Incentive ($)], MATCH(ProjectInput[[#This Row],[Project Index]], ReviewCalcs[Project Index], 0)), IF(AND(C144="Pres.", D144="1 to 6"), 3*Q144, IF(AND(C144="Pres.", D144="7 to 11"), 4*Q144, IF(AND(C144="Pres.", D144="12 to 17"), 5*Q144, IF(AND(C144="Pres.", D144="Exit Sign"), 20*Q144, IF(AND(C144="Pres.", D144="&gt; 18"), 6*Q144)))))))</f>
        <v>0</v>
      </c>
      <c r="AD144" s="181">
        <f>ProjectInput[[#This Row],[Retrofit Cost]]</f>
        <v>0</v>
      </c>
      <c r="AE144" s="181">
        <f>ProjectInput[[#This Row],[Retrofit Cost]]-ProjectInput[[#This Row],[Incentive ($)]]</f>
        <v>0</v>
      </c>
      <c r="AF144" s="182" t="str">
        <f>IFERROR(ProjectInput[[#This Row],[Net Project Cost ($)]]/ProjectInput[[#This Row],[Energy Cost Savings ($)]], "")</f>
        <v/>
      </c>
    </row>
    <row r="145" spans="2:32" s="175" customFormat="1" ht="40" customHeight="1">
      <c r="B145" s="213">
        <v>142</v>
      </c>
      <c r="C145" s="220"/>
      <c r="D145" s="219"/>
      <c r="E145" s="183"/>
      <c r="F145" s="167"/>
      <c r="G145" s="184"/>
      <c r="H145" s="167"/>
      <c r="I145" s="184"/>
      <c r="J1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5" s="183"/>
      <c r="L145" s="167"/>
      <c r="M145" s="184"/>
      <c r="N145" s="184"/>
      <c r="O145" s="184"/>
      <c r="P145" s="177" t="str">
        <f>IF(ProjectInput[[#This Row],[Existing Fixture Code]]=0, "",INDEX(Table7[WATT/ FIXT], MATCH(ProjectInput[[#This Row],[Existing Fixture Code]], Table7[FIXTURE CODE], 0)))</f>
        <v/>
      </c>
      <c r="Q145" s="183"/>
      <c r="R145" s="167"/>
      <c r="S145" s="184"/>
      <c r="T145" s="184"/>
      <c r="U145" s="184"/>
      <c r="V145" s="184"/>
      <c r="W145" s="167"/>
      <c r="X145" s="185"/>
      <c r="Y145" s="179" t="str">
        <f>IF(ProjectInput[[#This Row],[Proposed Fixture Code]]=0, "", INDEX(Table7[WATT/ FIXT], MATCH(ProjectInput[[#This Row],[Proposed Fixture Code]], Table7[FIXTURE CODE],0 )))</f>
        <v/>
      </c>
      <c r="Z145" s="180">
        <f>INDEX(ReviewCalcs[Incentive Total Energy Savings (kWh)], MATCH(ProjectInput[[#This Row],[Project Index]], ReviewCalcs[Project Index], 0))</f>
        <v>0</v>
      </c>
      <c r="AA145" s="172">
        <f>INDEX(ReviewCalcs[Incentive Total Demand Savings (kW)], MATCH(ProjectInput[[#This Row],[Project Index]], ReviewCalcs[Project Index], 0))</f>
        <v>0</v>
      </c>
      <c r="AB145" s="181">
        <f>ProjectInput[[#This Row],[Energy Savings (kWh)]]*Avg_KWh_Rate</f>
        <v>0</v>
      </c>
      <c r="AC145" s="173">
        <f>IF(C145="", 0, IF(C145="Cust.", INDEX(ReviewCalcs[Incentive ($)], MATCH(ProjectInput[[#This Row],[Project Index]], ReviewCalcs[Project Index], 0)), IF(AND(C145="Pres.", D145="1 to 6"), 3*Q145, IF(AND(C145="Pres.", D145="7 to 11"), 4*Q145, IF(AND(C145="Pres.", D145="12 to 17"), 5*Q145, IF(AND(C145="Pres.", D145="Exit Sign"), 20*Q145, IF(AND(C145="Pres.", D145="&gt; 18"), 6*Q145)))))))</f>
        <v>0</v>
      </c>
      <c r="AD145" s="181">
        <f>ProjectInput[[#This Row],[Retrofit Cost]]</f>
        <v>0</v>
      </c>
      <c r="AE145" s="181">
        <f>ProjectInput[[#This Row],[Retrofit Cost]]-ProjectInput[[#This Row],[Incentive ($)]]</f>
        <v>0</v>
      </c>
      <c r="AF145" s="182" t="str">
        <f>IFERROR(ProjectInput[[#This Row],[Net Project Cost ($)]]/ProjectInput[[#This Row],[Energy Cost Savings ($)]], "")</f>
        <v/>
      </c>
    </row>
    <row r="146" spans="2:32" s="175" customFormat="1" ht="40" customHeight="1">
      <c r="B146" s="213">
        <v>143</v>
      </c>
      <c r="C146" s="223"/>
      <c r="D146" s="224"/>
      <c r="E146" s="183"/>
      <c r="F146" s="167"/>
      <c r="G146" s="184"/>
      <c r="H146" s="167"/>
      <c r="I146" s="184"/>
      <c r="J1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6" s="183"/>
      <c r="L146" s="167"/>
      <c r="M146" s="184"/>
      <c r="N146" s="184"/>
      <c r="O146" s="184"/>
      <c r="P146" s="177" t="str">
        <f>IF(ProjectInput[[#This Row],[Existing Fixture Code]]=0, "",INDEX(Table7[WATT/ FIXT], MATCH(ProjectInput[[#This Row],[Existing Fixture Code]], Table7[FIXTURE CODE], 0)))</f>
        <v/>
      </c>
      <c r="Q146" s="183"/>
      <c r="R146" s="167"/>
      <c r="S146" s="184"/>
      <c r="T146" s="184"/>
      <c r="U146" s="184"/>
      <c r="V146" s="184"/>
      <c r="W146" s="167"/>
      <c r="X146" s="185"/>
      <c r="Y146" s="179" t="str">
        <f>IF(ProjectInput[[#This Row],[Proposed Fixture Code]]=0, "", INDEX(Table7[WATT/ FIXT], MATCH(ProjectInput[[#This Row],[Proposed Fixture Code]], Table7[FIXTURE CODE],0 )))</f>
        <v/>
      </c>
      <c r="Z146" s="180">
        <f>INDEX(ReviewCalcs[Incentive Total Energy Savings (kWh)], MATCH(ProjectInput[[#This Row],[Project Index]], ReviewCalcs[Project Index], 0))</f>
        <v>0</v>
      </c>
      <c r="AA146" s="172">
        <f>INDEX(ReviewCalcs[Incentive Total Demand Savings (kW)], MATCH(ProjectInput[[#This Row],[Project Index]], ReviewCalcs[Project Index], 0))</f>
        <v>0</v>
      </c>
      <c r="AB146" s="181">
        <f>ProjectInput[[#This Row],[Energy Savings (kWh)]]*Avg_KWh_Rate</f>
        <v>0</v>
      </c>
      <c r="AC146" s="173">
        <f>IF(C146="", 0, IF(C146="Cust.", INDEX(ReviewCalcs[Incentive ($)], MATCH(ProjectInput[[#This Row],[Project Index]], ReviewCalcs[Project Index], 0)), IF(AND(C146="Pres.", D146="1 to 6"), 3*Q146, IF(AND(C146="Pres.", D146="7 to 11"), 4*Q146, IF(AND(C146="Pres.", D146="12 to 17"), 5*Q146, IF(AND(C146="Pres.", D146="Exit Sign"), 20*Q146, IF(AND(C146="Pres.", D146="&gt; 18"), 6*Q146)))))))</f>
        <v>0</v>
      </c>
      <c r="AD146" s="181">
        <f>ProjectInput[[#This Row],[Retrofit Cost]]</f>
        <v>0</v>
      </c>
      <c r="AE146" s="181">
        <f>ProjectInput[[#This Row],[Retrofit Cost]]-ProjectInput[[#This Row],[Incentive ($)]]</f>
        <v>0</v>
      </c>
      <c r="AF146" s="182" t="str">
        <f>IFERROR(ProjectInput[[#This Row],[Net Project Cost ($)]]/ProjectInput[[#This Row],[Energy Cost Savings ($)]], "")</f>
        <v/>
      </c>
    </row>
    <row r="147" spans="2:32" s="175" customFormat="1" ht="40" customHeight="1">
      <c r="B147" s="213">
        <v>144</v>
      </c>
      <c r="C147" s="220"/>
      <c r="D147" s="219"/>
      <c r="E147" s="183"/>
      <c r="F147" s="167"/>
      <c r="G147" s="184"/>
      <c r="H147" s="167"/>
      <c r="I147" s="184"/>
      <c r="J1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7" s="183"/>
      <c r="L147" s="167"/>
      <c r="M147" s="184"/>
      <c r="N147" s="184"/>
      <c r="O147" s="184"/>
      <c r="P147" s="177" t="str">
        <f>IF(ProjectInput[[#This Row],[Existing Fixture Code]]=0, "",INDEX(Table7[WATT/ FIXT], MATCH(ProjectInput[[#This Row],[Existing Fixture Code]], Table7[FIXTURE CODE], 0)))</f>
        <v/>
      </c>
      <c r="Q147" s="183"/>
      <c r="R147" s="167"/>
      <c r="S147" s="184"/>
      <c r="T147" s="184"/>
      <c r="U147" s="184"/>
      <c r="V147" s="184"/>
      <c r="W147" s="167"/>
      <c r="X147" s="185"/>
      <c r="Y147" s="179" t="str">
        <f>IF(ProjectInput[[#This Row],[Proposed Fixture Code]]=0, "", INDEX(Table7[WATT/ FIXT], MATCH(ProjectInput[[#This Row],[Proposed Fixture Code]], Table7[FIXTURE CODE],0 )))</f>
        <v/>
      </c>
      <c r="Z147" s="180">
        <f>INDEX(ReviewCalcs[Incentive Total Energy Savings (kWh)], MATCH(ProjectInput[[#This Row],[Project Index]], ReviewCalcs[Project Index], 0))</f>
        <v>0</v>
      </c>
      <c r="AA147" s="172">
        <f>INDEX(ReviewCalcs[Incentive Total Demand Savings (kW)], MATCH(ProjectInput[[#This Row],[Project Index]], ReviewCalcs[Project Index], 0))</f>
        <v>0</v>
      </c>
      <c r="AB147" s="181">
        <f>ProjectInput[[#This Row],[Energy Savings (kWh)]]*Avg_KWh_Rate</f>
        <v>0</v>
      </c>
      <c r="AC147" s="173">
        <f>IF(C147="", 0, IF(C147="Cust.", INDEX(ReviewCalcs[Incentive ($)], MATCH(ProjectInput[[#This Row],[Project Index]], ReviewCalcs[Project Index], 0)), IF(AND(C147="Pres.", D147="1 to 6"), 3*Q147, IF(AND(C147="Pres.", D147="7 to 11"), 4*Q147, IF(AND(C147="Pres.", D147="12 to 17"), 5*Q147, IF(AND(C147="Pres.", D147="Exit Sign"), 20*Q147, IF(AND(C147="Pres.", D147="&gt; 18"), 6*Q147)))))))</f>
        <v>0</v>
      </c>
      <c r="AD147" s="181">
        <f>ProjectInput[[#This Row],[Retrofit Cost]]</f>
        <v>0</v>
      </c>
      <c r="AE147" s="181">
        <f>ProjectInput[[#This Row],[Retrofit Cost]]-ProjectInput[[#This Row],[Incentive ($)]]</f>
        <v>0</v>
      </c>
      <c r="AF147" s="182" t="str">
        <f>IFERROR(ProjectInput[[#This Row],[Net Project Cost ($)]]/ProjectInput[[#This Row],[Energy Cost Savings ($)]], "")</f>
        <v/>
      </c>
    </row>
    <row r="148" spans="2:32" s="175" customFormat="1" ht="40" customHeight="1">
      <c r="B148" s="213">
        <v>145</v>
      </c>
      <c r="C148" s="223"/>
      <c r="D148" s="224"/>
      <c r="E148" s="183"/>
      <c r="F148" s="167"/>
      <c r="G148" s="184"/>
      <c r="H148" s="167"/>
      <c r="I148" s="184"/>
      <c r="J1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8" s="183"/>
      <c r="L148" s="167"/>
      <c r="M148" s="184"/>
      <c r="N148" s="184"/>
      <c r="O148" s="184"/>
      <c r="P148" s="177" t="str">
        <f>IF(ProjectInput[[#This Row],[Existing Fixture Code]]=0, "",INDEX(Table7[WATT/ FIXT], MATCH(ProjectInput[[#This Row],[Existing Fixture Code]], Table7[FIXTURE CODE], 0)))</f>
        <v/>
      </c>
      <c r="Q148" s="183"/>
      <c r="R148" s="167"/>
      <c r="S148" s="184"/>
      <c r="T148" s="184"/>
      <c r="U148" s="184"/>
      <c r="V148" s="184"/>
      <c r="W148" s="167"/>
      <c r="X148" s="185"/>
      <c r="Y148" s="179" t="str">
        <f>IF(ProjectInput[[#This Row],[Proposed Fixture Code]]=0, "", INDEX(Table7[WATT/ FIXT], MATCH(ProjectInput[[#This Row],[Proposed Fixture Code]], Table7[FIXTURE CODE],0 )))</f>
        <v/>
      </c>
      <c r="Z148" s="180">
        <f>INDEX(ReviewCalcs[Incentive Total Energy Savings (kWh)], MATCH(ProjectInput[[#This Row],[Project Index]], ReviewCalcs[Project Index], 0))</f>
        <v>0</v>
      </c>
      <c r="AA148" s="172">
        <f>INDEX(ReviewCalcs[Incentive Total Demand Savings (kW)], MATCH(ProjectInput[[#This Row],[Project Index]], ReviewCalcs[Project Index], 0))</f>
        <v>0</v>
      </c>
      <c r="AB148" s="181">
        <f>ProjectInput[[#This Row],[Energy Savings (kWh)]]*Avg_KWh_Rate</f>
        <v>0</v>
      </c>
      <c r="AC148" s="173">
        <f>IF(C148="", 0, IF(C148="Cust.", INDEX(ReviewCalcs[Incentive ($)], MATCH(ProjectInput[[#This Row],[Project Index]], ReviewCalcs[Project Index], 0)), IF(AND(C148="Pres.", D148="1 to 6"), 3*Q148, IF(AND(C148="Pres.", D148="7 to 11"), 4*Q148, IF(AND(C148="Pres.", D148="12 to 17"), 5*Q148, IF(AND(C148="Pres.", D148="Exit Sign"), 20*Q148, IF(AND(C148="Pres.", D148="&gt; 18"), 6*Q148)))))))</f>
        <v>0</v>
      </c>
      <c r="AD148" s="181">
        <f>ProjectInput[[#This Row],[Retrofit Cost]]</f>
        <v>0</v>
      </c>
      <c r="AE148" s="181">
        <f>ProjectInput[[#This Row],[Retrofit Cost]]-ProjectInput[[#This Row],[Incentive ($)]]</f>
        <v>0</v>
      </c>
      <c r="AF148" s="182" t="str">
        <f>IFERROR(ProjectInput[[#This Row],[Net Project Cost ($)]]/ProjectInput[[#This Row],[Energy Cost Savings ($)]], "")</f>
        <v/>
      </c>
    </row>
    <row r="149" spans="2:32" s="175" customFormat="1" ht="40" customHeight="1">
      <c r="B149" s="213">
        <v>146</v>
      </c>
      <c r="C149" s="220"/>
      <c r="D149" s="219"/>
      <c r="E149" s="183"/>
      <c r="F149" s="167"/>
      <c r="G149" s="184"/>
      <c r="H149" s="167"/>
      <c r="I149" s="184"/>
      <c r="J1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49" s="183"/>
      <c r="L149" s="167"/>
      <c r="M149" s="184"/>
      <c r="N149" s="184"/>
      <c r="O149" s="184"/>
      <c r="P149" s="177" t="str">
        <f>IF(ProjectInput[[#This Row],[Existing Fixture Code]]=0, "",INDEX(Table7[WATT/ FIXT], MATCH(ProjectInput[[#This Row],[Existing Fixture Code]], Table7[FIXTURE CODE], 0)))</f>
        <v/>
      </c>
      <c r="Q149" s="183"/>
      <c r="R149" s="167"/>
      <c r="S149" s="184"/>
      <c r="T149" s="184"/>
      <c r="U149" s="184"/>
      <c r="V149" s="184"/>
      <c r="W149" s="167"/>
      <c r="X149" s="185"/>
      <c r="Y149" s="179" t="str">
        <f>IF(ProjectInput[[#This Row],[Proposed Fixture Code]]=0, "", INDEX(Table7[WATT/ FIXT], MATCH(ProjectInput[[#This Row],[Proposed Fixture Code]], Table7[FIXTURE CODE],0 )))</f>
        <v/>
      </c>
      <c r="Z149" s="180">
        <f>INDEX(ReviewCalcs[Incentive Total Energy Savings (kWh)], MATCH(ProjectInput[[#This Row],[Project Index]], ReviewCalcs[Project Index], 0))</f>
        <v>0</v>
      </c>
      <c r="AA149" s="172">
        <f>INDEX(ReviewCalcs[Incentive Total Demand Savings (kW)], MATCH(ProjectInput[[#This Row],[Project Index]], ReviewCalcs[Project Index], 0))</f>
        <v>0</v>
      </c>
      <c r="AB149" s="181">
        <f>ProjectInput[[#This Row],[Energy Savings (kWh)]]*Avg_KWh_Rate</f>
        <v>0</v>
      </c>
      <c r="AC149" s="173">
        <f>IF(C149="", 0, IF(C149="Cust.", INDEX(ReviewCalcs[Incentive ($)], MATCH(ProjectInput[[#This Row],[Project Index]], ReviewCalcs[Project Index], 0)), IF(AND(C149="Pres.", D149="1 to 6"), 3*Q149, IF(AND(C149="Pres.", D149="7 to 11"), 4*Q149, IF(AND(C149="Pres.", D149="12 to 17"), 5*Q149, IF(AND(C149="Pres.", D149="Exit Sign"), 20*Q149, IF(AND(C149="Pres.", D149="&gt; 18"), 6*Q149)))))))</f>
        <v>0</v>
      </c>
      <c r="AD149" s="181">
        <f>ProjectInput[[#This Row],[Retrofit Cost]]</f>
        <v>0</v>
      </c>
      <c r="AE149" s="181">
        <f>ProjectInput[[#This Row],[Retrofit Cost]]-ProjectInput[[#This Row],[Incentive ($)]]</f>
        <v>0</v>
      </c>
      <c r="AF149" s="182" t="str">
        <f>IFERROR(ProjectInput[[#This Row],[Net Project Cost ($)]]/ProjectInput[[#This Row],[Energy Cost Savings ($)]], "")</f>
        <v/>
      </c>
    </row>
    <row r="150" spans="2:32" s="175" customFormat="1" ht="40" customHeight="1">
      <c r="B150" s="213">
        <v>147</v>
      </c>
      <c r="C150" s="223"/>
      <c r="D150" s="224"/>
      <c r="E150" s="183"/>
      <c r="F150" s="167"/>
      <c r="G150" s="184"/>
      <c r="H150" s="167"/>
      <c r="I150" s="184"/>
      <c r="J1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0" s="183"/>
      <c r="L150" s="167"/>
      <c r="M150" s="184"/>
      <c r="N150" s="184"/>
      <c r="O150" s="184"/>
      <c r="P150" s="177" t="str">
        <f>IF(ProjectInput[[#This Row],[Existing Fixture Code]]=0, "",INDEX(Table7[WATT/ FIXT], MATCH(ProjectInput[[#This Row],[Existing Fixture Code]], Table7[FIXTURE CODE], 0)))</f>
        <v/>
      </c>
      <c r="Q150" s="183"/>
      <c r="R150" s="167"/>
      <c r="S150" s="184"/>
      <c r="T150" s="184"/>
      <c r="U150" s="184"/>
      <c r="V150" s="184"/>
      <c r="W150" s="167"/>
      <c r="X150" s="185"/>
      <c r="Y150" s="179" t="str">
        <f>IF(ProjectInput[[#This Row],[Proposed Fixture Code]]=0, "", INDEX(Table7[WATT/ FIXT], MATCH(ProjectInput[[#This Row],[Proposed Fixture Code]], Table7[FIXTURE CODE],0 )))</f>
        <v/>
      </c>
      <c r="Z150" s="180">
        <f>INDEX(ReviewCalcs[Incentive Total Energy Savings (kWh)], MATCH(ProjectInput[[#This Row],[Project Index]], ReviewCalcs[Project Index], 0))</f>
        <v>0</v>
      </c>
      <c r="AA150" s="172">
        <f>INDEX(ReviewCalcs[Incentive Total Demand Savings (kW)], MATCH(ProjectInput[[#This Row],[Project Index]], ReviewCalcs[Project Index], 0))</f>
        <v>0</v>
      </c>
      <c r="AB150" s="181">
        <f>ProjectInput[[#This Row],[Energy Savings (kWh)]]*Avg_KWh_Rate</f>
        <v>0</v>
      </c>
      <c r="AC150" s="173">
        <f>IF(C150="", 0, IF(C150="Cust.", INDEX(ReviewCalcs[Incentive ($)], MATCH(ProjectInput[[#This Row],[Project Index]], ReviewCalcs[Project Index], 0)), IF(AND(C150="Pres.", D150="1 to 6"), 3*Q150, IF(AND(C150="Pres.", D150="7 to 11"), 4*Q150, IF(AND(C150="Pres.", D150="12 to 17"), 5*Q150, IF(AND(C150="Pres.", D150="Exit Sign"), 20*Q150, IF(AND(C150="Pres.", D150="&gt; 18"), 6*Q150)))))))</f>
        <v>0</v>
      </c>
      <c r="AD150" s="181">
        <f>ProjectInput[[#This Row],[Retrofit Cost]]</f>
        <v>0</v>
      </c>
      <c r="AE150" s="181">
        <f>ProjectInput[[#This Row],[Retrofit Cost]]-ProjectInput[[#This Row],[Incentive ($)]]</f>
        <v>0</v>
      </c>
      <c r="AF150" s="182" t="str">
        <f>IFERROR(ProjectInput[[#This Row],[Net Project Cost ($)]]/ProjectInput[[#This Row],[Energy Cost Savings ($)]], "")</f>
        <v/>
      </c>
    </row>
    <row r="151" spans="2:32" s="175" customFormat="1" ht="40" customHeight="1">
      <c r="B151" s="213">
        <v>148</v>
      </c>
      <c r="C151" s="220"/>
      <c r="D151" s="219"/>
      <c r="E151" s="183"/>
      <c r="F151" s="167"/>
      <c r="G151" s="184"/>
      <c r="H151" s="167"/>
      <c r="I151" s="184"/>
      <c r="J1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1" s="183"/>
      <c r="L151" s="167"/>
      <c r="M151" s="184"/>
      <c r="N151" s="184"/>
      <c r="O151" s="184"/>
      <c r="P151" s="177" t="str">
        <f>IF(ProjectInput[[#This Row],[Existing Fixture Code]]=0, "",INDEX(Table7[WATT/ FIXT], MATCH(ProjectInput[[#This Row],[Existing Fixture Code]], Table7[FIXTURE CODE], 0)))</f>
        <v/>
      </c>
      <c r="Q151" s="183"/>
      <c r="R151" s="167"/>
      <c r="S151" s="184"/>
      <c r="T151" s="184"/>
      <c r="U151" s="184"/>
      <c r="V151" s="184"/>
      <c r="W151" s="167"/>
      <c r="X151" s="185"/>
      <c r="Y151" s="179" t="str">
        <f>IF(ProjectInput[[#This Row],[Proposed Fixture Code]]=0, "", INDEX(Table7[WATT/ FIXT], MATCH(ProjectInput[[#This Row],[Proposed Fixture Code]], Table7[FIXTURE CODE],0 )))</f>
        <v/>
      </c>
      <c r="Z151" s="180">
        <f>INDEX(ReviewCalcs[Incentive Total Energy Savings (kWh)], MATCH(ProjectInput[[#This Row],[Project Index]], ReviewCalcs[Project Index], 0))</f>
        <v>0</v>
      </c>
      <c r="AA151" s="172">
        <f>INDEX(ReviewCalcs[Incentive Total Demand Savings (kW)], MATCH(ProjectInput[[#This Row],[Project Index]], ReviewCalcs[Project Index], 0))</f>
        <v>0</v>
      </c>
      <c r="AB151" s="181">
        <f>ProjectInput[[#This Row],[Energy Savings (kWh)]]*Avg_KWh_Rate</f>
        <v>0</v>
      </c>
      <c r="AC151" s="173">
        <f>IF(C151="", 0, IF(C151="Cust.", INDEX(ReviewCalcs[Incentive ($)], MATCH(ProjectInput[[#This Row],[Project Index]], ReviewCalcs[Project Index], 0)), IF(AND(C151="Pres.", D151="1 to 6"), 3*Q151, IF(AND(C151="Pres.", D151="7 to 11"), 4*Q151, IF(AND(C151="Pres.", D151="12 to 17"), 5*Q151, IF(AND(C151="Pres.", D151="Exit Sign"), 20*Q151, IF(AND(C151="Pres.", D151="&gt; 18"), 6*Q151)))))))</f>
        <v>0</v>
      </c>
      <c r="AD151" s="181">
        <f>ProjectInput[[#This Row],[Retrofit Cost]]</f>
        <v>0</v>
      </c>
      <c r="AE151" s="181">
        <f>ProjectInput[[#This Row],[Retrofit Cost]]-ProjectInput[[#This Row],[Incentive ($)]]</f>
        <v>0</v>
      </c>
      <c r="AF151" s="182" t="str">
        <f>IFERROR(ProjectInput[[#This Row],[Net Project Cost ($)]]/ProjectInput[[#This Row],[Energy Cost Savings ($)]], "")</f>
        <v/>
      </c>
    </row>
    <row r="152" spans="2:32" s="175" customFormat="1" ht="40" customHeight="1">
      <c r="B152" s="213">
        <v>149</v>
      </c>
      <c r="C152" s="223"/>
      <c r="D152" s="224"/>
      <c r="E152" s="183"/>
      <c r="F152" s="167"/>
      <c r="G152" s="184"/>
      <c r="H152" s="167"/>
      <c r="I152" s="184"/>
      <c r="J1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2" s="183"/>
      <c r="L152" s="167"/>
      <c r="M152" s="184"/>
      <c r="N152" s="184"/>
      <c r="O152" s="184"/>
      <c r="P152" s="177" t="str">
        <f>IF(ProjectInput[[#This Row],[Existing Fixture Code]]=0, "",INDEX(Table7[WATT/ FIXT], MATCH(ProjectInput[[#This Row],[Existing Fixture Code]], Table7[FIXTURE CODE], 0)))</f>
        <v/>
      </c>
      <c r="Q152" s="183"/>
      <c r="R152" s="167"/>
      <c r="S152" s="184"/>
      <c r="T152" s="184"/>
      <c r="U152" s="184"/>
      <c r="V152" s="184"/>
      <c r="W152" s="167"/>
      <c r="X152" s="185"/>
      <c r="Y152" s="179" t="str">
        <f>IF(ProjectInput[[#This Row],[Proposed Fixture Code]]=0, "", INDEX(Table7[WATT/ FIXT], MATCH(ProjectInput[[#This Row],[Proposed Fixture Code]], Table7[FIXTURE CODE],0 )))</f>
        <v/>
      </c>
      <c r="Z152" s="180">
        <f>INDEX(ReviewCalcs[Incentive Total Energy Savings (kWh)], MATCH(ProjectInput[[#This Row],[Project Index]], ReviewCalcs[Project Index], 0))</f>
        <v>0</v>
      </c>
      <c r="AA152" s="172">
        <f>INDEX(ReviewCalcs[Incentive Total Demand Savings (kW)], MATCH(ProjectInput[[#This Row],[Project Index]], ReviewCalcs[Project Index], 0))</f>
        <v>0</v>
      </c>
      <c r="AB152" s="181">
        <f>ProjectInput[[#This Row],[Energy Savings (kWh)]]*Avg_KWh_Rate</f>
        <v>0</v>
      </c>
      <c r="AC152" s="173">
        <f>IF(C152="", 0, IF(C152="Cust.", INDEX(ReviewCalcs[Incentive ($)], MATCH(ProjectInput[[#This Row],[Project Index]], ReviewCalcs[Project Index], 0)), IF(AND(C152="Pres.", D152="1 to 6"), 3*Q152, IF(AND(C152="Pres.", D152="7 to 11"), 4*Q152, IF(AND(C152="Pres.", D152="12 to 17"), 5*Q152, IF(AND(C152="Pres.", D152="Exit Sign"), 20*Q152, IF(AND(C152="Pres.", D152="&gt; 18"), 6*Q152)))))))</f>
        <v>0</v>
      </c>
      <c r="AD152" s="181">
        <f>ProjectInput[[#This Row],[Retrofit Cost]]</f>
        <v>0</v>
      </c>
      <c r="AE152" s="181">
        <f>ProjectInput[[#This Row],[Retrofit Cost]]-ProjectInput[[#This Row],[Incentive ($)]]</f>
        <v>0</v>
      </c>
      <c r="AF152" s="182" t="str">
        <f>IFERROR(ProjectInput[[#This Row],[Net Project Cost ($)]]/ProjectInput[[#This Row],[Energy Cost Savings ($)]], "")</f>
        <v/>
      </c>
    </row>
    <row r="153" spans="2:32" s="175" customFormat="1" ht="40" customHeight="1">
      <c r="B153" s="213">
        <v>150</v>
      </c>
      <c r="C153" s="220"/>
      <c r="D153" s="219"/>
      <c r="E153" s="183"/>
      <c r="F153" s="167"/>
      <c r="G153" s="184"/>
      <c r="H153" s="167"/>
      <c r="I153" s="184"/>
      <c r="J1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3" s="183"/>
      <c r="L153" s="167"/>
      <c r="M153" s="184"/>
      <c r="N153" s="184"/>
      <c r="O153" s="184"/>
      <c r="P153" s="177" t="str">
        <f>IF(ProjectInput[[#This Row],[Existing Fixture Code]]=0, "",INDEX(Table7[WATT/ FIXT], MATCH(ProjectInput[[#This Row],[Existing Fixture Code]], Table7[FIXTURE CODE], 0)))</f>
        <v/>
      </c>
      <c r="Q153" s="183"/>
      <c r="R153" s="167"/>
      <c r="S153" s="184"/>
      <c r="T153" s="184"/>
      <c r="U153" s="184"/>
      <c r="V153" s="184"/>
      <c r="W153" s="167"/>
      <c r="X153" s="185"/>
      <c r="Y153" s="179" t="str">
        <f>IF(ProjectInput[[#This Row],[Proposed Fixture Code]]=0, "", INDEX(Table7[WATT/ FIXT], MATCH(ProjectInput[[#This Row],[Proposed Fixture Code]], Table7[FIXTURE CODE],0 )))</f>
        <v/>
      </c>
      <c r="Z153" s="180">
        <f>INDEX(ReviewCalcs[Incentive Total Energy Savings (kWh)], MATCH(ProjectInput[[#This Row],[Project Index]], ReviewCalcs[Project Index], 0))</f>
        <v>0</v>
      </c>
      <c r="AA153" s="172">
        <f>INDEX(ReviewCalcs[Incentive Total Demand Savings (kW)], MATCH(ProjectInput[[#This Row],[Project Index]], ReviewCalcs[Project Index], 0))</f>
        <v>0</v>
      </c>
      <c r="AB153" s="181">
        <f>ProjectInput[[#This Row],[Energy Savings (kWh)]]*Avg_KWh_Rate</f>
        <v>0</v>
      </c>
      <c r="AC153" s="173">
        <f>IF(C153="", 0, IF(C153="Cust.", INDEX(ReviewCalcs[Incentive ($)], MATCH(ProjectInput[[#This Row],[Project Index]], ReviewCalcs[Project Index], 0)), IF(AND(C153="Pres.", D153="1 to 6"), 3*Q153, IF(AND(C153="Pres.", D153="7 to 11"), 4*Q153, IF(AND(C153="Pres.", D153="12 to 17"), 5*Q153, IF(AND(C153="Pres.", D153="Exit Sign"), 20*Q153, IF(AND(C153="Pres.", D153="&gt; 18"), 6*Q153)))))))</f>
        <v>0</v>
      </c>
      <c r="AD153" s="181">
        <f>ProjectInput[[#This Row],[Retrofit Cost]]</f>
        <v>0</v>
      </c>
      <c r="AE153" s="181">
        <f>ProjectInput[[#This Row],[Retrofit Cost]]-ProjectInput[[#This Row],[Incentive ($)]]</f>
        <v>0</v>
      </c>
      <c r="AF153" s="182" t="str">
        <f>IFERROR(ProjectInput[[#This Row],[Net Project Cost ($)]]/ProjectInput[[#This Row],[Energy Cost Savings ($)]], "")</f>
        <v/>
      </c>
    </row>
    <row r="154" spans="2:32" s="175" customFormat="1" ht="40" customHeight="1">
      <c r="B154" s="213">
        <v>151</v>
      </c>
      <c r="C154" s="223"/>
      <c r="D154" s="224"/>
      <c r="E154" s="183"/>
      <c r="F154" s="167"/>
      <c r="G154" s="184"/>
      <c r="H154" s="167"/>
      <c r="I154" s="184"/>
      <c r="J1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4" s="183"/>
      <c r="L154" s="167"/>
      <c r="M154" s="184"/>
      <c r="N154" s="184"/>
      <c r="O154" s="184"/>
      <c r="P154" s="177" t="str">
        <f>IF(ProjectInput[[#This Row],[Existing Fixture Code]]=0, "",INDEX(Table7[WATT/ FIXT], MATCH(ProjectInput[[#This Row],[Existing Fixture Code]], Table7[FIXTURE CODE], 0)))</f>
        <v/>
      </c>
      <c r="Q154" s="183"/>
      <c r="R154" s="167"/>
      <c r="S154" s="184"/>
      <c r="T154" s="184"/>
      <c r="U154" s="184"/>
      <c r="V154" s="184"/>
      <c r="W154" s="167"/>
      <c r="X154" s="185"/>
      <c r="Y154" s="179" t="str">
        <f>IF(ProjectInput[[#This Row],[Proposed Fixture Code]]=0, "", INDEX(Table7[WATT/ FIXT], MATCH(ProjectInput[[#This Row],[Proposed Fixture Code]], Table7[FIXTURE CODE],0 )))</f>
        <v/>
      </c>
      <c r="Z154" s="180">
        <f>INDEX(ReviewCalcs[Incentive Total Energy Savings (kWh)], MATCH(ProjectInput[[#This Row],[Project Index]], ReviewCalcs[Project Index], 0))</f>
        <v>0</v>
      </c>
      <c r="AA154" s="172">
        <f>INDEX(ReviewCalcs[Incentive Total Demand Savings (kW)], MATCH(ProjectInput[[#This Row],[Project Index]], ReviewCalcs[Project Index], 0))</f>
        <v>0</v>
      </c>
      <c r="AB154" s="181">
        <f>ProjectInput[[#This Row],[Energy Savings (kWh)]]*Avg_KWh_Rate</f>
        <v>0</v>
      </c>
      <c r="AC154" s="173">
        <f>IF(C154="", 0, IF(C154="Cust.", INDEX(ReviewCalcs[Incentive ($)], MATCH(ProjectInput[[#This Row],[Project Index]], ReviewCalcs[Project Index], 0)), IF(AND(C154="Pres.", D154="1 to 6"), 3*Q154, IF(AND(C154="Pres.", D154="7 to 11"), 4*Q154, IF(AND(C154="Pres.", D154="12 to 17"), 5*Q154, IF(AND(C154="Pres.", D154="Exit Sign"), 20*Q154, IF(AND(C154="Pres.", D154="&gt; 18"), 6*Q154)))))))</f>
        <v>0</v>
      </c>
      <c r="AD154" s="181">
        <f>ProjectInput[[#This Row],[Retrofit Cost]]</f>
        <v>0</v>
      </c>
      <c r="AE154" s="181">
        <f>ProjectInput[[#This Row],[Retrofit Cost]]-ProjectInput[[#This Row],[Incentive ($)]]</f>
        <v>0</v>
      </c>
      <c r="AF154" s="182" t="str">
        <f>IFERROR(ProjectInput[[#This Row],[Net Project Cost ($)]]/ProjectInput[[#This Row],[Energy Cost Savings ($)]], "")</f>
        <v/>
      </c>
    </row>
    <row r="155" spans="2:32" s="175" customFormat="1" ht="40" customHeight="1">
      <c r="B155" s="213">
        <v>152</v>
      </c>
      <c r="C155" s="220"/>
      <c r="D155" s="219"/>
      <c r="E155" s="183"/>
      <c r="F155" s="167"/>
      <c r="G155" s="184"/>
      <c r="H155" s="167"/>
      <c r="I155" s="184"/>
      <c r="J1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5" s="183"/>
      <c r="L155" s="167"/>
      <c r="M155" s="184"/>
      <c r="N155" s="184"/>
      <c r="O155" s="184"/>
      <c r="P155" s="177" t="str">
        <f>IF(ProjectInput[[#This Row],[Existing Fixture Code]]=0, "",INDEX(Table7[WATT/ FIXT], MATCH(ProjectInput[[#This Row],[Existing Fixture Code]], Table7[FIXTURE CODE], 0)))</f>
        <v/>
      </c>
      <c r="Q155" s="183"/>
      <c r="R155" s="167"/>
      <c r="S155" s="184"/>
      <c r="T155" s="184"/>
      <c r="U155" s="184"/>
      <c r="V155" s="184"/>
      <c r="W155" s="167"/>
      <c r="X155" s="185"/>
      <c r="Y155" s="179" t="str">
        <f>IF(ProjectInput[[#This Row],[Proposed Fixture Code]]=0, "", INDEX(Table7[WATT/ FIXT], MATCH(ProjectInput[[#This Row],[Proposed Fixture Code]], Table7[FIXTURE CODE],0 )))</f>
        <v/>
      </c>
      <c r="Z155" s="180">
        <f>INDEX(ReviewCalcs[Incentive Total Energy Savings (kWh)], MATCH(ProjectInput[[#This Row],[Project Index]], ReviewCalcs[Project Index], 0))</f>
        <v>0</v>
      </c>
      <c r="AA155" s="172">
        <f>INDEX(ReviewCalcs[Incentive Total Demand Savings (kW)], MATCH(ProjectInput[[#This Row],[Project Index]], ReviewCalcs[Project Index], 0))</f>
        <v>0</v>
      </c>
      <c r="AB155" s="181">
        <f>ProjectInput[[#This Row],[Energy Savings (kWh)]]*Avg_KWh_Rate</f>
        <v>0</v>
      </c>
      <c r="AC155" s="173">
        <f>IF(C155="", 0, IF(C155="Cust.", INDEX(ReviewCalcs[Incentive ($)], MATCH(ProjectInput[[#This Row],[Project Index]], ReviewCalcs[Project Index], 0)), IF(AND(C155="Pres.", D155="1 to 6"), 3*Q155, IF(AND(C155="Pres.", D155="7 to 11"), 4*Q155, IF(AND(C155="Pres.", D155="12 to 17"), 5*Q155, IF(AND(C155="Pres.", D155="Exit Sign"), 20*Q155, IF(AND(C155="Pres.", D155="&gt; 18"), 6*Q155)))))))</f>
        <v>0</v>
      </c>
      <c r="AD155" s="181">
        <f>ProjectInput[[#This Row],[Retrofit Cost]]</f>
        <v>0</v>
      </c>
      <c r="AE155" s="181">
        <f>ProjectInput[[#This Row],[Retrofit Cost]]-ProjectInput[[#This Row],[Incentive ($)]]</f>
        <v>0</v>
      </c>
      <c r="AF155" s="182" t="str">
        <f>IFERROR(ProjectInput[[#This Row],[Net Project Cost ($)]]/ProjectInput[[#This Row],[Energy Cost Savings ($)]], "")</f>
        <v/>
      </c>
    </row>
    <row r="156" spans="2:32" s="175" customFormat="1" ht="40" customHeight="1">
      <c r="B156" s="213">
        <v>153</v>
      </c>
      <c r="C156" s="223"/>
      <c r="D156" s="224"/>
      <c r="E156" s="183"/>
      <c r="F156" s="167"/>
      <c r="G156" s="184"/>
      <c r="H156" s="167"/>
      <c r="I156" s="184"/>
      <c r="J1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6" s="183"/>
      <c r="L156" s="167"/>
      <c r="M156" s="184"/>
      <c r="N156" s="184"/>
      <c r="O156" s="184"/>
      <c r="P156" s="177" t="str">
        <f>IF(ProjectInput[[#This Row],[Existing Fixture Code]]=0, "",INDEX(Table7[WATT/ FIXT], MATCH(ProjectInput[[#This Row],[Existing Fixture Code]], Table7[FIXTURE CODE], 0)))</f>
        <v/>
      </c>
      <c r="Q156" s="183"/>
      <c r="R156" s="167"/>
      <c r="S156" s="184"/>
      <c r="T156" s="184"/>
      <c r="U156" s="184"/>
      <c r="V156" s="184"/>
      <c r="W156" s="167"/>
      <c r="X156" s="185"/>
      <c r="Y156" s="179" t="str">
        <f>IF(ProjectInput[[#This Row],[Proposed Fixture Code]]=0, "", INDEX(Table7[WATT/ FIXT], MATCH(ProjectInput[[#This Row],[Proposed Fixture Code]], Table7[FIXTURE CODE],0 )))</f>
        <v/>
      </c>
      <c r="Z156" s="180">
        <f>INDEX(ReviewCalcs[Incentive Total Energy Savings (kWh)], MATCH(ProjectInput[[#This Row],[Project Index]], ReviewCalcs[Project Index], 0))</f>
        <v>0</v>
      </c>
      <c r="AA156" s="172">
        <f>INDEX(ReviewCalcs[Incentive Total Demand Savings (kW)], MATCH(ProjectInput[[#This Row],[Project Index]], ReviewCalcs[Project Index], 0))</f>
        <v>0</v>
      </c>
      <c r="AB156" s="181">
        <f>ProjectInput[[#This Row],[Energy Savings (kWh)]]*Avg_KWh_Rate</f>
        <v>0</v>
      </c>
      <c r="AC156" s="173">
        <f>IF(C156="", 0, IF(C156="Cust.", INDEX(ReviewCalcs[Incentive ($)], MATCH(ProjectInput[[#This Row],[Project Index]], ReviewCalcs[Project Index], 0)), IF(AND(C156="Pres.", D156="1 to 6"), 3*Q156, IF(AND(C156="Pres.", D156="7 to 11"), 4*Q156, IF(AND(C156="Pres.", D156="12 to 17"), 5*Q156, IF(AND(C156="Pres.", D156="Exit Sign"), 20*Q156, IF(AND(C156="Pres.", D156="&gt; 18"), 6*Q156)))))))</f>
        <v>0</v>
      </c>
      <c r="AD156" s="181">
        <f>ProjectInput[[#This Row],[Retrofit Cost]]</f>
        <v>0</v>
      </c>
      <c r="AE156" s="181">
        <f>ProjectInput[[#This Row],[Retrofit Cost]]-ProjectInput[[#This Row],[Incentive ($)]]</f>
        <v>0</v>
      </c>
      <c r="AF156" s="182" t="str">
        <f>IFERROR(ProjectInput[[#This Row],[Net Project Cost ($)]]/ProjectInput[[#This Row],[Energy Cost Savings ($)]], "")</f>
        <v/>
      </c>
    </row>
    <row r="157" spans="2:32" s="175" customFormat="1" ht="40" customHeight="1">
      <c r="B157" s="213">
        <v>154</v>
      </c>
      <c r="C157" s="220"/>
      <c r="D157" s="219"/>
      <c r="E157" s="183"/>
      <c r="F157" s="167"/>
      <c r="G157" s="184"/>
      <c r="H157" s="167"/>
      <c r="I157" s="184"/>
      <c r="J1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7" s="183"/>
      <c r="L157" s="167"/>
      <c r="M157" s="184"/>
      <c r="N157" s="184"/>
      <c r="O157" s="184"/>
      <c r="P157" s="177" t="str">
        <f>IF(ProjectInput[[#This Row],[Existing Fixture Code]]=0, "",INDEX(Table7[WATT/ FIXT], MATCH(ProjectInput[[#This Row],[Existing Fixture Code]], Table7[FIXTURE CODE], 0)))</f>
        <v/>
      </c>
      <c r="Q157" s="183"/>
      <c r="R157" s="167"/>
      <c r="S157" s="184"/>
      <c r="T157" s="184"/>
      <c r="U157" s="184"/>
      <c r="V157" s="184"/>
      <c r="W157" s="167"/>
      <c r="X157" s="185"/>
      <c r="Y157" s="179" t="str">
        <f>IF(ProjectInput[[#This Row],[Proposed Fixture Code]]=0, "", INDEX(Table7[WATT/ FIXT], MATCH(ProjectInput[[#This Row],[Proposed Fixture Code]], Table7[FIXTURE CODE],0 )))</f>
        <v/>
      </c>
      <c r="Z157" s="180">
        <f>INDEX(ReviewCalcs[Incentive Total Energy Savings (kWh)], MATCH(ProjectInput[[#This Row],[Project Index]], ReviewCalcs[Project Index], 0))</f>
        <v>0</v>
      </c>
      <c r="AA157" s="172">
        <f>INDEX(ReviewCalcs[Incentive Total Demand Savings (kW)], MATCH(ProjectInput[[#This Row],[Project Index]], ReviewCalcs[Project Index], 0))</f>
        <v>0</v>
      </c>
      <c r="AB157" s="181">
        <f>ProjectInput[[#This Row],[Energy Savings (kWh)]]*Avg_KWh_Rate</f>
        <v>0</v>
      </c>
      <c r="AC157" s="173">
        <f>IF(C157="", 0, IF(C157="Cust.", INDEX(ReviewCalcs[Incentive ($)], MATCH(ProjectInput[[#This Row],[Project Index]], ReviewCalcs[Project Index], 0)), IF(AND(C157="Pres.", D157="1 to 6"), 3*Q157, IF(AND(C157="Pres.", D157="7 to 11"), 4*Q157, IF(AND(C157="Pres.", D157="12 to 17"), 5*Q157, IF(AND(C157="Pres.", D157="Exit Sign"), 20*Q157, IF(AND(C157="Pres.", D157="&gt; 18"), 6*Q157)))))))</f>
        <v>0</v>
      </c>
      <c r="AD157" s="181">
        <f>ProjectInput[[#This Row],[Retrofit Cost]]</f>
        <v>0</v>
      </c>
      <c r="AE157" s="181">
        <f>ProjectInput[[#This Row],[Retrofit Cost]]-ProjectInput[[#This Row],[Incentive ($)]]</f>
        <v>0</v>
      </c>
      <c r="AF157" s="182" t="str">
        <f>IFERROR(ProjectInput[[#This Row],[Net Project Cost ($)]]/ProjectInput[[#This Row],[Energy Cost Savings ($)]], "")</f>
        <v/>
      </c>
    </row>
    <row r="158" spans="2:32" s="175" customFormat="1" ht="40" customHeight="1">
      <c r="B158" s="213">
        <v>155</v>
      </c>
      <c r="C158" s="223"/>
      <c r="D158" s="224"/>
      <c r="E158" s="183"/>
      <c r="F158" s="167"/>
      <c r="G158" s="184"/>
      <c r="H158" s="167"/>
      <c r="I158" s="184"/>
      <c r="J1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8" s="183"/>
      <c r="L158" s="167"/>
      <c r="M158" s="184"/>
      <c r="N158" s="184"/>
      <c r="O158" s="184"/>
      <c r="P158" s="177" t="str">
        <f>IF(ProjectInput[[#This Row],[Existing Fixture Code]]=0, "",INDEX(Table7[WATT/ FIXT], MATCH(ProjectInput[[#This Row],[Existing Fixture Code]], Table7[FIXTURE CODE], 0)))</f>
        <v/>
      </c>
      <c r="Q158" s="183"/>
      <c r="R158" s="167"/>
      <c r="S158" s="184"/>
      <c r="T158" s="184"/>
      <c r="U158" s="184"/>
      <c r="V158" s="184"/>
      <c r="W158" s="167"/>
      <c r="X158" s="185"/>
      <c r="Y158" s="179" t="str">
        <f>IF(ProjectInput[[#This Row],[Proposed Fixture Code]]=0, "", INDEX(Table7[WATT/ FIXT], MATCH(ProjectInput[[#This Row],[Proposed Fixture Code]], Table7[FIXTURE CODE],0 )))</f>
        <v/>
      </c>
      <c r="Z158" s="180">
        <f>INDEX(ReviewCalcs[Incentive Total Energy Savings (kWh)], MATCH(ProjectInput[[#This Row],[Project Index]], ReviewCalcs[Project Index], 0))</f>
        <v>0</v>
      </c>
      <c r="AA158" s="172">
        <f>INDEX(ReviewCalcs[Incentive Total Demand Savings (kW)], MATCH(ProjectInput[[#This Row],[Project Index]], ReviewCalcs[Project Index], 0))</f>
        <v>0</v>
      </c>
      <c r="AB158" s="181">
        <f>ProjectInput[[#This Row],[Energy Savings (kWh)]]*Avg_KWh_Rate</f>
        <v>0</v>
      </c>
      <c r="AC158" s="173">
        <f>IF(C158="", 0, IF(C158="Cust.", INDEX(ReviewCalcs[Incentive ($)], MATCH(ProjectInput[[#This Row],[Project Index]], ReviewCalcs[Project Index], 0)), IF(AND(C158="Pres.", D158="1 to 6"), 3*Q158, IF(AND(C158="Pres.", D158="7 to 11"), 4*Q158, IF(AND(C158="Pres.", D158="12 to 17"), 5*Q158, IF(AND(C158="Pres.", D158="Exit Sign"), 20*Q158, IF(AND(C158="Pres.", D158="&gt; 18"), 6*Q158)))))))</f>
        <v>0</v>
      </c>
      <c r="AD158" s="181">
        <f>ProjectInput[[#This Row],[Retrofit Cost]]</f>
        <v>0</v>
      </c>
      <c r="AE158" s="181">
        <f>ProjectInput[[#This Row],[Retrofit Cost]]-ProjectInput[[#This Row],[Incentive ($)]]</f>
        <v>0</v>
      </c>
      <c r="AF158" s="182" t="str">
        <f>IFERROR(ProjectInput[[#This Row],[Net Project Cost ($)]]/ProjectInput[[#This Row],[Energy Cost Savings ($)]], "")</f>
        <v/>
      </c>
    </row>
    <row r="159" spans="2:32" s="175" customFormat="1" ht="40" customHeight="1">
      <c r="B159" s="213">
        <v>156</v>
      </c>
      <c r="C159" s="220"/>
      <c r="D159" s="219"/>
      <c r="E159" s="183"/>
      <c r="F159" s="167"/>
      <c r="G159" s="184"/>
      <c r="H159" s="167"/>
      <c r="I159" s="184"/>
      <c r="J1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59" s="183"/>
      <c r="L159" s="167"/>
      <c r="M159" s="184"/>
      <c r="N159" s="184"/>
      <c r="O159" s="184"/>
      <c r="P159" s="177" t="str">
        <f>IF(ProjectInput[[#This Row],[Existing Fixture Code]]=0, "",INDEX(Table7[WATT/ FIXT], MATCH(ProjectInput[[#This Row],[Existing Fixture Code]], Table7[FIXTURE CODE], 0)))</f>
        <v/>
      </c>
      <c r="Q159" s="183"/>
      <c r="R159" s="167"/>
      <c r="S159" s="184"/>
      <c r="T159" s="184"/>
      <c r="U159" s="184"/>
      <c r="V159" s="184"/>
      <c r="W159" s="167"/>
      <c r="X159" s="185"/>
      <c r="Y159" s="179" t="str">
        <f>IF(ProjectInput[[#This Row],[Proposed Fixture Code]]=0, "", INDEX(Table7[WATT/ FIXT], MATCH(ProjectInput[[#This Row],[Proposed Fixture Code]], Table7[FIXTURE CODE],0 )))</f>
        <v/>
      </c>
      <c r="Z159" s="180">
        <f>INDEX(ReviewCalcs[Incentive Total Energy Savings (kWh)], MATCH(ProjectInput[[#This Row],[Project Index]], ReviewCalcs[Project Index], 0))</f>
        <v>0</v>
      </c>
      <c r="AA159" s="172">
        <f>INDEX(ReviewCalcs[Incentive Total Demand Savings (kW)], MATCH(ProjectInput[[#This Row],[Project Index]], ReviewCalcs[Project Index], 0))</f>
        <v>0</v>
      </c>
      <c r="AB159" s="181">
        <f>ProjectInput[[#This Row],[Energy Savings (kWh)]]*Avg_KWh_Rate</f>
        <v>0</v>
      </c>
      <c r="AC159" s="173">
        <f>IF(C159="", 0, IF(C159="Cust.", INDEX(ReviewCalcs[Incentive ($)], MATCH(ProjectInput[[#This Row],[Project Index]], ReviewCalcs[Project Index], 0)), IF(AND(C159="Pres.", D159="1 to 6"), 3*Q159, IF(AND(C159="Pres.", D159="7 to 11"), 4*Q159, IF(AND(C159="Pres.", D159="12 to 17"), 5*Q159, IF(AND(C159="Pres.", D159="Exit Sign"), 20*Q159, IF(AND(C159="Pres.", D159="&gt; 18"), 6*Q159)))))))</f>
        <v>0</v>
      </c>
      <c r="AD159" s="181">
        <f>ProjectInput[[#This Row],[Retrofit Cost]]</f>
        <v>0</v>
      </c>
      <c r="AE159" s="181">
        <f>ProjectInput[[#This Row],[Retrofit Cost]]-ProjectInput[[#This Row],[Incentive ($)]]</f>
        <v>0</v>
      </c>
      <c r="AF159" s="182" t="str">
        <f>IFERROR(ProjectInput[[#This Row],[Net Project Cost ($)]]/ProjectInput[[#This Row],[Energy Cost Savings ($)]], "")</f>
        <v/>
      </c>
    </row>
    <row r="160" spans="2:32" s="175" customFormat="1" ht="40" customHeight="1">
      <c r="B160" s="213">
        <v>157</v>
      </c>
      <c r="C160" s="223"/>
      <c r="D160" s="224"/>
      <c r="E160" s="183"/>
      <c r="F160" s="167"/>
      <c r="G160" s="184"/>
      <c r="H160" s="167"/>
      <c r="I160" s="184"/>
      <c r="J1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0" s="183"/>
      <c r="L160" s="167"/>
      <c r="M160" s="184"/>
      <c r="N160" s="184"/>
      <c r="O160" s="184"/>
      <c r="P160" s="177" t="str">
        <f>IF(ProjectInput[[#This Row],[Existing Fixture Code]]=0, "",INDEX(Table7[WATT/ FIXT], MATCH(ProjectInput[[#This Row],[Existing Fixture Code]], Table7[FIXTURE CODE], 0)))</f>
        <v/>
      </c>
      <c r="Q160" s="183"/>
      <c r="R160" s="167"/>
      <c r="S160" s="184"/>
      <c r="T160" s="184"/>
      <c r="U160" s="184"/>
      <c r="V160" s="184"/>
      <c r="W160" s="167"/>
      <c r="X160" s="185"/>
      <c r="Y160" s="179" t="str">
        <f>IF(ProjectInput[[#This Row],[Proposed Fixture Code]]=0, "", INDEX(Table7[WATT/ FIXT], MATCH(ProjectInput[[#This Row],[Proposed Fixture Code]], Table7[FIXTURE CODE],0 )))</f>
        <v/>
      </c>
      <c r="Z160" s="180">
        <f>INDEX(ReviewCalcs[Incentive Total Energy Savings (kWh)], MATCH(ProjectInput[[#This Row],[Project Index]], ReviewCalcs[Project Index], 0))</f>
        <v>0</v>
      </c>
      <c r="AA160" s="172">
        <f>INDEX(ReviewCalcs[Incentive Total Demand Savings (kW)], MATCH(ProjectInput[[#This Row],[Project Index]], ReviewCalcs[Project Index], 0))</f>
        <v>0</v>
      </c>
      <c r="AB160" s="181">
        <f>ProjectInput[[#This Row],[Energy Savings (kWh)]]*Avg_KWh_Rate</f>
        <v>0</v>
      </c>
      <c r="AC160" s="173">
        <f>IF(C160="", 0, IF(C160="Cust.", INDEX(ReviewCalcs[Incentive ($)], MATCH(ProjectInput[[#This Row],[Project Index]], ReviewCalcs[Project Index], 0)), IF(AND(C160="Pres.", D160="1 to 6"), 3*Q160, IF(AND(C160="Pres.", D160="7 to 11"), 4*Q160, IF(AND(C160="Pres.", D160="12 to 17"), 5*Q160, IF(AND(C160="Pres.", D160="Exit Sign"), 20*Q160, IF(AND(C160="Pres.", D160="&gt; 18"), 6*Q160)))))))</f>
        <v>0</v>
      </c>
      <c r="AD160" s="181">
        <f>ProjectInput[[#This Row],[Retrofit Cost]]</f>
        <v>0</v>
      </c>
      <c r="AE160" s="181">
        <f>ProjectInput[[#This Row],[Retrofit Cost]]-ProjectInput[[#This Row],[Incentive ($)]]</f>
        <v>0</v>
      </c>
      <c r="AF160" s="182" t="str">
        <f>IFERROR(ProjectInput[[#This Row],[Net Project Cost ($)]]/ProjectInput[[#This Row],[Energy Cost Savings ($)]], "")</f>
        <v/>
      </c>
    </row>
    <row r="161" spans="2:32" s="175" customFormat="1" ht="40" customHeight="1">
      <c r="B161" s="213">
        <v>158</v>
      </c>
      <c r="C161" s="220"/>
      <c r="D161" s="219"/>
      <c r="E161" s="183"/>
      <c r="F161" s="167"/>
      <c r="G161" s="184"/>
      <c r="H161" s="167"/>
      <c r="I161" s="184"/>
      <c r="J1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1" s="183"/>
      <c r="L161" s="167"/>
      <c r="M161" s="184"/>
      <c r="N161" s="184"/>
      <c r="O161" s="184"/>
      <c r="P161" s="177" t="str">
        <f>IF(ProjectInput[[#This Row],[Existing Fixture Code]]=0, "",INDEX(Table7[WATT/ FIXT], MATCH(ProjectInput[[#This Row],[Existing Fixture Code]], Table7[FIXTURE CODE], 0)))</f>
        <v/>
      </c>
      <c r="Q161" s="183"/>
      <c r="R161" s="167"/>
      <c r="S161" s="184"/>
      <c r="T161" s="184"/>
      <c r="U161" s="184"/>
      <c r="V161" s="184"/>
      <c r="W161" s="167"/>
      <c r="X161" s="185"/>
      <c r="Y161" s="179" t="str">
        <f>IF(ProjectInput[[#This Row],[Proposed Fixture Code]]=0, "", INDEX(Table7[WATT/ FIXT], MATCH(ProjectInput[[#This Row],[Proposed Fixture Code]], Table7[FIXTURE CODE],0 )))</f>
        <v/>
      </c>
      <c r="Z161" s="180">
        <f>INDEX(ReviewCalcs[Incentive Total Energy Savings (kWh)], MATCH(ProjectInput[[#This Row],[Project Index]], ReviewCalcs[Project Index], 0))</f>
        <v>0</v>
      </c>
      <c r="AA161" s="172">
        <f>INDEX(ReviewCalcs[Incentive Total Demand Savings (kW)], MATCH(ProjectInput[[#This Row],[Project Index]], ReviewCalcs[Project Index], 0))</f>
        <v>0</v>
      </c>
      <c r="AB161" s="181">
        <f>ProjectInput[[#This Row],[Energy Savings (kWh)]]*Avg_KWh_Rate</f>
        <v>0</v>
      </c>
      <c r="AC161" s="173">
        <f>IF(C161="", 0, IF(C161="Cust.", INDEX(ReviewCalcs[Incentive ($)], MATCH(ProjectInput[[#This Row],[Project Index]], ReviewCalcs[Project Index], 0)), IF(AND(C161="Pres.", D161="1 to 6"), 3*Q161, IF(AND(C161="Pres.", D161="7 to 11"), 4*Q161, IF(AND(C161="Pres.", D161="12 to 17"), 5*Q161, IF(AND(C161="Pres.", D161="Exit Sign"), 20*Q161, IF(AND(C161="Pres.", D161="&gt; 18"), 6*Q161)))))))</f>
        <v>0</v>
      </c>
      <c r="AD161" s="181">
        <f>ProjectInput[[#This Row],[Retrofit Cost]]</f>
        <v>0</v>
      </c>
      <c r="AE161" s="181">
        <f>ProjectInput[[#This Row],[Retrofit Cost]]-ProjectInput[[#This Row],[Incentive ($)]]</f>
        <v>0</v>
      </c>
      <c r="AF161" s="182" t="str">
        <f>IFERROR(ProjectInput[[#This Row],[Net Project Cost ($)]]/ProjectInput[[#This Row],[Energy Cost Savings ($)]], "")</f>
        <v/>
      </c>
    </row>
    <row r="162" spans="2:32" s="175" customFormat="1" ht="40" customHeight="1">
      <c r="B162" s="213">
        <v>159</v>
      </c>
      <c r="C162" s="223"/>
      <c r="D162" s="224"/>
      <c r="E162" s="183"/>
      <c r="F162" s="167"/>
      <c r="G162" s="184"/>
      <c r="H162" s="167"/>
      <c r="I162" s="184"/>
      <c r="J1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2" s="183"/>
      <c r="L162" s="167"/>
      <c r="M162" s="184"/>
      <c r="N162" s="184"/>
      <c r="O162" s="184"/>
      <c r="P162" s="177" t="str">
        <f>IF(ProjectInput[[#This Row],[Existing Fixture Code]]=0, "",INDEX(Table7[WATT/ FIXT], MATCH(ProjectInput[[#This Row],[Existing Fixture Code]], Table7[FIXTURE CODE], 0)))</f>
        <v/>
      </c>
      <c r="Q162" s="183"/>
      <c r="R162" s="167"/>
      <c r="S162" s="184"/>
      <c r="T162" s="184"/>
      <c r="U162" s="184"/>
      <c r="V162" s="184"/>
      <c r="W162" s="167"/>
      <c r="X162" s="185"/>
      <c r="Y162" s="179" t="str">
        <f>IF(ProjectInput[[#This Row],[Proposed Fixture Code]]=0, "", INDEX(Table7[WATT/ FIXT], MATCH(ProjectInput[[#This Row],[Proposed Fixture Code]], Table7[FIXTURE CODE],0 )))</f>
        <v/>
      </c>
      <c r="Z162" s="180">
        <f>INDEX(ReviewCalcs[Incentive Total Energy Savings (kWh)], MATCH(ProjectInput[[#This Row],[Project Index]], ReviewCalcs[Project Index], 0))</f>
        <v>0</v>
      </c>
      <c r="AA162" s="172">
        <f>INDEX(ReviewCalcs[Incentive Total Demand Savings (kW)], MATCH(ProjectInput[[#This Row],[Project Index]], ReviewCalcs[Project Index], 0))</f>
        <v>0</v>
      </c>
      <c r="AB162" s="181">
        <f>ProjectInput[[#This Row],[Energy Savings (kWh)]]*Avg_KWh_Rate</f>
        <v>0</v>
      </c>
      <c r="AC162" s="173">
        <f>IF(C162="", 0, IF(C162="Cust.", INDEX(ReviewCalcs[Incentive ($)], MATCH(ProjectInput[[#This Row],[Project Index]], ReviewCalcs[Project Index], 0)), IF(AND(C162="Pres.", D162="1 to 6"), 3*Q162, IF(AND(C162="Pres.", D162="7 to 11"), 4*Q162, IF(AND(C162="Pres.", D162="12 to 17"), 5*Q162, IF(AND(C162="Pres.", D162="Exit Sign"), 20*Q162, IF(AND(C162="Pres.", D162="&gt; 18"), 6*Q162)))))))</f>
        <v>0</v>
      </c>
      <c r="AD162" s="181">
        <f>ProjectInput[[#This Row],[Retrofit Cost]]</f>
        <v>0</v>
      </c>
      <c r="AE162" s="181">
        <f>ProjectInput[[#This Row],[Retrofit Cost]]-ProjectInput[[#This Row],[Incentive ($)]]</f>
        <v>0</v>
      </c>
      <c r="AF162" s="182" t="str">
        <f>IFERROR(ProjectInput[[#This Row],[Net Project Cost ($)]]/ProjectInput[[#This Row],[Energy Cost Savings ($)]], "")</f>
        <v/>
      </c>
    </row>
    <row r="163" spans="2:32" s="175" customFormat="1" ht="40" customHeight="1">
      <c r="B163" s="213">
        <v>160</v>
      </c>
      <c r="C163" s="220"/>
      <c r="D163" s="219"/>
      <c r="E163" s="183"/>
      <c r="F163" s="167"/>
      <c r="G163" s="184"/>
      <c r="H163" s="167"/>
      <c r="I163" s="184"/>
      <c r="J1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3" s="183"/>
      <c r="L163" s="167"/>
      <c r="M163" s="184"/>
      <c r="N163" s="184"/>
      <c r="O163" s="184"/>
      <c r="P163" s="177" t="str">
        <f>IF(ProjectInput[[#This Row],[Existing Fixture Code]]=0, "",INDEX(Table7[WATT/ FIXT], MATCH(ProjectInput[[#This Row],[Existing Fixture Code]], Table7[FIXTURE CODE], 0)))</f>
        <v/>
      </c>
      <c r="Q163" s="183"/>
      <c r="R163" s="167"/>
      <c r="S163" s="184"/>
      <c r="T163" s="184"/>
      <c r="U163" s="184"/>
      <c r="V163" s="184"/>
      <c r="W163" s="167"/>
      <c r="X163" s="185"/>
      <c r="Y163" s="179" t="str">
        <f>IF(ProjectInput[[#This Row],[Proposed Fixture Code]]=0, "", INDEX(Table7[WATT/ FIXT], MATCH(ProjectInput[[#This Row],[Proposed Fixture Code]], Table7[FIXTURE CODE],0 )))</f>
        <v/>
      </c>
      <c r="Z163" s="180">
        <f>INDEX(ReviewCalcs[Incentive Total Energy Savings (kWh)], MATCH(ProjectInput[[#This Row],[Project Index]], ReviewCalcs[Project Index], 0))</f>
        <v>0</v>
      </c>
      <c r="AA163" s="172">
        <f>INDEX(ReviewCalcs[Incentive Total Demand Savings (kW)], MATCH(ProjectInput[[#This Row],[Project Index]], ReviewCalcs[Project Index], 0))</f>
        <v>0</v>
      </c>
      <c r="AB163" s="181">
        <f>ProjectInput[[#This Row],[Energy Savings (kWh)]]*Avg_KWh_Rate</f>
        <v>0</v>
      </c>
      <c r="AC163" s="173">
        <f>IF(C163="", 0, IF(C163="Cust.", INDEX(ReviewCalcs[Incentive ($)], MATCH(ProjectInput[[#This Row],[Project Index]], ReviewCalcs[Project Index], 0)), IF(AND(C163="Pres.", D163="1 to 6"), 3*Q163, IF(AND(C163="Pres.", D163="7 to 11"), 4*Q163, IF(AND(C163="Pres.", D163="12 to 17"), 5*Q163, IF(AND(C163="Pres.", D163="Exit Sign"), 20*Q163, IF(AND(C163="Pres.", D163="&gt; 18"), 6*Q163)))))))</f>
        <v>0</v>
      </c>
      <c r="AD163" s="181">
        <f>ProjectInput[[#This Row],[Retrofit Cost]]</f>
        <v>0</v>
      </c>
      <c r="AE163" s="181">
        <f>ProjectInput[[#This Row],[Retrofit Cost]]-ProjectInput[[#This Row],[Incentive ($)]]</f>
        <v>0</v>
      </c>
      <c r="AF163" s="182" t="str">
        <f>IFERROR(ProjectInput[[#This Row],[Net Project Cost ($)]]/ProjectInput[[#This Row],[Energy Cost Savings ($)]], "")</f>
        <v/>
      </c>
    </row>
    <row r="164" spans="2:32" s="175" customFormat="1" ht="40" customHeight="1">
      <c r="B164" s="213">
        <v>161</v>
      </c>
      <c r="C164" s="223"/>
      <c r="D164" s="224"/>
      <c r="E164" s="183"/>
      <c r="F164" s="167"/>
      <c r="G164" s="184"/>
      <c r="H164" s="167"/>
      <c r="I164" s="184"/>
      <c r="J1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4" s="183"/>
      <c r="L164" s="167"/>
      <c r="M164" s="184"/>
      <c r="N164" s="184"/>
      <c r="O164" s="184"/>
      <c r="P164" s="177" t="str">
        <f>IF(ProjectInput[[#This Row],[Existing Fixture Code]]=0, "",INDEX(Table7[WATT/ FIXT], MATCH(ProjectInput[[#This Row],[Existing Fixture Code]], Table7[FIXTURE CODE], 0)))</f>
        <v/>
      </c>
      <c r="Q164" s="183"/>
      <c r="R164" s="167"/>
      <c r="S164" s="184"/>
      <c r="T164" s="184"/>
      <c r="U164" s="184"/>
      <c r="V164" s="184"/>
      <c r="W164" s="167"/>
      <c r="X164" s="185"/>
      <c r="Y164" s="179" t="str">
        <f>IF(ProjectInput[[#This Row],[Proposed Fixture Code]]=0, "", INDEX(Table7[WATT/ FIXT], MATCH(ProjectInput[[#This Row],[Proposed Fixture Code]], Table7[FIXTURE CODE],0 )))</f>
        <v/>
      </c>
      <c r="Z164" s="180">
        <f>INDEX(ReviewCalcs[Incentive Total Energy Savings (kWh)], MATCH(ProjectInput[[#This Row],[Project Index]], ReviewCalcs[Project Index], 0))</f>
        <v>0</v>
      </c>
      <c r="AA164" s="172">
        <f>INDEX(ReviewCalcs[Incentive Total Demand Savings (kW)], MATCH(ProjectInput[[#This Row],[Project Index]], ReviewCalcs[Project Index], 0))</f>
        <v>0</v>
      </c>
      <c r="AB164" s="181">
        <f>ProjectInput[[#This Row],[Energy Savings (kWh)]]*Avg_KWh_Rate</f>
        <v>0</v>
      </c>
      <c r="AC164" s="173">
        <f>IF(C164="", 0, IF(C164="Cust.", INDEX(ReviewCalcs[Incentive ($)], MATCH(ProjectInput[[#This Row],[Project Index]], ReviewCalcs[Project Index], 0)), IF(AND(C164="Pres.", D164="1 to 6"), 3*Q164, IF(AND(C164="Pres.", D164="7 to 11"), 4*Q164, IF(AND(C164="Pres.", D164="12 to 17"), 5*Q164, IF(AND(C164="Pres.", D164="Exit Sign"), 20*Q164, IF(AND(C164="Pres.", D164="&gt; 18"), 6*Q164)))))))</f>
        <v>0</v>
      </c>
      <c r="AD164" s="181">
        <f>ProjectInput[[#This Row],[Retrofit Cost]]</f>
        <v>0</v>
      </c>
      <c r="AE164" s="181">
        <f>ProjectInput[[#This Row],[Retrofit Cost]]-ProjectInput[[#This Row],[Incentive ($)]]</f>
        <v>0</v>
      </c>
      <c r="AF164" s="182" t="str">
        <f>IFERROR(ProjectInput[[#This Row],[Net Project Cost ($)]]/ProjectInput[[#This Row],[Energy Cost Savings ($)]], "")</f>
        <v/>
      </c>
    </row>
    <row r="165" spans="2:32" s="175" customFormat="1" ht="40" customHeight="1">
      <c r="B165" s="213">
        <v>162</v>
      </c>
      <c r="C165" s="220"/>
      <c r="D165" s="219"/>
      <c r="E165" s="183"/>
      <c r="F165" s="167"/>
      <c r="G165" s="184"/>
      <c r="H165" s="167"/>
      <c r="I165" s="184"/>
      <c r="J1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5" s="183"/>
      <c r="L165" s="167"/>
      <c r="M165" s="184"/>
      <c r="N165" s="184"/>
      <c r="O165" s="184"/>
      <c r="P165" s="177" t="str">
        <f>IF(ProjectInput[[#This Row],[Existing Fixture Code]]=0, "",INDEX(Table7[WATT/ FIXT], MATCH(ProjectInput[[#This Row],[Existing Fixture Code]], Table7[FIXTURE CODE], 0)))</f>
        <v/>
      </c>
      <c r="Q165" s="183"/>
      <c r="R165" s="167"/>
      <c r="S165" s="184"/>
      <c r="T165" s="184"/>
      <c r="U165" s="184"/>
      <c r="V165" s="184"/>
      <c r="W165" s="167"/>
      <c r="X165" s="185"/>
      <c r="Y165" s="179" t="str">
        <f>IF(ProjectInput[[#This Row],[Proposed Fixture Code]]=0, "", INDEX(Table7[WATT/ FIXT], MATCH(ProjectInput[[#This Row],[Proposed Fixture Code]], Table7[FIXTURE CODE],0 )))</f>
        <v/>
      </c>
      <c r="Z165" s="180">
        <f>INDEX(ReviewCalcs[Incentive Total Energy Savings (kWh)], MATCH(ProjectInput[[#This Row],[Project Index]], ReviewCalcs[Project Index], 0))</f>
        <v>0</v>
      </c>
      <c r="AA165" s="172">
        <f>INDEX(ReviewCalcs[Incentive Total Demand Savings (kW)], MATCH(ProjectInput[[#This Row],[Project Index]], ReviewCalcs[Project Index], 0))</f>
        <v>0</v>
      </c>
      <c r="AB165" s="181">
        <f>ProjectInput[[#This Row],[Energy Savings (kWh)]]*Avg_KWh_Rate</f>
        <v>0</v>
      </c>
      <c r="AC165" s="173">
        <f>IF(C165="", 0, IF(C165="Cust.", INDEX(ReviewCalcs[Incentive ($)], MATCH(ProjectInput[[#This Row],[Project Index]], ReviewCalcs[Project Index], 0)), IF(AND(C165="Pres.", D165="1 to 6"), 3*Q165, IF(AND(C165="Pres.", D165="7 to 11"), 4*Q165, IF(AND(C165="Pres.", D165="12 to 17"), 5*Q165, IF(AND(C165="Pres.", D165="Exit Sign"), 20*Q165, IF(AND(C165="Pres.", D165="&gt; 18"), 6*Q165)))))))</f>
        <v>0</v>
      </c>
      <c r="AD165" s="181">
        <f>ProjectInput[[#This Row],[Retrofit Cost]]</f>
        <v>0</v>
      </c>
      <c r="AE165" s="181">
        <f>ProjectInput[[#This Row],[Retrofit Cost]]-ProjectInput[[#This Row],[Incentive ($)]]</f>
        <v>0</v>
      </c>
      <c r="AF165" s="182" t="str">
        <f>IFERROR(ProjectInput[[#This Row],[Net Project Cost ($)]]/ProjectInput[[#This Row],[Energy Cost Savings ($)]], "")</f>
        <v/>
      </c>
    </row>
    <row r="166" spans="2:32" s="175" customFormat="1" ht="40" customHeight="1">
      <c r="B166" s="213">
        <v>163</v>
      </c>
      <c r="C166" s="223"/>
      <c r="D166" s="224"/>
      <c r="E166" s="183"/>
      <c r="F166" s="167"/>
      <c r="G166" s="184"/>
      <c r="H166" s="167"/>
      <c r="I166" s="184"/>
      <c r="J1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6" s="183"/>
      <c r="L166" s="167"/>
      <c r="M166" s="184"/>
      <c r="N166" s="184"/>
      <c r="O166" s="184"/>
      <c r="P166" s="177" t="str">
        <f>IF(ProjectInput[[#This Row],[Existing Fixture Code]]=0, "",INDEX(Table7[WATT/ FIXT], MATCH(ProjectInput[[#This Row],[Existing Fixture Code]], Table7[FIXTURE CODE], 0)))</f>
        <v/>
      </c>
      <c r="Q166" s="183"/>
      <c r="R166" s="167"/>
      <c r="S166" s="184"/>
      <c r="T166" s="184"/>
      <c r="U166" s="184"/>
      <c r="V166" s="184"/>
      <c r="W166" s="167"/>
      <c r="X166" s="185"/>
      <c r="Y166" s="179" t="str">
        <f>IF(ProjectInput[[#This Row],[Proposed Fixture Code]]=0, "", INDEX(Table7[WATT/ FIXT], MATCH(ProjectInput[[#This Row],[Proposed Fixture Code]], Table7[FIXTURE CODE],0 )))</f>
        <v/>
      </c>
      <c r="Z166" s="180">
        <f>INDEX(ReviewCalcs[Incentive Total Energy Savings (kWh)], MATCH(ProjectInput[[#This Row],[Project Index]], ReviewCalcs[Project Index], 0))</f>
        <v>0</v>
      </c>
      <c r="AA166" s="172">
        <f>INDEX(ReviewCalcs[Incentive Total Demand Savings (kW)], MATCH(ProjectInput[[#This Row],[Project Index]], ReviewCalcs[Project Index], 0))</f>
        <v>0</v>
      </c>
      <c r="AB166" s="181">
        <f>ProjectInput[[#This Row],[Energy Savings (kWh)]]*Avg_KWh_Rate</f>
        <v>0</v>
      </c>
      <c r="AC166" s="173">
        <f>IF(C166="", 0, IF(C166="Cust.", INDEX(ReviewCalcs[Incentive ($)], MATCH(ProjectInput[[#This Row],[Project Index]], ReviewCalcs[Project Index], 0)), IF(AND(C166="Pres.", D166="1 to 6"), 3*Q166, IF(AND(C166="Pres.", D166="7 to 11"), 4*Q166, IF(AND(C166="Pres.", D166="12 to 17"), 5*Q166, IF(AND(C166="Pres.", D166="Exit Sign"), 20*Q166, IF(AND(C166="Pres.", D166="&gt; 18"), 6*Q166)))))))</f>
        <v>0</v>
      </c>
      <c r="AD166" s="181">
        <f>ProjectInput[[#This Row],[Retrofit Cost]]</f>
        <v>0</v>
      </c>
      <c r="AE166" s="181">
        <f>ProjectInput[[#This Row],[Retrofit Cost]]-ProjectInput[[#This Row],[Incentive ($)]]</f>
        <v>0</v>
      </c>
      <c r="AF166" s="182" t="str">
        <f>IFERROR(ProjectInput[[#This Row],[Net Project Cost ($)]]/ProjectInput[[#This Row],[Energy Cost Savings ($)]], "")</f>
        <v/>
      </c>
    </row>
    <row r="167" spans="2:32" s="175" customFormat="1" ht="40" customHeight="1">
      <c r="B167" s="213">
        <v>164</v>
      </c>
      <c r="C167" s="220"/>
      <c r="D167" s="219"/>
      <c r="E167" s="183"/>
      <c r="F167" s="167"/>
      <c r="G167" s="184"/>
      <c r="H167" s="167"/>
      <c r="I167" s="184"/>
      <c r="J1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7" s="183"/>
      <c r="L167" s="167"/>
      <c r="M167" s="184"/>
      <c r="N167" s="184"/>
      <c r="O167" s="184"/>
      <c r="P167" s="177" t="str">
        <f>IF(ProjectInput[[#This Row],[Existing Fixture Code]]=0, "",INDEX(Table7[WATT/ FIXT], MATCH(ProjectInput[[#This Row],[Existing Fixture Code]], Table7[FIXTURE CODE], 0)))</f>
        <v/>
      </c>
      <c r="Q167" s="183"/>
      <c r="R167" s="167"/>
      <c r="S167" s="184"/>
      <c r="T167" s="184"/>
      <c r="U167" s="184"/>
      <c r="V167" s="184"/>
      <c r="W167" s="167"/>
      <c r="X167" s="185"/>
      <c r="Y167" s="179" t="str">
        <f>IF(ProjectInput[[#This Row],[Proposed Fixture Code]]=0, "", INDEX(Table7[WATT/ FIXT], MATCH(ProjectInput[[#This Row],[Proposed Fixture Code]], Table7[FIXTURE CODE],0 )))</f>
        <v/>
      </c>
      <c r="Z167" s="180">
        <f>INDEX(ReviewCalcs[Incentive Total Energy Savings (kWh)], MATCH(ProjectInput[[#This Row],[Project Index]], ReviewCalcs[Project Index], 0))</f>
        <v>0</v>
      </c>
      <c r="AA167" s="172">
        <f>INDEX(ReviewCalcs[Incentive Total Demand Savings (kW)], MATCH(ProjectInput[[#This Row],[Project Index]], ReviewCalcs[Project Index], 0))</f>
        <v>0</v>
      </c>
      <c r="AB167" s="181">
        <f>ProjectInput[[#This Row],[Energy Savings (kWh)]]*Avg_KWh_Rate</f>
        <v>0</v>
      </c>
      <c r="AC167" s="173">
        <f>IF(C167="", 0, IF(C167="Cust.", INDEX(ReviewCalcs[Incentive ($)], MATCH(ProjectInput[[#This Row],[Project Index]], ReviewCalcs[Project Index], 0)), IF(AND(C167="Pres.", D167="1 to 6"), 3*Q167, IF(AND(C167="Pres.", D167="7 to 11"), 4*Q167, IF(AND(C167="Pres.", D167="12 to 17"), 5*Q167, IF(AND(C167="Pres.", D167="Exit Sign"), 20*Q167, IF(AND(C167="Pres.", D167="&gt; 18"), 6*Q167)))))))</f>
        <v>0</v>
      </c>
      <c r="AD167" s="181">
        <f>ProjectInput[[#This Row],[Retrofit Cost]]</f>
        <v>0</v>
      </c>
      <c r="AE167" s="181">
        <f>ProjectInput[[#This Row],[Retrofit Cost]]-ProjectInput[[#This Row],[Incentive ($)]]</f>
        <v>0</v>
      </c>
      <c r="AF167" s="182" t="str">
        <f>IFERROR(ProjectInput[[#This Row],[Net Project Cost ($)]]/ProjectInput[[#This Row],[Energy Cost Savings ($)]], "")</f>
        <v/>
      </c>
    </row>
    <row r="168" spans="2:32" s="175" customFormat="1" ht="40" customHeight="1">
      <c r="B168" s="213">
        <v>165</v>
      </c>
      <c r="C168" s="223"/>
      <c r="D168" s="224"/>
      <c r="E168" s="183"/>
      <c r="F168" s="167"/>
      <c r="G168" s="184"/>
      <c r="H168" s="167"/>
      <c r="I168" s="184"/>
      <c r="J1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8" s="183"/>
      <c r="L168" s="167"/>
      <c r="M168" s="184"/>
      <c r="N168" s="184"/>
      <c r="O168" s="184"/>
      <c r="P168" s="177" t="str">
        <f>IF(ProjectInput[[#This Row],[Existing Fixture Code]]=0, "",INDEX(Table7[WATT/ FIXT], MATCH(ProjectInput[[#This Row],[Existing Fixture Code]], Table7[FIXTURE CODE], 0)))</f>
        <v/>
      </c>
      <c r="Q168" s="183"/>
      <c r="R168" s="167"/>
      <c r="S168" s="184"/>
      <c r="T168" s="184"/>
      <c r="U168" s="184"/>
      <c r="V168" s="184"/>
      <c r="W168" s="167"/>
      <c r="X168" s="185"/>
      <c r="Y168" s="179" t="str">
        <f>IF(ProjectInput[[#This Row],[Proposed Fixture Code]]=0, "", INDEX(Table7[WATT/ FIXT], MATCH(ProjectInput[[#This Row],[Proposed Fixture Code]], Table7[FIXTURE CODE],0 )))</f>
        <v/>
      </c>
      <c r="Z168" s="180">
        <f>INDEX(ReviewCalcs[Incentive Total Energy Savings (kWh)], MATCH(ProjectInput[[#This Row],[Project Index]], ReviewCalcs[Project Index], 0))</f>
        <v>0</v>
      </c>
      <c r="AA168" s="172">
        <f>INDEX(ReviewCalcs[Incentive Total Demand Savings (kW)], MATCH(ProjectInput[[#This Row],[Project Index]], ReviewCalcs[Project Index], 0))</f>
        <v>0</v>
      </c>
      <c r="AB168" s="181">
        <f>ProjectInput[[#This Row],[Energy Savings (kWh)]]*Avg_KWh_Rate</f>
        <v>0</v>
      </c>
      <c r="AC168" s="173">
        <f>IF(C168="", 0, IF(C168="Cust.", INDEX(ReviewCalcs[Incentive ($)], MATCH(ProjectInput[[#This Row],[Project Index]], ReviewCalcs[Project Index], 0)), IF(AND(C168="Pres.", D168="1 to 6"), 3*Q168, IF(AND(C168="Pres.", D168="7 to 11"), 4*Q168, IF(AND(C168="Pres.", D168="12 to 17"), 5*Q168, IF(AND(C168="Pres.", D168="Exit Sign"), 20*Q168, IF(AND(C168="Pres.", D168="&gt; 18"), 6*Q168)))))))</f>
        <v>0</v>
      </c>
      <c r="AD168" s="181">
        <f>ProjectInput[[#This Row],[Retrofit Cost]]</f>
        <v>0</v>
      </c>
      <c r="AE168" s="181">
        <f>ProjectInput[[#This Row],[Retrofit Cost]]-ProjectInput[[#This Row],[Incentive ($)]]</f>
        <v>0</v>
      </c>
      <c r="AF168" s="182" t="str">
        <f>IFERROR(ProjectInput[[#This Row],[Net Project Cost ($)]]/ProjectInput[[#This Row],[Energy Cost Savings ($)]], "")</f>
        <v/>
      </c>
    </row>
    <row r="169" spans="2:32" s="175" customFormat="1" ht="40" customHeight="1">
      <c r="B169" s="213">
        <v>166</v>
      </c>
      <c r="C169" s="220"/>
      <c r="D169" s="219"/>
      <c r="E169" s="183"/>
      <c r="F169" s="167"/>
      <c r="G169" s="184"/>
      <c r="H169" s="167"/>
      <c r="I169" s="184"/>
      <c r="J1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69" s="183"/>
      <c r="L169" s="167"/>
      <c r="M169" s="184"/>
      <c r="N169" s="184"/>
      <c r="O169" s="184"/>
      <c r="P169" s="177" t="str">
        <f>IF(ProjectInput[[#This Row],[Existing Fixture Code]]=0, "",INDEX(Table7[WATT/ FIXT], MATCH(ProjectInput[[#This Row],[Existing Fixture Code]], Table7[FIXTURE CODE], 0)))</f>
        <v/>
      </c>
      <c r="Q169" s="183"/>
      <c r="R169" s="167"/>
      <c r="S169" s="184"/>
      <c r="T169" s="184"/>
      <c r="U169" s="184"/>
      <c r="V169" s="184"/>
      <c r="W169" s="167"/>
      <c r="X169" s="185"/>
      <c r="Y169" s="179" t="str">
        <f>IF(ProjectInput[[#This Row],[Proposed Fixture Code]]=0, "", INDEX(Table7[WATT/ FIXT], MATCH(ProjectInput[[#This Row],[Proposed Fixture Code]], Table7[FIXTURE CODE],0 )))</f>
        <v/>
      </c>
      <c r="Z169" s="180">
        <f>INDEX(ReviewCalcs[Incentive Total Energy Savings (kWh)], MATCH(ProjectInput[[#This Row],[Project Index]], ReviewCalcs[Project Index], 0))</f>
        <v>0</v>
      </c>
      <c r="AA169" s="172">
        <f>INDEX(ReviewCalcs[Incentive Total Demand Savings (kW)], MATCH(ProjectInput[[#This Row],[Project Index]], ReviewCalcs[Project Index], 0))</f>
        <v>0</v>
      </c>
      <c r="AB169" s="181">
        <f>ProjectInput[[#This Row],[Energy Savings (kWh)]]*Avg_KWh_Rate</f>
        <v>0</v>
      </c>
      <c r="AC169" s="173">
        <f>IF(C169="", 0, IF(C169="Cust.", INDEX(ReviewCalcs[Incentive ($)], MATCH(ProjectInput[[#This Row],[Project Index]], ReviewCalcs[Project Index], 0)), IF(AND(C169="Pres.", D169="1 to 6"), 3*Q169, IF(AND(C169="Pres.", D169="7 to 11"), 4*Q169, IF(AND(C169="Pres.", D169="12 to 17"), 5*Q169, IF(AND(C169="Pres.", D169="Exit Sign"), 20*Q169, IF(AND(C169="Pres.", D169="&gt; 18"), 6*Q169)))))))</f>
        <v>0</v>
      </c>
      <c r="AD169" s="181">
        <f>ProjectInput[[#This Row],[Retrofit Cost]]</f>
        <v>0</v>
      </c>
      <c r="AE169" s="181">
        <f>ProjectInput[[#This Row],[Retrofit Cost]]-ProjectInput[[#This Row],[Incentive ($)]]</f>
        <v>0</v>
      </c>
      <c r="AF169" s="182" t="str">
        <f>IFERROR(ProjectInput[[#This Row],[Net Project Cost ($)]]/ProjectInput[[#This Row],[Energy Cost Savings ($)]], "")</f>
        <v/>
      </c>
    </row>
    <row r="170" spans="2:32" s="175" customFormat="1" ht="40" customHeight="1">
      <c r="B170" s="213">
        <v>167</v>
      </c>
      <c r="C170" s="223"/>
      <c r="D170" s="224"/>
      <c r="E170" s="183"/>
      <c r="F170" s="167"/>
      <c r="G170" s="184"/>
      <c r="H170" s="167"/>
      <c r="I170" s="184"/>
      <c r="J1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0" s="183"/>
      <c r="L170" s="167"/>
      <c r="M170" s="184"/>
      <c r="N170" s="184"/>
      <c r="O170" s="184"/>
      <c r="P170" s="177" t="str">
        <f>IF(ProjectInput[[#This Row],[Existing Fixture Code]]=0, "",INDEX(Table7[WATT/ FIXT], MATCH(ProjectInput[[#This Row],[Existing Fixture Code]], Table7[FIXTURE CODE], 0)))</f>
        <v/>
      </c>
      <c r="Q170" s="183"/>
      <c r="R170" s="167"/>
      <c r="S170" s="184"/>
      <c r="T170" s="184"/>
      <c r="U170" s="184"/>
      <c r="V170" s="184"/>
      <c r="W170" s="167"/>
      <c r="X170" s="185"/>
      <c r="Y170" s="179" t="str">
        <f>IF(ProjectInput[[#This Row],[Proposed Fixture Code]]=0, "", INDEX(Table7[WATT/ FIXT], MATCH(ProjectInput[[#This Row],[Proposed Fixture Code]], Table7[FIXTURE CODE],0 )))</f>
        <v/>
      </c>
      <c r="Z170" s="180">
        <f>INDEX(ReviewCalcs[Incentive Total Energy Savings (kWh)], MATCH(ProjectInput[[#This Row],[Project Index]], ReviewCalcs[Project Index], 0))</f>
        <v>0</v>
      </c>
      <c r="AA170" s="172">
        <f>INDEX(ReviewCalcs[Incentive Total Demand Savings (kW)], MATCH(ProjectInput[[#This Row],[Project Index]], ReviewCalcs[Project Index], 0))</f>
        <v>0</v>
      </c>
      <c r="AB170" s="181">
        <f>ProjectInput[[#This Row],[Energy Savings (kWh)]]*Avg_KWh_Rate</f>
        <v>0</v>
      </c>
      <c r="AC170" s="173">
        <f>IF(C170="", 0, IF(C170="Cust.", INDEX(ReviewCalcs[Incentive ($)], MATCH(ProjectInput[[#This Row],[Project Index]], ReviewCalcs[Project Index], 0)), IF(AND(C170="Pres.", D170="1 to 6"), 3*Q170, IF(AND(C170="Pres.", D170="7 to 11"), 4*Q170, IF(AND(C170="Pres.", D170="12 to 17"), 5*Q170, IF(AND(C170="Pres.", D170="Exit Sign"), 20*Q170, IF(AND(C170="Pres.", D170="&gt; 18"), 6*Q170)))))))</f>
        <v>0</v>
      </c>
      <c r="AD170" s="181">
        <f>ProjectInput[[#This Row],[Retrofit Cost]]</f>
        <v>0</v>
      </c>
      <c r="AE170" s="181">
        <f>ProjectInput[[#This Row],[Retrofit Cost]]-ProjectInput[[#This Row],[Incentive ($)]]</f>
        <v>0</v>
      </c>
      <c r="AF170" s="182" t="str">
        <f>IFERROR(ProjectInput[[#This Row],[Net Project Cost ($)]]/ProjectInput[[#This Row],[Energy Cost Savings ($)]], "")</f>
        <v/>
      </c>
    </row>
    <row r="171" spans="2:32" s="175" customFormat="1" ht="40" customHeight="1">
      <c r="B171" s="213">
        <v>168</v>
      </c>
      <c r="C171" s="220"/>
      <c r="D171" s="219"/>
      <c r="E171" s="183"/>
      <c r="F171" s="167"/>
      <c r="G171" s="184"/>
      <c r="H171" s="167"/>
      <c r="I171" s="184"/>
      <c r="J1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1" s="183"/>
      <c r="L171" s="167"/>
      <c r="M171" s="184"/>
      <c r="N171" s="184"/>
      <c r="O171" s="184"/>
      <c r="P171" s="177" t="str">
        <f>IF(ProjectInput[[#This Row],[Existing Fixture Code]]=0, "",INDEX(Table7[WATT/ FIXT], MATCH(ProjectInput[[#This Row],[Existing Fixture Code]], Table7[FIXTURE CODE], 0)))</f>
        <v/>
      </c>
      <c r="Q171" s="183"/>
      <c r="R171" s="167"/>
      <c r="S171" s="184"/>
      <c r="T171" s="184"/>
      <c r="U171" s="184"/>
      <c r="V171" s="184"/>
      <c r="W171" s="167"/>
      <c r="X171" s="185"/>
      <c r="Y171" s="179" t="str">
        <f>IF(ProjectInput[[#This Row],[Proposed Fixture Code]]=0, "", INDEX(Table7[WATT/ FIXT], MATCH(ProjectInput[[#This Row],[Proposed Fixture Code]], Table7[FIXTURE CODE],0 )))</f>
        <v/>
      </c>
      <c r="Z171" s="180">
        <f>INDEX(ReviewCalcs[Incentive Total Energy Savings (kWh)], MATCH(ProjectInput[[#This Row],[Project Index]], ReviewCalcs[Project Index], 0))</f>
        <v>0</v>
      </c>
      <c r="AA171" s="172">
        <f>INDEX(ReviewCalcs[Incentive Total Demand Savings (kW)], MATCH(ProjectInput[[#This Row],[Project Index]], ReviewCalcs[Project Index], 0))</f>
        <v>0</v>
      </c>
      <c r="AB171" s="181">
        <f>ProjectInput[[#This Row],[Energy Savings (kWh)]]*Avg_KWh_Rate</f>
        <v>0</v>
      </c>
      <c r="AC171" s="173">
        <f>IF(C171="", 0, IF(C171="Cust.", INDEX(ReviewCalcs[Incentive ($)], MATCH(ProjectInput[[#This Row],[Project Index]], ReviewCalcs[Project Index], 0)), IF(AND(C171="Pres.", D171="1 to 6"), 3*Q171, IF(AND(C171="Pres.", D171="7 to 11"), 4*Q171, IF(AND(C171="Pres.", D171="12 to 17"), 5*Q171, IF(AND(C171="Pres.", D171="Exit Sign"), 20*Q171, IF(AND(C171="Pres.", D171="&gt; 18"), 6*Q171)))))))</f>
        <v>0</v>
      </c>
      <c r="AD171" s="181">
        <f>ProjectInput[[#This Row],[Retrofit Cost]]</f>
        <v>0</v>
      </c>
      <c r="AE171" s="181">
        <f>ProjectInput[[#This Row],[Retrofit Cost]]-ProjectInput[[#This Row],[Incentive ($)]]</f>
        <v>0</v>
      </c>
      <c r="AF171" s="182" t="str">
        <f>IFERROR(ProjectInput[[#This Row],[Net Project Cost ($)]]/ProjectInput[[#This Row],[Energy Cost Savings ($)]], "")</f>
        <v/>
      </c>
    </row>
    <row r="172" spans="2:32" s="175" customFormat="1" ht="40" customHeight="1">
      <c r="B172" s="213">
        <v>169</v>
      </c>
      <c r="C172" s="223"/>
      <c r="D172" s="224"/>
      <c r="E172" s="183"/>
      <c r="F172" s="167"/>
      <c r="G172" s="184"/>
      <c r="H172" s="167"/>
      <c r="I172" s="184"/>
      <c r="J1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2" s="183"/>
      <c r="L172" s="167"/>
      <c r="M172" s="184"/>
      <c r="N172" s="184"/>
      <c r="O172" s="184"/>
      <c r="P172" s="177" t="str">
        <f>IF(ProjectInput[[#This Row],[Existing Fixture Code]]=0, "",INDEX(Table7[WATT/ FIXT], MATCH(ProjectInput[[#This Row],[Existing Fixture Code]], Table7[FIXTURE CODE], 0)))</f>
        <v/>
      </c>
      <c r="Q172" s="183"/>
      <c r="R172" s="167"/>
      <c r="S172" s="184"/>
      <c r="T172" s="184"/>
      <c r="U172" s="184"/>
      <c r="V172" s="184"/>
      <c r="W172" s="167"/>
      <c r="X172" s="185"/>
      <c r="Y172" s="179" t="str">
        <f>IF(ProjectInput[[#This Row],[Proposed Fixture Code]]=0, "", INDEX(Table7[WATT/ FIXT], MATCH(ProjectInput[[#This Row],[Proposed Fixture Code]], Table7[FIXTURE CODE],0 )))</f>
        <v/>
      </c>
      <c r="Z172" s="180">
        <f>INDEX(ReviewCalcs[Incentive Total Energy Savings (kWh)], MATCH(ProjectInput[[#This Row],[Project Index]], ReviewCalcs[Project Index], 0))</f>
        <v>0</v>
      </c>
      <c r="AA172" s="172">
        <f>INDEX(ReviewCalcs[Incentive Total Demand Savings (kW)], MATCH(ProjectInput[[#This Row],[Project Index]], ReviewCalcs[Project Index], 0))</f>
        <v>0</v>
      </c>
      <c r="AB172" s="181">
        <f>ProjectInput[[#This Row],[Energy Savings (kWh)]]*Avg_KWh_Rate</f>
        <v>0</v>
      </c>
      <c r="AC172" s="173">
        <f>IF(C172="", 0, IF(C172="Cust.", INDEX(ReviewCalcs[Incentive ($)], MATCH(ProjectInput[[#This Row],[Project Index]], ReviewCalcs[Project Index], 0)), IF(AND(C172="Pres.", D172="1 to 6"), 3*Q172, IF(AND(C172="Pres.", D172="7 to 11"), 4*Q172, IF(AND(C172="Pres.", D172="12 to 17"), 5*Q172, IF(AND(C172="Pres.", D172="Exit Sign"), 20*Q172, IF(AND(C172="Pres.", D172="&gt; 18"), 6*Q172)))))))</f>
        <v>0</v>
      </c>
      <c r="AD172" s="181">
        <f>ProjectInput[[#This Row],[Retrofit Cost]]</f>
        <v>0</v>
      </c>
      <c r="AE172" s="181">
        <f>ProjectInput[[#This Row],[Retrofit Cost]]-ProjectInput[[#This Row],[Incentive ($)]]</f>
        <v>0</v>
      </c>
      <c r="AF172" s="182" t="str">
        <f>IFERROR(ProjectInput[[#This Row],[Net Project Cost ($)]]/ProjectInput[[#This Row],[Energy Cost Savings ($)]], "")</f>
        <v/>
      </c>
    </row>
    <row r="173" spans="2:32" s="175" customFormat="1" ht="40" customHeight="1">
      <c r="B173" s="213">
        <v>170</v>
      </c>
      <c r="C173" s="220"/>
      <c r="D173" s="219"/>
      <c r="E173" s="183"/>
      <c r="F173" s="167"/>
      <c r="G173" s="184"/>
      <c r="H173" s="167"/>
      <c r="I173" s="184"/>
      <c r="J1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3" s="183"/>
      <c r="L173" s="167"/>
      <c r="M173" s="184"/>
      <c r="N173" s="184"/>
      <c r="O173" s="184"/>
      <c r="P173" s="177" t="str">
        <f>IF(ProjectInput[[#This Row],[Existing Fixture Code]]=0, "",INDEX(Table7[WATT/ FIXT], MATCH(ProjectInput[[#This Row],[Existing Fixture Code]], Table7[FIXTURE CODE], 0)))</f>
        <v/>
      </c>
      <c r="Q173" s="183"/>
      <c r="R173" s="167"/>
      <c r="S173" s="184"/>
      <c r="T173" s="184"/>
      <c r="U173" s="184"/>
      <c r="V173" s="184"/>
      <c r="W173" s="167"/>
      <c r="X173" s="185"/>
      <c r="Y173" s="179" t="str">
        <f>IF(ProjectInput[[#This Row],[Proposed Fixture Code]]=0, "", INDEX(Table7[WATT/ FIXT], MATCH(ProjectInput[[#This Row],[Proposed Fixture Code]], Table7[FIXTURE CODE],0 )))</f>
        <v/>
      </c>
      <c r="Z173" s="180">
        <f>INDEX(ReviewCalcs[Incentive Total Energy Savings (kWh)], MATCH(ProjectInput[[#This Row],[Project Index]], ReviewCalcs[Project Index], 0))</f>
        <v>0</v>
      </c>
      <c r="AA173" s="172">
        <f>INDEX(ReviewCalcs[Incentive Total Demand Savings (kW)], MATCH(ProjectInput[[#This Row],[Project Index]], ReviewCalcs[Project Index], 0))</f>
        <v>0</v>
      </c>
      <c r="AB173" s="181">
        <f>ProjectInput[[#This Row],[Energy Savings (kWh)]]*Avg_KWh_Rate</f>
        <v>0</v>
      </c>
      <c r="AC173" s="173">
        <f>IF(C173="", 0, IF(C173="Cust.", INDEX(ReviewCalcs[Incentive ($)], MATCH(ProjectInput[[#This Row],[Project Index]], ReviewCalcs[Project Index], 0)), IF(AND(C173="Pres.", D173="1 to 6"), 3*Q173, IF(AND(C173="Pres.", D173="7 to 11"), 4*Q173, IF(AND(C173="Pres.", D173="12 to 17"), 5*Q173, IF(AND(C173="Pres.", D173="Exit Sign"), 20*Q173, IF(AND(C173="Pres.", D173="&gt; 18"), 6*Q173)))))))</f>
        <v>0</v>
      </c>
      <c r="AD173" s="181">
        <f>ProjectInput[[#This Row],[Retrofit Cost]]</f>
        <v>0</v>
      </c>
      <c r="AE173" s="181">
        <f>ProjectInput[[#This Row],[Retrofit Cost]]-ProjectInput[[#This Row],[Incentive ($)]]</f>
        <v>0</v>
      </c>
      <c r="AF173" s="182" t="str">
        <f>IFERROR(ProjectInput[[#This Row],[Net Project Cost ($)]]/ProjectInput[[#This Row],[Energy Cost Savings ($)]], "")</f>
        <v/>
      </c>
    </row>
    <row r="174" spans="2:32" s="175" customFormat="1" ht="40" customHeight="1">
      <c r="B174" s="213">
        <v>171</v>
      </c>
      <c r="C174" s="223"/>
      <c r="D174" s="224"/>
      <c r="E174" s="183"/>
      <c r="F174" s="167"/>
      <c r="G174" s="184"/>
      <c r="H174" s="167"/>
      <c r="I174" s="184"/>
      <c r="J1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4" s="183"/>
      <c r="L174" s="167"/>
      <c r="M174" s="184"/>
      <c r="N174" s="184"/>
      <c r="O174" s="184"/>
      <c r="P174" s="177" t="str">
        <f>IF(ProjectInput[[#This Row],[Existing Fixture Code]]=0, "",INDEX(Table7[WATT/ FIXT], MATCH(ProjectInput[[#This Row],[Existing Fixture Code]], Table7[FIXTURE CODE], 0)))</f>
        <v/>
      </c>
      <c r="Q174" s="183"/>
      <c r="R174" s="167"/>
      <c r="S174" s="184"/>
      <c r="T174" s="184"/>
      <c r="U174" s="184"/>
      <c r="V174" s="184"/>
      <c r="W174" s="167"/>
      <c r="X174" s="185"/>
      <c r="Y174" s="179" t="str">
        <f>IF(ProjectInput[[#This Row],[Proposed Fixture Code]]=0, "", INDEX(Table7[WATT/ FIXT], MATCH(ProjectInput[[#This Row],[Proposed Fixture Code]], Table7[FIXTURE CODE],0 )))</f>
        <v/>
      </c>
      <c r="Z174" s="180">
        <f>INDEX(ReviewCalcs[Incentive Total Energy Savings (kWh)], MATCH(ProjectInput[[#This Row],[Project Index]], ReviewCalcs[Project Index], 0))</f>
        <v>0</v>
      </c>
      <c r="AA174" s="172">
        <f>INDEX(ReviewCalcs[Incentive Total Demand Savings (kW)], MATCH(ProjectInput[[#This Row],[Project Index]], ReviewCalcs[Project Index], 0))</f>
        <v>0</v>
      </c>
      <c r="AB174" s="181">
        <f>ProjectInput[[#This Row],[Energy Savings (kWh)]]*Avg_KWh_Rate</f>
        <v>0</v>
      </c>
      <c r="AC174" s="173">
        <f>IF(C174="", 0, IF(C174="Cust.", INDEX(ReviewCalcs[Incentive ($)], MATCH(ProjectInput[[#This Row],[Project Index]], ReviewCalcs[Project Index], 0)), IF(AND(C174="Pres.", D174="1 to 6"), 3*Q174, IF(AND(C174="Pres.", D174="7 to 11"), 4*Q174, IF(AND(C174="Pres.", D174="12 to 17"), 5*Q174, IF(AND(C174="Pres.", D174="Exit Sign"), 20*Q174, IF(AND(C174="Pres.", D174="&gt; 18"), 6*Q174)))))))</f>
        <v>0</v>
      </c>
      <c r="AD174" s="181">
        <f>ProjectInput[[#This Row],[Retrofit Cost]]</f>
        <v>0</v>
      </c>
      <c r="AE174" s="181">
        <f>ProjectInput[[#This Row],[Retrofit Cost]]-ProjectInput[[#This Row],[Incentive ($)]]</f>
        <v>0</v>
      </c>
      <c r="AF174" s="182" t="str">
        <f>IFERROR(ProjectInput[[#This Row],[Net Project Cost ($)]]/ProjectInput[[#This Row],[Energy Cost Savings ($)]], "")</f>
        <v/>
      </c>
    </row>
    <row r="175" spans="2:32" s="175" customFormat="1" ht="40" customHeight="1">
      <c r="B175" s="213">
        <v>172</v>
      </c>
      <c r="C175" s="220"/>
      <c r="D175" s="219"/>
      <c r="E175" s="183"/>
      <c r="F175" s="167"/>
      <c r="G175" s="184"/>
      <c r="H175" s="167"/>
      <c r="I175" s="184"/>
      <c r="J1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5" s="183"/>
      <c r="L175" s="167"/>
      <c r="M175" s="184"/>
      <c r="N175" s="184"/>
      <c r="O175" s="184"/>
      <c r="P175" s="177" t="str">
        <f>IF(ProjectInput[[#This Row],[Existing Fixture Code]]=0, "",INDEX(Table7[WATT/ FIXT], MATCH(ProjectInput[[#This Row],[Existing Fixture Code]], Table7[FIXTURE CODE], 0)))</f>
        <v/>
      </c>
      <c r="Q175" s="183"/>
      <c r="R175" s="167"/>
      <c r="S175" s="184"/>
      <c r="T175" s="184"/>
      <c r="U175" s="184"/>
      <c r="V175" s="184"/>
      <c r="W175" s="167"/>
      <c r="X175" s="185"/>
      <c r="Y175" s="179" t="str">
        <f>IF(ProjectInput[[#This Row],[Proposed Fixture Code]]=0, "", INDEX(Table7[WATT/ FIXT], MATCH(ProjectInput[[#This Row],[Proposed Fixture Code]], Table7[FIXTURE CODE],0 )))</f>
        <v/>
      </c>
      <c r="Z175" s="180">
        <f>INDEX(ReviewCalcs[Incentive Total Energy Savings (kWh)], MATCH(ProjectInput[[#This Row],[Project Index]], ReviewCalcs[Project Index], 0))</f>
        <v>0</v>
      </c>
      <c r="AA175" s="172">
        <f>INDEX(ReviewCalcs[Incentive Total Demand Savings (kW)], MATCH(ProjectInput[[#This Row],[Project Index]], ReviewCalcs[Project Index], 0))</f>
        <v>0</v>
      </c>
      <c r="AB175" s="181">
        <f>ProjectInput[[#This Row],[Energy Savings (kWh)]]*Avg_KWh_Rate</f>
        <v>0</v>
      </c>
      <c r="AC175" s="173">
        <f>IF(C175="", 0, IF(C175="Cust.", INDEX(ReviewCalcs[Incentive ($)], MATCH(ProjectInput[[#This Row],[Project Index]], ReviewCalcs[Project Index], 0)), IF(AND(C175="Pres.", D175="1 to 6"), 3*Q175, IF(AND(C175="Pres.", D175="7 to 11"), 4*Q175, IF(AND(C175="Pres.", D175="12 to 17"), 5*Q175, IF(AND(C175="Pres.", D175="Exit Sign"), 20*Q175, IF(AND(C175="Pres.", D175="&gt; 18"), 6*Q175)))))))</f>
        <v>0</v>
      </c>
      <c r="AD175" s="181">
        <f>ProjectInput[[#This Row],[Retrofit Cost]]</f>
        <v>0</v>
      </c>
      <c r="AE175" s="181">
        <f>ProjectInput[[#This Row],[Retrofit Cost]]-ProjectInput[[#This Row],[Incentive ($)]]</f>
        <v>0</v>
      </c>
      <c r="AF175" s="182" t="str">
        <f>IFERROR(ProjectInput[[#This Row],[Net Project Cost ($)]]/ProjectInput[[#This Row],[Energy Cost Savings ($)]], "")</f>
        <v/>
      </c>
    </row>
    <row r="176" spans="2:32" s="175" customFormat="1" ht="40" customHeight="1">
      <c r="B176" s="213">
        <v>173</v>
      </c>
      <c r="C176" s="223"/>
      <c r="D176" s="224"/>
      <c r="E176" s="183"/>
      <c r="F176" s="167"/>
      <c r="G176" s="184"/>
      <c r="H176" s="167"/>
      <c r="I176" s="184"/>
      <c r="J1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6" s="183"/>
      <c r="L176" s="167"/>
      <c r="M176" s="184"/>
      <c r="N176" s="184"/>
      <c r="O176" s="184"/>
      <c r="P176" s="177" t="str">
        <f>IF(ProjectInput[[#This Row],[Existing Fixture Code]]=0, "",INDEX(Table7[WATT/ FIXT], MATCH(ProjectInput[[#This Row],[Existing Fixture Code]], Table7[FIXTURE CODE], 0)))</f>
        <v/>
      </c>
      <c r="Q176" s="183"/>
      <c r="R176" s="167"/>
      <c r="S176" s="184"/>
      <c r="T176" s="184"/>
      <c r="U176" s="184"/>
      <c r="V176" s="184"/>
      <c r="W176" s="167"/>
      <c r="X176" s="185"/>
      <c r="Y176" s="179" t="str">
        <f>IF(ProjectInput[[#This Row],[Proposed Fixture Code]]=0, "", INDEX(Table7[WATT/ FIXT], MATCH(ProjectInput[[#This Row],[Proposed Fixture Code]], Table7[FIXTURE CODE],0 )))</f>
        <v/>
      </c>
      <c r="Z176" s="180">
        <f>INDEX(ReviewCalcs[Incentive Total Energy Savings (kWh)], MATCH(ProjectInput[[#This Row],[Project Index]], ReviewCalcs[Project Index], 0))</f>
        <v>0</v>
      </c>
      <c r="AA176" s="172">
        <f>INDEX(ReviewCalcs[Incentive Total Demand Savings (kW)], MATCH(ProjectInput[[#This Row],[Project Index]], ReviewCalcs[Project Index], 0))</f>
        <v>0</v>
      </c>
      <c r="AB176" s="181">
        <f>ProjectInput[[#This Row],[Energy Savings (kWh)]]*Avg_KWh_Rate</f>
        <v>0</v>
      </c>
      <c r="AC176" s="173">
        <f>IF(C176="", 0, IF(C176="Cust.", INDEX(ReviewCalcs[Incentive ($)], MATCH(ProjectInput[[#This Row],[Project Index]], ReviewCalcs[Project Index], 0)), IF(AND(C176="Pres.", D176="1 to 6"), 3*Q176, IF(AND(C176="Pres.", D176="7 to 11"), 4*Q176, IF(AND(C176="Pres.", D176="12 to 17"), 5*Q176, IF(AND(C176="Pres.", D176="Exit Sign"), 20*Q176, IF(AND(C176="Pres.", D176="&gt; 18"), 6*Q176)))))))</f>
        <v>0</v>
      </c>
      <c r="AD176" s="181">
        <f>ProjectInput[[#This Row],[Retrofit Cost]]</f>
        <v>0</v>
      </c>
      <c r="AE176" s="181">
        <f>ProjectInput[[#This Row],[Retrofit Cost]]-ProjectInput[[#This Row],[Incentive ($)]]</f>
        <v>0</v>
      </c>
      <c r="AF176" s="182" t="str">
        <f>IFERROR(ProjectInput[[#This Row],[Net Project Cost ($)]]/ProjectInput[[#This Row],[Energy Cost Savings ($)]], "")</f>
        <v/>
      </c>
    </row>
    <row r="177" spans="2:32" s="175" customFormat="1" ht="40" customHeight="1">
      <c r="B177" s="213">
        <v>174</v>
      </c>
      <c r="C177" s="220"/>
      <c r="D177" s="219"/>
      <c r="E177" s="183"/>
      <c r="F177" s="167"/>
      <c r="G177" s="184"/>
      <c r="H177" s="167"/>
      <c r="I177" s="184"/>
      <c r="J1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7" s="183"/>
      <c r="L177" s="167"/>
      <c r="M177" s="184"/>
      <c r="N177" s="184"/>
      <c r="O177" s="184"/>
      <c r="P177" s="177" t="str">
        <f>IF(ProjectInput[[#This Row],[Existing Fixture Code]]=0, "",INDEX(Table7[WATT/ FIXT], MATCH(ProjectInput[[#This Row],[Existing Fixture Code]], Table7[FIXTURE CODE], 0)))</f>
        <v/>
      </c>
      <c r="Q177" s="183"/>
      <c r="R177" s="167"/>
      <c r="S177" s="184"/>
      <c r="T177" s="184"/>
      <c r="U177" s="184"/>
      <c r="V177" s="184"/>
      <c r="W177" s="167"/>
      <c r="X177" s="185"/>
      <c r="Y177" s="179" t="str">
        <f>IF(ProjectInput[[#This Row],[Proposed Fixture Code]]=0, "", INDEX(Table7[WATT/ FIXT], MATCH(ProjectInput[[#This Row],[Proposed Fixture Code]], Table7[FIXTURE CODE],0 )))</f>
        <v/>
      </c>
      <c r="Z177" s="180">
        <f>INDEX(ReviewCalcs[Incentive Total Energy Savings (kWh)], MATCH(ProjectInput[[#This Row],[Project Index]], ReviewCalcs[Project Index], 0))</f>
        <v>0</v>
      </c>
      <c r="AA177" s="172">
        <f>INDEX(ReviewCalcs[Incentive Total Demand Savings (kW)], MATCH(ProjectInput[[#This Row],[Project Index]], ReviewCalcs[Project Index], 0))</f>
        <v>0</v>
      </c>
      <c r="AB177" s="181">
        <f>ProjectInput[[#This Row],[Energy Savings (kWh)]]*Avg_KWh_Rate</f>
        <v>0</v>
      </c>
      <c r="AC177" s="173">
        <f>IF(C177="", 0, IF(C177="Cust.", INDEX(ReviewCalcs[Incentive ($)], MATCH(ProjectInput[[#This Row],[Project Index]], ReviewCalcs[Project Index], 0)), IF(AND(C177="Pres.", D177="1 to 6"), 3*Q177, IF(AND(C177="Pres.", D177="7 to 11"), 4*Q177, IF(AND(C177="Pres.", D177="12 to 17"), 5*Q177, IF(AND(C177="Pres.", D177="Exit Sign"), 20*Q177, IF(AND(C177="Pres.", D177="&gt; 18"), 6*Q177)))))))</f>
        <v>0</v>
      </c>
      <c r="AD177" s="181">
        <f>ProjectInput[[#This Row],[Retrofit Cost]]</f>
        <v>0</v>
      </c>
      <c r="AE177" s="181">
        <f>ProjectInput[[#This Row],[Retrofit Cost]]-ProjectInput[[#This Row],[Incentive ($)]]</f>
        <v>0</v>
      </c>
      <c r="AF177" s="182" t="str">
        <f>IFERROR(ProjectInput[[#This Row],[Net Project Cost ($)]]/ProjectInput[[#This Row],[Energy Cost Savings ($)]], "")</f>
        <v/>
      </c>
    </row>
    <row r="178" spans="2:32" s="175" customFormat="1" ht="40" customHeight="1">
      <c r="B178" s="213">
        <v>175</v>
      </c>
      <c r="C178" s="223"/>
      <c r="D178" s="224"/>
      <c r="E178" s="183"/>
      <c r="F178" s="167"/>
      <c r="G178" s="184"/>
      <c r="H178" s="167"/>
      <c r="I178" s="184"/>
      <c r="J1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8" s="183"/>
      <c r="L178" s="167"/>
      <c r="M178" s="184"/>
      <c r="N178" s="184"/>
      <c r="O178" s="184"/>
      <c r="P178" s="177" t="str">
        <f>IF(ProjectInput[[#This Row],[Existing Fixture Code]]=0, "",INDEX(Table7[WATT/ FIXT], MATCH(ProjectInput[[#This Row],[Existing Fixture Code]], Table7[FIXTURE CODE], 0)))</f>
        <v/>
      </c>
      <c r="Q178" s="183"/>
      <c r="R178" s="167"/>
      <c r="S178" s="184"/>
      <c r="T178" s="184"/>
      <c r="U178" s="184"/>
      <c r="V178" s="184"/>
      <c r="W178" s="167"/>
      <c r="X178" s="185"/>
      <c r="Y178" s="179" t="str">
        <f>IF(ProjectInput[[#This Row],[Proposed Fixture Code]]=0, "", INDEX(Table7[WATT/ FIXT], MATCH(ProjectInput[[#This Row],[Proposed Fixture Code]], Table7[FIXTURE CODE],0 )))</f>
        <v/>
      </c>
      <c r="Z178" s="180">
        <f>INDEX(ReviewCalcs[Incentive Total Energy Savings (kWh)], MATCH(ProjectInput[[#This Row],[Project Index]], ReviewCalcs[Project Index], 0))</f>
        <v>0</v>
      </c>
      <c r="AA178" s="172">
        <f>INDEX(ReviewCalcs[Incentive Total Demand Savings (kW)], MATCH(ProjectInput[[#This Row],[Project Index]], ReviewCalcs[Project Index], 0))</f>
        <v>0</v>
      </c>
      <c r="AB178" s="181">
        <f>ProjectInput[[#This Row],[Energy Savings (kWh)]]*Avg_KWh_Rate</f>
        <v>0</v>
      </c>
      <c r="AC178" s="173">
        <f>IF(C178="", 0, IF(C178="Cust.", INDEX(ReviewCalcs[Incentive ($)], MATCH(ProjectInput[[#This Row],[Project Index]], ReviewCalcs[Project Index], 0)), IF(AND(C178="Pres.", D178="1 to 6"), 3*Q178, IF(AND(C178="Pres.", D178="7 to 11"), 4*Q178, IF(AND(C178="Pres.", D178="12 to 17"), 5*Q178, IF(AND(C178="Pres.", D178="Exit Sign"), 20*Q178, IF(AND(C178="Pres.", D178="&gt; 18"), 6*Q178)))))))</f>
        <v>0</v>
      </c>
      <c r="AD178" s="181">
        <f>ProjectInput[[#This Row],[Retrofit Cost]]</f>
        <v>0</v>
      </c>
      <c r="AE178" s="181">
        <f>ProjectInput[[#This Row],[Retrofit Cost]]-ProjectInput[[#This Row],[Incentive ($)]]</f>
        <v>0</v>
      </c>
      <c r="AF178" s="182" t="str">
        <f>IFERROR(ProjectInput[[#This Row],[Net Project Cost ($)]]/ProjectInput[[#This Row],[Energy Cost Savings ($)]], "")</f>
        <v/>
      </c>
    </row>
    <row r="179" spans="2:32" s="175" customFormat="1" ht="40" customHeight="1">
      <c r="B179" s="213">
        <v>176</v>
      </c>
      <c r="C179" s="220"/>
      <c r="D179" s="219"/>
      <c r="E179" s="183"/>
      <c r="F179" s="167"/>
      <c r="G179" s="184"/>
      <c r="H179" s="167"/>
      <c r="I179" s="184"/>
      <c r="J1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79" s="183"/>
      <c r="L179" s="167"/>
      <c r="M179" s="184"/>
      <c r="N179" s="184"/>
      <c r="O179" s="184"/>
      <c r="P179" s="177" t="str">
        <f>IF(ProjectInput[[#This Row],[Existing Fixture Code]]=0, "",INDEX(Table7[WATT/ FIXT], MATCH(ProjectInput[[#This Row],[Existing Fixture Code]], Table7[FIXTURE CODE], 0)))</f>
        <v/>
      </c>
      <c r="Q179" s="183"/>
      <c r="R179" s="167"/>
      <c r="S179" s="184"/>
      <c r="T179" s="184"/>
      <c r="U179" s="184"/>
      <c r="V179" s="184"/>
      <c r="W179" s="167"/>
      <c r="X179" s="185"/>
      <c r="Y179" s="179" t="str">
        <f>IF(ProjectInput[[#This Row],[Proposed Fixture Code]]=0, "", INDEX(Table7[WATT/ FIXT], MATCH(ProjectInput[[#This Row],[Proposed Fixture Code]], Table7[FIXTURE CODE],0 )))</f>
        <v/>
      </c>
      <c r="Z179" s="180">
        <f>INDEX(ReviewCalcs[Incentive Total Energy Savings (kWh)], MATCH(ProjectInput[[#This Row],[Project Index]], ReviewCalcs[Project Index], 0))</f>
        <v>0</v>
      </c>
      <c r="AA179" s="172">
        <f>INDEX(ReviewCalcs[Incentive Total Demand Savings (kW)], MATCH(ProjectInput[[#This Row],[Project Index]], ReviewCalcs[Project Index], 0))</f>
        <v>0</v>
      </c>
      <c r="AB179" s="181">
        <f>ProjectInput[[#This Row],[Energy Savings (kWh)]]*Avg_KWh_Rate</f>
        <v>0</v>
      </c>
      <c r="AC179" s="173">
        <f>IF(C179="", 0, IF(C179="Cust.", INDEX(ReviewCalcs[Incentive ($)], MATCH(ProjectInput[[#This Row],[Project Index]], ReviewCalcs[Project Index], 0)), IF(AND(C179="Pres.", D179="1 to 6"), 3*Q179, IF(AND(C179="Pres.", D179="7 to 11"), 4*Q179, IF(AND(C179="Pres.", D179="12 to 17"), 5*Q179, IF(AND(C179="Pres.", D179="Exit Sign"), 20*Q179, IF(AND(C179="Pres.", D179="&gt; 18"), 6*Q179)))))))</f>
        <v>0</v>
      </c>
      <c r="AD179" s="181">
        <f>ProjectInput[[#This Row],[Retrofit Cost]]</f>
        <v>0</v>
      </c>
      <c r="AE179" s="181">
        <f>ProjectInput[[#This Row],[Retrofit Cost]]-ProjectInput[[#This Row],[Incentive ($)]]</f>
        <v>0</v>
      </c>
      <c r="AF179" s="182" t="str">
        <f>IFERROR(ProjectInput[[#This Row],[Net Project Cost ($)]]/ProjectInput[[#This Row],[Energy Cost Savings ($)]], "")</f>
        <v/>
      </c>
    </row>
    <row r="180" spans="2:32" s="175" customFormat="1" ht="40" customHeight="1">
      <c r="B180" s="213">
        <v>177</v>
      </c>
      <c r="C180" s="223"/>
      <c r="D180" s="224"/>
      <c r="E180" s="183"/>
      <c r="F180" s="167"/>
      <c r="G180" s="184"/>
      <c r="H180" s="167"/>
      <c r="I180" s="184"/>
      <c r="J1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0" s="183"/>
      <c r="L180" s="167"/>
      <c r="M180" s="184"/>
      <c r="N180" s="184"/>
      <c r="O180" s="184"/>
      <c r="P180" s="177" t="str">
        <f>IF(ProjectInput[[#This Row],[Existing Fixture Code]]=0, "",INDEX(Table7[WATT/ FIXT], MATCH(ProjectInput[[#This Row],[Existing Fixture Code]], Table7[FIXTURE CODE], 0)))</f>
        <v/>
      </c>
      <c r="Q180" s="183"/>
      <c r="R180" s="167"/>
      <c r="S180" s="184"/>
      <c r="T180" s="184"/>
      <c r="U180" s="184"/>
      <c r="V180" s="184"/>
      <c r="W180" s="167"/>
      <c r="X180" s="185"/>
      <c r="Y180" s="179" t="str">
        <f>IF(ProjectInput[[#This Row],[Proposed Fixture Code]]=0, "", INDEX(Table7[WATT/ FIXT], MATCH(ProjectInput[[#This Row],[Proposed Fixture Code]], Table7[FIXTURE CODE],0 )))</f>
        <v/>
      </c>
      <c r="Z180" s="180">
        <f>INDEX(ReviewCalcs[Incentive Total Energy Savings (kWh)], MATCH(ProjectInput[[#This Row],[Project Index]], ReviewCalcs[Project Index], 0))</f>
        <v>0</v>
      </c>
      <c r="AA180" s="172">
        <f>INDEX(ReviewCalcs[Incentive Total Demand Savings (kW)], MATCH(ProjectInput[[#This Row],[Project Index]], ReviewCalcs[Project Index], 0))</f>
        <v>0</v>
      </c>
      <c r="AB180" s="181">
        <f>ProjectInput[[#This Row],[Energy Savings (kWh)]]*Avg_KWh_Rate</f>
        <v>0</v>
      </c>
      <c r="AC180" s="173">
        <f>IF(C180="", 0, IF(C180="Cust.", INDEX(ReviewCalcs[Incentive ($)], MATCH(ProjectInput[[#This Row],[Project Index]], ReviewCalcs[Project Index], 0)), IF(AND(C180="Pres.", D180="1 to 6"), 3*Q180, IF(AND(C180="Pres.", D180="7 to 11"), 4*Q180, IF(AND(C180="Pres.", D180="12 to 17"), 5*Q180, IF(AND(C180="Pres.", D180="Exit Sign"), 20*Q180, IF(AND(C180="Pres.", D180="&gt; 18"), 6*Q180)))))))</f>
        <v>0</v>
      </c>
      <c r="AD180" s="181">
        <f>ProjectInput[[#This Row],[Retrofit Cost]]</f>
        <v>0</v>
      </c>
      <c r="AE180" s="181">
        <f>ProjectInput[[#This Row],[Retrofit Cost]]-ProjectInput[[#This Row],[Incentive ($)]]</f>
        <v>0</v>
      </c>
      <c r="AF180" s="182" t="str">
        <f>IFERROR(ProjectInput[[#This Row],[Net Project Cost ($)]]/ProjectInput[[#This Row],[Energy Cost Savings ($)]], "")</f>
        <v/>
      </c>
    </row>
    <row r="181" spans="2:32" s="175" customFormat="1" ht="40" customHeight="1">
      <c r="B181" s="213">
        <v>178</v>
      </c>
      <c r="C181" s="220"/>
      <c r="D181" s="219"/>
      <c r="E181" s="183"/>
      <c r="F181" s="167"/>
      <c r="G181" s="184"/>
      <c r="H181" s="167"/>
      <c r="I181" s="184"/>
      <c r="J1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1" s="183"/>
      <c r="L181" s="167"/>
      <c r="M181" s="184"/>
      <c r="N181" s="184"/>
      <c r="O181" s="184"/>
      <c r="P181" s="177" t="str">
        <f>IF(ProjectInput[[#This Row],[Existing Fixture Code]]=0, "",INDEX(Table7[WATT/ FIXT], MATCH(ProjectInput[[#This Row],[Existing Fixture Code]], Table7[FIXTURE CODE], 0)))</f>
        <v/>
      </c>
      <c r="Q181" s="183"/>
      <c r="R181" s="167"/>
      <c r="S181" s="184"/>
      <c r="T181" s="184"/>
      <c r="U181" s="184"/>
      <c r="V181" s="184"/>
      <c r="W181" s="167"/>
      <c r="X181" s="185"/>
      <c r="Y181" s="179" t="str">
        <f>IF(ProjectInput[[#This Row],[Proposed Fixture Code]]=0, "", INDEX(Table7[WATT/ FIXT], MATCH(ProjectInput[[#This Row],[Proposed Fixture Code]], Table7[FIXTURE CODE],0 )))</f>
        <v/>
      </c>
      <c r="Z181" s="180">
        <f>INDEX(ReviewCalcs[Incentive Total Energy Savings (kWh)], MATCH(ProjectInput[[#This Row],[Project Index]], ReviewCalcs[Project Index], 0))</f>
        <v>0</v>
      </c>
      <c r="AA181" s="172">
        <f>INDEX(ReviewCalcs[Incentive Total Demand Savings (kW)], MATCH(ProjectInput[[#This Row],[Project Index]], ReviewCalcs[Project Index], 0))</f>
        <v>0</v>
      </c>
      <c r="AB181" s="181">
        <f>ProjectInput[[#This Row],[Energy Savings (kWh)]]*Avg_KWh_Rate</f>
        <v>0</v>
      </c>
      <c r="AC181" s="173">
        <f>IF(C181="", 0, IF(C181="Cust.", INDEX(ReviewCalcs[Incentive ($)], MATCH(ProjectInput[[#This Row],[Project Index]], ReviewCalcs[Project Index], 0)), IF(AND(C181="Pres.", D181="1 to 6"), 3*Q181, IF(AND(C181="Pres.", D181="7 to 11"), 4*Q181, IF(AND(C181="Pres.", D181="12 to 17"), 5*Q181, IF(AND(C181="Pres.", D181="Exit Sign"), 20*Q181, IF(AND(C181="Pres.", D181="&gt; 18"), 6*Q181)))))))</f>
        <v>0</v>
      </c>
      <c r="AD181" s="181">
        <f>ProjectInput[[#This Row],[Retrofit Cost]]</f>
        <v>0</v>
      </c>
      <c r="AE181" s="181">
        <f>ProjectInput[[#This Row],[Retrofit Cost]]-ProjectInput[[#This Row],[Incentive ($)]]</f>
        <v>0</v>
      </c>
      <c r="AF181" s="182" t="str">
        <f>IFERROR(ProjectInput[[#This Row],[Net Project Cost ($)]]/ProjectInput[[#This Row],[Energy Cost Savings ($)]], "")</f>
        <v/>
      </c>
    </row>
    <row r="182" spans="2:32" s="175" customFormat="1" ht="40" customHeight="1">
      <c r="B182" s="213">
        <v>179</v>
      </c>
      <c r="C182" s="223"/>
      <c r="D182" s="224"/>
      <c r="E182" s="183"/>
      <c r="F182" s="167"/>
      <c r="G182" s="184"/>
      <c r="H182" s="167"/>
      <c r="I182" s="184"/>
      <c r="J1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2" s="183"/>
      <c r="L182" s="167"/>
      <c r="M182" s="184"/>
      <c r="N182" s="184"/>
      <c r="O182" s="184"/>
      <c r="P182" s="177" t="str">
        <f>IF(ProjectInput[[#This Row],[Existing Fixture Code]]=0, "",INDEX(Table7[WATT/ FIXT], MATCH(ProjectInput[[#This Row],[Existing Fixture Code]], Table7[FIXTURE CODE], 0)))</f>
        <v/>
      </c>
      <c r="Q182" s="183"/>
      <c r="R182" s="167"/>
      <c r="S182" s="184"/>
      <c r="T182" s="184"/>
      <c r="U182" s="184"/>
      <c r="V182" s="184"/>
      <c r="W182" s="167"/>
      <c r="X182" s="185"/>
      <c r="Y182" s="179" t="str">
        <f>IF(ProjectInput[[#This Row],[Proposed Fixture Code]]=0, "", INDEX(Table7[WATT/ FIXT], MATCH(ProjectInput[[#This Row],[Proposed Fixture Code]], Table7[FIXTURE CODE],0 )))</f>
        <v/>
      </c>
      <c r="Z182" s="180">
        <f>INDEX(ReviewCalcs[Incentive Total Energy Savings (kWh)], MATCH(ProjectInput[[#This Row],[Project Index]], ReviewCalcs[Project Index], 0))</f>
        <v>0</v>
      </c>
      <c r="AA182" s="172">
        <f>INDEX(ReviewCalcs[Incentive Total Demand Savings (kW)], MATCH(ProjectInput[[#This Row],[Project Index]], ReviewCalcs[Project Index], 0))</f>
        <v>0</v>
      </c>
      <c r="AB182" s="181">
        <f>ProjectInput[[#This Row],[Energy Savings (kWh)]]*Avg_KWh_Rate</f>
        <v>0</v>
      </c>
      <c r="AC182" s="173">
        <f>IF(C182="", 0, IF(C182="Cust.", INDEX(ReviewCalcs[Incentive ($)], MATCH(ProjectInput[[#This Row],[Project Index]], ReviewCalcs[Project Index], 0)), IF(AND(C182="Pres.", D182="1 to 6"), 3*Q182, IF(AND(C182="Pres.", D182="7 to 11"), 4*Q182, IF(AND(C182="Pres.", D182="12 to 17"), 5*Q182, IF(AND(C182="Pres.", D182="Exit Sign"), 20*Q182, IF(AND(C182="Pres.", D182="&gt; 18"), 6*Q182)))))))</f>
        <v>0</v>
      </c>
      <c r="AD182" s="181">
        <f>ProjectInput[[#This Row],[Retrofit Cost]]</f>
        <v>0</v>
      </c>
      <c r="AE182" s="181">
        <f>ProjectInput[[#This Row],[Retrofit Cost]]-ProjectInput[[#This Row],[Incentive ($)]]</f>
        <v>0</v>
      </c>
      <c r="AF182" s="182" t="str">
        <f>IFERROR(ProjectInput[[#This Row],[Net Project Cost ($)]]/ProjectInput[[#This Row],[Energy Cost Savings ($)]], "")</f>
        <v/>
      </c>
    </row>
    <row r="183" spans="2:32" s="175" customFormat="1" ht="40" customHeight="1">
      <c r="B183" s="213">
        <v>180</v>
      </c>
      <c r="C183" s="220"/>
      <c r="D183" s="219"/>
      <c r="E183" s="183"/>
      <c r="F183" s="167"/>
      <c r="G183" s="184"/>
      <c r="H183" s="167"/>
      <c r="I183" s="184"/>
      <c r="J1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3" s="183"/>
      <c r="L183" s="167"/>
      <c r="M183" s="184"/>
      <c r="N183" s="184"/>
      <c r="O183" s="184"/>
      <c r="P183" s="177" t="str">
        <f>IF(ProjectInput[[#This Row],[Existing Fixture Code]]=0, "",INDEX(Table7[WATT/ FIXT], MATCH(ProjectInput[[#This Row],[Existing Fixture Code]], Table7[FIXTURE CODE], 0)))</f>
        <v/>
      </c>
      <c r="Q183" s="183"/>
      <c r="R183" s="167"/>
      <c r="S183" s="184"/>
      <c r="T183" s="184"/>
      <c r="U183" s="184"/>
      <c r="V183" s="184"/>
      <c r="W183" s="167"/>
      <c r="X183" s="185"/>
      <c r="Y183" s="179" t="str">
        <f>IF(ProjectInput[[#This Row],[Proposed Fixture Code]]=0, "", INDEX(Table7[WATT/ FIXT], MATCH(ProjectInput[[#This Row],[Proposed Fixture Code]], Table7[FIXTURE CODE],0 )))</f>
        <v/>
      </c>
      <c r="Z183" s="180">
        <f>INDEX(ReviewCalcs[Incentive Total Energy Savings (kWh)], MATCH(ProjectInput[[#This Row],[Project Index]], ReviewCalcs[Project Index], 0))</f>
        <v>0</v>
      </c>
      <c r="AA183" s="172">
        <f>INDEX(ReviewCalcs[Incentive Total Demand Savings (kW)], MATCH(ProjectInput[[#This Row],[Project Index]], ReviewCalcs[Project Index], 0))</f>
        <v>0</v>
      </c>
      <c r="AB183" s="181">
        <f>ProjectInput[[#This Row],[Energy Savings (kWh)]]*Avg_KWh_Rate</f>
        <v>0</v>
      </c>
      <c r="AC183" s="173">
        <f>IF(C183="", 0, IF(C183="Cust.", INDEX(ReviewCalcs[Incentive ($)], MATCH(ProjectInput[[#This Row],[Project Index]], ReviewCalcs[Project Index], 0)), IF(AND(C183="Pres.", D183="1 to 6"), 3*Q183, IF(AND(C183="Pres.", D183="7 to 11"), 4*Q183, IF(AND(C183="Pres.", D183="12 to 17"), 5*Q183, IF(AND(C183="Pres.", D183="Exit Sign"), 20*Q183, IF(AND(C183="Pres.", D183="&gt; 18"), 6*Q183)))))))</f>
        <v>0</v>
      </c>
      <c r="AD183" s="181">
        <f>ProjectInput[[#This Row],[Retrofit Cost]]</f>
        <v>0</v>
      </c>
      <c r="AE183" s="181">
        <f>ProjectInput[[#This Row],[Retrofit Cost]]-ProjectInput[[#This Row],[Incentive ($)]]</f>
        <v>0</v>
      </c>
      <c r="AF183" s="182" t="str">
        <f>IFERROR(ProjectInput[[#This Row],[Net Project Cost ($)]]/ProjectInput[[#This Row],[Energy Cost Savings ($)]], "")</f>
        <v/>
      </c>
    </row>
    <row r="184" spans="2:32" s="175" customFormat="1" ht="40" customHeight="1">
      <c r="B184" s="213">
        <v>181</v>
      </c>
      <c r="C184" s="223"/>
      <c r="D184" s="224"/>
      <c r="E184" s="183"/>
      <c r="F184" s="167"/>
      <c r="G184" s="184"/>
      <c r="H184" s="167"/>
      <c r="I184" s="184"/>
      <c r="J1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4" s="183"/>
      <c r="L184" s="167"/>
      <c r="M184" s="184"/>
      <c r="N184" s="184"/>
      <c r="O184" s="184"/>
      <c r="P184" s="177" t="str">
        <f>IF(ProjectInput[[#This Row],[Existing Fixture Code]]=0, "",INDEX(Table7[WATT/ FIXT], MATCH(ProjectInput[[#This Row],[Existing Fixture Code]], Table7[FIXTURE CODE], 0)))</f>
        <v/>
      </c>
      <c r="Q184" s="183"/>
      <c r="R184" s="167"/>
      <c r="S184" s="184"/>
      <c r="T184" s="184"/>
      <c r="U184" s="184"/>
      <c r="V184" s="184"/>
      <c r="W184" s="167"/>
      <c r="X184" s="185"/>
      <c r="Y184" s="179" t="str">
        <f>IF(ProjectInput[[#This Row],[Proposed Fixture Code]]=0, "", INDEX(Table7[WATT/ FIXT], MATCH(ProjectInput[[#This Row],[Proposed Fixture Code]], Table7[FIXTURE CODE],0 )))</f>
        <v/>
      </c>
      <c r="Z184" s="180">
        <f>INDEX(ReviewCalcs[Incentive Total Energy Savings (kWh)], MATCH(ProjectInput[[#This Row],[Project Index]], ReviewCalcs[Project Index], 0))</f>
        <v>0</v>
      </c>
      <c r="AA184" s="172">
        <f>INDEX(ReviewCalcs[Incentive Total Demand Savings (kW)], MATCH(ProjectInput[[#This Row],[Project Index]], ReviewCalcs[Project Index], 0))</f>
        <v>0</v>
      </c>
      <c r="AB184" s="181">
        <f>ProjectInput[[#This Row],[Energy Savings (kWh)]]*Avg_KWh_Rate</f>
        <v>0</v>
      </c>
      <c r="AC184" s="173">
        <f>IF(C184="", 0, IF(C184="Cust.", INDEX(ReviewCalcs[Incentive ($)], MATCH(ProjectInput[[#This Row],[Project Index]], ReviewCalcs[Project Index], 0)), IF(AND(C184="Pres.", D184="1 to 6"), 3*Q184, IF(AND(C184="Pres.", D184="7 to 11"), 4*Q184, IF(AND(C184="Pres.", D184="12 to 17"), 5*Q184, IF(AND(C184="Pres.", D184="Exit Sign"), 20*Q184, IF(AND(C184="Pres.", D184="&gt; 18"), 6*Q184)))))))</f>
        <v>0</v>
      </c>
      <c r="AD184" s="181">
        <f>ProjectInput[[#This Row],[Retrofit Cost]]</f>
        <v>0</v>
      </c>
      <c r="AE184" s="181">
        <f>ProjectInput[[#This Row],[Retrofit Cost]]-ProjectInput[[#This Row],[Incentive ($)]]</f>
        <v>0</v>
      </c>
      <c r="AF184" s="182" t="str">
        <f>IFERROR(ProjectInput[[#This Row],[Net Project Cost ($)]]/ProjectInput[[#This Row],[Energy Cost Savings ($)]], "")</f>
        <v/>
      </c>
    </row>
    <row r="185" spans="2:32" s="175" customFormat="1" ht="40" customHeight="1">
      <c r="B185" s="213">
        <v>182</v>
      </c>
      <c r="C185" s="220"/>
      <c r="D185" s="219"/>
      <c r="E185" s="183"/>
      <c r="F185" s="167"/>
      <c r="G185" s="184"/>
      <c r="H185" s="167"/>
      <c r="I185" s="184"/>
      <c r="J1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5" s="183"/>
      <c r="L185" s="167"/>
      <c r="M185" s="184"/>
      <c r="N185" s="184"/>
      <c r="O185" s="184"/>
      <c r="P185" s="177" t="str">
        <f>IF(ProjectInput[[#This Row],[Existing Fixture Code]]=0, "",INDEX(Table7[WATT/ FIXT], MATCH(ProjectInput[[#This Row],[Existing Fixture Code]], Table7[FIXTURE CODE], 0)))</f>
        <v/>
      </c>
      <c r="Q185" s="183"/>
      <c r="R185" s="167"/>
      <c r="S185" s="184"/>
      <c r="T185" s="184"/>
      <c r="U185" s="184"/>
      <c r="V185" s="184"/>
      <c r="W185" s="167"/>
      <c r="X185" s="185"/>
      <c r="Y185" s="179" t="str">
        <f>IF(ProjectInput[[#This Row],[Proposed Fixture Code]]=0, "", INDEX(Table7[WATT/ FIXT], MATCH(ProjectInput[[#This Row],[Proposed Fixture Code]], Table7[FIXTURE CODE],0 )))</f>
        <v/>
      </c>
      <c r="Z185" s="180">
        <f>INDEX(ReviewCalcs[Incentive Total Energy Savings (kWh)], MATCH(ProjectInput[[#This Row],[Project Index]], ReviewCalcs[Project Index], 0))</f>
        <v>0</v>
      </c>
      <c r="AA185" s="172">
        <f>INDEX(ReviewCalcs[Incentive Total Demand Savings (kW)], MATCH(ProjectInput[[#This Row],[Project Index]], ReviewCalcs[Project Index], 0))</f>
        <v>0</v>
      </c>
      <c r="AB185" s="181">
        <f>ProjectInput[[#This Row],[Energy Savings (kWh)]]*Avg_KWh_Rate</f>
        <v>0</v>
      </c>
      <c r="AC185" s="173">
        <f>IF(C185="", 0, IF(C185="Cust.", INDEX(ReviewCalcs[Incentive ($)], MATCH(ProjectInput[[#This Row],[Project Index]], ReviewCalcs[Project Index], 0)), IF(AND(C185="Pres.", D185="1 to 6"), 3*Q185, IF(AND(C185="Pres.", D185="7 to 11"), 4*Q185, IF(AND(C185="Pres.", D185="12 to 17"), 5*Q185, IF(AND(C185="Pres.", D185="Exit Sign"), 20*Q185, IF(AND(C185="Pres.", D185="&gt; 18"), 6*Q185)))))))</f>
        <v>0</v>
      </c>
      <c r="AD185" s="181">
        <f>ProjectInput[[#This Row],[Retrofit Cost]]</f>
        <v>0</v>
      </c>
      <c r="AE185" s="181">
        <f>ProjectInput[[#This Row],[Retrofit Cost]]-ProjectInput[[#This Row],[Incentive ($)]]</f>
        <v>0</v>
      </c>
      <c r="AF185" s="182" t="str">
        <f>IFERROR(ProjectInput[[#This Row],[Net Project Cost ($)]]/ProjectInput[[#This Row],[Energy Cost Savings ($)]], "")</f>
        <v/>
      </c>
    </row>
    <row r="186" spans="2:32" s="175" customFormat="1" ht="40" customHeight="1">
      <c r="B186" s="213">
        <v>183</v>
      </c>
      <c r="C186" s="223"/>
      <c r="D186" s="224"/>
      <c r="E186" s="183"/>
      <c r="F186" s="167"/>
      <c r="G186" s="184"/>
      <c r="H186" s="167"/>
      <c r="I186" s="184"/>
      <c r="J1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6" s="183"/>
      <c r="L186" s="167"/>
      <c r="M186" s="184"/>
      <c r="N186" s="184"/>
      <c r="O186" s="184"/>
      <c r="P186" s="177" t="str">
        <f>IF(ProjectInput[[#This Row],[Existing Fixture Code]]=0, "",INDEX(Table7[WATT/ FIXT], MATCH(ProjectInput[[#This Row],[Existing Fixture Code]], Table7[FIXTURE CODE], 0)))</f>
        <v/>
      </c>
      <c r="Q186" s="183"/>
      <c r="R186" s="167"/>
      <c r="S186" s="184"/>
      <c r="T186" s="184"/>
      <c r="U186" s="184"/>
      <c r="V186" s="184"/>
      <c r="W186" s="167"/>
      <c r="X186" s="185"/>
      <c r="Y186" s="179" t="str">
        <f>IF(ProjectInput[[#This Row],[Proposed Fixture Code]]=0, "", INDEX(Table7[WATT/ FIXT], MATCH(ProjectInput[[#This Row],[Proposed Fixture Code]], Table7[FIXTURE CODE],0 )))</f>
        <v/>
      </c>
      <c r="Z186" s="180">
        <f>INDEX(ReviewCalcs[Incentive Total Energy Savings (kWh)], MATCH(ProjectInput[[#This Row],[Project Index]], ReviewCalcs[Project Index], 0))</f>
        <v>0</v>
      </c>
      <c r="AA186" s="172">
        <f>INDEX(ReviewCalcs[Incentive Total Demand Savings (kW)], MATCH(ProjectInput[[#This Row],[Project Index]], ReviewCalcs[Project Index], 0))</f>
        <v>0</v>
      </c>
      <c r="AB186" s="181">
        <f>ProjectInput[[#This Row],[Energy Savings (kWh)]]*Avg_KWh_Rate</f>
        <v>0</v>
      </c>
      <c r="AC186" s="173">
        <f>IF(C186="", 0, IF(C186="Cust.", INDEX(ReviewCalcs[Incentive ($)], MATCH(ProjectInput[[#This Row],[Project Index]], ReviewCalcs[Project Index], 0)), IF(AND(C186="Pres.", D186="1 to 6"), 3*Q186, IF(AND(C186="Pres.", D186="7 to 11"), 4*Q186, IF(AND(C186="Pres.", D186="12 to 17"), 5*Q186, IF(AND(C186="Pres.", D186="Exit Sign"), 20*Q186, IF(AND(C186="Pres.", D186="&gt; 18"), 6*Q186)))))))</f>
        <v>0</v>
      </c>
      <c r="AD186" s="181">
        <f>ProjectInput[[#This Row],[Retrofit Cost]]</f>
        <v>0</v>
      </c>
      <c r="AE186" s="181">
        <f>ProjectInput[[#This Row],[Retrofit Cost]]-ProjectInput[[#This Row],[Incentive ($)]]</f>
        <v>0</v>
      </c>
      <c r="AF186" s="182" t="str">
        <f>IFERROR(ProjectInput[[#This Row],[Net Project Cost ($)]]/ProjectInput[[#This Row],[Energy Cost Savings ($)]], "")</f>
        <v/>
      </c>
    </row>
    <row r="187" spans="2:32" s="175" customFormat="1" ht="40" customHeight="1">
      <c r="B187" s="213">
        <v>184</v>
      </c>
      <c r="C187" s="220"/>
      <c r="D187" s="219"/>
      <c r="E187" s="183"/>
      <c r="F187" s="167"/>
      <c r="G187" s="184"/>
      <c r="H187" s="167"/>
      <c r="I187" s="184"/>
      <c r="J1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7" s="183"/>
      <c r="L187" s="167"/>
      <c r="M187" s="184"/>
      <c r="N187" s="184"/>
      <c r="O187" s="184"/>
      <c r="P187" s="177" t="str">
        <f>IF(ProjectInput[[#This Row],[Existing Fixture Code]]=0, "",INDEX(Table7[WATT/ FIXT], MATCH(ProjectInput[[#This Row],[Existing Fixture Code]], Table7[FIXTURE CODE], 0)))</f>
        <v/>
      </c>
      <c r="Q187" s="183"/>
      <c r="R187" s="167"/>
      <c r="S187" s="184"/>
      <c r="T187" s="184"/>
      <c r="U187" s="184"/>
      <c r="V187" s="184"/>
      <c r="W187" s="167"/>
      <c r="X187" s="185"/>
      <c r="Y187" s="179" t="str">
        <f>IF(ProjectInput[[#This Row],[Proposed Fixture Code]]=0, "", INDEX(Table7[WATT/ FIXT], MATCH(ProjectInput[[#This Row],[Proposed Fixture Code]], Table7[FIXTURE CODE],0 )))</f>
        <v/>
      </c>
      <c r="Z187" s="180">
        <f>INDEX(ReviewCalcs[Incentive Total Energy Savings (kWh)], MATCH(ProjectInput[[#This Row],[Project Index]], ReviewCalcs[Project Index], 0))</f>
        <v>0</v>
      </c>
      <c r="AA187" s="172">
        <f>INDEX(ReviewCalcs[Incentive Total Demand Savings (kW)], MATCH(ProjectInput[[#This Row],[Project Index]], ReviewCalcs[Project Index], 0))</f>
        <v>0</v>
      </c>
      <c r="AB187" s="181">
        <f>ProjectInput[[#This Row],[Energy Savings (kWh)]]*Avg_KWh_Rate</f>
        <v>0</v>
      </c>
      <c r="AC187" s="173">
        <f>IF(C187="", 0, IF(C187="Cust.", INDEX(ReviewCalcs[Incentive ($)], MATCH(ProjectInput[[#This Row],[Project Index]], ReviewCalcs[Project Index], 0)), IF(AND(C187="Pres.", D187="1 to 6"), 3*Q187, IF(AND(C187="Pres.", D187="7 to 11"), 4*Q187, IF(AND(C187="Pres.", D187="12 to 17"), 5*Q187, IF(AND(C187="Pres.", D187="Exit Sign"), 20*Q187, IF(AND(C187="Pres.", D187="&gt; 18"), 6*Q187)))))))</f>
        <v>0</v>
      </c>
      <c r="AD187" s="181">
        <f>ProjectInput[[#This Row],[Retrofit Cost]]</f>
        <v>0</v>
      </c>
      <c r="AE187" s="181">
        <f>ProjectInput[[#This Row],[Retrofit Cost]]-ProjectInput[[#This Row],[Incentive ($)]]</f>
        <v>0</v>
      </c>
      <c r="AF187" s="182" t="str">
        <f>IFERROR(ProjectInput[[#This Row],[Net Project Cost ($)]]/ProjectInput[[#This Row],[Energy Cost Savings ($)]], "")</f>
        <v/>
      </c>
    </row>
    <row r="188" spans="2:32" s="175" customFormat="1" ht="40" customHeight="1">
      <c r="B188" s="213">
        <v>185</v>
      </c>
      <c r="C188" s="223"/>
      <c r="D188" s="224"/>
      <c r="E188" s="183"/>
      <c r="F188" s="167"/>
      <c r="G188" s="184"/>
      <c r="H188" s="167"/>
      <c r="I188" s="184"/>
      <c r="J1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8" s="183"/>
      <c r="L188" s="167"/>
      <c r="M188" s="184"/>
      <c r="N188" s="184"/>
      <c r="O188" s="184"/>
      <c r="P188" s="177" t="str">
        <f>IF(ProjectInput[[#This Row],[Existing Fixture Code]]=0, "",INDEX(Table7[WATT/ FIXT], MATCH(ProjectInput[[#This Row],[Existing Fixture Code]], Table7[FIXTURE CODE], 0)))</f>
        <v/>
      </c>
      <c r="Q188" s="183"/>
      <c r="R188" s="167"/>
      <c r="S188" s="184"/>
      <c r="T188" s="184"/>
      <c r="U188" s="184"/>
      <c r="V188" s="184"/>
      <c r="W188" s="167"/>
      <c r="X188" s="185"/>
      <c r="Y188" s="179" t="str">
        <f>IF(ProjectInput[[#This Row],[Proposed Fixture Code]]=0, "", INDEX(Table7[WATT/ FIXT], MATCH(ProjectInput[[#This Row],[Proposed Fixture Code]], Table7[FIXTURE CODE],0 )))</f>
        <v/>
      </c>
      <c r="Z188" s="180">
        <f>INDEX(ReviewCalcs[Incentive Total Energy Savings (kWh)], MATCH(ProjectInput[[#This Row],[Project Index]], ReviewCalcs[Project Index], 0))</f>
        <v>0</v>
      </c>
      <c r="AA188" s="172">
        <f>INDEX(ReviewCalcs[Incentive Total Demand Savings (kW)], MATCH(ProjectInput[[#This Row],[Project Index]], ReviewCalcs[Project Index], 0))</f>
        <v>0</v>
      </c>
      <c r="AB188" s="181">
        <f>ProjectInput[[#This Row],[Energy Savings (kWh)]]*Avg_KWh_Rate</f>
        <v>0</v>
      </c>
      <c r="AC188" s="173">
        <f>IF(C188="", 0, IF(C188="Cust.", INDEX(ReviewCalcs[Incentive ($)], MATCH(ProjectInput[[#This Row],[Project Index]], ReviewCalcs[Project Index], 0)), IF(AND(C188="Pres.", D188="1 to 6"), 3*Q188, IF(AND(C188="Pres.", D188="7 to 11"), 4*Q188, IF(AND(C188="Pres.", D188="12 to 17"), 5*Q188, IF(AND(C188="Pres.", D188="Exit Sign"), 20*Q188, IF(AND(C188="Pres.", D188="&gt; 18"), 6*Q188)))))))</f>
        <v>0</v>
      </c>
      <c r="AD188" s="181">
        <f>ProjectInput[[#This Row],[Retrofit Cost]]</f>
        <v>0</v>
      </c>
      <c r="AE188" s="181">
        <f>ProjectInput[[#This Row],[Retrofit Cost]]-ProjectInput[[#This Row],[Incentive ($)]]</f>
        <v>0</v>
      </c>
      <c r="AF188" s="182" t="str">
        <f>IFERROR(ProjectInput[[#This Row],[Net Project Cost ($)]]/ProjectInput[[#This Row],[Energy Cost Savings ($)]], "")</f>
        <v/>
      </c>
    </row>
    <row r="189" spans="2:32" s="175" customFormat="1" ht="40" customHeight="1">
      <c r="B189" s="213">
        <v>186</v>
      </c>
      <c r="C189" s="220"/>
      <c r="D189" s="219"/>
      <c r="E189" s="183"/>
      <c r="F189" s="167"/>
      <c r="G189" s="184"/>
      <c r="H189" s="167"/>
      <c r="I189" s="184"/>
      <c r="J1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89" s="183"/>
      <c r="L189" s="167"/>
      <c r="M189" s="184"/>
      <c r="N189" s="184"/>
      <c r="O189" s="184"/>
      <c r="P189" s="177" t="str">
        <f>IF(ProjectInput[[#This Row],[Existing Fixture Code]]=0, "",INDEX(Table7[WATT/ FIXT], MATCH(ProjectInput[[#This Row],[Existing Fixture Code]], Table7[FIXTURE CODE], 0)))</f>
        <v/>
      </c>
      <c r="Q189" s="183"/>
      <c r="R189" s="167"/>
      <c r="S189" s="184"/>
      <c r="T189" s="184"/>
      <c r="U189" s="184"/>
      <c r="V189" s="184"/>
      <c r="W189" s="167"/>
      <c r="X189" s="185"/>
      <c r="Y189" s="179" t="str">
        <f>IF(ProjectInput[[#This Row],[Proposed Fixture Code]]=0, "", INDEX(Table7[WATT/ FIXT], MATCH(ProjectInput[[#This Row],[Proposed Fixture Code]], Table7[FIXTURE CODE],0 )))</f>
        <v/>
      </c>
      <c r="Z189" s="180">
        <f>INDEX(ReviewCalcs[Incentive Total Energy Savings (kWh)], MATCH(ProjectInput[[#This Row],[Project Index]], ReviewCalcs[Project Index], 0))</f>
        <v>0</v>
      </c>
      <c r="AA189" s="172">
        <f>INDEX(ReviewCalcs[Incentive Total Demand Savings (kW)], MATCH(ProjectInput[[#This Row],[Project Index]], ReviewCalcs[Project Index], 0))</f>
        <v>0</v>
      </c>
      <c r="AB189" s="181">
        <f>ProjectInput[[#This Row],[Energy Savings (kWh)]]*Avg_KWh_Rate</f>
        <v>0</v>
      </c>
      <c r="AC189" s="173">
        <f>IF(C189="", 0, IF(C189="Cust.", INDEX(ReviewCalcs[Incentive ($)], MATCH(ProjectInput[[#This Row],[Project Index]], ReviewCalcs[Project Index], 0)), IF(AND(C189="Pres.", D189="1 to 6"), 3*Q189, IF(AND(C189="Pres.", D189="7 to 11"), 4*Q189, IF(AND(C189="Pres.", D189="12 to 17"), 5*Q189, IF(AND(C189="Pres.", D189="Exit Sign"), 20*Q189, IF(AND(C189="Pres.", D189="&gt; 18"), 6*Q189)))))))</f>
        <v>0</v>
      </c>
      <c r="AD189" s="181">
        <f>ProjectInput[[#This Row],[Retrofit Cost]]</f>
        <v>0</v>
      </c>
      <c r="AE189" s="181">
        <f>ProjectInput[[#This Row],[Retrofit Cost]]-ProjectInput[[#This Row],[Incentive ($)]]</f>
        <v>0</v>
      </c>
      <c r="AF189" s="182" t="str">
        <f>IFERROR(ProjectInput[[#This Row],[Net Project Cost ($)]]/ProjectInput[[#This Row],[Energy Cost Savings ($)]], "")</f>
        <v/>
      </c>
    </row>
    <row r="190" spans="2:32" s="175" customFormat="1" ht="40" customHeight="1">
      <c r="B190" s="213">
        <v>187</v>
      </c>
      <c r="C190" s="223"/>
      <c r="D190" s="224"/>
      <c r="E190" s="183"/>
      <c r="F190" s="167"/>
      <c r="G190" s="184"/>
      <c r="H190" s="167"/>
      <c r="I190" s="184"/>
      <c r="J1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0" s="183"/>
      <c r="L190" s="167"/>
      <c r="M190" s="184"/>
      <c r="N190" s="184"/>
      <c r="O190" s="184"/>
      <c r="P190" s="177" t="str">
        <f>IF(ProjectInput[[#This Row],[Existing Fixture Code]]=0, "",INDEX(Table7[WATT/ FIXT], MATCH(ProjectInput[[#This Row],[Existing Fixture Code]], Table7[FIXTURE CODE], 0)))</f>
        <v/>
      </c>
      <c r="Q190" s="183"/>
      <c r="R190" s="167"/>
      <c r="S190" s="184"/>
      <c r="T190" s="184"/>
      <c r="U190" s="184"/>
      <c r="V190" s="184"/>
      <c r="W190" s="167"/>
      <c r="X190" s="185"/>
      <c r="Y190" s="179" t="str">
        <f>IF(ProjectInput[[#This Row],[Proposed Fixture Code]]=0, "", INDEX(Table7[WATT/ FIXT], MATCH(ProjectInput[[#This Row],[Proposed Fixture Code]], Table7[FIXTURE CODE],0 )))</f>
        <v/>
      </c>
      <c r="Z190" s="180">
        <f>INDEX(ReviewCalcs[Incentive Total Energy Savings (kWh)], MATCH(ProjectInput[[#This Row],[Project Index]], ReviewCalcs[Project Index], 0))</f>
        <v>0</v>
      </c>
      <c r="AA190" s="172">
        <f>INDEX(ReviewCalcs[Incentive Total Demand Savings (kW)], MATCH(ProjectInput[[#This Row],[Project Index]], ReviewCalcs[Project Index], 0))</f>
        <v>0</v>
      </c>
      <c r="AB190" s="181">
        <f>ProjectInput[[#This Row],[Energy Savings (kWh)]]*Avg_KWh_Rate</f>
        <v>0</v>
      </c>
      <c r="AC190" s="173">
        <f>IF(C190="", 0, IF(C190="Cust.", INDEX(ReviewCalcs[Incentive ($)], MATCH(ProjectInput[[#This Row],[Project Index]], ReviewCalcs[Project Index], 0)), IF(AND(C190="Pres.", D190="1 to 6"), 3*Q190, IF(AND(C190="Pres.", D190="7 to 11"), 4*Q190, IF(AND(C190="Pres.", D190="12 to 17"), 5*Q190, IF(AND(C190="Pres.", D190="Exit Sign"), 20*Q190, IF(AND(C190="Pres.", D190="&gt; 18"), 6*Q190)))))))</f>
        <v>0</v>
      </c>
      <c r="AD190" s="181">
        <f>ProjectInput[[#This Row],[Retrofit Cost]]</f>
        <v>0</v>
      </c>
      <c r="AE190" s="181">
        <f>ProjectInput[[#This Row],[Retrofit Cost]]-ProjectInput[[#This Row],[Incentive ($)]]</f>
        <v>0</v>
      </c>
      <c r="AF190" s="182" t="str">
        <f>IFERROR(ProjectInput[[#This Row],[Net Project Cost ($)]]/ProjectInput[[#This Row],[Energy Cost Savings ($)]], "")</f>
        <v/>
      </c>
    </row>
    <row r="191" spans="2:32" s="175" customFormat="1" ht="40" customHeight="1">
      <c r="B191" s="213">
        <v>188</v>
      </c>
      <c r="C191" s="220"/>
      <c r="D191" s="219"/>
      <c r="E191" s="183"/>
      <c r="F191" s="167"/>
      <c r="G191" s="184"/>
      <c r="H191" s="167"/>
      <c r="I191" s="184"/>
      <c r="J1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1" s="183"/>
      <c r="L191" s="167"/>
      <c r="M191" s="184"/>
      <c r="N191" s="184"/>
      <c r="O191" s="184"/>
      <c r="P191" s="177" t="str">
        <f>IF(ProjectInput[[#This Row],[Existing Fixture Code]]=0, "",INDEX(Table7[WATT/ FIXT], MATCH(ProjectInput[[#This Row],[Existing Fixture Code]], Table7[FIXTURE CODE], 0)))</f>
        <v/>
      </c>
      <c r="Q191" s="183"/>
      <c r="R191" s="167"/>
      <c r="S191" s="184"/>
      <c r="T191" s="184"/>
      <c r="U191" s="184"/>
      <c r="V191" s="184"/>
      <c r="W191" s="167"/>
      <c r="X191" s="185"/>
      <c r="Y191" s="179" t="str">
        <f>IF(ProjectInput[[#This Row],[Proposed Fixture Code]]=0, "", INDEX(Table7[WATT/ FIXT], MATCH(ProjectInput[[#This Row],[Proposed Fixture Code]], Table7[FIXTURE CODE],0 )))</f>
        <v/>
      </c>
      <c r="Z191" s="180">
        <f>INDEX(ReviewCalcs[Incentive Total Energy Savings (kWh)], MATCH(ProjectInput[[#This Row],[Project Index]], ReviewCalcs[Project Index], 0))</f>
        <v>0</v>
      </c>
      <c r="AA191" s="172">
        <f>INDEX(ReviewCalcs[Incentive Total Demand Savings (kW)], MATCH(ProjectInput[[#This Row],[Project Index]], ReviewCalcs[Project Index], 0))</f>
        <v>0</v>
      </c>
      <c r="AB191" s="181">
        <f>ProjectInput[[#This Row],[Energy Savings (kWh)]]*Avg_KWh_Rate</f>
        <v>0</v>
      </c>
      <c r="AC191" s="173">
        <f>IF(C191="", 0, IF(C191="Cust.", INDEX(ReviewCalcs[Incentive ($)], MATCH(ProjectInput[[#This Row],[Project Index]], ReviewCalcs[Project Index], 0)), IF(AND(C191="Pres.", D191="1 to 6"), 3*Q191, IF(AND(C191="Pres.", D191="7 to 11"), 4*Q191, IF(AND(C191="Pres.", D191="12 to 17"), 5*Q191, IF(AND(C191="Pres.", D191="Exit Sign"), 20*Q191, IF(AND(C191="Pres.", D191="&gt; 18"), 6*Q191)))))))</f>
        <v>0</v>
      </c>
      <c r="AD191" s="181">
        <f>ProjectInput[[#This Row],[Retrofit Cost]]</f>
        <v>0</v>
      </c>
      <c r="AE191" s="181">
        <f>ProjectInput[[#This Row],[Retrofit Cost]]-ProjectInput[[#This Row],[Incentive ($)]]</f>
        <v>0</v>
      </c>
      <c r="AF191" s="182" t="str">
        <f>IFERROR(ProjectInput[[#This Row],[Net Project Cost ($)]]/ProjectInput[[#This Row],[Energy Cost Savings ($)]], "")</f>
        <v/>
      </c>
    </row>
    <row r="192" spans="2:32" s="175" customFormat="1" ht="40" customHeight="1">
      <c r="B192" s="213">
        <v>189</v>
      </c>
      <c r="C192" s="223"/>
      <c r="D192" s="224"/>
      <c r="E192" s="183"/>
      <c r="F192" s="167"/>
      <c r="G192" s="184"/>
      <c r="H192" s="167"/>
      <c r="I192" s="184"/>
      <c r="J1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2" s="183"/>
      <c r="L192" s="167"/>
      <c r="M192" s="184"/>
      <c r="N192" s="184"/>
      <c r="O192" s="184"/>
      <c r="P192" s="177" t="str">
        <f>IF(ProjectInput[[#This Row],[Existing Fixture Code]]=0, "",INDEX(Table7[WATT/ FIXT], MATCH(ProjectInput[[#This Row],[Existing Fixture Code]], Table7[FIXTURE CODE], 0)))</f>
        <v/>
      </c>
      <c r="Q192" s="183"/>
      <c r="R192" s="167"/>
      <c r="S192" s="184"/>
      <c r="T192" s="184"/>
      <c r="U192" s="184"/>
      <c r="V192" s="184"/>
      <c r="W192" s="167"/>
      <c r="X192" s="185"/>
      <c r="Y192" s="179" t="str">
        <f>IF(ProjectInput[[#This Row],[Proposed Fixture Code]]=0, "", INDEX(Table7[WATT/ FIXT], MATCH(ProjectInput[[#This Row],[Proposed Fixture Code]], Table7[FIXTURE CODE],0 )))</f>
        <v/>
      </c>
      <c r="Z192" s="180">
        <f>INDEX(ReviewCalcs[Incentive Total Energy Savings (kWh)], MATCH(ProjectInput[[#This Row],[Project Index]], ReviewCalcs[Project Index], 0))</f>
        <v>0</v>
      </c>
      <c r="AA192" s="172">
        <f>INDEX(ReviewCalcs[Incentive Total Demand Savings (kW)], MATCH(ProjectInput[[#This Row],[Project Index]], ReviewCalcs[Project Index], 0))</f>
        <v>0</v>
      </c>
      <c r="AB192" s="181">
        <f>ProjectInput[[#This Row],[Energy Savings (kWh)]]*Avg_KWh_Rate</f>
        <v>0</v>
      </c>
      <c r="AC192" s="173">
        <f>IF(C192="", 0, IF(C192="Cust.", INDEX(ReviewCalcs[Incentive ($)], MATCH(ProjectInput[[#This Row],[Project Index]], ReviewCalcs[Project Index], 0)), IF(AND(C192="Pres.", D192="1 to 6"), 3*Q192, IF(AND(C192="Pres.", D192="7 to 11"), 4*Q192, IF(AND(C192="Pres.", D192="12 to 17"), 5*Q192, IF(AND(C192="Pres.", D192="Exit Sign"), 20*Q192, IF(AND(C192="Pres.", D192="&gt; 18"), 6*Q192)))))))</f>
        <v>0</v>
      </c>
      <c r="AD192" s="181">
        <f>ProjectInput[[#This Row],[Retrofit Cost]]</f>
        <v>0</v>
      </c>
      <c r="AE192" s="181">
        <f>ProjectInput[[#This Row],[Retrofit Cost]]-ProjectInput[[#This Row],[Incentive ($)]]</f>
        <v>0</v>
      </c>
      <c r="AF192" s="182" t="str">
        <f>IFERROR(ProjectInput[[#This Row],[Net Project Cost ($)]]/ProjectInput[[#This Row],[Energy Cost Savings ($)]], "")</f>
        <v/>
      </c>
    </row>
    <row r="193" spans="2:32" s="175" customFormat="1" ht="40" customHeight="1">
      <c r="B193" s="213">
        <v>190</v>
      </c>
      <c r="C193" s="220"/>
      <c r="D193" s="219"/>
      <c r="E193" s="183"/>
      <c r="F193" s="167"/>
      <c r="G193" s="184"/>
      <c r="H193" s="167"/>
      <c r="I193" s="184"/>
      <c r="J1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3" s="183"/>
      <c r="L193" s="167"/>
      <c r="M193" s="184"/>
      <c r="N193" s="184"/>
      <c r="O193" s="184"/>
      <c r="P193" s="177" t="str">
        <f>IF(ProjectInput[[#This Row],[Existing Fixture Code]]=0, "",INDEX(Table7[WATT/ FIXT], MATCH(ProjectInput[[#This Row],[Existing Fixture Code]], Table7[FIXTURE CODE], 0)))</f>
        <v/>
      </c>
      <c r="Q193" s="183"/>
      <c r="R193" s="167"/>
      <c r="S193" s="184"/>
      <c r="T193" s="184"/>
      <c r="U193" s="184"/>
      <c r="V193" s="184"/>
      <c r="W193" s="167"/>
      <c r="X193" s="185"/>
      <c r="Y193" s="179" t="str">
        <f>IF(ProjectInput[[#This Row],[Proposed Fixture Code]]=0, "", INDEX(Table7[WATT/ FIXT], MATCH(ProjectInput[[#This Row],[Proposed Fixture Code]], Table7[FIXTURE CODE],0 )))</f>
        <v/>
      </c>
      <c r="Z193" s="180">
        <f>INDEX(ReviewCalcs[Incentive Total Energy Savings (kWh)], MATCH(ProjectInput[[#This Row],[Project Index]], ReviewCalcs[Project Index], 0))</f>
        <v>0</v>
      </c>
      <c r="AA193" s="172">
        <f>INDEX(ReviewCalcs[Incentive Total Demand Savings (kW)], MATCH(ProjectInput[[#This Row],[Project Index]], ReviewCalcs[Project Index], 0))</f>
        <v>0</v>
      </c>
      <c r="AB193" s="181">
        <f>ProjectInput[[#This Row],[Energy Savings (kWh)]]*Avg_KWh_Rate</f>
        <v>0</v>
      </c>
      <c r="AC193" s="173">
        <f>IF(C193="", 0, IF(C193="Cust.", INDEX(ReviewCalcs[Incentive ($)], MATCH(ProjectInput[[#This Row],[Project Index]], ReviewCalcs[Project Index], 0)), IF(AND(C193="Pres.", D193="1 to 6"), 3*Q193, IF(AND(C193="Pres.", D193="7 to 11"), 4*Q193, IF(AND(C193="Pres.", D193="12 to 17"), 5*Q193, IF(AND(C193="Pres.", D193="Exit Sign"), 20*Q193, IF(AND(C193="Pres.", D193="&gt; 18"), 6*Q193)))))))</f>
        <v>0</v>
      </c>
      <c r="AD193" s="181">
        <f>ProjectInput[[#This Row],[Retrofit Cost]]</f>
        <v>0</v>
      </c>
      <c r="AE193" s="181">
        <f>ProjectInput[[#This Row],[Retrofit Cost]]-ProjectInput[[#This Row],[Incentive ($)]]</f>
        <v>0</v>
      </c>
      <c r="AF193" s="182" t="str">
        <f>IFERROR(ProjectInput[[#This Row],[Net Project Cost ($)]]/ProjectInput[[#This Row],[Energy Cost Savings ($)]], "")</f>
        <v/>
      </c>
    </row>
    <row r="194" spans="2:32" s="175" customFormat="1" ht="40" customHeight="1">
      <c r="B194" s="213">
        <v>191</v>
      </c>
      <c r="C194" s="223"/>
      <c r="D194" s="224"/>
      <c r="E194" s="183"/>
      <c r="F194" s="167"/>
      <c r="G194" s="184"/>
      <c r="H194" s="167"/>
      <c r="I194" s="184"/>
      <c r="J1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4" s="183"/>
      <c r="L194" s="167"/>
      <c r="M194" s="184"/>
      <c r="N194" s="184"/>
      <c r="O194" s="184"/>
      <c r="P194" s="177" t="str">
        <f>IF(ProjectInput[[#This Row],[Existing Fixture Code]]=0, "",INDEX(Table7[WATT/ FIXT], MATCH(ProjectInput[[#This Row],[Existing Fixture Code]], Table7[FIXTURE CODE], 0)))</f>
        <v/>
      </c>
      <c r="Q194" s="183"/>
      <c r="R194" s="167"/>
      <c r="S194" s="184"/>
      <c r="T194" s="184"/>
      <c r="U194" s="184"/>
      <c r="V194" s="184"/>
      <c r="W194" s="167"/>
      <c r="X194" s="185"/>
      <c r="Y194" s="179" t="str">
        <f>IF(ProjectInput[[#This Row],[Proposed Fixture Code]]=0, "", INDEX(Table7[WATT/ FIXT], MATCH(ProjectInput[[#This Row],[Proposed Fixture Code]], Table7[FIXTURE CODE],0 )))</f>
        <v/>
      </c>
      <c r="Z194" s="180">
        <f>INDEX(ReviewCalcs[Incentive Total Energy Savings (kWh)], MATCH(ProjectInput[[#This Row],[Project Index]], ReviewCalcs[Project Index], 0))</f>
        <v>0</v>
      </c>
      <c r="AA194" s="172">
        <f>INDEX(ReviewCalcs[Incentive Total Demand Savings (kW)], MATCH(ProjectInput[[#This Row],[Project Index]], ReviewCalcs[Project Index], 0))</f>
        <v>0</v>
      </c>
      <c r="AB194" s="181">
        <f>ProjectInput[[#This Row],[Energy Savings (kWh)]]*Avg_KWh_Rate</f>
        <v>0</v>
      </c>
      <c r="AC194" s="173">
        <f>IF(C194="", 0, IF(C194="Cust.", INDEX(ReviewCalcs[Incentive ($)], MATCH(ProjectInput[[#This Row],[Project Index]], ReviewCalcs[Project Index], 0)), IF(AND(C194="Pres.", D194="1 to 6"), 3*Q194, IF(AND(C194="Pres.", D194="7 to 11"), 4*Q194, IF(AND(C194="Pres.", D194="12 to 17"), 5*Q194, IF(AND(C194="Pres.", D194="Exit Sign"), 20*Q194, IF(AND(C194="Pres.", D194="&gt; 18"), 6*Q194)))))))</f>
        <v>0</v>
      </c>
      <c r="AD194" s="181">
        <f>ProjectInput[[#This Row],[Retrofit Cost]]</f>
        <v>0</v>
      </c>
      <c r="AE194" s="181">
        <f>ProjectInput[[#This Row],[Retrofit Cost]]-ProjectInput[[#This Row],[Incentive ($)]]</f>
        <v>0</v>
      </c>
      <c r="AF194" s="182" t="str">
        <f>IFERROR(ProjectInput[[#This Row],[Net Project Cost ($)]]/ProjectInput[[#This Row],[Energy Cost Savings ($)]], "")</f>
        <v/>
      </c>
    </row>
    <row r="195" spans="2:32" s="175" customFormat="1" ht="40" customHeight="1">
      <c r="B195" s="213">
        <v>192</v>
      </c>
      <c r="C195" s="220"/>
      <c r="D195" s="219"/>
      <c r="E195" s="183"/>
      <c r="F195" s="167"/>
      <c r="G195" s="184"/>
      <c r="H195" s="167"/>
      <c r="I195" s="184"/>
      <c r="J1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5" s="183"/>
      <c r="L195" s="167"/>
      <c r="M195" s="184"/>
      <c r="N195" s="184"/>
      <c r="O195" s="184"/>
      <c r="P195" s="177" t="str">
        <f>IF(ProjectInput[[#This Row],[Existing Fixture Code]]=0, "",INDEX(Table7[WATT/ FIXT], MATCH(ProjectInput[[#This Row],[Existing Fixture Code]], Table7[FIXTURE CODE], 0)))</f>
        <v/>
      </c>
      <c r="Q195" s="183"/>
      <c r="R195" s="167"/>
      <c r="S195" s="184"/>
      <c r="T195" s="184"/>
      <c r="U195" s="184"/>
      <c r="V195" s="184"/>
      <c r="W195" s="167"/>
      <c r="X195" s="185"/>
      <c r="Y195" s="179" t="str">
        <f>IF(ProjectInput[[#This Row],[Proposed Fixture Code]]=0, "", INDEX(Table7[WATT/ FIXT], MATCH(ProjectInput[[#This Row],[Proposed Fixture Code]], Table7[FIXTURE CODE],0 )))</f>
        <v/>
      </c>
      <c r="Z195" s="180">
        <f>INDEX(ReviewCalcs[Incentive Total Energy Savings (kWh)], MATCH(ProjectInput[[#This Row],[Project Index]], ReviewCalcs[Project Index], 0))</f>
        <v>0</v>
      </c>
      <c r="AA195" s="172">
        <f>INDEX(ReviewCalcs[Incentive Total Demand Savings (kW)], MATCH(ProjectInput[[#This Row],[Project Index]], ReviewCalcs[Project Index], 0))</f>
        <v>0</v>
      </c>
      <c r="AB195" s="181">
        <f>ProjectInput[[#This Row],[Energy Savings (kWh)]]*Avg_KWh_Rate</f>
        <v>0</v>
      </c>
      <c r="AC195" s="173">
        <f>IF(C195="", 0, IF(C195="Cust.", INDEX(ReviewCalcs[Incentive ($)], MATCH(ProjectInput[[#This Row],[Project Index]], ReviewCalcs[Project Index], 0)), IF(AND(C195="Pres.", D195="1 to 6"), 3*Q195, IF(AND(C195="Pres.", D195="7 to 11"), 4*Q195, IF(AND(C195="Pres.", D195="12 to 17"), 5*Q195, IF(AND(C195="Pres.", D195="Exit Sign"), 20*Q195, IF(AND(C195="Pres.", D195="&gt; 18"), 6*Q195)))))))</f>
        <v>0</v>
      </c>
      <c r="AD195" s="181">
        <f>ProjectInput[[#This Row],[Retrofit Cost]]</f>
        <v>0</v>
      </c>
      <c r="AE195" s="181">
        <f>ProjectInput[[#This Row],[Retrofit Cost]]-ProjectInput[[#This Row],[Incentive ($)]]</f>
        <v>0</v>
      </c>
      <c r="AF195" s="182" t="str">
        <f>IFERROR(ProjectInput[[#This Row],[Net Project Cost ($)]]/ProjectInput[[#This Row],[Energy Cost Savings ($)]], "")</f>
        <v/>
      </c>
    </row>
    <row r="196" spans="2:32" s="175" customFormat="1" ht="40" customHeight="1">
      <c r="B196" s="213">
        <v>193</v>
      </c>
      <c r="C196" s="223"/>
      <c r="D196" s="224"/>
      <c r="E196" s="183"/>
      <c r="F196" s="167"/>
      <c r="G196" s="184"/>
      <c r="H196" s="167"/>
      <c r="I196" s="184"/>
      <c r="J1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6" s="183"/>
      <c r="L196" s="167"/>
      <c r="M196" s="184"/>
      <c r="N196" s="184"/>
      <c r="O196" s="184"/>
      <c r="P196" s="177" t="str">
        <f>IF(ProjectInput[[#This Row],[Existing Fixture Code]]=0, "",INDEX(Table7[WATT/ FIXT], MATCH(ProjectInput[[#This Row],[Existing Fixture Code]], Table7[FIXTURE CODE], 0)))</f>
        <v/>
      </c>
      <c r="Q196" s="183"/>
      <c r="R196" s="167"/>
      <c r="S196" s="184"/>
      <c r="T196" s="184"/>
      <c r="U196" s="184"/>
      <c r="V196" s="184"/>
      <c r="W196" s="167"/>
      <c r="X196" s="185"/>
      <c r="Y196" s="179" t="str">
        <f>IF(ProjectInput[[#This Row],[Proposed Fixture Code]]=0, "", INDEX(Table7[WATT/ FIXT], MATCH(ProjectInput[[#This Row],[Proposed Fixture Code]], Table7[FIXTURE CODE],0 )))</f>
        <v/>
      </c>
      <c r="Z196" s="180">
        <f>INDEX(ReviewCalcs[Incentive Total Energy Savings (kWh)], MATCH(ProjectInput[[#This Row],[Project Index]], ReviewCalcs[Project Index], 0))</f>
        <v>0</v>
      </c>
      <c r="AA196" s="172">
        <f>INDEX(ReviewCalcs[Incentive Total Demand Savings (kW)], MATCH(ProjectInput[[#This Row],[Project Index]], ReviewCalcs[Project Index], 0))</f>
        <v>0</v>
      </c>
      <c r="AB196" s="181">
        <f>ProjectInput[[#This Row],[Energy Savings (kWh)]]*Avg_KWh_Rate</f>
        <v>0</v>
      </c>
      <c r="AC196" s="173">
        <f>IF(C196="", 0, IF(C196="Cust.", INDEX(ReviewCalcs[Incentive ($)], MATCH(ProjectInput[[#This Row],[Project Index]], ReviewCalcs[Project Index], 0)), IF(AND(C196="Pres.", D196="1 to 6"), 3*Q196, IF(AND(C196="Pres.", D196="7 to 11"), 4*Q196, IF(AND(C196="Pres.", D196="12 to 17"), 5*Q196, IF(AND(C196="Pres.", D196="Exit Sign"), 20*Q196, IF(AND(C196="Pres.", D196="&gt; 18"), 6*Q196)))))))</f>
        <v>0</v>
      </c>
      <c r="AD196" s="181">
        <f>ProjectInput[[#This Row],[Retrofit Cost]]</f>
        <v>0</v>
      </c>
      <c r="AE196" s="181">
        <f>ProjectInput[[#This Row],[Retrofit Cost]]-ProjectInput[[#This Row],[Incentive ($)]]</f>
        <v>0</v>
      </c>
      <c r="AF196" s="182" t="str">
        <f>IFERROR(ProjectInput[[#This Row],[Net Project Cost ($)]]/ProjectInput[[#This Row],[Energy Cost Savings ($)]], "")</f>
        <v/>
      </c>
    </row>
    <row r="197" spans="2:32" s="175" customFormat="1" ht="40" customHeight="1">
      <c r="B197" s="213">
        <v>194</v>
      </c>
      <c r="C197" s="220"/>
      <c r="D197" s="219"/>
      <c r="E197" s="183"/>
      <c r="F197" s="167"/>
      <c r="G197" s="184"/>
      <c r="H197" s="167"/>
      <c r="I197" s="184"/>
      <c r="J1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7" s="183"/>
      <c r="L197" s="167"/>
      <c r="M197" s="184"/>
      <c r="N197" s="184"/>
      <c r="O197" s="184"/>
      <c r="P197" s="177" t="str">
        <f>IF(ProjectInput[[#This Row],[Existing Fixture Code]]=0, "",INDEX(Table7[WATT/ FIXT], MATCH(ProjectInput[[#This Row],[Existing Fixture Code]], Table7[FIXTURE CODE], 0)))</f>
        <v/>
      </c>
      <c r="Q197" s="183"/>
      <c r="R197" s="167"/>
      <c r="S197" s="184"/>
      <c r="T197" s="184"/>
      <c r="U197" s="184"/>
      <c r="V197" s="184"/>
      <c r="W197" s="167"/>
      <c r="X197" s="185"/>
      <c r="Y197" s="179" t="str">
        <f>IF(ProjectInput[[#This Row],[Proposed Fixture Code]]=0, "", INDEX(Table7[WATT/ FIXT], MATCH(ProjectInput[[#This Row],[Proposed Fixture Code]], Table7[FIXTURE CODE],0 )))</f>
        <v/>
      </c>
      <c r="Z197" s="180">
        <f>INDEX(ReviewCalcs[Incentive Total Energy Savings (kWh)], MATCH(ProjectInput[[#This Row],[Project Index]], ReviewCalcs[Project Index], 0))</f>
        <v>0</v>
      </c>
      <c r="AA197" s="172">
        <f>INDEX(ReviewCalcs[Incentive Total Demand Savings (kW)], MATCH(ProjectInput[[#This Row],[Project Index]], ReviewCalcs[Project Index], 0))</f>
        <v>0</v>
      </c>
      <c r="AB197" s="181">
        <f>ProjectInput[[#This Row],[Energy Savings (kWh)]]*Avg_KWh_Rate</f>
        <v>0</v>
      </c>
      <c r="AC197" s="173">
        <f>IF(C197="", 0, IF(C197="Cust.", INDEX(ReviewCalcs[Incentive ($)], MATCH(ProjectInput[[#This Row],[Project Index]], ReviewCalcs[Project Index], 0)), IF(AND(C197="Pres.", D197="1 to 6"), 3*Q197, IF(AND(C197="Pres.", D197="7 to 11"), 4*Q197, IF(AND(C197="Pres.", D197="12 to 17"), 5*Q197, IF(AND(C197="Pres.", D197="Exit Sign"), 20*Q197, IF(AND(C197="Pres.", D197="&gt; 18"), 6*Q197)))))))</f>
        <v>0</v>
      </c>
      <c r="AD197" s="181">
        <f>ProjectInput[[#This Row],[Retrofit Cost]]</f>
        <v>0</v>
      </c>
      <c r="AE197" s="181">
        <f>ProjectInput[[#This Row],[Retrofit Cost]]-ProjectInput[[#This Row],[Incentive ($)]]</f>
        <v>0</v>
      </c>
      <c r="AF197" s="182" t="str">
        <f>IFERROR(ProjectInput[[#This Row],[Net Project Cost ($)]]/ProjectInput[[#This Row],[Energy Cost Savings ($)]], "")</f>
        <v/>
      </c>
    </row>
    <row r="198" spans="2:32" s="175" customFormat="1" ht="40" customHeight="1">
      <c r="B198" s="213">
        <v>195</v>
      </c>
      <c r="C198" s="223"/>
      <c r="D198" s="224"/>
      <c r="E198" s="183"/>
      <c r="F198" s="167"/>
      <c r="G198" s="184"/>
      <c r="H198" s="167"/>
      <c r="I198" s="184"/>
      <c r="J1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8" s="183"/>
      <c r="L198" s="167"/>
      <c r="M198" s="184"/>
      <c r="N198" s="184"/>
      <c r="O198" s="184"/>
      <c r="P198" s="177" t="str">
        <f>IF(ProjectInput[[#This Row],[Existing Fixture Code]]=0, "",INDEX(Table7[WATT/ FIXT], MATCH(ProjectInput[[#This Row],[Existing Fixture Code]], Table7[FIXTURE CODE], 0)))</f>
        <v/>
      </c>
      <c r="Q198" s="183"/>
      <c r="R198" s="167"/>
      <c r="S198" s="184"/>
      <c r="T198" s="184"/>
      <c r="U198" s="184"/>
      <c r="V198" s="184"/>
      <c r="W198" s="167"/>
      <c r="X198" s="185"/>
      <c r="Y198" s="179" t="str">
        <f>IF(ProjectInput[[#This Row],[Proposed Fixture Code]]=0, "", INDEX(Table7[WATT/ FIXT], MATCH(ProjectInput[[#This Row],[Proposed Fixture Code]], Table7[FIXTURE CODE],0 )))</f>
        <v/>
      </c>
      <c r="Z198" s="180">
        <f>INDEX(ReviewCalcs[Incentive Total Energy Savings (kWh)], MATCH(ProjectInput[[#This Row],[Project Index]], ReviewCalcs[Project Index], 0))</f>
        <v>0</v>
      </c>
      <c r="AA198" s="172">
        <f>INDEX(ReviewCalcs[Incentive Total Demand Savings (kW)], MATCH(ProjectInput[[#This Row],[Project Index]], ReviewCalcs[Project Index], 0))</f>
        <v>0</v>
      </c>
      <c r="AB198" s="181">
        <f>ProjectInput[[#This Row],[Energy Savings (kWh)]]*Avg_KWh_Rate</f>
        <v>0</v>
      </c>
      <c r="AC198" s="173">
        <f>IF(C198="", 0, IF(C198="Cust.", INDEX(ReviewCalcs[Incentive ($)], MATCH(ProjectInput[[#This Row],[Project Index]], ReviewCalcs[Project Index], 0)), IF(AND(C198="Pres.", D198="1 to 6"), 3*Q198, IF(AND(C198="Pres.", D198="7 to 11"), 4*Q198, IF(AND(C198="Pres.", D198="12 to 17"), 5*Q198, IF(AND(C198="Pres.", D198="Exit Sign"), 20*Q198, IF(AND(C198="Pres.", D198="&gt; 18"), 6*Q198)))))))</f>
        <v>0</v>
      </c>
      <c r="AD198" s="181">
        <f>ProjectInput[[#This Row],[Retrofit Cost]]</f>
        <v>0</v>
      </c>
      <c r="AE198" s="181">
        <f>ProjectInput[[#This Row],[Retrofit Cost]]-ProjectInput[[#This Row],[Incentive ($)]]</f>
        <v>0</v>
      </c>
      <c r="AF198" s="182" t="str">
        <f>IFERROR(ProjectInput[[#This Row],[Net Project Cost ($)]]/ProjectInput[[#This Row],[Energy Cost Savings ($)]], "")</f>
        <v/>
      </c>
    </row>
    <row r="199" spans="2:32" s="175" customFormat="1" ht="40" customHeight="1">
      <c r="B199" s="213">
        <v>196</v>
      </c>
      <c r="C199" s="220"/>
      <c r="D199" s="219"/>
      <c r="E199" s="183"/>
      <c r="F199" s="167"/>
      <c r="G199" s="184"/>
      <c r="H199" s="167"/>
      <c r="I199" s="184"/>
      <c r="J1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199" s="183"/>
      <c r="L199" s="167"/>
      <c r="M199" s="184"/>
      <c r="N199" s="184"/>
      <c r="O199" s="184"/>
      <c r="P199" s="177" t="str">
        <f>IF(ProjectInput[[#This Row],[Existing Fixture Code]]=0, "",INDEX(Table7[WATT/ FIXT], MATCH(ProjectInput[[#This Row],[Existing Fixture Code]], Table7[FIXTURE CODE], 0)))</f>
        <v/>
      </c>
      <c r="Q199" s="183"/>
      <c r="R199" s="167"/>
      <c r="S199" s="184"/>
      <c r="T199" s="184"/>
      <c r="U199" s="184"/>
      <c r="V199" s="184"/>
      <c r="W199" s="167"/>
      <c r="X199" s="185"/>
      <c r="Y199" s="179" t="str">
        <f>IF(ProjectInput[[#This Row],[Proposed Fixture Code]]=0, "", INDEX(Table7[WATT/ FIXT], MATCH(ProjectInput[[#This Row],[Proposed Fixture Code]], Table7[FIXTURE CODE],0 )))</f>
        <v/>
      </c>
      <c r="Z199" s="180">
        <f>INDEX(ReviewCalcs[Incentive Total Energy Savings (kWh)], MATCH(ProjectInput[[#This Row],[Project Index]], ReviewCalcs[Project Index], 0))</f>
        <v>0</v>
      </c>
      <c r="AA199" s="172">
        <f>INDEX(ReviewCalcs[Incentive Total Demand Savings (kW)], MATCH(ProjectInput[[#This Row],[Project Index]], ReviewCalcs[Project Index], 0))</f>
        <v>0</v>
      </c>
      <c r="AB199" s="181">
        <f>ProjectInput[[#This Row],[Energy Savings (kWh)]]*Avg_KWh_Rate</f>
        <v>0</v>
      </c>
      <c r="AC199" s="173">
        <f>IF(C199="", 0, IF(C199="Cust.", INDEX(ReviewCalcs[Incentive ($)], MATCH(ProjectInput[[#This Row],[Project Index]], ReviewCalcs[Project Index], 0)), IF(AND(C199="Pres.", D199="1 to 6"), 3*Q199, IF(AND(C199="Pres.", D199="7 to 11"), 4*Q199, IF(AND(C199="Pres.", D199="12 to 17"), 5*Q199, IF(AND(C199="Pres.", D199="Exit Sign"), 20*Q199, IF(AND(C199="Pres.", D199="&gt; 18"), 6*Q199)))))))</f>
        <v>0</v>
      </c>
      <c r="AD199" s="181">
        <f>ProjectInput[[#This Row],[Retrofit Cost]]</f>
        <v>0</v>
      </c>
      <c r="AE199" s="181">
        <f>ProjectInput[[#This Row],[Retrofit Cost]]-ProjectInput[[#This Row],[Incentive ($)]]</f>
        <v>0</v>
      </c>
      <c r="AF199" s="182" t="str">
        <f>IFERROR(ProjectInput[[#This Row],[Net Project Cost ($)]]/ProjectInput[[#This Row],[Energy Cost Savings ($)]], "")</f>
        <v/>
      </c>
    </row>
    <row r="200" spans="2:32" s="175" customFormat="1" ht="40" customHeight="1">
      <c r="B200" s="213">
        <v>197</v>
      </c>
      <c r="C200" s="223"/>
      <c r="D200" s="224"/>
      <c r="E200" s="183"/>
      <c r="F200" s="167"/>
      <c r="G200" s="184"/>
      <c r="H200" s="167"/>
      <c r="I200" s="184"/>
      <c r="J2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0" s="183"/>
      <c r="L200" s="167"/>
      <c r="M200" s="184"/>
      <c r="N200" s="184"/>
      <c r="O200" s="184"/>
      <c r="P200" s="177" t="str">
        <f>IF(ProjectInput[[#This Row],[Existing Fixture Code]]=0, "",INDEX(Table7[WATT/ FIXT], MATCH(ProjectInput[[#This Row],[Existing Fixture Code]], Table7[FIXTURE CODE], 0)))</f>
        <v/>
      </c>
      <c r="Q200" s="183"/>
      <c r="R200" s="167"/>
      <c r="S200" s="184"/>
      <c r="T200" s="184"/>
      <c r="U200" s="184"/>
      <c r="V200" s="184"/>
      <c r="W200" s="167"/>
      <c r="X200" s="185"/>
      <c r="Y200" s="179" t="str">
        <f>IF(ProjectInput[[#This Row],[Proposed Fixture Code]]=0, "", INDEX(Table7[WATT/ FIXT], MATCH(ProjectInput[[#This Row],[Proposed Fixture Code]], Table7[FIXTURE CODE],0 )))</f>
        <v/>
      </c>
      <c r="Z200" s="180">
        <f>INDEX(ReviewCalcs[Incentive Total Energy Savings (kWh)], MATCH(ProjectInput[[#This Row],[Project Index]], ReviewCalcs[Project Index], 0))</f>
        <v>0</v>
      </c>
      <c r="AA200" s="172">
        <f>INDEX(ReviewCalcs[Incentive Total Demand Savings (kW)], MATCH(ProjectInput[[#This Row],[Project Index]], ReviewCalcs[Project Index], 0))</f>
        <v>0</v>
      </c>
      <c r="AB200" s="181">
        <f>ProjectInput[[#This Row],[Energy Savings (kWh)]]*Avg_KWh_Rate</f>
        <v>0</v>
      </c>
      <c r="AC200" s="173">
        <f>IF(C200="", 0, IF(C200="Cust.", INDEX(ReviewCalcs[Incentive ($)], MATCH(ProjectInput[[#This Row],[Project Index]], ReviewCalcs[Project Index], 0)), IF(AND(C200="Pres.", D200="1 to 6"), 3*Q200, IF(AND(C200="Pres.", D200="7 to 11"), 4*Q200, IF(AND(C200="Pres.", D200="12 to 17"), 5*Q200, IF(AND(C200="Pres.", D200="Exit Sign"), 20*Q200, IF(AND(C200="Pres.", D200="&gt; 18"), 6*Q200)))))))</f>
        <v>0</v>
      </c>
      <c r="AD200" s="181">
        <f>ProjectInput[[#This Row],[Retrofit Cost]]</f>
        <v>0</v>
      </c>
      <c r="AE200" s="181">
        <f>ProjectInput[[#This Row],[Retrofit Cost]]-ProjectInput[[#This Row],[Incentive ($)]]</f>
        <v>0</v>
      </c>
      <c r="AF200" s="182" t="str">
        <f>IFERROR(ProjectInput[[#This Row],[Net Project Cost ($)]]/ProjectInput[[#This Row],[Energy Cost Savings ($)]], "")</f>
        <v/>
      </c>
    </row>
    <row r="201" spans="2:32" s="175" customFormat="1" ht="40" customHeight="1">
      <c r="B201" s="213">
        <v>198</v>
      </c>
      <c r="C201" s="220"/>
      <c r="D201" s="219"/>
      <c r="E201" s="183"/>
      <c r="F201" s="167"/>
      <c r="G201" s="184"/>
      <c r="H201" s="167"/>
      <c r="I201" s="184"/>
      <c r="J2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1" s="183"/>
      <c r="L201" s="167"/>
      <c r="M201" s="184"/>
      <c r="N201" s="184"/>
      <c r="O201" s="184"/>
      <c r="P201" s="177" t="str">
        <f>IF(ProjectInput[[#This Row],[Existing Fixture Code]]=0, "",INDEX(Table7[WATT/ FIXT], MATCH(ProjectInput[[#This Row],[Existing Fixture Code]], Table7[FIXTURE CODE], 0)))</f>
        <v/>
      </c>
      <c r="Q201" s="183"/>
      <c r="R201" s="167"/>
      <c r="S201" s="184"/>
      <c r="T201" s="184"/>
      <c r="U201" s="184"/>
      <c r="V201" s="184"/>
      <c r="W201" s="167"/>
      <c r="X201" s="185"/>
      <c r="Y201" s="179" t="str">
        <f>IF(ProjectInput[[#This Row],[Proposed Fixture Code]]=0, "", INDEX(Table7[WATT/ FIXT], MATCH(ProjectInput[[#This Row],[Proposed Fixture Code]], Table7[FIXTURE CODE],0 )))</f>
        <v/>
      </c>
      <c r="Z201" s="180">
        <f>INDEX(ReviewCalcs[Incentive Total Energy Savings (kWh)], MATCH(ProjectInput[[#This Row],[Project Index]], ReviewCalcs[Project Index], 0))</f>
        <v>0</v>
      </c>
      <c r="AA201" s="172">
        <f>INDEX(ReviewCalcs[Incentive Total Demand Savings (kW)], MATCH(ProjectInput[[#This Row],[Project Index]], ReviewCalcs[Project Index], 0))</f>
        <v>0</v>
      </c>
      <c r="AB201" s="181">
        <f>ProjectInput[[#This Row],[Energy Savings (kWh)]]*Avg_KWh_Rate</f>
        <v>0</v>
      </c>
      <c r="AC201" s="173">
        <f>IF(C201="", 0, IF(C201="Cust.", INDEX(ReviewCalcs[Incentive ($)], MATCH(ProjectInput[[#This Row],[Project Index]], ReviewCalcs[Project Index], 0)), IF(AND(C201="Pres.", D201="1 to 6"), 3*Q201, IF(AND(C201="Pres.", D201="7 to 11"), 4*Q201, IF(AND(C201="Pres.", D201="12 to 17"), 5*Q201, IF(AND(C201="Pres.", D201="Exit Sign"), 20*Q201, IF(AND(C201="Pres.", D201="&gt; 18"), 6*Q201)))))))</f>
        <v>0</v>
      </c>
      <c r="AD201" s="181">
        <f>ProjectInput[[#This Row],[Retrofit Cost]]</f>
        <v>0</v>
      </c>
      <c r="AE201" s="181">
        <f>ProjectInput[[#This Row],[Retrofit Cost]]-ProjectInput[[#This Row],[Incentive ($)]]</f>
        <v>0</v>
      </c>
      <c r="AF201" s="182" t="str">
        <f>IFERROR(ProjectInput[[#This Row],[Net Project Cost ($)]]/ProjectInput[[#This Row],[Energy Cost Savings ($)]], "")</f>
        <v/>
      </c>
    </row>
    <row r="202" spans="2:32" s="175" customFormat="1" ht="40" customHeight="1">
      <c r="B202" s="213">
        <v>199</v>
      </c>
      <c r="C202" s="223"/>
      <c r="D202" s="224"/>
      <c r="E202" s="183"/>
      <c r="F202" s="167"/>
      <c r="G202" s="184"/>
      <c r="H202" s="167"/>
      <c r="I202" s="184"/>
      <c r="J2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2" s="183"/>
      <c r="L202" s="167"/>
      <c r="M202" s="184"/>
      <c r="N202" s="184"/>
      <c r="O202" s="184"/>
      <c r="P202" s="177" t="str">
        <f>IF(ProjectInput[[#This Row],[Existing Fixture Code]]=0, "",INDEX(Table7[WATT/ FIXT], MATCH(ProjectInput[[#This Row],[Existing Fixture Code]], Table7[FIXTURE CODE], 0)))</f>
        <v/>
      </c>
      <c r="Q202" s="183"/>
      <c r="R202" s="167"/>
      <c r="S202" s="184"/>
      <c r="T202" s="184"/>
      <c r="U202" s="184"/>
      <c r="V202" s="184"/>
      <c r="W202" s="167"/>
      <c r="X202" s="185"/>
      <c r="Y202" s="179" t="str">
        <f>IF(ProjectInput[[#This Row],[Proposed Fixture Code]]=0, "", INDEX(Table7[WATT/ FIXT], MATCH(ProjectInput[[#This Row],[Proposed Fixture Code]], Table7[FIXTURE CODE],0 )))</f>
        <v/>
      </c>
      <c r="Z202" s="180">
        <f>INDEX(ReviewCalcs[Incentive Total Energy Savings (kWh)], MATCH(ProjectInput[[#This Row],[Project Index]], ReviewCalcs[Project Index], 0))</f>
        <v>0</v>
      </c>
      <c r="AA202" s="172">
        <f>INDEX(ReviewCalcs[Incentive Total Demand Savings (kW)], MATCH(ProjectInput[[#This Row],[Project Index]], ReviewCalcs[Project Index], 0))</f>
        <v>0</v>
      </c>
      <c r="AB202" s="181">
        <f>ProjectInput[[#This Row],[Energy Savings (kWh)]]*Avg_KWh_Rate</f>
        <v>0</v>
      </c>
      <c r="AC202" s="173">
        <f>IF(C202="", 0, IF(C202="Cust.", INDEX(ReviewCalcs[Incentive ($)], MATCH(ProjectInput[[#This Row],[Project Index]], ReviewCalcs[Project Index], 0)), IF(AND(C202="Pres.", D202="1 to 6"), 3*Q202, IF(AND(C202="Pres.", D202="7 to 11"), 4*Q202, IF(AND(C202="Pres.", D202="12 to 17"), 5*Q202, IF(AND(C202="Pres.", D202="Exit Sign"), 20*Q202, IF(AND(C202="Pres.", D202="&gt; 18"), 6*Q202)))))))</f>
        <v>0</v>
      </c>
      <c r="AD202" s="181">
        <f>ProjectInput[[#This Row],[Retrofit Cost]]</f>
        <v>0</v>
      </c>
      <c r="AE202" s="181">
        <f>ProjectInput[[#This Row],[Retrofit Cost]]-ProjectInput[[#This Row],[Incentive ($)]]</f>
        <v>0</v>
      </c>
      <c r="AF202" s="182" t="str">
        <f>IFERROR(ProjectInput[[#This Row],[Net Project Cost ($)]]/ProjectInput[[#This Row],[Energy Cost Savings ($)]], "")</f>
        <v/>
      </c>
    </row>
    <row r="203" spans="2:32" s="175" customFormat="1" ht="40" customHeight="1">
      <c r="B203" s="213">
        <v>200</v>
      </c>
      <c r="C203" s="220"/>
      <c r="D203" s="219"/>
      <c r="E203" s="183"/>
      <c r="F203" s="167"/>
      <c r="G203" s="184"/>
      <c r="H203" s="167"/>
      <c r="I203" s="184"/>
      <c r="J20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3" s="183"/>
      <c r="L203" s="167"/>
      <c r="M203" s="184"/>
      <c r="N203" s="184"/>
      <c r="O203" s="184"/>
      <c r="P203" s="177" t="str">
        <f>IF(ProjectInput[[#This Row],[Existing Fixture Code]]=0, "",INDEX(Table7[WATT/ FIXT], MATCH(ProjectInput[[#This Row],[Existing Fixture Code]], Table7[FIXTURE CODE], 0)))</f>
        <v/>
      </c>
      <c r="Q203" s="183"/>
      <c r="R203" s="167"/>
      <c r="S203" s="184"/>
      <c r="T203" s="184"/>
      <c r="U203" s="184"/>
      <c r="V203" s="184"/>
      <c r="W203" s="167"/>
      <c r="X203" s="185"/>
      <c r="Y203" s="179" t="str">
        <f>IF(ProjectInput[[#This Row],[Proposed Fixture Code]]=0, "", INDEX(Table7[WATT/ FIXT], MATCH(ProjectInput[[#This Row],[Proposed Fixture Code]], Table7[FIXTURE CODE],0 )))</f>
        <v/>
      </c>
      <c r="Z203" s="180">
        <f>INDEX(ReviewCalcs[Incentive Total Energy Savings (kWh)], MATCH(ProjectInput[[#This Row],[Project Index]], ReviewCalcs[Project Index], 0))</f>
        <v>0</v>
      </c>
      <c r="AA203" s="172">
        <f>INDEX(ReviewCalcs[Incentive Total Demand Savings (kW)], MATCH(ProjectInput[[#This Row],[Project Index]], ReviewCalcs[Project Index], 0))</f>
        <v>0</v>
      </c>
      <c r="AB203" s="181">
        <f>ProjectInput[[#This Row],[Energy Savings (kWh)]]*Avg_KWh_Rate</f>
        <v>0</v>
      </c>
      <c r="AC203" s="173">
        <f>IF(C203="", 0, IF(C203="Cust.", INDEX(ReviewCalcs[Incentive ($)], MATCH(ProjectInput[[#This Row],[Project Index]], ReviewCalcs[Project Index], 0)), IF(AND(C203="Pres.", D203="1 to 6"), 3*Q203, IF(AND(C203="Pres.", D203="7 to 11"), 4*Q203, IF(AND(C203="Pres.", D203="12 to 17"), 5*Q203, IF(AND(C203="Pres.", D203="Exit Sign"), 20*Q203, IF(AND(C203="Pres.", D203="&gt; 18"), 6*Q203)))))))</f>
        <v>0</v>
      </c>
      <c r="AD203" s="181">
        <f>ProjectInput[[#This Row],[Retrofit Cost]]</f>
        <v>0</v>
      </c>
      <c r="AE203" s="181">
        <f>ProjectInput[[#This Row],[Retrofit Cost]]-ProjectInput[[#This Row],[Incentive ($)]]</f>
        <v>0</v>
      </c>
      <c r="AF203" s="182" t="str">
        <f>IFERROR(ProjectInput[[#This Row],[Net Project Cost ($)]]/ProjectInput[[#This Row],[Energy Cost Savings ($)]], "")</f>
        <v/>
      </c>
    </row>
    <row r="204" spans="2:32" s="175" customFormat="1" ht="40" customHeight="1">
      <c r="B204" s="213">
        <v>201</v>
      </c>
      <c r="C204" s="223"/>
      <c r="D204" s="224"/>
      <c r="E204" s="183"/>
      <c r="F204" s="167"/>
      <c r="G204" s="184"/>
      <c r="H204" s="167"/>
      <c r="I204" s="184"/>
      <c r="J20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4" s="183"/>
      <c r="L204" s="167"/>
      <c r="M204" s="184"/>
      <c r="N204" s="184"/>
      <c r="O204" s="184"/>
      <c r="P204" s="177" t="str">
        <f>IF(ProjectInput[[#This Row],[Existing Fixture Code]]=0, "",INDEX(Table7[WATT/ FIXT], MATCH(ProjectInput[[#This Row],[Existing Fixture Code]], Table7[FIXTURE CODE], 0)))</f>
        <v/>
      </c>
      <c r="Q204" s="183"/>
      <c r="R204" s="167"/>
      <c r="S204" s="184"/>
      <c r="T204" s="184"/>
      <c r="U204" s="184"/>
      <c r="V204" s="184"/>
      <c r="W204" s="167"/>
      <c r="X204" s="185"/>
      <c r="Y204" s="179" t="str">
        <f>IF(ProjectInput[[#This Row],[Proposed Fixture Code]]=0, "", INDEX(Table7[WATT/ FIXT], MATCH(ProjectInput[[#This Row],[Proposed Fixture Code]], Table7[FIXTURE CODE],0 )))</f>
        <v/>
      </c>
      <c r="Z204" s="180">
        <f>INDEX(ReviewCalcs[Incentive Total Energy Savings (kWh)], MATCH(ProjectInput[[#This Row],[Project Index]], ReviewCalcs[Project Index], 0))</f>
        <v>0</v>
      </c>
      <c r="AA204" s="172">
        <f>INDEX(ReviewCalcs[Incentive Total Demand Savings (kW)], MATCH(ProjectInput[[#This Row],[Project Index]], ReviewCalcs[Project Index], 0))</f>
        <v>0</v>
      </c>
      <c r="AB204" s="181">
        <f>ProjectInput[[#This Row],[Energy Savings (kWh)]]*Avg_KWh_Rate</f>
        <v>0</v>
      </c>
      <c r="AC204" s="173">
        <f>IF(C204="", 0, IF(C204="Cust.", INDEX(ReviewCalcs[Incentive ($)], MATCH(ProjectInput[[#This Row],[Project Index]], ReviewCalcs[Project Index], 0)), IF(AND(C204="Pres.", D204="1 to 6"), 3*Q204, IF(AND(C204="Pres.", D204="7 to 11"), 4*Q204, IF(AND(C204="Pres.", D204="12 to 17"), 5*Q204, IF(AND(C204="Pres.", D204="Exit Sign"), 20*Q204, IF(AND(C204="Pres.", D204="&gt; 18"), 6*Q204)))))))</f>
        <v>0</v>
      </c>
      <c r="AD204" s="181">
        <f>ProjectInput[[#This Row],[Retrofit Cost]]</f>
        <v>0</v>
      </c>
      <c r="AE204" s="181">
        <f>ProjectInput[[#This Row],[Retrofit Cost]]-ProjectInput[[#This Row],[Incentive ($)]]</f>
        <v>0</v>
      </c>
      <c r="AF204" s="182" t="str">
        <f>IFERROR(ProjectInput[[#This Row],[Net Project Cost ($)]]/ProjectInput[[#This Row],[Energy Cost Savings ($)]], "")</f>
        <v/>
      </c>
    </row>
    <row r="205" spans="2:32" s="175" customFormat="1" ht="40" customHeight="1">
      <c r="B205" s="213">
        <v>202</v>
      </c>
      <c r="C205" s="220"/>
      <c r="D205" s="219"/>
      <c r="E205" s="183"/>
      <c r="F205" s="167"/>
      <c r="G205" s="184"/>
      <c r="H205" s="167"/>
      <c r="I205" s="184"/>
      <c r="J20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5" s="183"/>
      <c r="L205" s="167"/>
      <c r="M205" s="184"/>
      <c r="N205" s="184"/>
      <c r="O205" s="184"/>
      <c r="P205" s="177" t="str">
        <f>IF(ProjectInput[[#This Row],[Existing Fixture Code]]=0, "",INDEX(Table7[WATT/ FIXT], MATCH(ProjectInput[[#This Row],[Existing Fixture Code]], Table7[FIXTURE CODE], 0)))</f>
        <v/>
      </c>
      <c r="Q205" s="183"/>
      <c r="R205" s="167"/>
      <c r="S205" s="184"/>
      <c r="T205" s="184"/>
      <c r="U205" s="184"/>
      <c r="V205" s="184"/>
      <c r="W205" s="167"/>
      <c r="X205" s="185"/>
      <c r="Y205" s="179" t="str">
        <f>IF(ProjectInput[[#This Row],[Proposed Fixture Code]]=0, "", INDEX(Table7[WATT/ FIXT], MATCH(ProjectInput[[#This Row],[Proposed Fixture Code]], Table7[FIXTURE CODE],0 )))</f>
        <v/>
      </c>
      <c r="Z205" s="180">
        <f>INDEX(ReviewCalcs[Incentive Total Energy Savings (kWh)], MATCH(ProjectInput[[#This Row],[Project Index]], ReviewCalcs[Project Index], 0))</f>
        <v>0</v>
      </c>
      <c r="AA205" s="172">
        <f>INDEX(ReviewCalcs[Incentive Total Demand Savings (kW)], MATCH(ProjectInput[[#This Row],[Project Index]], ReviewCalcs[Project Index], 0))</f>
        <v>0</v>
      </c>
      <c r="AB205" s="181">
        <f>ProjectInput[[#This Row],[Energy Savings (kWh)]]*Avg_KWh_Rate</f>
        <v>0</v>
      </c>
      <c r="AC205" s="173">
        <f>IF(C205="", 0, IF(C205="Cust.", INDEX(ReviewCalcs[Incentive ($)], MATCH(ProjectInput[[#This Row],[Project Index]], ReviewCalcs[Project Index], 0)), IF(AND(C205="Pres.", D205="1 to 6"), 3*Q205, IF(AND(C205="Pres.", D205="7 to 11"), 4*Q205, IF(AND(C205="Pres.", D205="12 to 17"), 5*Q205, IF(AND(C205="Pres.", D205="Exit Sign"), 20*Q205, IF(AND(C205="Pres.", D205="&gt; 18"), 6*Q205)))))))</f>
        <v>0</v>
      </c>
      <c r="AD205" s="181">
        <f>ProjectInput[[#This Row],[Retrofit Cost]]</f>
        <v>0</v>
      </c>
      <c r="AE205" s="181">
        <f>ProjectInput[[#This Row],[Retrofit Cost]]-ProjectInput[[#This Row],[Incentive ($)]]</f>
        <v>0</v>
      </c>
      <c r="AF205" s="182" t="str">
        <f>IFERROR(ProjectInput[[#This Row],[Net Project Cost ($)]]/ProjectInput[[#This Row],[Energy Cost Savings ($)]], "")</f>
        <v/>
      </c>
    </row>
    <row r="206" spans="2:32" s="175" customFormat="1" ht="40" customHeight="1">
      <c r="B206" s="213">
        <v>203</v>
      </c>
      <c r="C206" s="223"/>
      <c r="D206" s="224"/>
      <c r="E206" s="183"/>
      <c r="F206" s="167"/>
      <c r="G206" s="184"/>
      <c r="H206" s="167"/>
      <c r="I206" s="184"/>
      <c r="J20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6" s="183"/>
      <c r="L206" s="167"/>
      <c r="M206" s="184"/>
      <c r="N206" s="184"/>
      <c r="O206" s="184"/>
      <c r="P206" s="177" t="str">
        <f>IF(ProjectInput[[#This Row],[Existing Fixture Code]]=0, "",INDEX(Table7[WATT/ FIXT], MATCH(ProjectInput[[#This Row],[Existing Fixture Code]], Table7[FIXTURE CODE], 0)))</f>
        <v/>
      </c>
      <c r="Q206" s="183"/>
      <c r="R206" s="167"/>
      <c r="S206" s="184"/>
      <c r="T206" s="184"/>
      <c r="U206" s="184"/>
      <c r="V206" s="184"/>
      <c r="W206" s="167"/>
      <c r="X206" s="185"/>
      <c r="Y206" s="179" t="str">
        <f>IF(ProjectInput[[#This Row],[Proposed Fixture Code]]=0, "", INDEX(Table7[WATT/ FIXT], MATCH(ProjectInput[[#This Row],[Proposed Fixture Code]], Table7[FIXTURE CODE],0 )))</f>
        <v/>
      </c>
      <c r="Z206" s="180">
        <f>INDEX(ReviewCalcs[Incentive Total Energy Savings (kWh)], MATCH(ProjectInput[[#This Row],[Project Index]], ReviewCalcs[Project Index], 0))</f>
        <v>0</v>
      </c>
      <c r="AA206" s="172">
        <f>INDEX(ReviewCalcs[Incentive Total Demand Savings (kW)], MATCH(ProjectInput[[#This Row],[Project Index]], ReviewCalcs[Project Index], 0))</f>
        <v>0</v>
      </c>
      <c r="AB206" s="181">
        <f>ProjectInput[[#This Row],[Energy Savings (kWh)]]*Avg_KWh_Rate</f>
        <v>0</v>
      </c>
      <c r="AC206" s="173">
        <f>IF(C206="", 0, IF(C206="Cust.", INDEX(ReviewCalcs[Incentive ($)], MATCH(ProjectInput[[#This Row],[Project Index]], ReviewCalcs[Project Index], 0)), IF(AND(C206="Pres.", D206="1 to 6"), 3*Q206, IF(AND(C206="Pres.", D206="7 to 11"), 4*Q206, IF(AND(C206="Pres.", D206="12 to 17"), 5*Q206, IF(AND(C206="Pres.", D206="Exit Sign"), 20*Q206, IF(AND(C206="Pres.", D206="&gt; 18"), 6*Q206)))))))</f>
        <v>0</v>
      </c>
      <c r="AD206" s="181">
        <f>ProjectInput[[#This Row],[Retrofit Cost]]</f>
        <v>0</v>
      </c>
      <c r="AE206" s="181">
        <f>ProjectInput[[#This Row],[Retrofit Cost]]-ProjectInput[[#This Row],[Incentive ($)]]</f>
        <v>0</v>
      </c>
      <c r="AF206" s="182" t="str">
        <f>IFERROR(ProjectInput[[#This Row],[Net Project Cost ($)]]/ProjectInput[[#This Row],[Energy Cost Savings ($)]], "")</f>
        <v/>
      </c>
    </row>
    <row r="207" spans="2:32" s="175" customFormat="1" ht="40" customHeight="1">
      <c r="B207" s="213">
        <v>204</v>
      </c>
      <c r="C207" s="220"/>
      <c r="D207" s="219"/>
      <c r="E207" s="183"/>
      <c r="F207" s="167"/>
      <c r="G207" s="184"/>
      <c r="H207" s="167"/>
      <c r="I207" s="184"/>
      <c r="J20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7" s="183"/>
      <c r="L207" s="167"/>
      <c r="M207" s="184"/>
      <c r="N207" s="184"/>
      <c r="O207" s="184"/>
      <c r="P207" s="177" t="str">
        <f>IF(ProjectInput[[#This Row],[Existing Fixture Code]]=0, "",INDEX(Table7[WATT/ FIXT], MATCH(ProjectInput[[#This Row],[Existing Fixture Code]], Table7[FIXTURE CODE], 0)))</f>
        <v/>
      </c>
      <c r="Q207" s="183"/>
      <c r="R207" s="167"/>
      <c r="S207" s="184"/>
      <c r="T207" s="184"/>
      <c r="U207" s="184"/>
      <c r="V207" s="184"/>
      <c r="W207" s="167"/>
      <c r="X207" s="185"/>
      <c r="Y207" s="179" t="str">
        <f>IF(ProjectInput[[#This Row],[Proposed Fixture Code]]=0, "", INDEX(Table7[WATT/ FIXT], MATCH(ProjectInput[[#This Row],[Proposed Fixture Code]], Table7[FIXTURE CODE],0 )))</f>
        <v/>
      </c>
      <c r="Z207" s="180">
        <f>INDEX(ReviewCalcs[Incentive Total Energy Savings (kWh)], MATCH(ProjectInput[[#This Row],[Project Index]], ReviewCalcs[Project Index], 0))</f>
        <v>0</v>
      </c>
      <c r="AA207" s="172">
        <f>INDEX(ReviewCalcs[Incentive Total Demand Savings (kW)], MATCH(ProjectInput[[#This Row],[Project Index]], ReviewCalcs[Project Index], 0))</f>
        <v>0</v>
      </c>
      <c r="AB207" s="181">
        <f>ProjectInput[[#This Row],[Energy Savings (kWh)]]*Avg_KWh_Rate</f>
        <v>0</v>
      </c>
      <c r="AC207" s="173">
        <f>IF(C207="", 0, IF(C207="Cust.", INDEX(ReviewCalcs[Incentive ($)], MATCH(ProjectInput[[#This Row],[Project Index]], ReviewCalcs[Project Index], 0)), IF(AND(C207="Pres.", D207="1 to 6"), 3*Q207, IF(AND(C207="Pres.", D207="7 to 11"), 4*Q207, IF(AND(C207="Pres.", D207="12 to 17"), 5*Q207, IF(AND(C207="Pres.", D207="Exit Sign"), 20*Q207, IF(AND(C207="Pres.", D207="&gt; 18"), 6*Q207)))))))</f>
        <v>0</v>
      </c>
      <c r="AD207" s="181">
        <f>ProjectInput[[#This Row],[Retrofit Cost]]</f>
        <v>0</v>
      </c>
      <c r="AE207" s="181">
        <f>ProjectInput[[#This Row],[Retrofit Cost]]-ProjectInput[[#This Row],[Incentive ($)]]</f>
        <v>0</v>
      </c>
      <c r="AF207" s="182" t="str">
        <f>IFERROR(ProjectInput[[#This Row],[Net Project Cost ($)]]/ProjectInput[[#This Row],[Energy Cost Savings ($)]], "")</f>
        <v/>
      </c>
    </row>
    <row r="208" spans="2:32" s="175" customFormat="1" ht="40" customHeight="1">
      <c r="B208" s="213">
        <v>205</v>
      </c>
      <c r="C208" s="223"/>
      <c r="D208" s="224"/>
      <c r="E208" s="183"/>
      <c r="F208" s="167"/>
      <c r="G208" s="184"/>
      <c r="H208" s="167"/>
      <c r="I208" s="184"/>
      <c r="J20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8" s="183"/>
      <c r="L208" s="167"/>
      <c r="M208" s="184"/>
      <c r="N208" s="184"/>
      <c r="O208" s="184"/>
      <c r="P208" s="177" t="str">
        <f>IF(ProjectInput[[#This Row],[Existing Fixture Code]]=0, "",INDEX(Table7[WATT/ FIXT], MATCH(ProjectInput[[#This Row],[Existing Fixture Code]], Table7[FIXTURE CODE], 0)))</f>
        <v/>
      </c>
      <c r="Q208" s="183"/>
      <c r="R208" s="167"/>
      <c r="S208" s="184"/>
      <c r="T208" s="184"/>
      <c r="U208" s="184"/>
      <c r="V208" s="184"/>
      <c r="W208" s="167"/>
      <c r="X208" s="185"/>
      <c r="Y208" s="179" t="str">
        <f>IF(ProjectInput[[#This Row],[Proposed Fixture Code]]=0, "", INDEX(Table7[WATT/ FIXT], MATCH(ProjectInput[[#This Row],[Proposed Fixture Code]], Table7[FIXTURE CODE],0 )))</f>
        <v/>
      </c>
      <c r="Z208" s="180">
        <f>INDEX(ReviewCalcs[Incentive Total Energy Savings (kWh)], MATCH(ProjectInput[[#This Row],[Project Index]], ReviewCalcs[Project Index], 0))</f>
        <v>0</v>
      </c>
      <c r="AA208" s="172">
        <f>INDEX(ReviewCalcs[Incentive Total Demand Savings (kW)], MATCH(ProjectInput[[#This Row],[Project Index]], ReviewCalcs[Project Index], 0))</f>
        <v>0</v>
      </c>
      <c r="AB208" s="181">
        <f>ProjectInput[[#This Row],[Energy Savings (kWh)]]*Avg_KWh_Rate</f>
        <v>0</v>
      </c>
      <c r="AC208" s="173">
        <f>IF(C208="", 0, IF(C208="Cust.", INDEX(ReviewCalcs[Incentive ($)], MATCH(ProjectInput[[#This Row],[Project Index]], ReviewCalcs[Project Index], 0)), IF(AND(C208="Pres.", D208="1 to 6"), 3*Q208, IF(AND(C208="Pres.", D208="7 to 11"), 4*Q208, IF(AND(C208="Pres.", D208="12 to 17"), 5*Q208, IF(AND(C208="Pres.", D208="Exit Sign"), 20*Q208, IF(AND(C208="Pres.", D208="&gt; 18"), 6*Q208)))))))</f>
        <v>0</v>
      </c>
      <c r="AD208" s="181">
        <f>ProjectInput[[#This Row],[Retrofit Cost]]</f>
        <v>0</v>
      </c>
      <c r="AE208" s="181">
        <f>ProjectInput[[#This Row],[Retrofit Cost]]-ProjectInput[[#This Row],[Incentive ($)]]</f>
        <v>0</v>
      </c>
      <c r="AF208" s="182" t="str">
        <f>IFERROR(ProjectInput[[#This Row],[Net Project Cost ($)]]/ProjectInput[[#This Row],[Energy Cost Savings ($)]], "")</f>
        <v/>
      </c>
    </row>
    <row r="209" spans="2:32" s="175" customFormat="1" ht="40" customHeight="1">
      <c r="B209" s="213">
        <v>206</v>
      </c>
      <c r="C209" s="220"/>
      <c r="D209" s="219"/>
      <c r="E209" s="183"/>
      <c r="F209" s="167"/>
      <c r="G209" s="184"/>
      <c r="H209" s="167"/>
      <c r="I209" s="184"/>
      <c r="J20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09" s="183"/>
      <c r="L209" s="167"/>
      <c r="M209" s="184"/>
      <c r="N209" s="184"/>
      <c r="O209" s="184"/>
      <c r="P209" s="177" t="str">
        <f>IF(ProjectInput[[#This Row],[Existing Fixture Code]]=0, "",INDEX(Table7[WATT/ FIXT], MATCH(ProjectInput[[#This Row],[Existing Fixture Code]], Table7[FIXTURE CODE], 0)))</f>
        <v/>
      </c>
      <c r="Q209" s="183"/>
      <c r="R209" s="167"/>
      <c r="S209" s="184"/>
      <c r="T209" s="184"/>
      <c r="U209" s="184"/>
      <c r="V209" s="184"/>
      <c r="W209" s="167"/>
      <c r="X209" s="185"/>
      <c r="Y209" s="179" t="str">
        <f>IF(ProjectInput[[#This Row],[Proposed Fixture Code]]=0, "", INDEX(Table7[WATT/ FIXT], MATCH(ProjectInput[[#This Row],[Proposed Fixture Code]], Table7[FIXTURE CODE],0 )))</f>
        <v/>
      </c>
      <c r="Z209" s="180">
        <f>INDEX(ReviewCalcs[Incentive Total Energy Savings (kWh)], MATCH(ProjectInput[[#This Row],[Project Index]], ReviewCalcs[Project Index], 0))</f>
        <v>0</v>
      </c>
      <c r="AA209" s="172">
        <f>INDEX(ReviewCalcs[Incentive Total Demand Savings (kW)], MATCH(ProjectInput[[#This Row],[Project Index]], ReviewCalcs[Project Index], 0))</f>
        <v>0</v>
      </c>
      <c r="AB209" s="181">
        <f>ProjectInput[[#This Row],[Energy Savings (kWh)]]*Avg_KWh_Rate</f>
        <v>0</v>
      </c>
      <c r="AC209" s="173">
        <f>IF(C209="", 0, IF(C209="Cust.", INDEX(ReviewCalcs[Incentive ($)], MATCH(ProjectInput[[#This Row],[Project Index]], ReviewCalcs[Project Index], 0)), IF(AND(C209="Pres.", D209="1 to 6"), 3*Q209, IF(AND(C209="Pres.", D209="7 to 11"), 4*Q209, IF(AND(C209="Pres.", D209="12 to 17"), 5*Q209, IF(AND(C209="Pres.", D209="Exit Sign"), 20*Q209, IF(AND(C209="Pres.", D209="&gt; 18"), 6*Q209)))))))</f>
        <v>0</v>
      </c>
      <c r="AD209" s="181">
        <f>ProjectInput[[#This Row],[Retrofit Cost]]</f>
        <v>0</v>
      </c>
      <c r="AE209" s="181">
        <f>ProjectInput[[#This Row],[Retrofit Cost]]-ProjectInput[[#This Row],[Incentive ($)]]</f>
        <v>0</v>
      </c>
      <c r="AF209" s="182" t="str">
        <f>IFERROR(ProjectInput[[#This Row],[Net Project Cost ($)]]/ProjectInput[[#This Row],[Energy Cost Savings ($)]], "")</f>
        <v/>
      </c>
    </row>
    <row r="210" spans="2:32" s="175" customFormat="1" ht="40" customHeight="1">
      <c r="B210" s="213">
        <v>207</v>
      </c>
      <c r="C210" s="223"/>
      <c r="D210" s="224"/>
      <c r="E210" s="183"/>
      <c r="F210" s="167"/>
      <c r="G210" s="184"/>
      <c r="H210" s="167"/>
      <c r="I210" s="184"/>
      <c r="J21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0" s="183"/>
      <c r="L210" s="167"/>
      <c r="M210" s="184"/>
      <c r="N210" s="184"/>
      <c r="O210" s="184"/>
      <c r="P210" s="177" t="str">
        <f>IF(ProjectInput[[#This Row],[Existing Fixture Code]]=0, "",INDEX(Table7[WATT/ FIXT], MATCH(ProjectInput[[#This Row],[Existing Fixture Code]], Table7[FIXTURE CODE], 0)))</f>
        <v/>
      </c>
      <c r="Q210" s="183"/>
      <c r="R210" s="167"/>
      <c r="S210" s="184"/>
      <c r="T210" s="184"/>
      <c r="U210" s="184"/>
      <c r="V210" s="184"/>
      <c r="W210" s="167"/>
      <c r="X210" s="185"/>
      <c r="Y210" s="179" t="str">
        <f>IF(ProjectInput[[#This Row],[Proposed Fixture Code]]=0, "", INDEX(Table7[WATT/ FIXT], MATCH(ProjectInput[[#This Row],[Proposed Fixture Code]], Table7[FIXTURE CODE],0 )))</f>
        <v/>
      </c>
      <c r="Z210" s="180">
        <f>INDEX(ReviewCalcs[Incentive Total Energy Savings (kWh)], MATCH(ProjectInput[[#This Row],[Project Index]], ReviewCalcs[Project Index], 0))</f>
        <v>0</v>
      </c>
      <c r="AA210" s="172">
        <f>INDEX(ReviewCalcs[Incentive Total Demand Savings (kW)], MATCH(ProjectInput[[#This Row],[Project Index]], ReviewCalcs[Project Index], 0))</f>
        <v>0</v>
      </c>
      <c r="AB210" s="181">
        <f>ProjectInput[[#This Row],[Energy Savings (kWh)]]*Avg_KWh_Rate</f>
        <v>0</v>
      </c>
      <c r="AC210" s="173">
        <f>IF(C210="", 0, IF(C210="Cust.", INDEX(ReviewCalcs[Incentive ($)], MATCH(ProjectInput[[#This Row],[Project Index]], ReviewCalcs[Project Index], 0)), IF(AND(C210="Pres.", D210="1 to 6"), 3*Q210, IF(AND(C210="Pres.", D210="7 to 11"), 4*Q210, IF(AND(C210="Pres.", D210="12 to 17"), 5*Q210, IF(AND(C210="Pres.", D210="Exit Sign"), 20*Q210, IF(AND(C210="Pres.", D210="&gt; 18"), 6*Q210)))))))</f>
        <v>0</v>
      </c>
      <c r="AD210" s="181">
        <f>ProjectInput[[#This Row],[Retrofit Cost]]</f>
        <v>0</v>
      </c>
      <c r="AE210" s="181">
        <f>ProjectInput[[#This Row],[Retrofit Cost]]-ProjectInput[[#This Row],[Incentive ($)]]</f>
        <v>0</v>
      </c>
      <c r="AF210" s="182" t="str">
        <f>IFERROR(ProjectInput[[#This Row],[Net Project Cost ($)]]/ProjectInput[[#This Row],[Energy Cost Savings ($)]], "")</f>
        <v/>
      </c>
    </row>
    <row r="211" spans="2:32" s="175" customFormat="1" ht="40" customHeight="1">
      <c r="B211" s="213">
        <v>208</v>
      </c>
      <c r="C211" s="220"/>
      <c r="D211" s="219"/>
      <c r="E211" s="183"/>
      <c r="F211" s="167"/>
      <c r="G211" s="184"/>
      <c r="H211" s="167"/>
      <c r="I211" s="184"/>
      <c r="J21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1" s="183"/>
      <c r="L211" s="167"/>
      <c r="M211" s="184"/>
      <c r="N211" s="184"/>
      <c r="O211" s="184"/>
      <c r="P211" s="177" t="str">
        <f>IF(ProjectInput[[#This Row],[Existing Fixture Code]]=0, "",INDEX(Table7[WATT/ FIXT], MATCH(ProjectInput[[#This Row],[Existing Fixture Code]], Table7[FIXTURE CODE], 0)))</f>
        <v/>
      </c>
      <c r="Q211" s="183"/>
      <c r="R211" s="167"/>
      <c r="S211" s="184"/>
      <c r="T211" s="184"/>
      <c r="U211" s="184"/>
      <c r="V211" s="184"/>
      <c r="W211" s="167"/>
      <c r="X211" s="185"/>
      <c r="Y211" s="179" t="str">
        <f>IF(ProjectInput[[#This Row],[Proposed Fixture Code]]=0, "", INDEX(Table7[WATT/ FIXT], MATCH(ProjectInput[[#This Row],[Proposed Fixture Code]], Table7[FIXTURE CODE],0 )))</f>
        <v/>
      </c>
      <c r="Z211" s="180">
        <f>INDEX(ReviewCalcs[Incentive Total Energy Savings (kWh)], MATCH(ProjectInput[[#This Row],[Project Index]], ReviewCalcs[Project Index], 0))</f>
        <v>0</v>
      </c>
      <c r="AA211" s="172">
        <f>INDEX(ReviewCalcs[Incentive Total Demand Savings (kW)], MATCH(ProjectInput[[#This Row],[Project Index]], ReviewCalcs[Project Index], 0))</f>
        <v>0</v>
      </c>
      <c r="AB211" s="181">
        <f>ProjectInput[[#This Row],[Energy Savings (kWh)]]*Avg_KWh_Rate</f>
        <v>0</v>
      </c>
      <c r="AC211" s="173">
        <f>IF(C211="", 0, IF(C211="Cust.", INDEX(ReviewCalcs[Incentive ($)], MATCH(ProjectInput[[#This Row],[Project Index]], ReviewCalcs[Project Index], 0)), IF(AND(C211="Pres.", D211="1 to 6"), 3*Q211, IF(AND(C211="Pres.", D211="7 to 11"), 4*Q211, IF(AND(C211="Pres.", D211="12 to 17"), 5*Q211, IF(AND(C211="Pres.", D211="Exit Sign"), 20*Q211, IF(AND(C211="Pres.", D211="&gt; 18"), 6*Q211)))))))</f>
        <v>0</v>
      </c>
      <c r="AD211" s="181">
        <f>ProjectInput[[#This Row],[Retrofit Cost]]</f>
        <v>0</v>
      </c>
      <c r="AE211" s="181">
        <f>ProjectInput[[#This Row],[Retrofit Cost]]-ProjectInput[[#This Row],[Incentive ($)]]</f>
        <v>0</v>
      </c>
      <c r="AF211" s="182" t="str">
        <f>IFERROR(ProjectInput[[#This Row],[Net Project Cost ($)]]/ProjectInput[[#This Row],[Energy Cost Savings ($)]], "")</f>
        <v/>
      </c>
    </row>
    <row r="212" spans="2:32" s="175" customFormat="1" ht="40" customHeight="1">
      <c r="B212" s="213">
        <v>209</v>
      </c>
      <c r="C212" s="223"/>
      <c r="D212" s="224"/>
      <c r="E212" s="183"/>
      <c r="F212" s="167"/>
      <c r="G212" s="184"/>
      <c r="H212" s="167"/>
      <c r="I212" s="184"/>
      <c r="J21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2" s="183"/>
      <c r="L212" s="167"/>
      <c r="M212" s="184"/>
      <c r="N212" s="184"/>
      <c r="O212" s="184"/>
      <c r="P212" s="177" t="str">
        <f>IF(ProjectInput[[#This Row],[Existing Fixture Code]]=0, "",INDEX(Table7[WATT/ FIXT], MATCH(ProjectInput[[#This Row],[Existing Fixture Code]], Table7[FIXTURE CODE], 0)))</f>
        <v/>
      </c>
      <c r="Q212" s="183"/>
      <c r="R212" s="167"/>
      <c r="S212" s="184"/>
      <c r="T212" s="184"/>
      <c r="U212" s="184"/>
      <c r="V212" s="184"/>
      <c r="W212" s="167"/>
      <c r="X212" s="185"/>
      <c r="Y212" s="179" t="str">
        <f>IF(ProjectInput[[#This Row],[Proposed Fixture Code]]=0, "", INDEX(Table7[WATT/ FIXT], MATCH(ProjectInput[[#This Row],[Proposed Fixture Code]], Table7[FIXTURE CODE],0 )))</f>
        <v/>
      </c>
      <c r="Z212" s="180">
        <f>INDEX(ReviewCalcs[Incentive Total Energy Savings (kWh)], MATCH(ProjectInput[[#This Row],[Project Index]], ReviewCalcs[Project Index], 0))</f>
        <v>0</v>
      </c>
      <c r="AA212" s="172">
        <f>INDEX(ReviewCalcs[Incentive Total Demand Savings (kW)], MATCH(ProjectInput[[#This Row],[Project Index]], ReviewCalcs[Project Index], 0))</f>
        <v>0</v>
      </c>
      <c r="AB212" s="181">
        <f>ProjectInput[[#This Row],[Energy Savings (kWh)]]*Avg_KWh_Rate</f>
        <v>0</v>
      </c>
      <c r="AC212" s="173">
        <f>IF(C212="", 0, IF(C212="Cust.", INDEX(ReviewCalcs[Incentive ($)], MATCH(ProjectInput[[#This Row],[Project Index]], ReviewCalcs[Project Index], 0)), IF(AND(C212="Pres.", D212="1 to 6"), 3*Q212, IF(AND(C212="Pres.", D212="7 to 11"), 4*Q212, IF(AND(C212="Pres.", D212="12 to 17"), 5*Q212, IF(AND(C212="Pres.", D212="Exit Sign"), 20*Q212, IF(AND(C212="Pres.", D212="&gt; 18"), 6*Q212)))))))</f>
        <v>0</v>
      </c>
      <c r="AD212" s="181">
        <f>ProjectInput[[#This Row],[Retrofit Cost]]</f>
        <v>0</v>
      </c>
      <c r="AE212" s="181">
        <f>ProjectInput[[#This Row],[Retrofit Cost]]-ProjectInput[[#This Row],[Incentive ($)]]</f>
        <v>0</v>
      </c>
      <c r="AF212" s="182" t="str">
        <f>IFERROR(ProjectInput[[#This Row],[Net Project Cost ($)]]/ProjectInput[[#This Row],[Energy Cost Savings ($)]], "")</f>
        <v/>
      </c>
    </row>
    <row r="213" spans="2:32" s="175" customFormat="1" ht="40" customHeight="1">
      <c r="B213" s="213">
        <v>210</v>
      </c>
      <c r="C213" s="220"/>
      <c r="D213" s="219"/>
      <c r="E213" s="183"/>
      <c r="F213" s="167"/>
      <c r="G213" s="184"/>
      <c r="H213" s="167"/>
      <c r="I213" s="184"/>
      <c r="J21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3" s="183"/>
      <c r="L213" s="167"/>
      <c r="M213" s="184"/>
      <c r="N213" s="184"/>
      <c r="O213" s="184"/>
      <c r="P213" s="177" t="str">
        <f>IF(ProjectInput[[#This Row],[Existing Fixture Code]]=0, "",INDEX(Table7[WATT/ FIXT], MATCH(ProjectInput[[#This Row],[Existing Fixture Code]], Table7[FIXTURE CODE], 0)))</f>
        <v/>
      </c>
      <c r="Q213" s="183"/>
      <c r="R213" s="167"/>
      <c r="S213" s="184"/>
      <c r="T213" s="184"/>
      <c r="U213" s="184"/>
      <c r="V213" s="184"/>
      <c r="W213" s="167"/>
      <c r="X213" s="185"/>
      <c r="Y213" s="179" t="str">
        <f>IF(ProjectInput[[#This Row],[Proposed Fixture Code]]=0, "", INDEX(Table7[WATT/ FIXT], MATCH(ProjectInput[[#This Row],[Proposed Fixture Code]], Table7[FIXTURE CODE],0 )))</f>
        <v/>
      </c>
      <c r="Z213" s="180">
        <f>INDEX(ReviewCalcs[Incentive Total Energy Savings (kWh)], MATCH(ProjectInput[[#This Row],[Project Index]], ReviewCalcs[Project Index], 0))</f>
        <v>0</v>
      </c>
      <c r="AA213" s="172">
        <f>INDEX(ReviewCalcs[Incentive Total Demand Savings (kW)], MATCH(ProjectInput[[#This Row],[Project Index]], ReviewCalcs[Project Index], 0))</f>
        <v>0</v>
      </c>
      <c r="AB213" s="181">
        <f>ProjectInput[[#This Row],[Energy Savings (kWh)]]*Avg_KWh_Rate</f>
        <v>0</v>
      </c>
      <c r="AC213" s="173">
        <f>IF(C213="", 0, IF(C213="Cust.", INDEX(ReviewCalcs[Incentive ($)], MATCH(ProjectInput[[#This Row],[Project Index]], ReviewCalcs[Project Index], 0)), IF(AND(C213="Pres.", D213="1 to 6"), 3*Q213, IF(AND(C213="Pres.", D213="7 to 11"), 4*Q213, IF(AND(C213="Pres.", D213="12 to 17"), 5*Q213, IF(AND(C213="Pres.", D213="Exit Sign"), 20*Q213, IF(AND(C213="Pres.", D213="&gt; 18"), 6*Q213)))))))</f>
        <v>0</v>
      </c>
      <c r="AD213" s="181">
        <f>ProjectInput[[#This Row],[Retrofit Cost]]</f>
        <v>0</v>
      </c>
      <c r="AE213" s="181">
        <f>ProjectInput[[#This Row],[Retrofit Cost]]-ProjectInput[[#This Row],[Incentive ($)]]</f>
        <v>0</v>
      </c>
      <c r="AF213" s="182" t="str">
        <f>IFERROR(ProjectInput[[#This Row],[Net Project Cost ($)]]/ProjectInput[[#This Row],[Energy Cost Savings ($)]], "")</f>
        <v/>
      </c>
    </row>
    <row r="214" spans="2:32" s="175" customFormat="1" ht="40" customHeight="1">
      <c r="B214" s="213">
        <v>211</v>
      </c>
      <c r="C214" s="223"/>
      <c r="D214" s="224"/>
      <c r="E214" s="183"/>
      <c r="F214" s="167"/>
      <c r="G214" s="184"/>
      <c r="H214" s="167"/>
      <c r="I214" s="184"/>
      <c r="J21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4" s="183"/>
      <c r="L214" s="167"/>
      <c r="M214" s="184"/>
      <c r="N214" s="184"/>
      <c r="O214" s="184"/>
      <c r="P214" s="177" t="str">
        <f>IF(ProjectInput[[#This Row],[Existing Fixture Code]]=0, "",INDEX(Table7[WATT/ FIXT], MATCH(ProjectInput[[#This Row],[Existing Fixture Code]], Table7[FIXTURE CODE], 0)))</f>
        <v/>
      </c>
      <c r="Q214" s="183"/>
      <c r="R214" s="167"/>
      <c r="S214" s="184"/>
      <c r="T214" s="184"/>
      <c r="U214" s="184"/>
      <c r="V214" s="184"/>
      <c r="W214" s="167"/>
      <c r="X214" s="185"/>
      <c r="Y214" s="179" t="str">
        <f>IF(ProjectInput[[#This Row],[Proposed Fixture Code]]=0, "", INDEX(Table7[WATT/ FIXT], MATCH(ProjectInput[[#This Row],[Proposed Fixture Code]], Table7[FIXTURE CODE],0 )))</f>
        <v/>
      </c>
      <c r="Z214" s="180">
        <f>INDEX(ReviewCalcs[Incentive Total Energy Savings (kWh)], MATCH(ProjectInput[[#This Row],[Project Index]], ReviewCalcs[Project Index], 0))</f>
        <v>0</v>
      </c>
      <c r="AA214" s="172">
        <f>INDEX(ReviewCalcs[Incentive Total Demand Savings (kW)], MATCH(ProjectInput[[#This Row],[Project Index]], ReviewCalcs[Project Index], 0))</f>
        <v>0</v>
      </c>
      <c r="AB214" s="181">
        <f>ProjectInput[[#This Row],[Energy Savings (kWh)]]*Avg_KWh_Rate</f>
        <v>0</v>
      </c>
      <c r="AC214" s="173">
        <f>IF(C214="", 0, IF(C214="Cust.", INDEX(ReviewCalcs[Incentive ($)], MATCH(ProjectInput[[#This Row],[Project Index]], ReviewCalcs[Project Index], 0)), IF(AND(C214="Pres.", D214="1 to 6"), 3*Q214, IF(AND(C214="Pres.", D214="7 to 11"), 4*Q214, IF(AND(C214="Pres.", D214="12 to 17"), 5*Q214, IF(AND(C214="Pres.", D214="Exit Sign"), 20*Q214, IF(AND(C214="Pres.", D214="&gt; 18"), 6*Q214)))))))</f>
        <v>0</v>
      </c>
      <c r="AD214" s="181">
        <f>ProjectInput[[#This Row],[Retrofit Cost]]</f>
        <v>0</v>
      </c>
      <c r="AE214" s="181">
        <f>ProjectInput[[#This Row],[Retrofit Cost]]-ProjectInput[[#This Row],[Incentive ($)]]</f>
        <v>0</v>
      </c>
      <c r="AF214" s="182" t="str">
        <f>IFERROR(ProjectInput[[#This Row],[Net Project Cost ($)]]/ProjectInput[[#This Row],[Energy Cost Savings ($)]], "")</f>
        <v/>
      </c>
    </row>
    <row r="215" spans="2:32" s="175" customFormat="1" ht="40" customHeight="1">
      <c r="B215" s="213">
        <v>212</v>
      </c>
      <c r="C215" s="220"/>
      <c r="D215" s="219"/>
      <c r="E215" s="183"/>
      <c r="F215" s="167"/>
      <c r="G215" s="184"/>
      <c r="H215" s="167"/>
      <c r="I215" s="184"/>
      <c r="J21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5" s="183"/>
      <c r="L215" s="167"/>
      <c r="M215" s="184"/>
      <c r="N215" s="184"/>
      <c r="O215" s="184"/>
      <c r="P215" s="177" t="str">
        <f>IF(ProjectInput[[#This Row],[Existing Fixture Code]]=0, "",INDEX(Table7[WATT/ FIXT], MATCH(ProjectInput[[#This Row],[Existing Fixture Code]], Table7[FIXTURE CODE], 0)))</f>
        <v/>
      </c>
      <c r="Q215" s="183"/>
      <c r="R215" s="167"/>
      <c r="S215" s="184"/>
      <c r="T215" s="184"/>
      <c r="U215" s="184"/>
      <c r="V215" s="184"/>
      <c r="W215" s="167"/>
      <c r="X215" s="185"/>
      <c r="Y215" s="179" t="str">
        <f>IF(ProjectInput[[#This Row],[Proposed Fixture Code]]=0, "", INDEX(Table7[WATT/ FIXT], MATCH(ProjectInput[[#This Row],[Proposed Fixture Code]], Table7[FIXTURE CODE],0 )))</f>
        <v/>
      </c>
      <c r="Z215" s="180">
        <f>INDEX(ReviewCalcs[Incentive Total Energy Savings (kWh)], MATCH(ProjectInput[[#This Row],[Project Index]], ReviewCalcs[Project Index], 0))</f>
        <v>0</v>
      </c>
      <c r="AA215" s="172">
        <f>INDEX(ReviewCalcs[Incentive Total Demand Savings (kW)], MATCH(ProjectInput[[#This Row],[Project Index]], ReviewCalcs[Project Index], 0))</f>
        <v>0</v>
      </c>
      <c r="AB215" s="181">
        <f>ProjectInput[[#This Row],[Energy Savings (kWh)]]*Avg_KWh_Rate</f>
        <v>0</v>
      </c>
      <c r="AC215" s="173">
        <f>IF(C215="", 0, IF(C215="Cust.", INDEX(ReviewCalcs[Incentive ($)], MATCH(ProjectInput[[#This Row],[Project Index]], ReviewCalcs[Project Index], 0)), IF(AND(C215="Pres.", D215="1 to 6"), 3*Q215, IF(AND(C215="Pres.", D215="7 to 11"), 4*Q215, IF(AND(C215="Pres.", D215="12 to 17"), 5*Q215, IF(AND(C215="Pres.", D215="Exit Sign"), 20*Q215, IF(AND(C215="Pres.", D215="&gt; 18"), 6*Q215)))))))</f>
        <v>0</v>
      </c>
      <c r="AD215" s="181">
        <f>ProjectInput[[#This Row],[Retrofit Cost]]</f>
        <v>0</v>
      </c>
      <c r="AE215" s="181">
        <f>ProjectInput[[#This Row],[Retrofit Cost]]-ProjectInput[[#This Row],[Incentive ($)]]</f>
        <v>0</v>
      </c>
      <c r="AF215" s="182" t="str">
        <f>IFERROR(ProjectInput[[#This Row],[Net Project Cost ($)]]/ProjectInput[[#This Row],[Energy Cost Savings ($)]], "")</f>
        <v/>
      </c>
    </row>
    <row r="216" spans="2:32" s="175" customFormat="1" ht="40" customHeight="1">
      <c r="B216" s="213">
        <v>213</v>
      </c>
      <c r="C216" s="223"/>
      <c r="D216" s="224"/>
      <c r="E216" s="183"/>
      <c r="F216" s="167"/>
      <c r="G216" s="184"/>
      <c r="H216" s="167"/>
      <c r="I216" s="184"/>
      <c r="J21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6" s="183"/>
      <c r="L216" s="167"/>
      <c r="M216" s="184"/>
      <c r="N216" s="184"/>
      <c r="O216" s="184"/>
      <c r="P216" s="177" t="str">
        <f>IF(ProjectInput[[#This Row],[Existing Fixture Code]]=0, "",INDEX(Table7[WATT/ FIXT], MATCH(ProjectInput[[#This Row],[Existing Fixture Code]], Table7[FIXTURE CODE], 0)))</f>
        <v/>
      </c>
      <c r="Q216" s="183"/>
      <c r="R216" s="167"/>
      <c r="S216" s="184"/>
      <c r="T216" s="184"/>
      <c r="U216" s="184"/>
      <c r="V216" s="184"/>
      <c r="W216" s="167"/>
      <c r="X216" s="185"/>
      <c r="Y216" s="179" t="str">
        <f>IF(ProjectInput[[#This Row],[Proposed Fixture Code]]=0, "", INDEX(Table7[WATT/ FIXT], MATCH(ProjectInput[[#This Row],[Proposed Fixture Code]], Table7[FIXTURE CODE],0 )))</f>
        <v/>
      </c>
      <c r="Z216" s="180">
        <f>INDEX(ReviewCalcs[Incentive Total Energy Savings (kWh)], MATCH(ProjectInput[[#This Row],[Project Index]], ReviewCalcs[Project Index], 0))</f>
        <v>0</v>
      </c>
      <c r="AA216" s="172">
        <f>INDEX(ReviewCalcs[Incentive Total Demand Savings (kW)], MATCH(ProjectInput[[#This Row],[Project Index]], ReviewCalcs[Project Index], 0))</f>
        <v>0</v>
      </c>
      <c r="AB216" s="181">
        <f>ProjectInput[[#This Row],[Energy Savings (kWh)]]*Avg_KWh_Rate</f>
        <v>0</v>
      </c>
      <c r="AC216" s="173">
        <f>IF(C216="", 0, IF(C216="Cust.", INDEX(ReviewCalcs[Incentive ($)], MATCH(ProjectInput[[#This Row],[Project Index]], ReviewCalcs[Project Index], 0)), IF(AND(C216="Pres.", D216="1 to 6"), 3*Q216, IF(AND(C216="Pres.", D216="7 to 11"), 4*Q216, IF(AND(C216="Pres.", D216="12 to 17"), 5*Q216, IF(AND(C216="Pres.", D216="Exit Sign"), 20*Q216, IF(AND(C216="Pres.", D216="&gt; 18"), 6*Q216)))))))</f>
        <v>0</v>
      </c>
      <c r="AD216" s="181">
        <f>ProjectInput[[#This Row],[Retrofit Cost]]</f>
        <v>0</v>
      </c>
      <c r="AE216" s="181">
        <f>ProjectInput[[#This Row],[Retrofit Cost]]-ProjectInput[[#This Row],[Incentive ($)]]</f>
        <v>0</v>
      </c>
      <c r="AF216" s="182" t="str">
        <f>IFERROR(ProjectInput[[#This Row],[Net Project Cost ($)]]/ProjectInput[[#This Row],[Energy Cost Savings ($)]], "")</f>
        <v/>
      </c>
    </row>
    <row r="217" spans="2:32" s="175" customFormat="1" ht="40" customHeight="1">
      <c r="B217" s="213">
        <v>214</v>
      </c>
      <c r="C217" s="220"/>
      <c r="D217" s="219"/>
      <c r="E217" s="183"/>
      <c r="F217" s="167"/>
      <c r="G217" s="184"/>
      <c r="H217" s="167"/>
      <c r="I217" s="184"/>
      <c r="J21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7" s="183"/>
      <c r="L217" s="167"/>
      <c r="M217" s="184"/>
      <c r="N217" s="184"/>
      <c r="O217" s="184"/>
      <c r="P217" s="177" t="str">
        <f>IF(ProjectInput[[#This Row],[Existing Fixture Code]]=0, "",INDEX(Table7[WATT/ FIXT], MATCH(ProjectInput[[#This Row],[Existing Fixture Code]], Table7[FIXTURE CODE], 0)))</f>
        <v/>
      </c>
      <c r="Q217" s="183"/>
      <c r="R217" s="167"/>
      <c r="S217" s="184"/>
      <c r="T217" s="184"/>
      <c r="U217" s="184"/>
      <c r="V217" s="184"/>
      <c r="W217" s="167"/>
      <c r="X217" s="185"/>
      <c r="Y217" s="179" t="str">
        <f>IF(ProjectInput[[#This Row],[Proposed Fixture Code]]=0, "", INDEX(Table7[WATT/ FIXT], MATCH(ProjectInput[[#This Row],[Proposed Fixture Code]], Table7[FIXTURE CODE],0 )))</f>
        <v/>
      </c>
      <c r="Z217" s="180">
        <f>INDEX(ReviewCalcs[Incentive Total Energy Savings (kWh)], MATCH(ProjectInput[[#This Row],[Project Index]], ReviewCalcs[Project Index], 0))</f>
        <v>0</v>
      </c>
      <c r="AA217" s="172">
        <f>INDEX(ReviewCalcs[Incentive Total Demand Savings (kW)], MATCH(ProjectInput[[#This Row],[Project Index]], ReviewCalcs[Project Index], 0))</f>
        <v>0</v>
      </c>
      <c r="AB217" s="181">
        <f>ProjectInput[[#This Row],[Energy Savings (kWh)]]*Avg_KWh_Rate</f>
        <v>0</v>
      </c>
      <c r="AC217" s="173">
        <f>IF(C217="", 0, IF(C217="Cust.", INDEX(ReviewCalcs[Incentive ($)], MATCH(ProjectInput[[#This Row],[Project Index]], ReviewCalcs[Project Index], 0)), IF(AND(C217="Pres.", D217="1 to 6"), 3*Q217, IF(AND(C217="Pres.", D217="7 to 11"), 4*Q217, IF(AND(C217="Pres.", D217="12 to 17"), 5*Q217, IF(AND(C217="Pres.", D217="Exit Sign"), 20*Q217, IF(AND(C217="Pres.", D217="&gt; 18"), 6*Q217)))))))</f>
        <v>0</v>
      </c>
      <c r="AD217" s="181">
        <f>ProjectInput[[#This Row],[Retrofit Cost]]</f>
        <v>0</v>
      </c>
      <c r="AE217" s="181">
        <f>ProjectInput[[#This Row],[Retrofit Cost]]-ProjectInput[[#This Row],[Incentive ($)]]</f>
        <v>0</v>
      </c>
      <c r="AF217" s="182" t="str">
        <f>IFERROR(ProjectInput[[#This Row],[Net Project Cost ($)]]/ProjectInput[[#This Row],[Energy Cost Savings ($)]], "")</f>
        <v/>
      </c>
    </row>
    <row r="218" spans="2:32" s="175" customFormat="1" ht="40" customHeight="1">
      <c r="B218" s="213">
        <v>215</v>
      </c>
      <c r="C218" s="223"/>
      <c r="D218" s="224"/>
      <c r="E218" s="183"/>
      <c r="F218" s="167"/>
      <c r="G218" s="184"/>
      <c r="H218" s="167"/>
      <c r="I218" s="184"/>
      <c r="J21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8" s="183"/>
      <c r="L218" s="167"/>
      <c r="M218" s="184"/>
      <c r="N218" s="184"/>
      <c r="O218" s="184"/>
      <c r="P218" s="177" t="str">
        <f>IF(ProjectInput[[#This Row],[Existing Fixture Code]]=0, "",INDEX(Table7[WATT/ FIXT], MATCH(ProjectInput[[#This Row],[Existing Fixture Code]], Table7[FIXTURE CODE], 0)))</f>
        <v/>
      </c>
      <c r="Q218" s="183"/>
      <c r="R218" s="167"/>
      <c r="S218" s="184"/>
      <c r="T218" s="184"/>
      <c r="U218" s="184"/>
      <c r="V218" s="184"/>
      <c r="W218" s="167"/>
      <c r="X218" s="185"/>
      <c r="Y218" s="179" t="str">
        <f>IF(ProjectInput[[#This Row],[Proposed Fixture Code]]=0, "", INDEX(Table7[WATT/ FIXT], MATCH(ProjectInput[[#This Row],[Proposed Fixture Code]], Table7[FIXTURE CODE],0 )))</f>
        <v/>
      </c>
      <c r="Z218" s="180">
        <f>INDEX(ReviewCalcs[Incentive Total Energy Savings (kWh)], MATCH(ProjectInput[[#This Row],[Project Index]], ReviewCalcs[Project Index], 0))</f>
        <v>0</v>
      </c>
      <c r="AA218" s="172">
        <f>INDEX(ReviewCalcs[Incentive Total Demand Savings (kW)], MATCH(ProjectInput[[#This Row],[Project Index]], ReviewCalcs[Project Index], 0))</f>
        <v>0</v>
      </c>
      <c r="AB218" s="181">
        <f>ProjectInput[[#This Row],[Energy Savings (kWh)]]*Avg_KWh_Rate</f>
        <v>0</v>
      </c>
      <c r="AC218" s="173">
        <f>IF(C218="", 0, IF(C218="Cust.", INDEX(ReviewCalcs[Incentive ($)], MATCH(ProjectInput[[#This Row],[Project Index]], ReviewCalcs[Project Index], 0)), IF(AND(C218="Pres.", D218="1 to 6"), 3*Q218, IF(AND(C218="Pres.", D218="7 to 11"), 4*Q218, IF(AND(C218="Pres.", D218="12 to 17"), 5*Q218, IF(AND(C218="Pres.", D218="Exit Sign"), 20*Q218, IF(AND(C218="Pres.", D218="&gt; 18"), 6*Q218)))))))</f>
        <v>0</v>
      </c>
      <c r="AD218" s="181">
        <f>ProjectInput[[#This Row],[Retrofit Cost]]</f>
        <v>0</v>
      </c>
      <c r="AE218" s="181">
        <f>ProjectInput[[#This Row],[Retrofit Cost]]-ProjectInput[[#This Row],[Incentive ($)]]</f>
        <v>0</v>
      </c>
      <c r="AF218" s="182" t="str">
        <f>IFERROR(ProjectInput[[#This Row],[Net Project Cost ($)]]/ProjectInput[[#This Row],[Energy Cost Savings ($)]], "")</f>
        <v/>
      </c>
    </row>
    <row r="219" spans="2:32" s="175" customFormat="1" ht="40" customHeight="1">
      <c r="B219" s="213">
        <v>216</v>
      </c>
      <c r="C219" s="220"/>
      <c r="D219" s="219"/>
      <c r="E219" s="183"/>
      <c r="F219" s="167"/>
      <c r="G219" s="184"/>
      <c r="H219" s="167"/>
      <c r="I219" s="184"/>
      <c r="J21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19" s="183"/>
      <c r="L219" s="167"/>
      <c r="M219" s="184"/>
      <c r="N219" s="184"/>
      <c r="O219" s="184"/>
      <c r="P219" s="177" t="str">
        <f>IF(ProjectInput[[#This Row],[Existing Fixture Code]]=0, "",INDEX(Table7[WATT/ FIXT], MATCH(ProjectInput[[#This Row],[Existing Fixture Code]], Table7[FIXTURE CODE], 0)))</f>
        <v/>
      </c>
      <c r="Q219" s="183"/>
      <c r="R219" s="167"/>
      <c r="S219" s="184"/>
      <c r="T219" s="184"/>
      <c r="U219" s="184"/>
      <c r="V219" s="184"/>
      <c r="W219" s="167"/>
      <c r="X219" s="185"/>
      <c r="Y219" s="179" t="str">
        <f>IF(ProjectInput[[#This Row],[Proposed Fixture Code]]=0, "", INDEX(Table7[WATT/ FIXT], MATCH(ProjectInput[[#This Row],[Proposed Fixture Code]], Table7[FIXTURE CODE],0 )))</f>
        <v/>
      </c>
      <c r="Z219" s="180">
        <f>INDEX(ReviewCalcs[Incentive Total Energy Savings (kWh)], MATCH(ProjectInput[[#This Row],[Project Index]], ReviewCalcs[Project Index], 0))</f>
        <v>0</v>
      </c>
      <c r="AA219" s="172">
        <f>INDEX(ReviewCalcs[Incentive Total Demand Savings (kW)], MATCH(ProjectInput[[#This Row],[Project Index]], ReviewCalcs[Project Index], 0))</f>
        <v>0</v>
      </c>
      <c r="AB219" s="181">
        <f>ProjectInput[[#This Row],[Energy Savings (kWh)]]*Avg_KWh_Rate</f>
        <v>0</v>
      </c>
      <c r="AC219" s="173">
        <f>IF(C219="", 0, IF(C219="Cust.", INDEX(ReviewCalcs[Incentive ($)], MATCH(ProjectInput[[#This Row],[Project Index]], ReviewCalcs[Project Index], 0)), IF(AND(C219="Pres.", D219="1 to 6"), 3*Q219, IF(AND(C219="Pres.", D219="7 to 11"), 4*Q219, IF(AND(C219="Pres.", D219="12 to 17"), 5*Q219, IF(AND(C219="Pres.", D219="Exit Sign"), 20*Q219, IF(AND(C219="Pres.", D219="&gt; 18"), 6*Q219)))))))</f>
        <v>0</v>
      </c>
      <c r="AD219" s="181">
        <f>ProjectInput[[#This Row],[Retrofit Cost]]</f>
        <v>0</v>
      </c>
      <c r="AE219" s="181">
        <f>ProjectInput[[#This Row],[Retrofit Cost]]-ProjectInput[[#This Row],[Incentive ($)]]</f>
        <v>0</v>
      </c>
      <c r="AF219" s="182" t="str">
        <f>IFERROR(ProjectInput[[#This Row],[Net Project Cost ($)]]/ProjectInput[[#This Row],[Energy Cost Savings ($)]], "")</f>
        <v/>
      </c>
    </row>
    <row r="220" spans="2:32" s="175" customFormat="1" ht="40" customHeight="1">
      <c r="B220" s="213">
        <v>217</v>
      </c>
      <c r="C220" s="223"/>
      <c r="D220" s="224"/>
      <c r="E220" s="183"/>
      <c r="F220" s="167"/>
      <c r="G220" s="184"/>
      <c r="H220" s="167"/>
      <c r="I220" s="184"/>
      <c r="J22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0" s="183"/>
      <c r="L220" s="167"/>
      <c r="M220" s="184"/>
      <c r="N220" s="184"/>
      <c r="O220" s="184"/>
      <c r="P220" s="177" t="str">
        <f>IF(ProjectInput[[#This Row],[Existing Fixture Code]]=0, "",INDEX(Table7[WATT/ FIXT], MATCH(ProjectInput[[#This Row],[Existing Fixture Code]], Table7[FIXTURE CODE], 0)))</f>
        <v/>
      </c>
      <c r="Q220" s="183"/>
      <c r="R220" s="167"/>
      <c r="S220" s="184"/>
      <c r="T220" s="184"/>
      <c r="U220" s="184"/>
      <c r="V220" s="184"/>
      <c r="W220" s="167"/>
      <c r="X220" s="185"/>
      <c r="Y220" s="179" t="str">
        <f>IF(ProjectInput[[#This Row],[Proposed Fixture Code]]=0, "", INDEX(Table7[WATT/ FIXT], MATCH(ProjectInput[[#This Row],[Proposed Fixture Code]], Table7[FIXTURE CODE],0 )))</f>
        <v/>
      </c>
      <c r="Z220" s="180">
        <f>INDEX(ReviewCalcs[Incentive Total Energy Savings (kWh)], MATCH(ProjectInput[[#This Row],[Project Index]], ReviewCalcs[Project Index], 0))</f>
        <v>0</v>
      </c>
      <c r="AA220" s="172">
        <f>INDEX(ReviewCalcs[Incentive Total Demand Savings (kW)], MATCH(ProjectInput[[#This Row],[Project Index]], ReviewCalcs[Project Index], 0))</f>
        <v>0</v>
      </c>
      <c r="AB220" s="181">
        <f>ProjectInput[[#This Row],[Energy Savings (kWh)]]*Avg_KWh_Rate</f>
        <v>0</v>
      </c>
      <c r="AC220" s="173">
        <f>IF(C220="", 0, IF(C220="Cust.", INDEX(ReviewCalcs[Incentive ($)], MATCH(ProjectInput[[#This Row],[Project Index]], ReviewCalcs[Project Index], 0)), IF(AND(C220="Pres.", D220="1 to 6"), 3*Q220, IF(AND(C220="Pres.", D220="7 to 11"), 4*Q220, IF(AND(C220="Pres.", D220="12 to 17"), 5*Q220, IF(AND(C220="Pres.", D220="Exit Sign"), 20*Q220, IF(AND(C220="Pres.", D220="&gt; 18"), 6*Q220)))))))</f>
        <v>0</v>
      </c>
      <c r="AD220" s="181">
        <f>ProjectInput[[#This Row],[Retrofit Cost]]</f>
        <v>0</v>
      </c>
      <c r="AE220" s="181">
        <f>ProjectInput[[#This Row],[Retrofit Cost]]-ProjectInput[[#This Row],[Incentive ($)]]</f>
        <v>0</v>
      </c>
      <c r="AF220" s="182" t="str">
        <f>IFERROR(ProjectInput[[#This Row],[Net Project Cost ($)]]/ProjectInput[[#This Row],[Energy Cost Savings ($)]], "")</f>
        <v/>
      </c>
    </row>
    <row r="221" spans="2:32" s="175" customFormat="1" ht="40" customHeight="1">
      <c r="B221" s="213">
        <v>218</v>
      </c>
      <c r="C221" s="220"/>
      <c r="D221" s="219"/>
      <c r="E221" s="183"/>
      <c r="F221" s="167"/>
      <c r="G221" s="184"/>
      <c r="H221" s="167"/>
      <c r="I221" s="184"/>
      <c r="J22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1" s="183"/>
      <c r="L221" s="167"/>
      <c r="M221" s="184"/>
      <c r="N221" s="184"/>
      <c r="O221" s="184"/>
      <c r="P221" s="177" t="str">
        <f>IF(ProjectInput[[#This Row],[Existing Fixture Code]]=0, "",INDEX(Table7[WATT/ FIXT], MATCH(ProjectInput[[#This Row],[Existing Fixture Code]], Table7[FIXTURE CODE], 0)))</f>
        <v/>
      </c>
      <c r="Q221" s="183"/>
      <c r="R221" s="167"/>
      <c r="S221" s="184"/>
      <c r="T221" s="184"/>
      <c r="U221" s="184"/>
      <c r="V221" s="184"/>
      <c r="W221" s="167"/>
      <c r="X221" s="185"/>
      <c r="Y221" s="179" t="str">
        <f>IF(ProjectInput[[#This Row],[Proposed Fixture Code]]=0, "", INDEX(Table7[WATT/ FIXT], MATCH(ProjectInput[[#This Row],[Proposed Fixture Code]], Table7[FIXTURE CODE],0 )))</f>
        <v/>
      </c>
      <c r="Z221" s="180">
        <f>INDEX(ReviewCalcs[Incentive Total Energy Savings (kWh)], MATCH(ProjectInput[[#This Row],[Project Index]], ReviewCalcs[Project Index], 0))</f>
        <v>0</v>
      </c>
      <c r="AA221" s="172">
        <f>INDEX(ReviewCalcs[Incentive Total Demand Savings (kW)], MATCH(ProjectInput[[#This Row],[Project Index]], ReviewCalcs[Project Index], 0))</f>
        <v>0</v>
      </c>
      <c r="AB221" s="181">
        <f>ProjectInput[[#This Row],[Energy Savings (kWh)]]*Avg_KWh_Rate</f>
        <v>0</v>
      </c>
      <c r="AC221" s="173">
        <f>IF(C221="", 0, IF(C221="Cust.", INDEX(ReviewCalcs[Incentive ($)], MATCH(ProjectInput[[#This Row],[Project Index]], ReviewCalcs[Project Index], 0)), IF(AND(C221="Pres.", D221="1 to 6"), 3*Q221, IF(AND(C221="Pres.", D221="7 to 11"), 4*Q221, IF(AND(C221="Pres.", D221="12 to 17"), 5*Q221, IF(AND(C221="Pres.", D221="Exit Sign"), 20*Q221, IF(AND(C221="Pres.", D221="&gt; 18"), 6*Q221)))))))</f>
        <v>0</v>
      </c>
      <c r="AD221" s="181">
        <f>ProjectInput[[#This Row],[Retrofit Cost]]</f>
        <v>0</v>
      </c>
      <c r="AE221" s="181">
        <f>ProjectInput[[#This Row],[Retrofit Cost]]-ProjectInput[[#This Row],[Incentive ($)]]</f>
        <v>0</v>
      </c>
      <c r="AF221" s="182" t="str">
        <f>IFERROR(ProjectInput[[#This Row],[Net Project Cost ($)]]/ProjectInput[[#This Row],[Energy Cost Savings ($)]], "")</f>
        <v/>
      </c>
    </row>
    <row r="222" spans="2:32" s="175" customFormat="1" ht="40" customHeight="1">
      <c r="B222" s="213">
        <v>219</v>
      </c>
      <c r="C222" s="223"/>
      <c r="D222" s="224"/>
      <c r="E222" s="183"/>
      <c r="F222" s="167"/>
      <c r="G222" s="184"/>
      <c r="H222" s="167"/>
      <c r="I222" s="184"/>
      <c r="J22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2" s="183"/>
      <c r="L222" s="167"/>
      <c r="M222" s="184"/>
      <c r="N222" s="184"/>
      <c r="O222" s="184"/>
      <c r="P222" s="177" t="str">
        <f>IF(ProjectInput[[#This Row],[Existing Fixture Code]]=0, "",INDEX(Table7[WATT/ FIXT], MATCH(ProjectInput[[#This Row],[Existing Fixture Code]], Table7[FIXTURE CODE], 0)))</f>
        <v/>
      </c>
      <c r="Q222" s="183"/>
      <c r="R222" s="167"/>
      <c r="S222" s="184"/>
      <c r="T222" s="184"/>
      <c r="U222" s="184"/>
      <c r="V222" s="184"/>
      <c r="W222" s="167"/>
      <c r="X222" s="185"/>
      <c r="Y222" s="179" t="str">
        <f>IF(ProjectInput[[#This Row],[Proposed Fixture Code]]=0, "", INDEX(Table7[WATT/ FIXT], MATCH(ProjectInput[[#This Row],[Proposed Fixture Code]], Table7[FIXTURE CODE],0 )))</f>
        <v/>
      </c>
      <c r="Z222" s="180">
        <f>INDEX(ReviewCalcs[Incentive Total Energy Savings (kWh)], MATCH(ProjectInput[[#This Row],[Project Index]], ReviewCalcs[Project Index], 0))</f>
        <v>0</v>
      </c>
      <c r="AA222" s="172">
        <f>INDEX(ReviewCalcs[Incentive Total Demand Savings (kW)], MATCH(ProjectInput[[#This Row],[Project Index]], ReviewCalcs[Project Index], 0))</f>
        <v>0</v>
      </c>
      <c r="AB222" s="181">
        <f>ProjectInput[[#This Row],[Energy Savings (kWh)]]*Avg_KWh_Rate</f>
        <v>0</v>
      </c>
      <c r="AC222" s="173">
        <f>IF(C222="", 0, IF(C222="Cust.", INDEX(ReviewCalcs[Incentive ($)], MATCH(ProjectInput[[#This Row],[Project Index]], ReviewCalcs[Project Index], 0)), IF(AND(C222="Pres.", D222="1 to 6"), 3*Q222, IF(AND(C222="Pres.", D222="7 to 11"), 4*Q222, IF(AND(C222="Pres.", D222="12 to 17"), 5*Q222, IF(AND(C222="Pres.", D222="Exit Sign"), 20*Q222, IF(AND(C222="Pres.", D222="&gt; 18"), 6*Q222)))))))</f>
        <v>0</v>
      </c>
      <c r="AD222" s="181">
        <f>ProjectInput[[#This Row],[Retrofit Cost]]</f>
        <v>0</v>
      </c>
      <c r="AE222" s="181">
        <f>ProjectInput[[#This Row],[Retrofit Cost]]-ProjectInput[[#This Row],[Incentive ($)]]</f>
        <v>0</v>
      </c>
      <c r="AF222" s="182" t="str">
        <f>IFERROR(ProjectInput[[#This Row],[Net Project Cost ($)]]/ProjectInput[[#This Row],[Energy Cost Savings ($)]], "")</f>
        <v/>
      </c>
    </row>
    <row r="223" spans="2:32" s="175" customFormat="1" ht="40" customHeight="1">
      <c r="B223" s="213">
        <v>220</v>
      </c>
      <c r="C223" s="220"/>
      <c r="D223" s="219"/>
      <c r="E223" s="183"/>
      <c r="F223" s="167"/>
      <c r="G223" s="184"/>
      <c r="H223" s="167"/>
      <c r="I223" s="184"/>
      <c r="J22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3" s="183"/>
      <c r="L223" s="167"/>
      <c r="M223" s="184"/>
      <c r="N223" s="184"/>
      <c r="O223" s="184"/>
      <c r="P223" s="177" t="str">
        <f>IF(ProjectInput[[#This Row],[Existing Fixture Code]]=0, "",INDEX(Table7[WATT/ FIXT], MATCH(ProjectInput[[#This Row],[Existing Fixture Code]], Table7[FIXTURE CODE], 0)))</f>
        <v/>
      </c>
      <c r="Q223" s="183"/>
      <c r="R223" s="167"/>
      <c r="S223" s="184"/>
      <c r="T223" s="184"/>
      <c r="U223" s="184"/>
      <c r="V223" s="184"/>
      <c r="W223" s="167"/>
      <c r="X223" s="185"/>
      <c r="Y223" s="179" t="str">
        <f>IF(ProjectInput[[#This Row],[Proposed Fixture Code]]=0, "", INDEX(Table7[WATT/ FIXT], MATCH(ProjectInput[[#This Row],[Proposed Fixture Code]], Table7[FIXTURE CODE],0 )))</f>
        <v/>
      </c>
      <c r="Z223" s="180">
        <f>INDEX(ReviewCalcs[Incentive Total Energy Savings (kWh)], MATCH(ProjectInput[[#This Row],[Project Index]], ReviewCalcs[Project Index], 0))</f>
        <v>0</v>
      </c>
      <c r="AA223" s="172">
        <f>INDEX(ReviewCalcs[Incentive Total Demand Savings (kW)], MATCH(ProjectInput[[#This Row],[Project Index]], ReviewCalcs[Project Index], 0))</f>
        <v>0</v>
      </c>
      <c r="AB223" s="181">
        <f>ProjectInput[[#This Row],[Energy Savings (kWh)]]*Avg_KWh_Rate</f>
        <v>0</v>
      </c>
      <c r="AC223" s="173">
        <f>IF(C223="", 0, IF(C223="Cust.", INDEX(ReviewCalcs[Incentive ($)], MATCH(ProjectInput[[#This Row],[Project Index]], ReviewCalcs[Project Index], 0)), IF(AND(C223="Pres.", D223="1 to 6"), 3*Q223, IF(AND(C223="Pres.", D223="7 to 11"), 4*Q223, IF(AND(C223="Pres.", D223="12 to 17"), 5*Q223, IF(AND(C223="Pres.", D223="Exit Sign"), 20*Q223, IF(AND(C223="Pres.", D223="&gt; 18"), 6*Q223)))))))</f>
        <v>0</v>
      </c>
      <c r="AD223" s="181">
        <f>ProjectInput[[#This Row],[Retrofit Cost]]</f>
        <v>0</v>
      </c>
      <c r="AE223" s="181">
        <f>ProjectInput[[#This Row],[Retrofit Cost]]-ProjectInput[[#This Row],[Incentive ($)]]</f>
        <v>0</v>
      </c>
      <c r="AF223" s="182" t="str">
        <f>IFERROR(ProjectInput[[#This Row],[Net Project Cost ($)]]/ProjectInput[[#This Row],[Energy Cost Savings ($)]], "")</f>
        <v/>
      </c>
    </row>
    <row r="224" spans="2:32" s="175" customFormat="1" ht="40" customHeight="1">
      <c r="B224" s="213">
        <v>221</v>
      </c>
      <c r="C224" s="223"/>
      <c r="D224" s="224"/>
      <c r="E224" s="183"/>
      <c r="F224" s="167"/>
      <c r="G224" s="184"/>
      <c r="H224" s="167"/>
      <c r="I224" s="184"/>
      <c r="J22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4" s="183"/>
      <c r="L224" s="167"/>
      <c r="M224" s="184"/>
      <c r="N224" s="184"/>
      <c r="O224" s="184"/>
      <c r="P224" s="177" t="str">
        <f>IF(ProjectInput[[#This Row],[Existing Fixture Code]]=0, "",INDEX(Table7[WATT/ FIXT], MATCH(ProjectInput[[#This Row],[Existing Fixture Code]], Table7[FIXTURE CODE], 0)))</f>
        <v/>
      </c>
      <c r="Q224" s="183"/>
      <c r="R224" s="167"/>
      <c r="S224" s="184"/>
      <c r="T224" s="184"/>
      <c r="U224" s="184"/>
      <c r="V224" s="184"/>
      <c r="W224" s="167"/>
      <c r="X224" s="185"/>
      <c r="Y224" s="179" t="str">
        <f>IF(ProjectInput[[#This Row],[Proposed Fixture Code]]=0, "", INDEX(Table7[WATT/ FIXT], MATCH(ProjectInput[[#This Row],[Proposed Fixture Code]], Table7[FIXTURE CODE],0 )))</f>
        <v/>
      </c>
      <c r="Z224" s="180">
        <f>INDEX(ReviewCalcs[Incentive Total Energy Savings (kWh)], MATCH(ProjectInput[[#This Row],[Project Index]], ReviewCalcs[Project Index], 0))</f>
        <v>0</v>
      </c>
      <c r="AA224" s="172">
        <f>INDEX(ReviewCalcs[Incentive Total Demand Savings (kW)], MATCH(ProjectInput[[#This Row],[Project Index]], ReviewCalcs[Project Index], 0))</f>
        <v>0</v>
      </c>
      <c r="AB224" s="181">
        <f>ProjectInput[[#This Row],[Energy Savings (kWh)]]*Avg_KWh_Rate</f>
        <v>0</v>
      </c>
      <c r="AC224" s="173">
        <f>IF(C224="", 0, IF(C224="Cust.", INDEX(ReviewCalcs[Incentive ($)], MATCH(ProjectInput[[#This Row],[Project Index]], ReviewCalcs[Project Index], 0)), IF(AND(C224="Pres.", D224="1 to 6"), 3*Q224, IF(AND(C224="Pres.", D224="7 to 11"), 4*Q224, IF(AND(C224="Pres.", D224="12 to 17"), 5*Q224, IF(AND(C224="Pres.", D224="Exit Sign"), 20*Q224, IF(AND(C224="Pres.", D224="&gt; 18"), 6*Q224)))))))</f>
        <v>0</v>
      </c>
      <c r="AD224" s="181">
        <f>ProjectInput[[#This Row],[Retrofit Cost]]</f>
        <v>0</v>
      </c>
      <c r="AE224" s="181">
        <f>ProjectInput[[#This Row],[Retrofit Cost]]-ProjectInput[[#This Row],[Incentive ($)]]</f>
        <v>0</v>
      </c>
      <c r="AF224" s="182" t="str">
        <f>IFERROR(ProjectInput[[#This Row],[Net Project Cost ($)]]/ProjectInput[[#This Row],[Energy Cost Savings ($)]], "")</f>
        <v/>
      </c>
    </row>
    <row r="225" spans="2:32" s="175" customFormat="1" ht="40" customHeight="1">
      <c r="B225" s="213">
        <v>222</v>
      </c>
      <c r="C225" s="220"/>
      <c r="D225" s="219"/>
      <c r="E225" s="183"/>
      <c r="F225" s="167"/>
      <c r="G225" s="184"/>
      <c r="H225" s="167"/>
      <c r="I225" s="184"/>
      <c r="J22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5" s="183"/>
      <c r="L225" s="167"/>
      <c r="M225" s="184"/>
      <c r="N225" s="184"/>
      <c r="O225" s="184"/>
      <c r="P225" s="177" t="str">
        <f>IF(ProjectInput[[#This Row],[Existing Fixture Code]]=0, "",INDEX(Table7[WATT/ FIXT], MATCH(ProjectInput[[#This Row],[Existing Fixture Code]], Table7[FIXTURE CODE], 0)))</f>
        <v/>
      </c>
      <c r="Q225" s="183"/>
      <c r="R225" s="167"/>
      <c r="S225" s="184"/>
      <c r="T225" s="184"/>
      <c r="U225" s="184"/>
      <c r="V225" s="184"/>
      <c r="W225" s="167"/>
      <c r="X225" s="185"/>
      <c r="Y225" s="179" t="str">
        <f>IF(ProjectInput[[#This Row],[Proposed Fixture Code]]=0, "", INDEX(Table7[WATT/ FIXT], MATCH(ProjectInput[[#This Row],[Proposed Fixture Code]], Table7[FIXTURE CODE],0 )))</f>
        <v/>
      </c>
      <c r="Z225" s="180">
        <f>INDEX(ReviewCalcs[Incentive Total Energy Savings (kWh)], MATCH(ProjectInput[[#This Row],[Project Index]], ReviewCalcs[Project Index], 0))</f>
        <v>0</v>
      </c>
      <c r="AA225" s="172">
        <f>INDEX(ReviewCalcs[Incentive Total Demand Savings (kW)], MATCH(ProjectInput[[#This Row],[Project Index]], ReviewCalcs[Project Index], 0))</f>
        <v>0</v>
      </c>
      <c r="AB225" s="181">
        <f>ProjectInput[[#This Row],[Energy Savings (kWh)]]*Avg_KWh_Rate</f>
        <v>0</v>
      </c>
      <c r="AC225" s="173">
        <f>IF(C225="", 0, IF(C225="Cust.", INDEX(ReviewCalcs[Incentive ($)], MATCH(ProjectInput[[#This Row],[Project Index]], ReviewCalcs[Project Index], 0)), IF(AND(C225="Pres.", D225="1 to 6"), 3*Q225, IF(AND(C225="Pres.", D225="7 to 11"), 4*Q225, IF(AND(C225="Pres.", D225="12 to 17"), 5*Q225, IF(AND(C225="Pres.", D225="Exit Sign"), 20*Q225, IF(AND(C225="Pres.", D225="&gt; 18"), 6*Q225)))))))</f>
        <v>0</v>
      </c>
      <c r="AD225" s="181">
        <f>ProjectInput[[#This Row],[Retrofit Cost]]</f>
        <v>0</v>
      </c>
      <c r="AE225" s="181">
        <f>ProjectInput[[#This Row],[Retrofit Cost]]-ProjectInput[[#This Row],[Incentive ($)]]</f>
        <v>0</v>
      </c>
      <c r="AF225" s="182" t="str">
        <f>IFERROR(ProjectInput[[#This Row],[Net Project Cost ($)]]/ProjectInput[[#This Row],[Energy Cost Savings ($)]], "")</f>
        <v/>
      </c>
    </row>
    <row r="226" spans="2:32" s="175" customFormat="1" ht="40" customHeight="1">
      <c r="B226" s="213">
        <v>223</v>
      </c>
      <c r="C226" s="223"/>
      <c r="D226" s="224"/>
      <c r="E226" s="183"/>
      <c r="F226" s="167"/>
      <c r="G226" s="184"/>
      <c r="H226" s="167"/>
      <c r="I226" s="184"/>
      <c r="J22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6" s="183"/>
      <c r="L226" s="167"/>
      <c r="M226" s="184"/>
      <c r="N226" s="184"/>
      <c r="O226" s="184"/>
      <c r="P226" s="177" t="str">
        <f>IF(ProjectInput[[#This Row],[Existing Fixture Code]]=0, "",INDEX(Table7[WATT/ FIXT], MATCH(ProjectInput[[#This Row],[Existing Fixture Code]], Table7[FIXTURE CODE], 0)))</f>
        <v/>
      </c>
      <c r="Q226" s="183"/>
      <c r="R226" s="167"/>
      <c r="S226" s="184"/>
      <c r="T226" s="184"/>
      <c r="U226" s="184"/>
      <c r="V226" s="184"/>
      <c r="W226" s="167"/>
      <c r="X226" s="185"/>
      <c r="Y226" s="179" t="str">
        <f>IF(ProjectInput[[#This Row],[Proposed Fixture Code]]=0, "", INDEX(Table7[WATT/ FIXT], MATCH(ProjectInput[[#This Row],[Proposed Fixture Code]], Table7[FIXTURE CODE],0 )))</f>
        <v/>
      </c>
      <c r="Z226" s="180">
        <f>INDEX(ReviewCalcs[Incentive Total Energy Savings (kWh)], MATCH(ProjectInput[[#This Row],[Project Index]], ReviewCalcs[Project Index], 0))</f>
        <v>0</v>
      </c>
      <c r="AA226" s="172">
        <f>INDEX(ReviewCalcs[Incentive Total Demand Savings (kW)], MATCH(ProjectInput[[#This Row],[Project Index]], ReviewCalcs[Project Index], 0))</f>
        <v>0</v>
      </c>
      <c r="AB226" s="181">
        <f>ProjectInput[[#This Row],[Energy Savings (kWh)]]*Avg_KWh_Rate</f>
        <v>0</v>
      </c>
      <c r="AC226" s="173">
        <f>IF(C226="", 0, IF(C226="Cust.", INDEX(ReviewCalcs[Incentive ($)], MATCH(ProjectInput[[#This Row],[Project Index]], ReviewCalcs[Project Index], 0)), IF(AND(C226="Pres.", D226="1 to 6"), 3*Q226, IF(AND(C226="Pres.", D226="7 to 11"), 4*Q226, IF(AND(C226="Pres.", D226="12 to 17"), 5*Q226, IF(AND(C226="Pres.", D226="Exit Sign"), 20*Q226, IF(AND(C226="Pres.", D226="&gt; 18"), 6*Q226)))))))</f>
        <v>0</v>
      </c>
      <c r="AD226" s="181">
        <f>ProjectInput[[#This Row],[Retrofit Cost]]</f>
        <v>0</v>
      </c>
      <c r="AE226" s="181">
        <f>ProjectInput[[#This Row],[Retrofit Cost]]-ProjectInput[[#This Row],[Incentive ($)]]</f>
        <v>0</v>
      </c>
      <c r="AF226" s="182" t="str">
        <f>IFERROR(ProjectInput[[#This Row],[Net Project Cost ($)]]/ProjectInput[[#This Row],[Energy Cost Savings ($)]], "")</f>
        <v/>
      </c>
    </row>
    <row r="227" spans="2:32" s="175" customFormat="1" ht="40" customHeight="1">
      <c r="B227" s="213">
        <v>224</v>
      </c>
      <c r="C227" s="220"/>
      <c r="D227" s="219"/>
      <c r="E227" s="183"/>
      <c r="F227" s="167"/>
      <c r="G227" s="184"/>
      <c r="H227" s="167"/>
      <c r="I227" s="184"/>
      <c r="J22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7" s="183"/>
      <c r="L227" s="167"/>
      <c r="M227" s="184"/>
      <c r="N227" s="184"/>
      <c r="O227" s="184"/>
      <c r="P227" s="177" t="str">
        <f>IF(ProjectInput[[#This Row],[Existing Fixture Code]]=0, "",INDEX(Table7[WATT/ FIXT], MATCH(ProjectInput[[#This Row],[Existing Fixture Code]], Table7[FIXTURE CODE], 0)))</f>
        <v/>
      </c>
      <c r="Q227" s="183"/>
      <c r="R227" s="167"/>
      <c r="S227" s="184"/>
      <c r="T227" s="184"/>
      <c r="U227" s="184"/>
      <c r="V227" s="184"/>
      <c r="W227" s="167"/>
      <c r="X227" s="185"/>
      <c r="Y227" s="179" t="str">
        <f>IF(ProjectInput[[#This Row],[Proposed Fixture Code]]=0, "", INDEX(Table7[WATT/ FIXT], MATCH(ProjectInput[[#This Row],[Proposed Fixture Code]], Table7[FIXTURE CODE],0 )))</f>
        <v/>
      </c>
      <c r="Z227" s="180">
        <f>INDEX(ReviewCalcs[Incentive Total Energy Savings (kWh)], MATCH(ProjectInput[[#This Row],[Project Index]], ReviewCalcs[Project Index], 0))</f>
        <v>0</v>
      </c>
      <c r="AA227" s="172">
        <f>INDEX(ReviewCalcs[Incentive Total Demand Savings (kW)], MATCH(ProjectInput[[#This Row],[Project Index]], ReviewCalcs[Project Index], 0))</f>
        <v>0</v>
      </c>
      <c r="AB227" s="181">
        <f>ProjectInput[[#This Row],[Energy Savings (kWh)]]*Avg_KWh_Rate</f>
        <v>0</v>
      </c>
      <c r="AC227" s="173">
        <f>IF(C227="", 0, IF(C227="Cust.", INDEX(ReviewCalcs[Incentive ($)], MATCH(ProjectInput[[#This Row],[Project Index]], ReviewCalcs[Project Index], 0)), IF(AND(C227="Pres.", D227="1 to 6"), 3*Q227, IF(AND(C227="Pres.", D227="7 to 11"), 4*Q227, IF(AND(C227="Pres.", D227="12 to 17"), 5*Q227, IF(AND(C227="Pres.", D227="Exit Sign"), 20*Q227, IF(AND(C227="Pres.", D227="&gt; 18"), 6*Q227)))))))</f>
        <v>0</v>
      </c>
      <c r="AD227" s="181">
        <f>ProjectInput[[#This Row],[Retrofit Cost]]</f>
        <v>0</v>
      </c>
      <c r="AE227" s="181">
        <f>ProjectInput[[#This Row],[Retrofit Cost]]-ProjectInput[[#This Row],[Incentive ($)]]</f>
        <v>0</v>
      </c>
      <c r="AF227" s="182" t="str">
        <f>IFERROR(ProjectInput[[#This Row],[Net Project Cost ($)]]/ProjectInput[[#This Row],[Energy Cost Savings ($)]], "")</f>
        <v/>
      </c>
    </row>
    <row r="228" spans="2:32" s="175" customFormat="1" ht="40" customHeight="1">
      <c r="B228" s="213">
        <v>225</v>
      </c>
      <c r="C228" s="223"/>
      <c r="D228" s="224"/>
      <c r="E228" s="183"/>
      <c r="F228" s="167"/>
      <c r="G228" s="184"/>
      <c r="H228" s="167"/>
      <c r="I228" s="184"/>
      <c r="J22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8" s="183"/>
      <c r="L228" s="167"/>
      <c r="M228" s="184"/>
      <c r="N228" s="184"/>
      <c r="O228" s="184"/>
      <c r="P228" s="177" t="str">
        <f>IF(ProjectInput[[#This Row],[Existing Fixture Code]]=0, "",INDEX(Table7[WATT/ FIXT], MATCH(ProjectInput[[#This Row],[Existing Fixture Code]], Table7[FIXTURE CODE], 0)))</f>
        <v/>
      </c>
      <c r="Q228" s="183"/>
      <c r="R228" s="167"/>
      <c r="S228" s="184"/>
      <c r="T228" s="184"/>
      <c r="U228" s="184"/>
      <c r="V228" s="184"/>
      <c r="W228" s="167"/>
      <c r="X228" s="185"/>
      <c r="Y228" s="179" t="str">
        <f>IF(ProjectInput[[#This Row],[Proposed Fixture Code]]=0, "", INDEX(Table7[WATT/ FIXT], MATCH(ProjectInput[[#This Row],[Proposed Fixture Code]], Table7[FIXTURE CODE],0 )))</f>
        <v/>
      </c>
      <c r="Z228" s="180">
        <f>INDEX(ReviewCalcs[Incentive Total Energy Savings (kWh)], MATCH(ProjectInput[[#This Row],[Project Index]], ReviewCalcs[Project Index], 0))</f>
        <v>0</v>
      </c>
      <c r="AA228" s="172">
        <f>INDEX(ReviewCalcs[Incentive Total Demand Savings (kW)], MATCH(ProjectInput[[#This Row],[Project Index]], ReviewCalcs[Project Index], 0))</f>
        <v>0</v>
      </c>
      <c r="AB228" s="181">
        <f>ProjectInput[[#This Row],[Energy Savings (kWh)]]*Avg_KWh_Rate</f>
        <v>0</v>
      </c>
      <c r="AC228" s="173">
        <f>IF(C228="", 0, IF(C228="Cust.", INDEX(ReviewCalcs[Incentive ($)], MATCH(ProjectInput[[#This Row],[Project Index]], ReviewCalcs[Project Index], 0)), IF(AND(C228="Pres.", D228="1 to 6"), 3*Q228, IF(AND(C228="Pres.", D228="7 to 11"), 4*Q228, IF(AND(C228="Pres.", D228="12 to 17"), 5*Q228, IF(AND(C228="Pres.", D228="Exit Sign"), 20*Q228, IF(AND(C228="Pres.", D228="&gt; 18"), 6*Q228)))))))</f>
        <v>0</v>
      </c>
      <c r="AD228" s="181">
        <f>ProjectInput[[#This Row],[Retrofit Cost]]</f>
        <v>0</v>
      </c>
      <c r="AE228" s="181">
        <f>ProjectInput[[#This Row],[Retrofit Cost]]-ProjectInput[[#This Row],[Incentive ($)]]</f>
        <v>0</v>
      </c>
      <c r="AF228" s="182" t="str">
        <f>IFERROR(ProjectInput[[#This Row],[Net Project Cost ($)]]/ProjectInput[[#This Row],[Energy Cost Savings ($)]], "")</f>
        <v/>
      </c>
    </row>
    <row r="229" spans="2:32" s="175" customFormat="1" ht="40" customHeight="1">
      <c r="B229" s="213">
        <v>226</v>
      </c>
      <c r="C229" s="220"/>
      <c r="D229" s="219"/>
      <c r="E229" s="183"/>
      <c r="F229" s="167"/>
      <c r="G229" s="184"/>
      <c r="H229" s="167"/>
      <c r="I229" s="184"/>
      <c r="J22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29" s="183"/>
      <c r="L229" s="167"/>
      <c r="M229" s="184"/>
      <c r="N229" s="184"/>
      <c r="O229" s="184"/>
      <c r="P229" s="177" t="str">
        <f>IF(ProjectInput[[#This Row],[Existing Fixture Code]]=0, "",INDEX(Table7[WATT/ FIXT], MATCH(ProjectInput[[#This Row],[Existing Fixture Code]], Table7[FIXTURE CODE], 0)))</f>
        <v/>
      </c>
      <c r="Q229" s="183"/>
      <c r="R229" s="167"/>
      <c r="S229" s="184"/>
      <c r="T229" s="184"/>
      <c r="U229" s="184"/>
      <c r="V229" s="184"/>
      <c r="W229" s="167"/>
      <c r="X229" s="185"/>
      <c r="Y229" s="179" t="str">
        <f>IF(ProjectInput[[#This Row],[Proposed Fixture Code]]=0, "", INDEX(Table7[WATT/ FIXT], MATCH(ProjectInput[[#This Row],[Proposed Fixture Code]], Table7[FIXTURE CODE],0 )))</f>
        <v/>
      </c>
      <c r="Z229" s="180">
        <f>INDEX(ReviewCalcs[Incentive Total Energy Savings (kWh)], MATCH(ProjectInput[[#This Row],[Project Index]], ReviewCalcs[Project Index], 0))</f>
        <v>0</v>
      </c>
      <c r="AA229" s="172">
        <f>INDEX(ReviewCalcs[Incentive Total Demand Savings (kW)], MATCH(ProjectInput[[#This Row],[Project Index]], ReviewCalcs[Project Index], 0))</f>
        <v>0</v>
      </c>
      <c r="AB229" s="181">
        <f>ProjectInput[[#This Row],[Energy Savings (kWh)]]*Avg_KWh_Rate</f>
        <v>0</v>
      </c>
      <c r="AC229" s="173">
        <f>IF(C229="", 0, IF(C229="Cust.", INDEX(ReviewCalcs[Incentive ($)], MATCH(ProjectInput[[#This Row],[Project Index]], ReviewCalcs[Project Index], 0)), IF(AND(C229="Pres.", D229="1 to 6"), 3*Q229, IF(AND(C229="Pres.", D229="7 to 11"), 4*Q229, IF(AND(C229="Pres.", D229="12 to 17"), 5*Q229, IF(AND(C229="Pres.", D229="Exit Sign"), 20*Q229, IF(AND(C229="Pres.", D229="&gt; 18"), 6*Q229)))))))</f>
        <v>0</v>
      </c>
      <c r="AD229" s="181">
        <f>ProjectInput[[#This Row],[Retrofit Cost]]</f>
        <v>0</v>
      </c>
      <c r="AE229" s="181">
        <f>ProjectInput[[#This Row],[Retrofit Cost]]-ProjectInput[[#This Row],[Incentive ($)]]</f>
        <v>0</v>
      </c>
      <c r="AF229" s="182" t="str">
        <f>IFERROR(ProjectInput[[#This Row],[Net Project Cost ($)]]/ProjectInput[[#This Row],[Energy Cost Savings ($)]], "")</f>
        <v/>
      </c>
    </row>
    <row r="230" spans="2:32" s="175" customFormat="1" ht="40" customHeight="1">
      <c r="B230" s="213">
        <v>227</v>
      </c>
      <c r="C230" s="223"/>
      <c r="D230" s="224"/>
      <c r="E230" s="183"/>
      <c r="F230" s="167"/>
      <c r="G230" s="184"/>
      <c r="H230" s="167"/>
      <c r="I230" s="184"/>
      <c r="J23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0" s="183"/>
      <c r="L230" s="167"/>
      <c r="M230" s="184"/>
      <c r="N230" s="184"/>
      <c r="O230" s="184"/>
      <c r="P230" s="177" t="str">
        <f>IF(ProjectInput[[#This Row],[Existing Fixture Code]]=0, "",INDEX(Table7[WATT/ FIXT], MATCH(ProjectInput[[#This Row],[Existing Fixture Code]], Table7[FIXTURE CODE], 0)))</f>
        <v/>
      </c>
      <c r="Q230" s="183"/>
      <c r="R230" s="167"/>
      <c r="S230" s="184"/>
      <c r="T230" s="184"/>
      <c r="U230" s="184"/>
      <c r="V230" s="184"/>
      <c r="W230" s="167"/>
      <c r="X230" s="185"/>
      <c r="Y230" s="179" t="str">
        <f>IF(ProjectInput[[#This Row],[Proposed Fixture Code]]=0, "", INDEX(Table7[WATT/ FIXT], MATCH(ProjectInput[[#This Row],[Proposed Fixture Code]], Table7[FIXTURE CODE],0 )))</f>
        <v/>
      </c>
      <c r="Z230" s="180">
        <f>INDEX(ReviewCalcs[Incentive Total Energy Savings (kWh)], MATCH(ProjectInput[[#This Row],[Project Index]], ReviewCalcs[Project Index], 0))</f>
        <v>0</v>
      </c>
      <c r="AA230" s="172">
        <f>INDEX(ReviewCalcs[Incentive Total Demand Savings (kW)], MATCH(ProjectInput[[#This Row],[Project Index]], ReviewCalcs[Project Index], 0))</f>
        <v>0</v>
      </c>
      <c r="AB230" s="181">
        <f>ProjectInput[[#This Row],[Energy Savings (kWh)]]*Avg_KWh_Rate</f>
        <v>0</v>
      </c>
      <c r="AC230" s="173">
        <f>IF(C230="", 0, IF(C230="Cust.", INDEX(ReviewCalcs[Incentive ($)], MATCH(ProjectInput[[#This Row],[Project Index]], ReviewCalcs[Project Index], 0)), IF(AND(C230="Pres.", D230="1 to 6"), 3*Q230, IF(AND(C230="Pres.", D230="7 to 11"), 4*Q230, IF(AND(C230="Pres.", D230="12 to 17"), 5*Q230, IF(AND(C230="Pres.", D230="Exit Sign"), 20*Q230, IF(AND(C230="Pres.", D230="&gt; 18"), 6*Q230)))))))</f>
        <v>0</v>
      </c>
      <c r="AD230" s="181">
        <f>ProjectInput[[#This Row],[Retrofit Cost]]</f>
        <v>0</v>
      </c>
      <c r="AE230" s="181">
        <f>ProjectInput[[#This Row],[Retrofit Cost]]-ProjectInput[[#This Row],[Incentive ($)]]</f>
        <v>0</v>
      </c>
      <c r="AF230" s="182" t="str">
        <f>IFERROR(ProjectInput[[#This Row],[Net Project Cost ($)]]/ProjectInput[[#This Row],[Energy Cost Savings ($)]], "")</f>
        <v/>
      </c>
    </row>
    <row r="231" spans="2:32" s="175" customFormat="1" ht="40" customHeight="1">
      <c r="B231" s="213">
        <v>228</v>
      </c>
      <c r="C231" s="220"/>
      <c r="D231" s="219"/>
      <c r="E231" s="183"/>
      <c r="F231" s="167"/>
      <c r="G231" s="184"/>
      <c r="H231" s="167"/>
      <c r="I231" s="184"/>
      <c r="J23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1" s="183"/>
      <c r="L231" s="167"/>
      <c r="M231" s="184"/>
      <c r="N231" s="184"/>
      <c r="O231" s="184"/>
      <c r="P231" s="177" t="str">
        <f>IF(ProjectInput[[#This Row],[Existing Fixture Code]]=0, "",INDEX(Table7[WATT/ FIXT], MATCH(ProjectInput[[#This Row],[Existing Fixture Code]], Table7[FIXTURE CODE], 0)))</f>
        <v/>
      </c>
      <c r="Q231" s="183"/>
      <c r="R231" s="167"/>
      <c r="S231" s="184"/>
      <c r="T231" s="184"/>
      <c r="U231" s="184"/>
      <c r="V231" s="184"/>
      <c r="W231" s="167"/>
      <c r="X231" s="185"/>
      <c r="Y231" s="179" t="str">
        <f>IF(ProjectInput[[#This Row],[Proposed Fixture Code]]=0, "", INDEX(Table7[WATT/ FIXT], MATCH(ProjectInput[[#This Row],[Proposed Fixture Code]], Table7[FIXTURE CODE],0 )))</f>
        <v/>
      </c>
      <c r="Z231" s="180">
        <f>INDEX(ReviewCalcs[Incentive Total Energy Savings (kWh)], MATCH(ProjectInput[[#This Row],[Project Index]], ReviewCalcs[Project Index], 0))</f>
        <v>0</v>
      </c>
      <c r="AA231" s="172">
        <f>INDEX(ReviewCalcs[Incentive Total Demand Savings (kW)], MATCH(ProjectInput[[#This Row],[Project Index]], ReviewCalcs[Project Index], 0))</f>
        <v>0</v>
      </c>
      <c r="AB231" s="181">
        <f>ProjectInput[[#This Row],[Energy Savings (kWh)]]*Avg_KWh_Rate</f>
        <v>0</v>
      </c>
      <c r="AC231" s="173">
        <f>IF(C231="", 0, IF(C231="Cust.", INDEX(ReviewCalcs[Incentive ($)], MATCH(ProjectInput[[#This Row],[Project Index]], ReviewCalcs[Project Index], 0)), IF(AND(C231="Pres.", D231="1 to 6"), 3*Q231, IF(AND(C231="Pres.", D231="7 to 11"), 4*Q231, IF(AND(C231="Pres.", D231="12 to 17"), 5*Q231, IF(AND(C231="Pres.", D231="Exit Sign"), 20*Q231, IF(AND(C231="Pres.", D231="&gt; 18"), 6*Q231)))))))</f>
        <v>0</v>
      </c>
      <c r="AD231" s="181">
        <f>ProjectInput[[#This Row],[Retrofit Cost]]</f>
        <v>0</v>
      </c>
      <c r="AE231" s="181">
        <f>ProjectInput[[#This Row],[Retrofit Cost]]-ProjectInput[[#This Row],[Incentive ($)]]</f>
        <v>0</v>
      </c>
      <c r="AF231" s="182" t="str">
        <f>IFERROR(ProjectInput[[#This Row],[Net Project Cost ($)]]/ProjectInput[[#This Row],[Energy Cost Savings ($)]], "")</f>
        <v/>
      </c>
    </row>
    <row r="232" spans="2:32" s="175" customFormat="1" ht="40" customHeight="1">
      <c r="B232" s="213">
        <v>229</v>
      </c>
      <c r="C232" s="223"/>
      <c r="D232" s="224"/>
      <c r="E232" s="183"/>
      <c r="F232" s="167"/>
      <c r="G232" s="184"/>
      <c r="H232" s="167"/>
      <c r="I232" s="184"/>
      <c r="J23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2" s="183"/>
      <c r="L232" s="167"/>
      <c r="M232" s="184"/>
      <c r="N232" s="184"/>
      <c r="O232" s="184"/>
      <c r="P232" s="177" t="str">
        <f>IF(ProjectInput[[#This Row],[Existing Fixture Code]]=0, "",INDEX(Table7[WATT/ FIXT], MATCH(ProjectInput[[#This Row],[Existing Fixture Code]], Table7[FIXTURE CODE], 0)))</f>
        <v/>
      </c>
      <c r="Q232" s="183"/>
      <c r="R232" s="167"/>
      <c r="S232" s="184"/>
      <c r="T232" s="184"/>
      <c r="U232" s="184"/>
      <c r="V232" s="184"/>
      <c r="W232" s="167"/>
      <c r="X232" s="185"/>
      <c r="Y232" s="179" t="str">
        <f>IF(ProjectInput[[#This Row],[Proposed Fixture Code]]=0, "", INDEX(Table7[WATT/ FIXT], MATCH(ProjectInput[[#This Row],[Proposed Fixture Code]], Table7[FIXTURE CODE],0 )))</f>
        <v/>
      </c>
      <c r="Z232" s="180">
        <f>INDEX(ReviewCalcs[Incentive Total Energy Savings (kWh)], MATCH(ProjectInput[[#This Row],[Project Index]], ReviewCalcs[Project Index], 0))</f>
        <v>0</v>
      </c>
      <c r="AA232" s="172">
        <f>INDEX(ReviewCalcs[Incentive Total Demand Savings (kW)], MATCH(ProjectInput[[#This Row],[Project Index]], ReviewCalcs[Project Index], 0))</f>
        <v>0</v>
      </c>
      <c r="AB232" s="181">
        <f>ProjectInput[[#This Row],[Energy Savings (kWh)]]*Avg_KWh_Rate</f>
        <v>0</v>
      </c>
      <c r="AC232" s="173">
        <f>IF(C232="", 0, IF(C232="Cust.", INDEX(ReviewCalcs[Incentive ($)], MATCH(ProjectInput[[#This Row],[Project Index]], ReviewCalcs[Project Index], 0)), IF(AND(C232="Pres.", D232="1 to 6"), 3*Q232, IF(AND(C232="Pres.", D232="7 to 11"), 4*Q232, IF(AND(C232="Pres.", D232="12 to 17"), 5*Q232, IF(AND(C232="Pres.", D232="Exit Sign"), 20*Q232, IF(AND(C232="Pres.", D232="&gt; 18"), 6*Q232)))))))</f>
        <v>0</v>
      </c>
      <c r="AD232" s="181">
        <f>ProjectInput[[#This Row],[Retrofit Cost]]</f>
        <v>0</v>
      </c>
      <c r="AE232" s="181">
        <f>ProjectInput[[#This Row],[Retrofit Cost]]-ProjectInput[[#This Row],[Incentive ($)]]</f>
        <v>0</v>
      </c>
      <c r="AF232" s="182" t="str">
        <f>IFERROR(ProjectInput[[#This Row],[Net Project Cost ($)]]/ProjectInput[[#This Row],[Energy Cost Savings ($)]], "")</f>
        <v/>
      </c>
    </row>
    <row r="233" spans="2:32" s="175" customFormat="1" ht="40" customHeight="1">
      <c r="B233" s="213">
        <v>230</v>
      </c>
      <c r="C233" s="220"/>
      <c r="D233" s="219"/>
      <c r="E233" s="183"/>
      <c r="F233" s="167"/>
      <c r="G233" s="184"/>
      <c r="H233" s="167"/>
      <c r="I233" s="184"/>
      <c r="J23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3" s="183"/>
      <c r="L233" s="167"/>
      <c r="M233" s="184"/>
      <c r="N233" s="184"/>
      <c r="O233" s="184"/>
      <c r="P233" s="177" t="str">
        <f>IF(ProjectInput[[#This Row],[Existing Fixture Code]]=0, "",INDEX(Table7[WATT/ FIXT], MATCH(ProjectInput[[#This Row],[Existing Fixture Code]], Table7[FIXTURE CODE], 0)))</f>
        <v/>
      </c>
      <c r="Q233" s="183"/>
      <c r="R233" s="167"/>
      <c r="S233" s="184"/>
      <c r="T233" s="184"/>
      <c r="U233" s="184"/>
      <c r="V233" s="184"/>
      <c r="W233" s="167"/>
      <c r="X233" s="185"/>
      <c r="Y233" s="179" t="str">
        <f>IF(ProjectInput[[#This Row],[Proposed Fixture Code]]=0, "", INDEX(Table7[WATT/ FIXT], MATCH(ProjectInput[[#This Row],[Proposed Fixture Code]], Table7[FIXTURE CODE],0 )))</f>
        <v/>
      </c>
      <c r="Z233" s="180">
        <f>INDEX(ReviewCalcs[Incentive Total Energy Savings (kWh)], MATCH(ProjectInput[[#This Row],[Project Index]], ReviewCalcs[Project Index], 0))</f>
        <v>0</v>
      </c>
      <c r="AA233" s="172">
        <f>INDEX(ReviewCalcs[Incentive Total Demand Savings (kW)], MATCH(ProjectInput[[#This Row],[Project Index]], ReviewCalcs[Project Index], 0))</f>
        <v>0</v>
      </c>
      <c r="AB233" s="181">
        <f>ProjectInput[[#This Row],[Energy Savings (kWh)]]*Avg_KWh_Rate</f>
        <v>0</v>
      </c>
      <c r="AC233" s="173">
        <f>IF(C233="", 0, IF(C233="Cust.", INDEX(ReviewCalcs[Incentive ($)], MATCH(ProjectInput[[#This Row],[Project Index]], ReviewCalcs[Project Index], 0)), IF(AND(C233="Pres.", D233="1 to 6"), 3*Q233, IF(AND(C233="Pres.", D233="7 to 11"), 4*Q233, IF(AND(C233="Pres.", D233="12 to 17"), 5*Q233, IF(AND(C233="Pres.", D233="Exit Sign"), 20*Q233, IF(AND(C233="Pres.", D233="&gt; 18"), 6*Q233)))))))</f>
        <v>0</v>
      </c>
      <c r="AD233" s="181">
        <f>ProjectInput[[#This Row],[Retrofit Cost]]</f>
        <v>0</v>
      </c>
      <c r="AE233" s="181">
        <f>ProjectInput[[#This Row],[Retrofit Cost]]-ProjectInput[[#This Row],[Incentive ($)]]</f>
        <v>0</v>
      </c>
      <c r="AF233" s="182" t="str">
        <f>IFERROR(ProjectInput[[#This Row],[Net Project Cost ($)]]/ProjectInput[[#This Row],[Energy Cost Savings ($)]], "")</f>
        <v/>
      </c>
    </row>
    <row r="234" spans="2:32" s="175" customFormat="1" ht="40" customHeight="1">
      <c r="B234" s="213">
        <v>231</v>
      </c>
      <c r="C234" s="223"/>
      <c r="D234" s="224"/>
      <c r="E234" s="183"/>
      <c r="F234" s="167"/>
      <c r="G234" s="184"/>
      <c r="H234" s="167"/>
      <c r="I234" s="184"/>
      <c r="J23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4" s="183"/>
      <c r="L234" s="167"/>
      <c r="M234" s="184"/>
      <c r="N234" s="184"/>
      <c r="O234" s="184"/>
      <c r="P234" s="177" t="str">
        <f>IF(ProjectInput[[#This Row],[Existing Fixture Code]]=0, "",INDEX(Table7[WATT/ FIXT], MATCH(ProjectInput[[#This Row],[Existing Fixture Code]], Table7[FIXTURE CODE], 0)))</f>
        <v/>
      </c>
      <c r="Q234" s="183"/>
      <c r="R234" s="167"/>
      <c r="S234" s="184"/>
      <c r="T234" s="184"/>
      <c r="U234" s="184"/>
      <c r="V234" s="184"/>
      <c r="W234" s="167"/>
      <c r="X234" s="185"/>
      <c r="Y234" s="179" t="str">
        <f>IF(ProjectInput[[#This Row],[Proposed Fixture Code]]=0, "", INDEX(Table7[WATT/ FIXT], MATCH(ProjectInput[[#This Row],[Proposed Fixture Code]], Table7[FIXTURE CODE],0 )))</f>
        <v/>
      </c>
      <c r="Z234" s="180">
        <f>INDEX(ReviewCalcs[Incentive Total Energy Savings (kWh)], MATCH(ProjectInput[[#This Row],[Project Index]], ReviewCalcs[Project Index], 0))</f>
        <v>0</v>
      </c>
      <c r="AA234" s="172">
        <f>INDEX(ReviewCalcs[Incentive Total Demand Savings (kW)], MATCH(ProjectInput[[#This Row],[Project Index]], ReviewCalcs[Project Index], 0))</f>
        <v>0</v>
      </c>
      <c r="AB234" s="181">
        <f>ProjectInput[[#This Row],[Energy Savings (kWh)]]*Avg_KWh_Rate</f>
        <v>0</v>
      </c>
      <c r="AC234" s="173">
        <f>IF(C234="", 0, IF(C234="Cust.", INDEX(ReviewCalcs[Incentive ($)], MATCH(ProjectInput[[#This Row],[Project Index]], ReviewCalcs[Project Index], 0)), IF(AND(C234="Pres.", D234="1 to 6"), 3*Q234, IF(AND(C234="Pres.", D234="7 to 11"), 4*Q234, IF(AND(C234="Pres.", D234="12 to 17"), 5*Q234, IF(AND(C234="Pres.", D234="Exit Sign"), 20*Q234, IF(AND(C234="Pres.", D234="&gt; 18"), 6*Q234)))))))</f>
        <v>0</v>
      </c>
      <c r="AD234" s="181">
        <f>ProjectInput[[#This Row],[Retrofit Cost]]</f>
        <v>0</v>
      </c>
      <c r="AE234" s="181">
        <f>ProjectInput[[#This Row],[Retrofit Cost]]-ProjectInput[[#This Row],[Incentive ($)]]</f>
        <v>0</v>
      </c>
      <c r="AF234" s="182" t="str">
        <f>IFERROR(ProjectInput[[#This Row],[Net Project Cost ($)]]/ProjectInput[[#This Row],[Energy Cost Savings ($)]], "")</f>
        <v/>
      </c>
    </row>
    <row r="235" spans="2:32" s="175" customFormat="1" ht="40" customHeight="1">
      <c r="B235" s="213">
        <v>232</v>
      </c>
      <c r="C235" s="220"/>
      <c r="D235" s="219"/>
      <c r="E235" s="183"/>
      <c r="F235" s="167"/>
      <c r="G235" s="184"/>
      <c r="H235" s="167"/>
      <c r="I235" s="184"/>
      <c r="J23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5" s="183"/>
      <c r="L235" s="167"/>
      <c r="M235" s="184"/>
      <c r="N235" s="184"/>
      <c r="O235" s="184"/>
      <c r="P235" s="177" t="str">
        <f>IF(ProjectInput[[#This Row],[Existing Fixture Code]]=0, "",INDEX(Table7[WATT/ FIXT], MATCH(ProjectInput[[#This Row],[Existing Fixture Code]], Table7[FIXTURE CODE], 0)))</f>
        <v/>
      </c>
      <c r="Q235" s="183"/>
      <c r="R235" s="167"/>
      <c r="S235" s="184"/>
      <c r="T235" s="184"/>
      <c r="U235" s="184"/>
      <c r="V235" s="184"/>
      <c r="W235" s="167"/>
      <c r="X235" s="185"/>
      <c r="Y235" s="179" t="str">
        <f>IF(ProjectInput[[#This Row],[Proposed Fixture Code]]=0, "", INDEX(Table7[WATT/ FIXT], MATCH(ProjectInput[[#This Row],[Proposed Fixture Code]], Table7[FIXTURE CODE],0 )))</f>
        <v/>
      </c>
      <c r="Z235" s="180">
        <f>INDEX(ReviewCalcs[Incentive Total Energy Savings (kWh)], MATCH(ProjectInput[[#This Row],[Project Index]], ReviewCalcs[Project Index], 0))</f>
        <v>0</v>
      </c>
      <c r="AA235" s="172">
        <f>INDEX(ReviewCalcs[Incentive Total Demand Savings (kW)], MATCH(ProjectInput[[#This Row],[Project Index]], ReviewCalcs[Project Index], 0))</f>
        <v>0</v>
      </c>
      <c r="AB235" s="181">
        <f>ProjectInput[[#This Row],[Energy Savings (kWh)]]*Avg_KWh_Rate</f>
        <v>0</v>
      </c>
      <c r="AC235" s="173">
        <f>IF(C235="", 0, IF(C235="Cust.", INDEX(ReviewCalcs[Incentive ($)], MATCH(ProjectInput[[#This Row],[Project Index]], ReviewCalcs[Project Index], 0)), IF(AND(C235="Pres.", D235="1 to 6"), 3*Q235, IF(AND(C235="Pres.", D235="7 to 11"), 4*Q235, IF(AND(C235="Pres.", D235="12 to 17"), 5*Q235, IF(AND(C235="Pres.", D235="Exit Sign"), 20*Q235, IF(AND(C235="Pres.", D235="&gt; 18"), 6*Q235)))))))</f>
        <v>0</v>
      </c>
      <c r="AD235" s="181">
        <f>ProjectInput[[#This Row],[Retrofit Cost]]</f>
        <v>0</v>
      </c>
      <c r="AE235" s="181">
        <f>ProjectInput[[#This Row],[Retrofit Cost]]-ProjectInput[[#This Row],[Incentive ($)]]</f>
        <v>0</v>
      </c>
      <c r="AF235" s="182" t="str">
        <f>IFERROR(ProjectInput[[#This Row],[Net Project Cost ($)]]/ProjectInput[[#This Row],[Energy Cost Savings ($)]], "")</f>
        <v/>
      </c>
    </row>
    <row r="236" spans="2:32" s="175" customFormat="1" ht="40" customHeight="1">
      <c r="B236" s="213">
        <v>233</v>
      </c>
      <c r="C236" s="223"/>
      <c r="D236" s="224"/>
      <c r="E236" s="183"/>
      <c r="F236" s="167"/>
      <c r="G236" s="184"/>
      <c r="H236" s="167"/>
      <c r="I236" s="184"/>
      <c r="J23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6" s="183"/>
      <c r="L236" s="167"/>
      <c r="M236" s="184"/>
      <c r="N236" s="184"/>
      <c r="O236" s="184"/>
      <c r="P236" s="177" t="str">
        <f>IF(ProjectInput[[#This Row],[Existing Fixture Code]]=0, "",INDEX(Table7[WATT/ FIXT], MATCH(ProjectInput[[#This Row],[Existing Fixture Code]], Table7[FIXTURE CODE], 0)))</f>
        <v/>
      </c>
      <c r="Q236" s="183"/>
      <c r="R236" s="167"/>
      <c r="S236" s="184"/>
      <c r="T236" s="184"/>
      <c r="U236" s="184"/>
      <c r="V236" s="184"/>
      <c r="W236" s="167"/>
      <c r="X236" s="185"/>
      <c r="Y236" s="179" t="str">
        <f>IF(ProjectInput[[#This Row],[Proposed Fixture Code]]=0, "", INDEX(Table7[WATT/ FIXT], MATCH(ProjectInput[[#This Row],[Proposed Fixture Code]], Table7[FIXTURE CODE],0 )))</f>
        <v/>
      </c>
      <c r="Z236" s="180">
        <f>INDEX(ReviewCalcs[Incentive Total Energy Savings (kWh)], MATCH(ProjectInput[[#This Row],[Project Index]], ReviewCalcs[Project Index], 0))</f>
        <v>0</v>
      </c>
      <c r="AA236" s="172">
        <f>INDEX(ReviewCalcs[Incentive Total Demand Savings (kW)], MATCH(ProjectInput[[#This Row],[Project Index]], ReviewCalcs[Project Index], 0))</f>
        <v>0</v>
      </c>
      <c r="AB236" s="181">
        <f>ProjectInput[[#This Row],[Energy Savings (kWh)]]*Avg_KWh_Rate</f>
        <v>0</v>
      </c>
      <c r="AC236" s="173">
        <f>IF(C236="", 0, IF(C236="Cust.", INDEX(ReviewCalcs[Incentive ($)], MATCH(ProjectInput[[#This Row],[Project Index]], ReviewCalcs[Project Index], 0)), IF(AND(C236="Pres.", D236="1 to 6"), 3*Q236, IF(AND(C236="Pres.", D236="7 to 11"), 4*Q236, IF(AND(C236="Pres.", D236="12 to 17"), 5*Q236, IF(AND(C236="Pres.", D236="Exit Sign"), 20*Q236, IF(AND(C236="Pres.", D236="&gt; 18"), 6*Q236)))))))</f>
        <v>0</v>
      </c>
      <c r="AD236" s="181">
        <f>ProjectInput[[#This Row],[Retrofit Cost]]</f>
        <v>0</v>
      </c>
      <c r="AE236" s="181">
        <f>ProjectInput[[#This Row],[Retrofit Cost]]-ProjectInput[[#This Row],[Incentive ($)]]</f>
        <v>0</v>
      </c>
      <c r="AF236" s="182" t="str">
        <f>IFERROR(ProjectInput[[#This Row],[Net Project Cost ($)]]/ProjectInput[[#This Row],[Energy Cost Savings ($)]], "")</f>
        <v/>
      </c>
    </row>
    <row r="237" spans="2:32" s="175" customFormat="1" ht="40" customHeight="1">
      <c r="B237" s="213">
        <v>234</v>
      </c>
      <c r="C237" s="220"/>
      <c r="D237" s="219"/>
      <c r="E237" s="183"/>
      <c r="F237" s="167"/>
      <c r="G237" s="184"/>
      <c r="H237" s="167"/>
      <c r="I237" s="184"/>
      <c r="J23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7" s="183"/>
      <c r="L237" s="167"/>
      <c r="M237" s="184"/>
      <c r="N237" s="184"/>
      <c r="O237" s="184"/>
      <c r="P237" s="177" t="str">
        <f>IF(ProjectInput[[#This Row],[Existing Fixture Code]]=0, "",INDEX(Table7[WATT/ FIXT], MATCH(ProjectInput[[#This Row],[Existing Fixture Code]], Table7[FIXTURE CODE], 0)))</f>
        <v/>
      </c>
      <c r="Q237" s="183"/>
      <c r="R237" s="167"/>
      <c r="S237" s="184"/>
      <c r="T237" s="184"/>
      <c r="U237" s="184"/>
      <c r="V237" s="184"/>
      <c r="W237" s="167"/>
      <c r="X237" s="185"/>
      <c r="Y237" s="179" t="str">
        <f>IF(ProjectInput[[#This Row],[Proposed Fixture Code]]=0, "", INDEX(Table7[WATT/ FIXT], MATCH(ProjectInput[[#This Row],[Proposed Fixture Code]], Table7[FIXTURE CODE],0 )))</f>
        <v/>
      </c>
      <c r="Z237" s="180">
        <f>INDEX(ReviewCalcs[Incentive Total Energy Savings (kWh)], MATCH(ProjectInput[[#This Row],[Project Index]], ReviewCalcs[Project Index], 0))</f>
        <v>0</v>
      </c>
      <c r="AA237" s="172">
        <f>INDEX(ReviewCalcs[Incentive Total Demand Savings (kW)], MATCH(ProjectInput[[#This Row],[Project Index]], ReviewCalcs[Project Index], 0))</f>
        <v>0</v>
      </c>
      <c r="AB237" s="181">
        <f>ProjectInput[[#This Row],[Energy Savings (kWh)]]*Avg_KWh_Rate</f>
        <v>0</v>
      </c>
      <c r="AC237" s="173">
        <f>IF(C237="", 0, IF(C237="Cust.", INDEX(ReviewCalcs[Incentive ($)], MATCH(ProjectInput[[#This Row],[Project Index]], ReviewCalcs[Project Index], 0)), IF(AND(C237="Pres.", D237="1 to 6"), 3*Q237, IF(AND(C237="Pres.", D237="7 to 11"), 4*Q237, IF(AND(C237="Pres.", D237="12 to 17"), 5*Q237, IF(AND(C237="Pres.", D237="Exit Sign"), 20*Q237, IF(AND(C237="Pres.", D237="&gt; 18"), 6*Q237)))))))</f>
        <v>0</v>
      </c>
      <c r="AD237" s="181">
        <f>ProjectInput[[#This Row],[Retrofit Cost]]</f>
        <v>0</v>
      </c>
      <c r="AE237" s="181">
        <f>ProjectInput[[#This Row],[Retrofit Cost]]-ProjectInput[[#This Row],[Incentive ($)]]</f>
        <v>0</v>
      </c>
      <c r="AF237" s="182" t="str">
        <f>IFERROR(ProjectInput[[#This Row],[Net Project Cost ($)]]/ProjectInput[[#This Row],[Energy Cost Savings ($)]], "")</f>
        <v/>
      </c>
    </row>
    <row r="238" spans="2:32" s="175" customFormat="1" ht="40" customHeight="1">
      <c r="B238" s="213">
        <v>235</v>
      </c>
      <c r="C238" s="223"/>
      <c r="D238" s="224"/>
      <c r="E238" s="183"/>
      <c r="F238" s="167"/>
      <c r="G238" s="184"/>
      <c r="H238" s="167"/>
      <c r="I238" s="184"/>
      <c r="J23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8" s="183"/>
      <c r="L238" s="167"/>
      <c r="M238" s="184"/>
      <c r="N238" s="184"/>
      <c r="O238" s="184"/>
      <c r="P238" s="177" t="str">
        <f>IF(ProjectInput[[#This Row],[Existing Fixture Code]]=0, "",INDEX(Table7[WATT/ FIXT], MATCH(ProjectInput[[#This Row],[Existing Fixture Code]], Table7[FIXTURE CODE], 0)))</f>
        <v/>
      </c>
      <c r="Q238" s="183"/>
      <c r="R238" s="167"/>
      <c r="S238" s="184"/>
      <c r="T238" s="184"/>
      <c r="U238" s="184"/>
      <c r="V238" s="184"/>
      <c r="W238" s="167"/>
      <c r="X238" s="185"/>
      <c r="Y238" s="179" t="str">
        <f>IF(ProjectInput[[#This Row],[Proposed Fixture Code]]=0, "", INDEX(Table7[WATT/ FIXT], MATCH(ProjectInput[[#This Row],[Proposed Fixture Code]], Table7[FIXTURE CODE],0 )))</f>
        <v/>
      </c>
      <c r="Z238" s="180">
        <f>INDEX(ReviewCalcs[Incentive Total Energy Savings (kWh)], MATCH(ProjectInput[[#This Row],[Project Index]], ReviewCalcs[Project Index], 0))</f>
        <v>0</v>
      </c>
      <c r="AA238" s="172">
        <f>INDEX(ReviewCalcs[Incentive Total Demand Savings (kW)], MATCH(ProjectInput[[#This Row],[Project Index]], ReviewCalcs[Project Index], 0))</f>
        <v>0</v>
      </c>
      <c r="AB238" s="181">
        <f>ProjectInput[[#This Row],[Energy Savings (kWh)]]*Avg_KWh_Rate</f>
        <v>0</v>
      </c>
      <c r="AC238" s="173">
        <f>IF(C238="", 0, IF(C238="Cust.", INDEX(ReviewCalcs[Incentive ($)], MATCH(ProjectInput[[#This Row],[Project Index]], ReviewCalcs[Project Index], 0)), IF(AND(C238="Pres.", D238="1 to 6"), 3*Q238, IF(AND(C238="Pres.", D238="7 to 11"), 4*Q238, IF(AND(C238="Pres.", D238="12 to 17"), 5*Q238, IF(AND(C238="Pres.", D238="Exit Sign"), 20*Q238, IF(AND(C238="Pres.", D238="&gt; 18"), 6*Q238)))))))</f>
        <v>0</v>
      </c>
      <c r="AD238" s="181">
        <f>ProjectInput[[#This Row],[Retrofit Cost]]</f>
        <v>0</v>
      </c>
      <c r="AE238" s="181">
        <f>ProjectInput[[#This Row],[Retrofit Cost]]-ProjectInput[[#This Row],[Incentive ($)]]</f>
        <v>0</v>
      </c>
      <c r="AF238" s="182" t="str">
        <f>IFERROR(ProjectInput[[#This Row],[Net Project Cost ($)]]/ProjectInput[[#This Row],[Energy Cost Savings ($)]], "")</f>
        <v/>
      </c>
    </row>
    <row r="239" spans="2:32" s="175" customFormat="1" ht="40" customHeight="1">
      <c r="B239" s="213">
        <v>236</v>
      </c>
      <c r="C239" s="220"/>
      <c r="D239" s="219"/>
      <c r="E239" s="183"/>
      <c r="F239" s="167"/>
      <c r="G239" s="184"/>
      <c r="H239" s="167"/>
      <c r="I239" s="184"/>
      <c r="J23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39" s="183"/>
      <c r="L239" s="167"/>
      <c r="M239" s="184"/>
      <c r="N239" s="184"/>
      <c r="O239" s="184"/>
      <c r="P239" s="177" t="str">
        <f>IF(ProjectInput[[#This Row],[Existing Fixture Code]]=0, "",INDEX(Table7[WATT/ FIXT], MATCH(ProjectInput[[#This Row],[Existing Fixture Code]], Table7[FIXTURE CODE], 0)))</f>
        <v/>
      </c>
      <c r="Q239" s="183"/>
      <c r="R239" s="167"/>
      <c r="S239" s="184"/>
      <c r="T239" s="184"/>
      <c r="U239" s="184"/>
      <c r="V239" s="184"/>
      <c r="W239" s="167"/>
      <c r="X239" s="185"/>
      <c r="Y239" s="179" t="str">
        <f>IF(ProjectInput[[#This Row],[Proposed Fixture Code]]=0, "", INDEX(Table7[WATT/ FIXT], MATCH(ProjectInput[[#This Row],[Proposed Fixture Code]], Table7[FIXTURE CODE],0 )))</f>
        <v/>
      </c>
      <c r="Z239" s="180">
        <f>INDEX(ReviewCalcs[Incentive Total Energy Savings (kWh)], MATCH(ProjectInput[[#This Row],[Project Index]], ReviewCalcs[Project Index], 0))</f>
        <v>0</v>
      </c>
      <c r="AA239" s="172">
        <f>INDEX(ReviewCalcs[Incentive Total Demand Savings (kW)], MATCH(ProjectInput[[#This Row],[Project Index]], ReviewCalcs[Project Index], 0))</f>
        <v>0</v>
      </c>
      <c r="AB239" s="181">
        <f>ProjectInput[[#This Row],[Energy Savings (kWh)]]*Avg_KWh_Rate</f>
        <v>0</v>
      </c>
      <c r="AC239" s="173">
        <f>IF(C239="", 0, IF(C239="Cust.", INDEX(ReviewCalcs[Incentive ($)], MATCH(ProjectInput[[#This Row],[Project Index]], ReviewCalcs[Project Index], 0)), IF(AND(C239="Pres.", D239="1 to 6"), 3*Q239, IF(AND(C239="Pres.", D239="7 to 11"), 4*Q239, IF(AND(C239="Pres.", D239="12 to 17"), 5*Q239, IF(AND(C239="Pres.", D239="Exit Sign"), 20*Q239, IF(AND(C239="Pres.", D239="&gt; 18"), 6*Q239)))))))</f>
        <v>0</v>
      </c>
      <c r="AD239" s="181">
        <f>ProjectInput[[#This Row],[Retrofit Cost]]</f>
        <v>0</v>
      </c>
      <c r="AE239" s="181">
        <f>ProjectInput[[#This Row],[Retrofit Cost]]-ProjectInput[[#This Row],[Incentive ($)]]</f>
        <v>0</v>
      </c>
      <c r="AF239" s="182" t="str">
        <f>IFERROR(ProjectInput[[#This Row],[Net Project Cost ($)]]/ProjectInput[[#This Row],[Energy Cost Savings ($)]], "")</f>
        <v/>
      </c>
    </row>
    <row r="240" spans="2:32" s="175" customFormat="1" ht="40" customHeight="1">
      <c r="B240" s="213">
        <v>237</v>
      </c>
      <c r="C240" s="223"/>
      <c r="D240" s="224"/>
      <c r="E240" s="183"/>
      <c r="F240" s="167"/>
      <c r="G240" s="184"/>
      <c r="H240" s="167"/>
      <c r="I240" s="184"/>
      <c r="J24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0" s="183"/>
      <c r="L240" s="167"/>
      <c r="M240" s="184"/>
      <c r="N240" s="184"/>
      <c r="O240" s="184"/>
      <c r="P240" s="177" t="str">
        <f>IF(ProjectInput[[#This Row],[Existing Fixture Code]]=0, "",INDEX(Table7[WATT/ FIXT], MATCH(ProjectInput[[#This Row],[Existing Fixture Code]], Table7[FIXTURE CODE], 0)))</f>
        <v/>
      </c>
      <c r="Q240" s="183"/>
      <c r="R240" s="167"/>
      <c r="S240" s="184"/>
      <c r="T240" s="184"/>
      <c r="U240" s="184"/>
      <c r="V240" s="184"/>
      <c r="W240" s="167"/>
      <c r="X240" s="185"/>
      <c r="Y240" s="179" t="str">
        <f>IF(ProjectInput[[#This Row],[Proposed Fixture Code]]=0, "", INDEX(Table7[WATT/ FIXT], MATCH(ProjectInput[[#This Row],[Proposed Fixture Code]], Table7[FIXTURE CODE],0 )))</f>
        <v/>
      </c>
      <c r="Z240" s="180">
        <f>INDEX(ReviewCalcs[Incentive Total Energy Savings (kWh)], MATCH(ProjectInput[[#This Row],[Project Index]], ReviewCalcs[Project Index], 0))</f>
        <v>0</v>
      </c>
      <c r="AA240" s="172">
        <f>INDEX(ReviewCalcs[Incentive Total Demand Savings (kW)], MATCH(ProjectInput[[#This Row],[Project Index]], ReviewCalcs[Project Index], 0))</f>
        <v>0</v>
      </c>
      <c r="AB240" s="181">
        <f>ProjectInput[[#This Row],[Energy Savings (kWh)]]*Avg_KWh_Rate</f>
        <v>0</v>
      </c>
      <c r="AC240" s="173">
        <f>IF(C240="", 0, IF(C240="Cust.", INDEX(ReviewCalcs[Incentive ($)], MATCH(ProjectInput[[#This Row],[Project Index]], ReviewCalcs[Project Index], 0)), IF(AND(C240="Pres.", D240="1 to 6"), 3*Q240, IF(AND(C240="Pres.", D240="7 to 11"), 4*Q240, IF(AND(C240="Pres.", D240="12 to 17"), 5*Q240, IF(AND(C240="Pres.", D240="Exit Sign"), 20*Q240, IF(AND(C240="Pres.", D240="&gt; 18"), 6*Q240)))))))</f>
        <v>0</v>
      </c>
      <c r="AD240" s="181">
        <f>ProjectInput[[#This Row],[Retrofit Cost]]</f>
        <v>0</v>
      </c>
      <c r="AE240" s="181">
        <f>ProjectInput[[#This Row],[Retrofit Cost]]-ProjectInput[[#This Row],[Incentive ($)]]</f>
        <v>0</v>
      </c>
      <c r="AF240" s="182" t="str">
        <f>IFERROR(ProjectInput[[#This Row],[Net Project Cost ($)]]/ProjectInput[[#This Row],[Energy Cost Savings ($)]], "")</f>
        <v/>
      </c>
    </row>
    <row r="241" spans="2:32" s="175" customFormat="1" ht="40" customHeight="1">
      <c r="B241" s="213">
        <v>238</v>
      </c>
      <c r="C241" s="220"/>
      <c r="D241" s="219"/>
      <c r="E241" s="183"/>
      <c r="F241" s="167"/>
      <c r="G241" s="184"/>
      <c r="H241" s="167"/>
      <c r="I241" s="184"/>
      <c r="J24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1" s="183"/>
      <c r="L241" s="167"/>
      <c r="M241" s="184"/>
      <c r="N241" s="184"/>
      <c r="O241" s="184"/>
      <c r="P241" s="177" t="str">
        <f>IF(ProjectInput[[#This Row],[Existing Fixture Code]]=0, "",INDEX(Table7[WATT/ FIXT], MATCH(ProjectInput[[#This Row],[Existing Fixture Code]], Table7[FIXTURE CODE], 0)))</f>
        <v/>
      </c>
      <c r="Q241" s="183"/>
      <c r="R241" s="167"/>
      <c r="S241" s="184"/>
      <c r="T241" s="184"/>
      <c r="U241" s="184"/>
      <c r="V241" s="184"/>
      <c r="W241" s="167"/>
      <c r="X241" s="185"/>
      <c r="Y241" s="179" t="str">
        <f>IF(ProjectInput[[#This Row],[Proposed Fixture Code]]=0, "", INDEX(Table7[WATT/ FIXT], MATCH(ProjectInput[[#This Row],[Proposed Fixture Code]], Table7[FIXTURE CODE],0 )))</f>
        <v/>
      </c>
      <c r="Z241" s="180">
        <f>INDEX(ReviewCalcs[Incentive Total Energy Savings (kWh)], MATCH(ProjectInput[[#This Row],[Project Index]], ReviewCalcs[Project Index], 0))</f>
        <v>0</v>
      </c>
      <c r="AA241" s="172">
        <f>INDEX(ReviewCalcs[Incentive Total Demand Savings (kW)], MATCH(ProjectInput[[#This Row],[Project Index]], ReviewCalcs[Project Index], 0))</f>
        <v>0</v>
      </c>
      <c r="AB241" s="181">
        <f>ProjectInput[[#This Row],[Energy Savings (kWh)]]*Avg_KWh_Rate</f>
        <v>0</v>
      </c>
      <c r="AC241" s="173">
        <f>IF(C241="", 0, IF(C241="Cust.", INDEX(ReviewCalcs[Incentive ($)], MATCH(ProjectInput[[#This Row],[Project Index]], ReviewCalcs[Project Index], 0)), IF(AND(C241="Pres.", D241="1 to 6"), 3*Q241, IF(AND(C241="Pres.", D241="7 to 11"), 4*Q241, IF(AND(C241="Pres.", D241="12 to 17"), 5*Q241, IF(AND(C241="Pres.", D241="Exit Sign"), 20*Q241, IF(AND(C241="Pres.", D241="&gt; 18"), 6*Q241)))))))</f>
        <v>0</v>
      </c>
      <c r="AD241" s="181">
        <f>ProjectInput[[#This Row],[Retrofit Cost]]</f>
        <v>0</v>
      </c>
      <c r="AE241" s="181">
        <f>ProjectInput[[#This Row],[Retrofit Cost]]-ProjectInput[[#This Row],[Incentive ($)]]</f>
        <v>0</v>
      </c>
      <c r="AF241" s="182" t="str">
        <f>IFERROR(ProjectInput[[#This Row],[Net Project Cost ($)]]/ProjectInput[[#This Row],[Energy Cost Savings ($)]], "")</f>
        <v/>
      </c>
    </row>
    <row r="242" spans="2:32" s="175" customFormat="1" ht="40" customHeight="1">
      <c r="B242" s="213">
        <v>239</v>
      </c>
      <c r="C242" s="223"/>
      <c r="D242" s="224"/>
      <c r="E242" s="183"/>
      <c r="F242" s="167"/>
      <c r="G242" s="184"/>
      <c r="H242" s="167"/>
      <c r="I242" s="184"/>
      <c r="J24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2" s="183"/>
      <c r="L242" s="167"/>
      <c r="M242" s="184"/>
      <c r="N242" s="184"/>
      <c r="O242" s="184"/>
      <c r="P242" s="177" t="str">
        <f>IF(ProjectInput[[#This Row],[Existing Fixture Code]]=0, "",INDEX(Table7[WATT/ FIXT], MATCH(ProjectInput[[#This Row],[Existing Fixture Code]], Table7[FIXTURE CODE], 0)))</f>
        <v/>
      </c>
      <c r="Q242" s="183"/>
      <c r="R242" s="167"/>
      <c r="S242" s="184"/>
      <c r="T242" s="184"/>
      <c r="U242" s="184"/>
      <c r="V242" s="184"/>
      <c r="W242" s="167"/>
      <c r="X242" s="185"/>
      <c r="Y242" s="179" t="str">
        <f>IF(ProjectInput[[#This Row],[Proposed Fixture Code]]=0, "", INDEX(Table7[WATT/ FIXT], MATCH(ProjectInput[[#This Row],[Proposed Fixture Code]], Table7[FIXTURE CODE],0 )))</f>
        <v/>
      </c>
      <c r="Z242" s="180">
        <f>INDEX(ReviewCalcs[Incentive Total Energy Savings (kWh)], MATCH(ProjectInput[[#This Row],[Project Index]], ReviewCalcs[Project Index], 0))</f>
        <v>0</v>
      </c>
      <c r="AA242" s="172">
        <f>INDEX(ReviewCalcs[Incentive Total Demand Savings (kW)], MATCH(ProjectInput[[#This Row],[Project Index]], ReviewCalcs[Project Index], 0))</f>
        <v>0</v>
      </c>
      <c r="AB242" s="181">
        <f>ProjectInput[[#This Row],[Energy Savings (kWh)]]*Avg_KWh_Rate</f>
        <v>0</v>
      </c>
      <c r="AC242" s="173">
        <f>IF(C242="", 0, IF(C242="Cust.", INDEX(ReviewCalcs[Incentive ($)], MATCH(ProjectInput[[#This Row],[Project Index]], ReviewCalcs[Project Index], 0)), IF(AND(C242="Pres.", D242="1 to 6"), 3*Q242, IF(AND(C242="Pres.", D242="7 to 11"), 4*Q242, IF(AND(C242="Pres.", D242="12 to 17"), 5*Q242, IF(AND(C242="Pres.", D242="Exit Sign"), 20*Q242, IF(AND(C242="Pres.", D242="&gt; 18"), 6*Q242)))))))</f>
        <v>0</v>
      </c>
      <c r="AD242" s="181">
        <f>ProjectInput[[#This Row],[Retrofit Cost]]</f>
        <v>0</v>
      </c>
      <c r="AE242" s="181">
        <f>ProjectInput[[#This Row],[Retrofit Cost]]-ProjectInput[[#This Row],[Incentive ($)]]</f>
        <v>0</v>
      </c>
      <c r="AF242" s="182" t="str">
        <f>IFERROR(ProjectInput[[#This Row],[Net Project Cost ($)]]/ProjectInput[[#This Row],[Energy Cost Savings ($)]], "")</f>
        <v/>
      </c>
    </row>
    <row r="243" spans="2:32" s="175" customFormat="1" ht="40" customHeight="1">
      <c r="B243" s="213">
        <v>240</v>
      </c>
      <c r="C243" s="220"/>
      <c r="D243" s="219"/>
      <c r="E243" s="183"/>
      <c r="F243" s="167"/>
      <c r="G243" s="184"/>
      <c r="H243" s="167"/>
      <c r="I243" s="184"/>
      <c r="J24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3" s="183"/>
      <c r="L243" s="167"/>
      <c r="M243" s="184"/>
      <c r="N243" s="184"/>
      <c r="O243" s="184"/>
      <c r="P243" s="177" t="str">
        <f>IF(ProjectInput[[#This Row],[Existing Fixture Code]]=0, "",INDEX(Table7[WATT/ FIXT], MATCH(ProjectInput[[#This Row],[Existing Fixture Code]], Table7[FIXTURE CODE], 0)))</f>
        <v/>
      </c>
      <c r="Q243" s="183"/>
      <c r="R243" s="167"/>
      <c r="S243" s="184"/>
      <c r="T243" s="184"/>
      <c r="U243" s="184"/>
      <c r="V243" s="184"/>
      <c r="W243" s="167"/>
      <c r="X243" s="185"/>
      <c r="Y243" s="179" t="str">
        <f>IF(ProjectInput[[#This Row],[Proposed Fixture Code]]=0, "", INDEX(Table7[WATT/ FIXT], MATCH(ProjectInput[[#This Row],[Proposed Fixture Code]], Table7[FIXTURE CODE],0 )))</f>
        <v/>
      </c>
      <c r="Z243" s="180">
        <f>INDEX(ReviewCalcs[Incentive Total Energy Savings (kWh)], MATCH(ProjectInput[[#This Row],[Project Index]], ReviewCalcs[Project Index], 0))</f>
        <v>0</v>
      </c>
      <c r="AA243" s="172">
        <f>INDEX(ReviewCalcs[Incentive Total Demand Savings (kW)], MATCH(ProjectInput[[#This Row],[Project Index]], ReviewCalcs[Project Index], 0))</f>
        <v>0</v>
      </c>
      <c r="AB243" s="181">
        <f>ProjectInput[[#This Row],[Energy Savings (kWh)]]*Avg_KWh_Rate</f>
        <v>0</v>
      </c>
      <c r="AC243" s="173">
        <f>IF(C243="", 0, IF(C243="Cust.", INDEX(ReviewCalcs[Incentive ($)], MATCH(ProjectInput[[#This Row],[Project Index]], ReviewCalcs[Project Index], 0)), IF(AND(C243="Pres.", D243="1 to 6"), 3*Q243, IF(AND(C243="Pres.", D243="7 to 11"), 4*Q243, IF(AND(C243="Pres.", D243="12 to 17"), 5*Q243, IF(AND(C243="Pres.", D243="Exit Sign"), 20*Q243, IF(AND(C243="Pres.", D243="&gt; 18"), 6*Q243)))))))</f>
        <v>0</v>
      </c>
      <c r="AD243" s="181">
        <f>ProjectInput[[#This Row],[Retrofit Cost]]</f>
        <v>0</v>
      </c>
      <c r="AE243" s="181">
        <f>ProjectInput[[#This Row],[Retrofit Cost]]-ProjectInput[[#This Row],[Incentive ($)]]</f>
        <v>0</v>
      </c>
      <c r="AF243" s="182" t="str">
        <f>IFERROR(ProjectInput[[#This Row],[Net Project Cost ($)]]/ProjectInput[[#This Row],[Energy Cost Savings ($)]], "")</f>
        <v/>
      </c>
    </row>
    <row r="244" spans="2:32" s="175" customFormat="1" ht="40" customHeight="1">
      <c r="B244" s="213">
        <v>241</v>
      </c>
      <c r="C244" s="223"/>
      <c r="D244" s="224"/>
      <c r="E244" s="183"/>
      <c r="F244" s="167"/>
      <c r="G244" s="184"/>
      <c r="H244" s="167"/>
      <c r="I244" s="184"/>
      <c r="J24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4" s="183"/>
      <c r="L244" s="167"/>
      <c r="M244" s="184"/>
      <c r="N244" s="184"/>
      <c r="O244" s="184"/>
      <c r="P244" s="177" t="str">
        <f>IF(ProjectInput[[#This Row],[Existing Fixture Code]]=0, "",INDEX(Table7[WATT/ FIXT], MATCH(ProjectInput[[#This Row],[Existing Fixture Code]], Table7[FIXTURE CODE], 0)))</f>
        <v/>
      </c>
      <c r="Q244" s="183"/>
      <c r="R244" s="167"/>
      <c r="S244" s="184"/>
      <c r="T244" s="184"/>
      <c r="U244" s="184"/>
      <c r="V244" s="184"/>
      <c r="W244" s="167"/>
      <c r="X244" s="185"/>
      <c r="Y244" s="179" t="str">
        <f>IF(ProjectInput[[#This Row],[Proposed Fixture Code]]=0, "", INDEX(Table7[WATT/ FIXT], MATCH(ProjectInput[[#This Row],[Proposed Fixture Code]], Table7[FIXTURE CODE],0 )))</f>
        <v/>
      </c>
      <c r="Z244" s="180">
        <f>INDEX(ReviewCalcs[Incentive Total Energy Savings (kWh)], MATCH(ProjectInput[[#This Row],[Project Index]], ReviewCalcs[Project Index], 0))</f>
        <v>0</v>
      </c>
      <c r="AA244" s="172">
        <f>INDEX(ReviewCalcs[Incentive Total Demand Savings (kW)], MATCH(ProjectInput[[#This Row],[Project Index]], ReviewCalcs[Project Index], 0))</f>
        <v>0</v>
      </c>
      <c r="AB244" s="181">
        <f>ProjectInput[[#This Row],[Energy Savings (kWh)]]*Avg_KWh_Rate</f>
        <v>0</v>
      </c>
      <c r="AC244" s="173">
        <f>IF(C244="", 0, IF(C244="Cust.", INDEX(ReviewCalcs[Incentive ($)], MATCH(ProjectInput[[#This Row],[Project Index]], ReviewCalcs[Project Index], 0)), IF(AND(C244="Pres.", D244="1 to 6"), 3*Q244, IF(AND(C244="Pres.", D244="7 to 11"), 4*Q244, IF(AND(C244="Pres.", D244="12 to 17"), 5*Q244, IF(AND(C244="Pres.", D244="Exit Sign"), 20*Q244, IF(AND(C244="Pres.", D244="&gt; 18"), 6*Q244)))))))</f>
        <v>0</v>
      </c>
      <c r="AD244" s="181">
        <f>ProjectInput[[#This Row],[Retrofit Cost]]</f>
        <v>0</v>
      </c>
      <c r="AE244" s="181">
        <f>ProjectInput[[#This Row],[Retrofit Cost]]-ProjectInput[[#This Row],[Incentive ($)]]</f>
        <v>0</v>
      </c>
      <c r="AF244" s="182" t="str">
        <f>IFERROR(ProjectInput[[#This Row],[Net Project Cost ($)]]/ProjectInput[[#This Row],[Energy Cost Savings ($)]], "")</f>
        <v/>
      </c>
    </row>
    <row r="245" spans="2:32" s="175" customFormat="1" ht="40" customHeight="1">
      <c r="B245" s="213">
        <v>242</v>
      </c>
      <c r="C245" s="220"/>
      <c r="D245" s="219"/>
      <c r="E245" s="183"/>
      <c r="F245" s="167"/>
      <c r="G245" s="184"/>
      <c r="H245" s="167"/>
      <c r="I245" s="184"/>
      <c r="J24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5" s="183"/>
      <c r="L245" s="167"/>
      <c r="M245" s="184"/>
      <c r="N245" s="184"/>
      <c r="O245" s="184"/>
      <c r="P245" s="177" t="str">
        <f>IF(ProjectInput[[#This Row],[Existing Fixture Code]]=0, "",INDEX(Table7[WATT/ FIXT], MATCH(ProjectInput[[#This Row],[Existing Fixture Code]], Table7[FIXTURE CODE], 0)))</f>
        <v/>
      </c>
      <c r="Q245" s="183"/>
      <c r="R245" s="167"/>
      <c r="S245" s="184"/>
      <c r="T245" s="184"/>
      <c r="U245" s="184"/>
      <c r="V245" s="184"/>
      <c r="W245" s="167"/>
      <c r="X245" s="185"/>
      <c r="Y245" s="179" t="str">
        <f>IF(ProjectInput[[#This Row],[Proposed Fixture Code]]=0, "", INDEX(Table7[WATT/ FIXT], MATCH(ProjectInput[[#This Row],[Proposed Fixture Code]], Table7[FIXTURE CODE],0 )))</f>
        <v/>
      </c>
      <c r="Z245" s="180">
        <f>INDEX(ReviewCalcs[Incentive Total Energy Savings (kWh)], MATCH(ProjectInput[[#This Row],[Project Index]], ReviewCalcs[Project Index], 0))</f>
        <v>0</v>
      </c>
      <c r="AA245" s="172">
        <f>INDEX(ReviewCalcs[Incentive Total Demand Savings (kW)], MATCH(ProjectInput[[#This Row],[Project Index]], ReviewCalcs[Project Index], 0))</f>
        <v>0</v>
      </c>
      <c r="AB245" s="181">
        <f>ProjectInput[[#This Row],[Energy Savings (kWh)]]*Avg_KWh_Rate</f>
        <v>0</v>
      </c>
      <c r="AC245" s="173">
        <f>IF(C245="", 0, IF(C245="Cust.", INDEX(ReviewCalcs[Incentive ($)], MATCH(ProjectInput[[#This Row],[Project Index]], ReviewCalcs[Project Index], 0)), IF(AND(C245="Pres.", D245="1 to 6"), 3*Q245, IF(AND(C245="Pres.", D245="7 to 11"), 4*Q245, IF(AND(C245="Pres.", D245="12 to 17"), 5*Q245, IF(AND(C245="Pres.", D245="Exit Sign"), 20*Q245, IF(AND(C245="Pres.", D245="&gt; 18"), 6*Q245)))))))</f>
        <v>0</v>
      </c>
      <c r="AD245" s="181">
        <f>ProjectInput[[#This Row],[Retrofit Cost]]</f>
        <v>0</v>
      </c>
      <c r="AE245" s="181">
        <f>ProjectInput[[#This Row],[Retrofit Cost]]-ProjectInput[[#This Row],[Incentive ($)]]</f>
        <v>0</v>
      </c>
      <c r="AF245" s="182" t="str">
        <f>IFERROR(ProjectInput[[#This Row],[Net Project Cost ($)]]/ProjectInput[[#This Row],[Energy Cost Savings ($)]], "")</f>
        <v/>
      </c>
    </row>
    <row r="246" spans="2:32" s="175" customFormat="1" ht="40" customHeight="1">
      <c r="B246" s="213">
        <v>243</v>
      </c>
      <c r="C246" s="223"/>
      <c r="D246" s="224"/>
      <c r="E246" s="183"/>
      <c r="F246" s="167"/>
      <c r="G246" s="184"/>
      <c r="H246" s="167"/>
      <c r="I246" s="184"/>
      <c r="J24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6" s="183"/>
      <c r="L246" s="167"/>
      <c r="M246" s="184"/>
      <c r="N246" s="184"/>
      <c r="O246" s="184"/>
      <c r="P246" s="177" t="str">
        <f>IF(ProjectInput[[#This Row],[Existing Fixture Code]]=0, "",INDEX(Table7[WATT/ FIXT], MATCH(ProjectInput[[#This Row],[Existing Fixture Code]], Table7[FIXTURE CODE], 0)))</f>
        <v/>
      </c>
      <c r="Q246" s="183"/>
      <c r="R246" s="167"/>
      <c r="S246" s="184"/>
      <c r="T246" s="184"/>
      <c r="U246" s="184"/>
      <c r="V246" s="184"/>
      <c r="W246" s="167"/>
      <c r="X246" s="185"/>
      <c r="Y246" s="179" t="str">
        <f>IF(ProjectInput[[#This Row],[Proposed Fixture Code]]=0, "", INDEX(Table7[WATT/ FIXT], MATCH(ProjectInput[[#This Row],[Proposed Fixture Code]], Table7[FIXTURE CODE],0 )))</f>
        <v/>
      </c>
      <c r="Z246" s="180">
        <f>INDEX(ReviewCalcs[Incentive Total Energy Savings (kWh)], MATCH(ProjectInput[[#This Row],[Project Index]], ReviewCalcs[Project Index], 0))</f>
        <v>0</v>
      </c>
      <c r="AA246" s="172">
        <f>INDEX(ReviewCalcs[Incentive Total Demand Savings (kW)], MATCH(ProjectInput[[#This Row],[Project Index]], ReviewCalcs[Project Index], 0))</f>
        <v>0</v>
      </c>
      <c r="AB246" s="181">
        <f>ProjectInput[[#This Row],[Energy Savings (kWh)]]*Avg_KWh_Rate</f>
        <v>0</v>
      </c>
      <c r="AC246" s="173">
        <f>IF(C246="", 0, IF(C246="Cust.", INDEX(ReviewCalcs[Incentive ($)], MATCH(ProjectInput[[#This Row],[Project Index]], ReviewCalcs[Project Index], 0)), IF(AND(C246="Pres.", D246="1 to 6"), 3*Q246, IF(AND(C246="Pres.", D246="7 to 11"), 4*Q246, IF(AND(C246="Pres.", D246="12 to 17"), 5*Q246, IF(AND(C246="Pres.", D246="Exit Sign"), 20*Q246, IF(AND(C246="Pres.", D246="&gt; 18"), 6*Q246)))))))</f>
        <v>0</v>
      </c>
      <c r="AD246" s="181">
        <f>ProjectInput[[#This Row],[Retrofit Cost]]</f>
        <v>0</v>
      </c>
      <c r="AE246" s="181">
        <f>ProjectInput[[#This Row],[Retrofit Cost]]-ProjectInput[[#This Row],[Incentive ($)]]</f>
        <v>0</v>
      </c>
      <c r="AF246" s="182" t="str">
        <f>IFERROR(ProjectInput[[#This Row],[Net Project Cost ($)]]/ProjectInput[[#This Row],[Energy Cost Savings ($)]], "")</f>
        <v/>
      </c>
    </row>
    <row r="247" spans="2:32" s="175" customFormat="1" ht="40" customHeight="1">
      <c r="B247" s="213">
        <v>244</v>
      </c>
      <c r="C247" s="220"/>
      <c r="D247" s="219"/>
      <c r="E247" s="183"/>
      <c r="F247" s="167"/>
      <c r="G247" s="184"/>
      <c r="H247" s="167"/>
      <c r="I247" s="184"/>
      <c r="J24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7" s="183"/>
      <c r="L247" s="167"/>
      <c r="M247" s="184"/>
      <c r="N247" s="184"/>
      <c r="O247" s="184"/>
      <c r="P247" s="177" t="str">
        <f>IF(ProjectInput[[#This Row],[Existing Fixture Code]]=0, "",INDEX(Table7[WATT/ FIXT], MATCH(ProjectInput[[#This Row],[Existing Fixture Code]], Table7[FIXTURE CODE], 0)))</f>
        <v/>
      </c>
      <c r="Q247" s="183"/>
      <c r="R247" s="167"/>
      <c r="S247" s="184"/>
      <c r="T247" s="184"/>
      <c r="U247" s="184"/>
      <c r="V247" s="184"/>
      <c r="W247" s="167"/>
      <c r="X247" s="185"/>
      <c r="Y247" s="179" t="str">
        <f>IF(ProjectInput[[#This Row],[Proposed Fixture Code]]=0, "", INDEX(Table7[WATT/ FIXT], MATCH(ProjectInput[[#This Row],[Proposed Fixture Code]], Table7[FIXTURE CODE],0 )))</f>
        <v/>
      </c>
      <c r="Z247" s="180">
        <f>INDEX(ReviewCalcs[Incentive Total Energy Savings (kWh)], MATCH(ProjectInput[[#This Row],[Project Index]], ReviewCalcs[Project Index], 0))</f>
        <v>0</v>
      </c>
      <c r="AA247" s="172">
        <f>INDEX(ReviewCalcs[Incentive Total Demand Savings (kW)], MATCH(ProjectInput[[#This Row],[Project Index]], ReviewCalcs[Project Index], 0))</f>
        <v>0</v>
      </c>
      <c r="AB247" s="181">
        <f>ProjectInput[[#This Row],[Energy Savings (kWh)]]*Avg_KWh_Rate</f>
        <v>0</v>
      </c>
      <c r="AC247" s="173">
        <f>IF(C247="", 0, IF(C247="Cust.", INDEX(ReviewCalcs[Incentive ($)], MATCH(ProjectInput[[#This Row],[Project Index]], ReviewCalcs[Project Index], 0)), IF(AND(C247="Pres.", D247="1 to 6"), 3*Q247, IF(AND(C247="Pres.", D247="7 to 11"), 4*Q247, IF(AND(C247="Pres.", D247="12 to 17"), 5*Q247, IF(AND(C247="Pres.", D247="Exit Sign"), 20*Q247, IF(AND(C247="Pres.", D247="&gt; 18"), 6*Q247)))))))</f>
        <v>0</v>
      </c>
      <c r="AD247" s="181">
        <f>ProjectInput[[#This Row],[Retrofit Cost]]</f>
        <v>0</v>
      </c>
      <c r="AE247" s="181">
        <f>ProjectInput[[#This Row],[Retrofit Cost]]-ProjectInput[[#This Row],[Incentive ($)]]</f>
        <v>0</v>
      </c>
      <c r="AF247" s="182" t="str">
        <f>IFERROR(ProjectInput[[#This Row],[Net Project Cost ($)]]/ProjectInput[[#This Row],[Energy Cost Savings ($)]], "")</f>
        <v/>
      </c>
    </row>
    <row r="248" spans="2:32" s="175" customFormat="1" ht="40" customHeight="1">
      <c r="B248" s="213">
        <v>245</v>
      </c>
      <c r="C248" s="223"/>
      <c r="D248" s="224"/>
      <c r="E248" s="183"/>
      <c r="F248" s="167"/>
      <c r="G248" s="184"/>
      <c r="H248" s="167"/>
      <c r="I248" s="184"/>
      <c r="J24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8" s="183"/>
      <c r="L248" s="167"/>
      <c r="M248" s="184"/>
      <c r="N248" s="184"/>
      <c r="O248" s="184"/>
      <c r="P248" s="177" t="str">
        <f>IF(ProjectInput[[#This Row],[Existing Fixture Code]]=0, "",INDEX(Table7[WATT/ FIXT], MATCH(ProjectInput[[#This Row],[Existing Fixture Code]], Table7[FIXTURE CODE], 0)))</f>
        <v/>
      </c>
      <c r="Q248" s="183"/>
      <c r="R248" s="167"/>
      <c r="S248" s="184"/>
      <c r="T248" s="184"/>
      <c r="U248" s="184"/>
      <c r="V248" s="184"/>
      <c r="W248" s="167"/>
      <c r="X248" s="185"/>
      <c r="Y248" s="179" t="str">
        <f>IF(ProjectInput[[#This Row],[Proposed Fixture Code]]=0, "", INDEX(Table7[WATT/ FIXT], MATCH(ProjectInput[[#This Row],[Proposed Fixture Code]], Table7[FIXTURE CODE],0 )))</f>
        <v/>
      </c>
      <c r="Z248" s="180">
        <f>INDEX(ReviewCalcs[Incentive Total Energy Savings (kWh)], MATCH(ProjectInput[[#This Row],[Project Index]], ReviewCalcs[Project Index], 0))</f>
        <v>0</v>
      </c>
      <c r="AA248" s="172">
        <f>INDEX(ReviewCalcs[Incentive Total Demand Savings (kW)], MATCH(ProjectInput[[#This Row],[Project Index]], ReviewCalcs[Project Index], 0))</f>
        <v>0</v>
      </c>
      <c r="AB248" s="181">
        <f>ProjectInput[[#This Row],[Energy Savings (kWh)]]*Avg_KWh_Rate</f>
        <v>0</v>
      </c>
      <c r="AC248" s="173">
        <f>IF(C248="", 0, IF(C248="Cust.", INDEX(ReviewCalcs[Incentive ($)], MATCH(ProjectInput[[#This Row],[Project Index]], ReviewCalcs[Project Index], 0)), IF(AND(C248="Pres.", D248="1 to 6"), 3*Q248, IF(AND(C248="Pres.", D248="7 to 11"), 4*Q248, IF(AND(C248="Pres.", D248="12 to 17"), 5*Q248, IF(AND(C248="Pres.", D248="Exit Sign"), 20*Q248, IF(AND(C248="Pres.", D248="&gt; 18"), 6*Q248)))))))</f>
        <v>0</v>
      </c>
      <c r="AD248" s="181">
        <f>ProjectInput[[#This Row],[Retrofit Cost]]</f>
        <v>0</v>
      </c>
      <c r="AE248" s="181">
        <f>ProjectInput[[#This Row],[Retrofit Cost]]-ProjectInput[[#This Row],[Incentive ($)]]</f>
        <v>0</v>
      </c>
      <c r="AF248" s="182" t="str">
        <f>IFERROR(ProjectInput[[#This Row],[Net Project Cost ($)]]/ProjectInput[[#This Row],[Energy Cost Savings ($)]], "")</f>
        <v/>
      </c>
    </row>
    <row r="249" spans="2:32" s="175" customFormat="1" ht="40" customHeight="1">
      <c r="B249" s="213">
        <v>246</v>
      </c>
      <c r="C249" s="220"/>
      <c r="D249" s="219"/>
      <c r="E249" s="183"/>
      <c r="F249" s="167"/>
      <c r="G249" s="184"/>
      <c r="H249" s="167"/>
      <c r="I249" s="184"/>
      <c r="J24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49" s="183"/>
      <c r="L249" s="167"/>
      <c r="M249" s="184"/>
      <c r="N249" s="184"/>
      <c r="O249" s="184"/>
      <c r="P249" s="177" t="str">
        <f>IF(ProjectInput[[#This Row],[Existing Fixture Code]]=0, "",INDEX(Table7[WATT/ FIXT], MATCH(ProjectInput[[#This Row],[Existing Fixture Code]], Table7[FIXTURE CODE], 0)))</f>
        <v/>
      </c>
      <c r="Q249" s="183"/>
      <c r="R249" s="167"/>
      <c r="S249" s="184"/>
      <c r="T249" s="184"/>
      <c r="U249" s="184"/>
      <c r="V249" s="184"/>
      <c r="W249" s="167"/>
      <c r="X249" s="185"/>
      <c r="Y249" s="179" t="str">
        <f>IF(ProjectInput[[#This Row],[Proposed Fixture Code]]=0, "", INDEX(Table7[WATT/ FIXT], MATCH(ProjectInput[[#This Row],[Proposed Fixture Code]], Table7[FIXTURE CODE],0 )))</f>
        <v/>
      </c>
      <c r="Z249" s="180">
        <f>INDEX(ReviewCalcs[Incentive Total Energy Savings (kWh)], MATCH(ProjectInput[[#This Row],[Project Index]], ReviewCalcs[Project Index], 0))</f>
        <v>0</v>
      </c>
      <c r="AA249" s="172">
        <f>INDEX(ReviewCalcs[Incentive Total Demand Savings (kW)], MATCH(ProjectInput[[#This Row],[Project Index]], ReviewCalcs[Project Index], 0))</f>
        <v>0</v>
      </c>
      <c r="AB249" s="181">
        <f>ProjectInput[[#This Row],[Energy Savings (kWh)]]*Avg_KWh_Rate</f>
        <v>0</v>
      </c>
      <c r="AC249" s="173">
        <f>IF(C249="", 0, IF(C249="Cust.", INDEX(ReviewCalcs[Incentive ($)], MATCH(ProjectInput[[#This Row],[Project Index]], ReviewCalcs[Project Index], 0)), IF(AND(C249="Pres.", D249="1 to 6"), 3*Q249, IF(AND(C249="Pres.", D249="7 to 11"), 4*Q249, IF(AND(C249="Pres.", D249="12 to 17"), 5*Q249, IF(AND(C249="Pres.", D249="Exit Sign"), 20*Q249, IF(AND(C249="Pres.", D249="&gt; 18"), 6*Q249)))))))</f>
        <v>0</v>
      </c>
      <c r="AD249" s="181">
        <f>ProjectInput[[#This Row],[Retrofit Cost]]</f>
        <v>0</v>
      </c>
      <c r="AE249" s="181">
        <f>ProjectInput[[#This Row],[Retrofit Cost]]-ProjectInput[[#This Row],[Incentive ($)]]</f>
        <v>0</v>
      </c>
      <c r="AF249" s="182" t="str">
        <f>IFERROR(ProjectInput[[#This Row],[Net Project Cost ($)]]/ProjectInput[[#This Row],[Energy Cost Savings ($)]], "")</f>
        <v/>
      </c>
    </row>
    <row r="250" spans="2:32" s="175" customFormat="1" ht="40" customHeight="1">
      <c r="B250" s="213">
        <v>247</v>
      </c>
      <c r="C250" s="223"/>
      <c r="D250" s="224"/>
      <c r="E250" s="183"/>
      <c r="F250" s="167"/>
      <c r="G250" s="184"/>
      <c r="H250" s="167"/>
      <c r="I250" s="184"/>
      <c r="J25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0" s="183"/>
      <c r="L250" s="167"/>
      <c r="M250" s="184"/>
      <c r="N250" s="184"/>
      <c r="O250" s="184"/>
      <c r="P250" s="177" t="str">
        <f>IF(ProjectInput[[#This Row],[Existing Fixture Code]]=0, "",INDEX(Table7[WATT/ FIXT], MATCH(ProjectInput[[#This Row],[Existing Fixture Code]], Table7[FIXTURE CODE], 0)))</f>
        <v/>
      </c>
      <c r="Q250" s="183"/>
      <c r="R250" s="167"/>
      <c r="S250" s="184"/>
      <c r="T250" s="184"/>
      <c r="U250" s="184"/>
      <c r="V250" s="184"/>
      <c r="W250" s="167"/>
      <c r="X250" s="185"/>
      <c r="Y250" s="179" t="str">
        <f>IF(ProjectInput[[#This Row],[Proposed Fixture Code]]=0, "", INDEX(Table7[WATT/ FIXT], MATCH(ProjectInput[[#This Row],[Proposed Fixture Code]], Table7[FIXTURE CODE],0 )))</f>
        <v/>
      </c>
      <c r="Z250" s="180">
        <f>INDEX(ReviewCalcs[Incentive Total Energy Savings (kWh)], MATCH(ProjectInput[[#This Row],[Project Index]], ReviewCalcs[Project Index], 0))</f>
        <v>0</v>
      </c>
      <c r="AA250" s="172">
        <f>INDEX(ReviewCalcs[Incentive Total Demand Savings (kW)], MATCH(ProjectInput[[#This Row],[Project Index]], ReviewCalcs[Project Index], 0))</f>
        <v>0</v>
      </c>
      <c r="AB250" s="181">
        <f>ProjectInput[[#This Row],[Energy Savings (kWh)]]*Avg_KWh_Rate</f>
        <v>0</v>
      </c>
      <c r="AC250" s="173">
        <f>IF(C250="", 0, IF(C250="Cust.", INDEX(ReviewCalcs[Incentive ($)], MATCH(ProjectInput[[#This Row],[Project Index]], ReviewCalcs[Project Index], 0)), IF(AND(C250="Pres.", D250="1 to 6"), 3*Q250, IF(AND(C250="Pres.", D250="7 to 11"), 4*Q250, IF(AND(C250="Pres.", D250="12 to 17"), 5*Q250, IF(AND(C250="Pres.", D250="Exit Sign"), 20*Q250, IF(AND(C250="Pres.", D250="&gt; 18"), 6*Q250)))))))</f>
        <v>0</v>
      </c>
      <c r="AD250" s="181">
        <f>ProjectInput[[#This Row],[Retrofit Cost]]</f>
        <v>0</v>
      </c>
      <c r="AE250" s="181">
        <f>ProjectInput[[#This Row],[Retrofit Cost]]-ProjectInput[[#This Row],[Incentive ($)]]</f>
        <v>0</v>
      </c>
      <c r="AF250" s="182" t="str">
        <f>IFERROR(ProjectInput[[#This Row],[Net Project Cost ($)]]/ProjectInput[[#This Row],[Energy Cost Savings ($)]], "")</f>
        <v/>
      </c>
    </row>
    <row r="251" spans="2:32" s="175" customFormat="1" ht="40" customHeight="1">
      <c r="B251" s="213">
        <v>248</v>
      </c>
      <c r="C251" s="220"/>
      <c r="D251" s="219"/>
      <c r="E251" s="183"/>
      <c r="F251" s="167"/>
      <c r="G251" s="184"/>
      <c r="H251" s="167"/>
      <c r="I251" s="184"/>
      <c r="J25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1" s="183"/>
      <c r="L251" s="167"/>
      <c r="M251" s="184"/>
      <c r="N251" s="184"/>
      <c r="O251" s="184"/>
      <c r="P251" s="177" t="str">
        <f>IF(ProjectInput[[#This Row],[Existing Fixture Code]]=0, "",INDEX(Table7[WATT/ FIXT], MATCH(ProjectInput[[#This Row],[Existing Fixture Code]], Table7[FIXTURE CODE], 0)))</f>
        <v/>
      </c>
      <c r="Q251" s="183"/>
      <c r="R251" s="167"/>
      <c r="S251" s="184"/>
      <c r="T251" s="184"/>
      <c r="U251" s="184"/>
      <c r="V251" s="184"/>
      <c r="W251" s="167"/>
      <c r="X251" s="185"/>
      <c r="Y251" s="179" t="str">
        <f>IF(ProjectInput[[#This Row],[Proposed Fixture Code]]=0, "", INDEX(Table7[WATT/ FIXT], MATCH(ProjectInput[[#This Row],[Proposed Fixture Code]], Table7[FIXTURE CODE],0 )))</f>
        <v/>
      </c>
      <c r="Z251" s="180">
        <f>INDEX(ReviewCalcs[Incentive Total Energy Savings (kWh)], MATCH(ProjectInput[[#This Row],[Project Index]], ReviewCalcs[Project Index], 0))</f>
        <v>0</v>
      </c>
      <c r="AA251" s="172">
        <f>INDEX(ReviewCalcs[Incentive Total Demand Savings (kW)], MATCH(ProjectInput[[#This Row],[Project Index]], ReviewCalcs[Project Index], 0))</f>
        <v>0</v>
      </c>
      <c r="AB251" s="181">
        <f>ProjectInput[[#This Row],[Energy Savings (kWh)]]*Avg_KWh_Rate</f>
        <v>0</v>
      </c>
      <c r="AC251" s="173">
        <f>IF(C251="", 0, IF(C251="Cust.", INDEX(ReviewCalcs[Incentive ($)], MATCH(ProjectInput[[#This Row],[Project Index]], ReviewCalcs[Project Index], 0)), IF(AND(C251="Pres.", D251="1 to 6"), 3*Q251, IF(AND(C251="Pres.", D251="7 to 11"), 4*Q251, IF(AND(C251="Pres.", D251="12 to 17"), 5*Q251, IF(AND(C251="Pres.", D251="Exit Sign"), 20*Q251, IF(AND(C251="Pres.", D251="&gt; 18"), 6*Q251)))))))</f>
        <v>0</v>
      </c>
      <c r="AD251" s="181">
        <f>ProjectInput[[#This Row],[Retrofit Cost]]</f>
        <v>0</v>
      </c>
      <c r="AE251" s="181">
        <f>ProjectInput[[#This Row],[Retrofit Cost]]-ProjectInput[[#This Row],[Incentive ($)]]</f>
        <v>0</v>
      </c>
      <c r="AF251" s="182" t="str">
        <f>IFERROR(ProjectInput[[#This Row],[Net Project Cost ($)]]/ProjectInput[[#This Row],[Energy Cost Savings ($)]], "")</f>
        <v/>
      </c>
    </row>
    <row r="252" spans="2:32" s="175" customFormat="1" ht="40" customHeight="1">
      <c r="B252" s="213">
        <v>249</v>
      </c>
      <c r="C252" s="223"/>
      <c r="D252" s="224"/>
      <c r="E252" s="183"/>
      <c r="F252" s="167"/>
      <c r="G252" s="184"/>
      <c r="H252" s="167"/>
      <c r="I252" s="184"/>
      <c r="J25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2" s="183"/>
      <c r="L252" s="167"/>
      <c r="M252" s="184"/>
      <c r="N252" s="184"/>
      <c r="O252" s="184"/>
      <c r="P252" s="177" t="str">
        <f>IF(ProjectInput[[#This Row],[Existing Fixture Code]]=0, "",INDEX(Table7[WATT/ FIXT], MATCH(ProjectInput[[#This Row],[Existing Fixture Code]], Table7[FIXTURE CODE], 0)))</f>
        <v/>
      </c>
      <c r="Q252" s="183"/>
      <c r="R252" s="167"/>
      <c r="S252" s="184"/>
      <c r="T252" s="184"/>
      <c r="U252" s="184"/>
      <c r="V252" s="184"/>
      <c r="W252" s="167"/>
      <c r="X252" s="185"/>
      <c r="Y252" s="179" t="str">
        <f>IF(ProjectInput[[#This Row],[Proposed Fixture Code]]=0, "", INDEX(Table7[WATT/ FIXT], MATCH(ProjectInput[[#This Row],[Proposed Fixture Code]], Table7[FIXTURE CODE],0 )))</f>
        <v/>
      </c>
      <c r="Z252" s="180">
        <f>INDEX(ReviewCalcs[Incentive Total Energy Savings (kWh)], MATCH(ProjectInput[[#This Row],[Project Index]], ReviewCalcs[Project Index], 0))</f>
        <v>0</v>
      </c>
      <c r="AA252" s="172">
        <f>INDEX(ReviewCalcs[Incentive Total Demand Savings (kW)], MATCH(ProjectInput[[#This Row],[Project Index]], ReviewCalcs[Project Index], 0))</f>
        <v>0</v>
      </c>
      <c r="AB252" s="181">
        <f>ProjectInput[[#This Row],[Energy Savings (kWh)]]*Avg_KWh_Rate</f>
        <v>0</v>
      </c>
      <c r="AC252" s="173">
        <f>IF(C252="", 0, IF(C252="Cust.", INDEX(ReviewCalcs[Incentive ($)], MATCH(ProjectInput[[#This Row],[Project Index]], ReviewCalcs[Project Index], 0)), IF(AND(C252="Pres.", D252="1 to 6"), 3*Q252, IF(AND(C252="Pres.", D252="7 to 11"), 4*Q252, IF(AND(C252="Pres.", D252="12 to 17"), 5*Q252, IF(AND(C252="Pres.", D252="Exit Sign"), 20*Q252, IF(AND(C252="Pres.", D252="&gt; 18"), 6*Q252)))))))</f>
        <v>0</v>
      </c>
      <c r="AD252" s="181">
        <f>ProjectInput[[#This Row],[Retrofit Cost]]</f>
        <v>0</v>
      </c>
      <c r="AE252" s="181">
        <f>ProjectInput[[#This Row],[Retrofit Cost]]-ProjectInput[[#This Row],[Incentive ($)]]</f>
        <v>0</v>
      </c>
      <c r="AF252" s="182" t="str">
        <f>IFERROR(ProjectInput[[#This Row],[Net Project Cost ($)]]/ProjectInput[[#This Row],[Energy Cost Savings ($)]], "")</f>
        <v/>
      </c>
    </row>
    <row r="253" spans="2:32" s="175" customFormat="1" ht="40" customHeight="1">
      <c r="B253" s="213">
        <v>250</v>
      </c>
      <c r="C253" s="220"/>
      <c r="D253" s="219"/>
      <c r="E253" s="183"/>
      <c r="F253" s="167"/>
      <c r="G253" s="184"/>
      <c r="H253" s="167"/>
      <c r="I253" s="184"/>
      <c r="J25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3" s="183"/>
      <c r="L253" s="167"/>
      <c r="M253" s="184"/>
      <c r="N253" s="184"/>
      <c r="O253" s="184"/>
      <c r="P253" s="177" t="str">
        <f>IF(ProjectInput[[#This Row],[Existing Fixture Code]]=0, "",INDEX(Table7[WATT/ FIXT], MATCH(ProjectInput[[#This Row],[Existing Fixture Code]], Table7[FIXTURE CODE], 0)))</f>
        <v/>
      </c>
      <c r="Q253" s="183"/>
      <c r="R253" s="167"/>
      <c r="S253" s="184"/>
      <c r="T253" s="184"/>
      <c r="U253" s="184"/>
      <c r="V253" s="184"/>
      <c r="W253" s="167"/>
      <c r="X253" s="185"/>
      <c r="Y253" s="179" t="str">
        <f>IF(ProjectInput[[#This Row],[Proposed Fixture Code]]=0, "", INDEX(Table7[WATT/ FIXT], MATCH(ProjectInput[[#This Row],[Proposed Fixture Code]], Table7[FIXTURE CODE],0 )))</f>
        <v/>
      </c>
      <c r="Z253" s="180">
        <f>INDEX(ReviewCalcs[Incentive Total Energy Savings (kWh)], MATCH(ProjectInput[[#This Row],[Project Index]], ReviewCalcs[Project Index], 0))</f>
        <v>0</v>
      </c>
      <c r="AA253" s="172">
        <f>INDEX(ReviewCalcs[Incentive Total Demand Savings (kW)], MATCH(ProjectInput[[#This Row],[Project Index]], ReviewCalcs[Project Index], 0))</f>
        <v>0</v>
      </c>
      <c r="AB253" s="181">
        <f>ProjectInput[[#This Row],[Energy Savings (kWh)]]*Avg_KWh_Rate</f>
        <v>0</v>
      </c>
      <c r="AC253" s="173">
        <f>IF(C253="", 0, IF(C253="Cust.", INDEX(ReviewCalcs[Incentive ($)], MATCH(ProjectInput[[#This Row],[Project Index]], ReviewCalcs[Project Index], 0)), IF(AND(C253="Pres.", D253="1 to 6"), 3*Q253, IF(AND(C253="Pres.", D253="7 to 11"), 4*Q253, IF(AND(C253="Pres.", D253="12 to 17"), 5*Q253, IF(AND(C253="Pres.", D253="Exit Sign"), 20*Q253, IF(AND(C253="Pres.", D253="&gt; 18"), 6*Q253)))))))</f>
        <v>0</v>
      </c>
      <c r="AD253" s="181">
        <f>ProjectInput[[#This Row],[Retrofit Cost]]</f>
        <v>0</v>
      </c>
      <c r="AE253" s="181">
        <f>ProjectInput[[#This Row],[Retrofit Cost]]-ProjectInput[[#This Row],[Incentive ($)]]</f>
        <v>0</v>
      </c>
      <c r="AF253" s="182" t="str">
        <f>IFERROR(ProjectInput[[#This Row],[Net Project Cost ($)]]/ProjectInput[[#This Row],[Energy Cost Savings ($)]], "")</f>
        <v/>
      </c>
    </row>
    <row r="254" spans="2:32" s="175" customFormat="1" ht="40" customHeight="1">
      <c r="B254" s="213">
        <v>251</v>
      </c>
      <c r="C254" s="223"/>
      <c r="D254" s="224"/>
      <c r="E254" s="183"/>
      <c r="F254" s="167"/>
      <c r="G254" s="184"/>
      <c r="H254" s="167"/>
      <c r="I254" s="184"/>
      <c r="J25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4" s="183"/>
      <c r="L254" s="167"/>
      <c r="M254" s="184"/>
      <c r="N254" s="184"/>
      <c r="O254" s="184"/>
      <c r="P254" s="177" t="str">
        <f>IF(ProjectInput[[#This Row],[Existing Fixture Code]]=0, "",INDEX(Table7[WATT/ FIXT], MATCH(ProjectInput[[#This Row],[Existing Fixture Code]], Table7[FIXTURE CODE], 0)))</f>
        <v/>
      </c>
      <c r="Q254" s="183"/>
      <c r="R254" s="167"/>
      <c r="S254" s="184"/>
      <c r="T254" s="184"/>
      <c r="U254" s="184"/>
      <c r="V254" s="184"/>
      <c r="W254" s="167"/>
      <c r="X254" s="185"/>
      <c r="Y254" s="179" t="str">
        <f>IF(ProjectInput[[#This Row],[Proposed Fixture Code]]=0, "", INDEX(Table7[WATT/ FIXT], MATCH(ProjectInput[[#This Row],[Proposed Fixture Code]], Table7[FIXTURE CODE],0 )))</f>
        <v/>
      </c>
      <c r="Z254" s="180">
        <f>INDEX(ReviewCalcs[Incentive Total Energy Savings (kWh)], MATCH(ProjectInput[[#This Row],[Project Index]], ReviewCalcs[Project Index], 0))</f>
        <v>0</v>
      </c>
      <c r="AA254" s="172">
        <f>INDEX(ReviewCalcs[Incentive Total Demand Savings (kW)], MATCH(ProjectInput[[#This Row],[Project Index]], ReviewCalcs[Project Index], 0))</f>
        <v>0</v>
      </c>
      <c r="AB254" s="181">
        <f>ProjectInput[[#This Row],[Energy Savings (kWh)]]*Avg_KWh_Rate</f>
        <v>0</v>
      </c>
      <c r="AC254" s="173">
        <f>IF(C254="", 0, IF(C254="Cust.", INDEX(ReviewCalcs[Incentive ($)], MATCH(ProjectInput[[#This Row],[Project Index]], ReviewCalcs[Project Index], 0)), IF(AND(C254="Pres.", D254="1 to 6"), 3*Q254, IF(AND(C254="Pres.", D254="7 to 11"), 4*Q254, IF(AND(C254="Pres.", D254="12 to 17"), 5*Q254, IF(AND(C254="Pres.", D254="Exit Sign"), 20*Q254, IF(AND(C254="Pres.", D254="&gt; 18"), 6*Q254)))))))</f>
        <v>0</v>
      </c>
      <c r="AD254" s="181">
        <f>ProjectInput[[#This Row],[Retrofit Cost]]</f>
        <v>0</v>
      </c>
      <c r="AE254" s="181">
        <f>ProjectInput[[#This Row],[Retrofit Cost]]-ProjectInput[[#This Row],[Incentive ($)]]</f>
        <v>0</v>
      </c>
      <c r="AF254" s="182" t="str">
        <f>IFERROR(ProjectInput[[#This Row],[Net Project Cost ($)]]/ProjectInput[[#This Row],[Energy Cost Savings ($)]], "")</f>
        <v/>
      </c>
    </row>
    <row r="255" spans="2:32" s="175" customFormat="1" ht="40" customHeight="1">
      <c r="B255" s="213">
        <v>252</v>
      </c>
      <c r="C255" s="220"/>
      <c r="D255" s="219"/>
      <c r="E255" s="183"/>
      <c r="F255" s="167"/>
      <c r="G255" s="184"/>
      <c r="H255" s="167"/>
      <c r="I255" s="184"/>
      <c r="J25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5" s="183"/>
      <c r="L255" s="167"/>
      <c r="M255" s="184"/>
      <c r="N255" s="184"/>
      <c r="O255" s="184"/>
      <c r="P255" s="177" t="str">
        <f>IF(ProjectInput[[#This Row],[Existing Fixture Code]]=0, "",INDEX(Table7[WATT/ FIXT], MATCH(ProjectInput[[#This Row],[Existing Fixture Code]], Table7[FIXTURE CODE], 0)))</f>
        <v/>
      </c>
      <c r="Q255" s="183"/>
      <c r="R255" s="167"/>
      <c r="S255" s="184"/>
      <c r="T255" s="184"/>
      <c r="U255" s="184"/>
      <c r="V255" s="184"/>
      <c r="W255" s="167"/>
      <c r="X255" s="185"/>
      <c r="Y255" s="179" t="str">
        <f>IF(ProjectInput[[#This Row],[Proposed Fixture Code]]=0, "", INDEX(Table7[WATT/ FIXT], MATCH(ProjectInput[[#This Row],[Proposed Fixture Code]], Table7[FIXTURE CODE],0 )))</f>
        <v/>
      </c>
      <c r="Z255" s="180">
        <f>INDEX(ReviewCalcs[Incentive Total Energy Savings (kWh)], MATCH(ProjectInput[[#This Row],[Project Index]], ReviewCalcs[Project Index], 0))</f>
        <v>0</v>
      </c>
      <c r="AA255" s="172">
        <f>INDEX(ReviewCalcs[Incentive Total Demand Savings (kW)], MATCH(ProjectInput[[#This Row],[Project Index]], ReviewCalcs[Project Index], 0))</f>
        <v>0</v>
      </c>
      <c r="AB255" s="181">
        <f>ProjectInput[[#This Row],[Energy Savings (kWh)]]*Avg_KWh_Rate</f>
        <v>0</v>
      </c>
      <c r="AC255" s="173">
        <f>IF(C255="", 0, IF(C255="Cust.", INDEX(ReviewCalcs[Incentive ($)], MATCH(ProjectInput[[#This Row],[Project Index]], ReviewCalcs[Project Index], 0)), IF(AND(C255="Pres.", D255="1 to 6"), 3*Q255, IF(AND(C255="Pres.", D255="7 to 11"), 4*Q255, IF(AND(C255="Pres.", D255="12 to 17"), 5*Q255, IF(AND(C255="Pres.", D255="Exit Sign"), 20*Q255, IF(AND(C255="Pres.", D255="&gt; 18"), 6*Q255)))))))</f>
        <v>0</v>
      </c>
      <c r="AD255" s="181">
        <f>ProjectInput[[#This Row],[Retrofit Cost]]</f>
        <v>0</v>
      </c>
      <c r="AE255" s="181">
        <f>ProjectInput[[#This Row],[Retrofit Cost]]-ProjectInput[[#This Row],[Incentive ($)]]</f>
        <v>0</v>
      </c>
      <c r="AF255" s="182" t="str">
        <f>IFERROR(ProjectInput[[#This Row],[Net Project Cost ($)]]/ProjectInput[[#This Row],[Energy Cost Savings ($)]], "")</f>
        <v/>
      </c>
    </row>
    <row r="256" spans="2:32" s="175" customFormat="1" ht="40" customHeight="1">
      <c r="B256" s="213">
        <v>253</v>
      </c>
      <c r="C256" s="223"/>
      <c r="D256" s="224"/>
      <c r="E256" s="183"/>
      <c r="F256" s="167"/>
      <c r="G256" s="184"/>
      <c r="H256" s="167"/>
      <c r="I256" s="184"/>
      <c r="J25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6" s="183"/>
      <c r="L256" s="167"/>
      <c r="M256" s="184"/>
      <c r="N256" s="184"/>
      <c r="O256" s="184"/>
      <c r="P256" s="177" t="str">
        <f>IF(ProjectInput[[#This Row],[Existing Fixture Code]]=0, "",INDEX(Table7[WATT/ FIXT], MATCH(ProjectInput[[#This Row],[Existing Fixture Code]], Table7[FIXTURE CODE], 0)))</f>
        <v/>
      </c>
      <c r="Q256" s="183"/>
      <c r="R256" s="167"/>
      <c r="S256" s="184"/>
      <c r="T256" s="184"/>
      <c r="U256" s="184"/>
      <c r="V256" s="184"/>
      <c r="W256" s="167"/>
      <c r="X256" s="185"/>
      <c r="Y256" s="179" t="str">
        <f>IF(ProjectInput[[#This Row],[Proposed Fixture Code]]=0, "", INDEX(Table7[WATT/ FIXT], MATCH(ProjectInput[[#This Row],[Proposed Fixture Code]], Table7[FIXTURE CODE],0 )))</f>
        <v/>
      </c>
      <c r="Z256" s="180">
        <f>INDEX(ReviewCalcs[Incentive Total Energy Savings (kWh)], MATCH(ProjectInput[[#This Row],[Project Index]], ReviewCalcs[Project Index], 0))</f>
        <v>0</v>
      </c>
      <c r="AA256" s="172">
        <f>INDEX(ReviewCalcs[Incentive Total Demand Savings (kW)], MATCH(ProjectInput[[#This Row],[Project Index]], ReviewCalcs[Project Index], 0))</f>
        <v>0</v>
      </c>
      <c r="AB256" s="181">
        <f>ProjectInput[[#This Row],[Energy Savings (kWh)]]*Avg_KWh_Rate</f>
        <v>0</v>
      </c>
      <c r="AC256" s="173">
        <f>IF(C256="", 0, IF(C256="Cust.", INDEX(ReviewCalcs[Incentive ($)], MATCH(ProjectInput[[#This Row],[Project Index]], ReviewCalcs[Project Index], 0)), IF(AND(C256="Pres.", D256="1 to 6"), 3*Q256, IF(AND(C256="Pres.", D256="7 to 11"), 4*Q256, IF(AND(C256="Pres.", D256="12 to 17"), 5*Q256, IF(AND(C256="Pres.", D256="Exit Sign"), 20*Q256, IF(AND(C256="Pres.", D256="&gt; 18"), 6*Q256)))))))</f>
        <v>0</v>
      </c>
      <c r="AD256" s="181">
        <f>ProjectInput[[#This Row],[Retrofit Cost]]</f>
        <v>0</v>
      </c>
      <c r="AE256" s="181">
        <f>ProjectInput[[#This Row],[Retrofit Cost]]-ProjectInput[[#This Row],[Incentive ($)]]</f>
        <v>0</v>
      </c>
      <c r="AF256" s="182" t="str">
        <f>IFERROR(ProjectInput[[#This Row],[Net Project Cost ($)]]/ProjectInput[[#This Row],[Energy Cost Savings ($)]], "")</f>
        <v/>
      </c>
    </row>
    <row r="257" spans="2:32" s="175" customFormat="1" ht="40" customHeight="1">
      <c r="B257" s="213">
        <v>254</v>
      </c>
      <c r="C257" s="220"/>
      <c r="D257" s="219"/>
      <c r="E257" s="183"/>
      <c r="F257" s="167"/>
      <c r="G257" s="184"/>
      <c r="H257" s="167"/>
      <c r="I257" s="184"/>
      <c r="J25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7" s="183"/>
      <c r="L257" s="167"/>
      <c r="M257" s="184"/>
      <c r="N257" s="184"/>
      <c r="O257" s="184"/>
      <c r="P257" s="177" t="str">
        <f>IF(ProjectInput[[#This Row],[Existing Fixture Code]]=0, "",INDEX(Table7[WATT/ FIXT], MATCH(ProjectInput[[#This Row],[Existing Fixture Code]], Table7[FIXTURE CODE], 0)))</f>
        <v/>
      </c>
      <c r="Q257" s="183"/>
      <c r="R257" s="167"/>
      <c r="S257" s="184"/>
      <c r="T257" s="184"/>
      <c r="U257" s="184"/>
      <c r="V257" s="184"/>
      <c r="W257" s="167"/>
      <c r="X257" s="185"/>
      <c r="Y257" s="179" t="str">
        <f>IF(ProjectInput[[#This Row],[Proposed Fixture Code]]=0, "", INDEX(Table7[WATT/ FIXT], MATCH(ProjectInput[[#This Row],[Proposed Fixture Code]], Table7[FIXTURE CODE],0 )))</f>
        <v/>
      </c>
      <c r="Z257" s="180">
        <f>INDEX(ReviewCalcs[Incentive Total Energy Savings (kWh)], MATCH(ProjectInput[[#This Row],[Project Index]], ReviewCalcs[Project Index], 0))</f>
        <v>0</v>
      </c>
      <c r="AA257" s="172">
        <f>INDEX(ReviewCalcs[Incentive Total Demand Savings (kW)], MATCH(ProjectInput[[#This Row],[Project Index]], ReviewCalcs[Project Index], 0))</f>
        <v>0</v>
      </c>
      <c r="AB257" s="181">
        <f>ProjectInput[[#This Row],[Energy Savings (kWh)]]*Avg_KWh_Rate</f>
        <v>0</v>
      </c>
      <c r="AC257" s="173">
        <f>IF(C257="", 0, IF(C257="Cust.", INDEX(ReviewCalcs[Incentive ($)], MATCH(ProjectInput[[#This Row],[Project Index]], ReviewCalcs[Project Index], 0)), IF(AND(C257="Pres.", D257="1 to 6"), 3*Q257, IF(AND(C257="Pres.", D257="7 to 11"), 4*Q257, IF(AND(C257="Pres.", D257="12 to 17"), 5*Q257, IF(AND(C257="Pres.", D257="Exit Sign"), 20*Q257, IF(AND(C257="Pres.", D257="&gt; 18"), 6*Q257)))))))</f>
        <v>0</v>
      </c>
      <c r="AD257" s="181">
        <f>ProjectInput[[#This Row],[Retrofit Cost]]</f>
        <v>0</v>
      </c>
      <c r="AE257" s="181">
        <f>ProjectInput[[#This Row],[Retrofit Cost]]-ProjectInput[[#This Row],[Incentive ($)]]</f>
        <v>0</v>
      </c>
      <c r="AF257" s="182" t="str">
        <f>IFERROR(ProjectInput[[#This Row],[Net Project Cost ($)]]/ProjectInput[[#This Row],[Energy Cost Savings ($)]], "")</f>
        <v/>
      </c>
    </row>
    <row r="258" spans="2:32" s="175" customFormat="1" ht="40" customHeight="1">
      <c r="B258" s="213">
        <v>255</v>
      </c>
      <c r="C258" s="223"/>
      <c r="D258" s="224"/>
      <c r="E258" s="183"/>
      <c r="F258" s="167"/>
      <c r="G258" s="184"/>
      <c r="H258" s="167"/>
      <c r="I258" s="184"/>
      <c r="J25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8" s="183"/>
      <c r="L258" s="167"/>
      <c r="M258" s="184"/>
      <c r="N258" s="184"/>
      <c r="O258" s="184"/>
      <c r="P258" s="177" t="str">
        <f>IF(ProjectInput[[#This Row],[Existing Fixture Code]]=0, "",INDEX(Table7[WATT/ FIXT], MATCH(ProjectInput[[#This Row],[Existing Fixture Code]], Table7[FIXTURE CODE], 0)))</f>
        <v/>
      </c>
      <c r="Q258" s="183"/>
      <c r="R258" s="167"/>
      <c r="S258" s="184"/>
      <c r="T258" s="184"/>
      <c r="U258" s="184"/>
      <c r="V258" s="184"/>
      <c r="W258" s="167"/>
      <c r="X258" s="185"/>
      <c r="Y258" s="179" t="str">
        <f>IF(ProjectInput[[#This Row],[Proposed Fixture Code]]=0, "", INDEX(Table7[WATT/ FIXT], MATCH(ProjectInput[[#This Row],[Proposed Fixture Code]], Table7[FIXTURE CODE],0 )))</f>
        <v/>
      </c>
      <c r="Z258" s="180">
        <f>INDEX(ReviewCalcs[Incentive Total Energy Savings (kWh)], MATCH(ProjectInput[[#This Row],[Project Index]], ReviewCalcs[Project Index], 0))</f>
        <v>0</v>
      </c>
      <c r="AA258" s="172">
        <f>INDEX(ReviewCalcs[Incentive Total Demand Savings (kW)], MATCH(ProjectInput[[#This Row],[Project Index]], ReviewCalcs[Project Index], 0))</f>
        <v>0</v>
      </c>
      <c r="AB258" s="181">
        <f>ProjectInput[[#This Row],[Energy Savings (kWh)]]*Avg_KWh_Rate</f>
        <v>0</v>
      </c>
      <c r="AC258" s="173">
        <f>IF(C258="", 0, IF(C258="Cust.", INDEX(ReviewCalcs[Incentive ($)], MATCH(ProjectInput[[#This Row],[Project Index]], ReviewCalcs[Project Index], 0)), IF(AND(C258="Pres.", D258="1 to 6"), 3*Q258, IF(AND(C258="Pres.", D258="7 to 11"), 4*Q258, IF(AND(C258="Pres.", D258="12 to 17"), 5*Q258, IF(AND(C258="Pres.", D258="Exit Sign"), 20*Q258, IF(AND(C258="Pres.", D258="&gt; 18"), 6*Q258)))))))</f>
        <v>0</v>
      </c>
      <c r="AD258" s="181">
        <f>ProjectInput[[#This Row],[Retrofit Cost]]</f>
        <v>0</v>
      </c>
      <c r="AE258" s="181">
        <f>ProjectInput[[#This Row],[Retrofit Cost]]-ProjectInput[[#This Row],[Incentive ($)]]</f>
        <v>0</v>
      </c>
      <c r="AF258" s="182" t="str">
        <f>IFERROR(ProjectInput[[#This Row],[Net Project Cost ($)]]/ProjectInput[[#This Row],[Energy Cost Savings ($)]], "")</f>
        <v/>
      </c>
    </row>
    <row r="259" spans="2:32" s="175" customFormat="1" ht="40" customHeight="1">
      <c r="B259" s="213">
        <v>256</v>
      </c>
      <c r="C259" s="220"/>
      <c r="D259" s="219"/>
      <c r="E259" s="183"/>
      <c r="F259" s="167"/>
      <c r="G259" s="184"/>
      <c r="H259" s="167"/>
      <c r="I259" s="184"/>
      <c r="J25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59" s="183"/>
      <c r="L259" s="167"/>
      <c r="M259" s="184"/>
      <c r="N259" s="184"/>
      <c r="O259" s="184"/>
      <c r="P259" s="177" t="str">
        <f>IF(ProjectInput[[#This Row],[Existing Fixture Code]]=0, "",INDEX(Table7[WATT/ FIXT], MATCH(ProjectInput[[#This Row],[Existing Fixture Code]], Table7[FIXTURE CODE], 0)))</f>
        <v/>
      </c>
      <c r="Q259" s="183"/>
      <c r="R259" s="167"/>
      <c r="S259" s="184"/>
      <c r="T259" s="184"/>
      <c r="U259" s="184"/>
      <c r="V259" s="184"/>
      <c r="W259" s="167"/>
      <c r="X259" s="185"/>
      <c r="Y259" s="179" t="str">
        <f>IF(ProjectInput[[#This Row],[Proposed Fixture Code]]=0, "", INDEX(Table7[WATT/ FIXT], MATCH(ProjectInput[[#This Row],[Proposed Fixture Code]], Table7[FIXTURE CODE],0 )))</f>
        <v/>
      </c>
      <c r="Z259" s="180">
        <f>INDEX(ReviewCalcs[Incentive Total Energy Savings (kWh)], MATCH(ProjectInput[[#This Row],[Project Index]], ReviewCalcs[Project Index], 0))</f>
        <v>0</v>
      </c>
      <c r="AA259" s="172">
        <f>INDEX(ReviewCalcs[Incentive Total Demand Savings (kW)], MATCH(ProjectInput[[#This Row],[Project Index]], ReviewCalcs[Project Index], 0))</f>
        <v>0</v>
      </c>
      <c r="AB259" s="181">
        <f>ProjectInput[[#This Row],[Energy Savings (kWh)]]*Avg_KWh_Rate</f>
        <v>0</v>
      </c>
      <c r="AC259" s="173">
        <f>IF(C259="", 0, IF(C259="Cust.", INDEX(ReviewCalcs[Incentive ($)], MATCH(ProjectInput[[#This Row],[Project Index]], ReviewCalcs[Project Index], 0)), IF(AND(C259="Pres.", D259="1 to 6"), 3*Q259, IF(AND(C259="Pres.", D259="7 to 11"), 4*Q259, IF(AND(C259="Pres.", D259="12 to 17"), 5*Q259, IF(AND(C259="Pres.", D259="Exit Sign"), 20*Q259, IF(AND(C259="Pres.", D259="&gt; 18"), 6*Q259)))))))</f>
        <v>0</v>
      </c>
      <c r="AD259" s="181">
        <f>ProjectInput[[#This Row],[Retrofit Cost]]</f>
        <v>0</v>
      </c>
      <c r="AE259" s="181">
        <f>ProjectInput[[#This Row],[Retrofit Cost]]-ProjectInput[[#This Row],[Incentive ($)]]</f>
        <v>0</v>
      </c>
      <c r="AF259" s="182" t="str">
        <f>IFERROR(ProjectInput[[#This Row],[Net Project Cost ($)]]/ProjectInput[[#This Row],[Energy Cost Savings ($)]], "")</f>
        <v/>
      </c>
    </row>
    <row r="260" spans="2:32" s="175" customFormat="1" ht="40" customHeight="1">
      <c r="B260" s="213">
        <v>257</v>
      </c>
      <c r="C260" s="223"/>
      <c r="D260" s="224"/>
      <c r="E260" s="183"/>
      <c r="F260" s="167"/>
      <c r="G260" s="184"/>
      <c r="H260" s="167"/>
      <c r="I260" s="184"/>
      <c r="J26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0" s="183"/>
      <c r="L260" s="167"/>
      <c r="M260" s="184"/>
      <c r="N260" s="184"/>
      <c r="O260" s="184"/>
      <c r="P260" s="177" t="str">
        <f>IF(ProjectInput[[#This Row],[Existing Fixture Code]]=0, "",INDEX(Table7[WATT/ FIXT], MATCH(ProjectInput[[#This Row],[Existing Fixture Code]], Table7[FIXTURE CODE], 0)))</f>
        <v/>
      </c>
      <c r="Q260" s="183"/>
      <c r="R260" s="167"/>
      <c r="S260" s="184"/>
      <c r="T260" s="184"/>
      <c r="U260" s="184"/>
      <c r="V260" s="184"/>
      <c r="W260" s="167"/>
      <c r="X260" s="185"/>
      <c r="Y260" s="179" t="str">
        <f>IF(ProjectInput[[#This Row],[Proposed Fixture Code]]=0, "", INDEX(Table7[WATT/ FIXT], MATCH(ProjectInput[[#This Row],[Proposed Fixture Code]], Table7[FIXTURE CODE],0 )))</f>
        <v/>
      </c>
      <c r="Z260" s="180">
        <f>INDEX(ReviewCalcs[Incentive Total Energy Savings (kWh)], MATCH(ProjectInput[[#This Row],[Project Index]], ReviewCalcs[Project Index], 0))</f>
        <v>0</v>
      </c>
      <c r="AA260" s="172">
        <f>INDEX(ReviewCalcs[Incentive Total Demand Savings (kW)], MATCH(ProjectInput[[#This Row],[Project Index]], ReviewCalcs[Project Index], 0))</f>
        <v>0</v>
      </c>
      <c r="AB260" s="181">
        <f>ProjectInput[[#This Row],[Energy Savings (kWh)]]*Avg_KWh_Rate</f>
        <v>0</v>
      </c>
      <c r="AC260" s="173">
        <f>IF(C260="", 0, IF(C260="Cust.", INDEX(ReviewCalcs[Incentive ($)], MATCH(ProjectInput[[#This Row],[Project Index]], ReviewCalcs[Project Index], 0)), IF(AND(C260="Pres.", D260="1 to 6"), 3*Q260, IF(AND(C260="Pres.", D260="7 to 11"), 4*Q260, IF(AND(C260="Pres.", D260="12 to 17"), 5*Q260, IF(AND(C260="Pres.", D260="Exit Sign"), 20*Q260, IF(AND(C260="Pres.", D260="&gt; 18"), 6*Q260)))))))</f>
        <v>0</v>
      </c>
      <c r="AD260" s="181">
        <f>ProjectInput[[#This Row],[Retrofit Cost]]</f>
        <v>0</v>
      </c>
      <c r="AE260" s="181">
        <f>ProjectInput[[#This Row],[Retrofit Cost]]-ProjectInput[[#This Row],[Incentive ($)]]</f>
        <v>0</v>
      </c>
      <c r="AF260" s="182" t="str">
        <f>IFERROR(ProjectInput[[#This Row],[Net Project Cost ($)]]/ProjectInput[[#This Row],[Energy Cost Savings ($)]], "")</f>
        <v/>
      </c>
    </row>
    <row r="261" spans="2:32" s="175" customFormat="1" ht="40" customHeight="1">
      <c r="B261" s="213">
        <v>258</v>
      </c>
      <c r="C261" s="220"/>
      <c r="D261" s="219"/>
      <c r="E261" s="183"/>
      <c r="F261" s="167"/>
      <c r="G261" s="184"/>
      <c r="H261" s="167"/>
      <c r="I261" s="184"/>
      <c r="J26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1" s="183"/>
      <c r="L261" s="167"/>
      <c r="M261" s="184"/>
      <c r="N261" s="184"/>
      <c r="O261" s="184"/>
      <c r="P261" s="177" t="str">
        <f>IF(ProjectInput[[#This Row],[Existing Fixture Code]]=0, "",INDEX(Table7[WATT/ FIXT], MATCH(ProjectInput[[#This Row],[Existing Fixture Code]], Table7[FIXTURE CODE], 0)))</f>
        <v/>
      </c>
      <c r="Q261" s="183"/>
      <c r="R261" s="167"/>
      <c r="S261" s="184"/>
      <c r="T261" s="184"/>
      <c r="U261" s="184"/>
      <c r="V261" s="184"/>
      <c r="W261" s="167"/>
      <c r="X261" s="185"/>
      <c r="Y261" s="179" t="str">
        <f>IF(ProjectInput[[#This Row],[Proposed Fixture Code]]=0, "", INDEX(Table7[WATT/ FIXT], MATCH(ProjectInput[[#This Row],[Proposed Fixture Code]], Table7[FIXTURE CODE],0 )))</f>
        <v/>
      </c>
      <c r="Z261" s="180">
        <f>INDEX(ReviewCalcs[Incentive Total Energy Savings (kWh)], MATCH(ProjectInput[[#This Row],[Project Index]], ReviewCalcs[Project Index], 0))</f>
        <v>0</v>
      </c>
      <c r="AA261" s="172">
        <f>INDEX(ReviewCalcs[Incentive Total Demand Savings (kW)], MATCH(ProjectInput[[#This Row],[Project Index]], ReviewCalcs[Project Index], 0))</f>
        <v>0</v>
      </c>
      <c r="AB261" s="181">
        <f>ProjectInput[[#This Row],[Energy Savings (kWh)]]*Avg_KWh_Rate</f>
        <v>0</v>
      </c>
      <c r="AC261" s="173">
        <f>IF(C261="", 0, IF(C261="Cust.", INDEX(ReviewCalcs[Incentive ($)], MATCH(ProjectInput[[#This Row],[Project Index]], ReviewCalcs[Project Index], 0)), IF(AND(C261="Pres.", D261="1 to 6"), 3*Q261, IF(AND(C261="Pres.", D261="7 to 11"), 4*Q261, IF(AND(C261="Pres.", D261="12 to 17"), 5*Q261, IF(AND(C261="Pres.", D261="Exit Sign"), 20*Q261, IF(AND(C261="Pres.", D261="&gt; 18"), 6*Q261)))))))</f>
        <v>0</v>
      </c>
      <c r="AD261" s="181">
        <f>ProjectInput[[#This Row],[Retrofit Cost]]</f>
        <v>0</v>
      </c>
      <c r="AE261" s="181">
        <f>ProjectInput[[#This Row],[Retrofit Cost]]-ProjectInput[[#This Row],[Incentive ($)]]</f>
        <v>0</v>
      </c>
      <c r="AF261" s="182" t="str">
        <f>IFERROR(ProjectInput[[#This Row],[Net Project Cost ($)]]/ProjectInput[[#This Row],[Energy Cost Savings ($)]], "")</f>
        <v/>
      </c>
    </row>
    <row r="262" spans="2:32" s="175" customFormat="1" ht="40" customHeight="1">
      <c r="B262" s="213">
        <v>259</v>
      </c>
      <c r="C262" s="223"/>
      <c r="D262" s="224"/>
      <c r="E262" s="183"/>
      <c r="F262" s="167"/>
      <c r="G262" s="184"/>
      <c r="H262" s="167"/>
      <c r="I262" s="184"/>
      <c r="J26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2" s="183"/>
      <c r="L262" s="167"/>
      <c r="M262" s="184"/>
      <c r="N262" s="184"/>
      <c r="O262" s="184"/>
      <c r="P262" s="177" t="str">
        <f>IF(ProjectInput[[#This Row],[Existing Fixture Code]]=0, "",INDEX(Table7[WATT/ FIXT], MATCH(ProjectInput[[#This Row],[Existing Fixture Code]], Table7[FIXTURE CODE], 0)))</f>
        <v/>
      </c>
      <c r="Q262" s="183"/>
      <c r="R262" s="167"/>
      <c r="S262" s="184"/>
      <c r="T262" s="184"/>
      <c r="U262" s="184"/>
      <c r="V262" s="184"/>
      <c r="W262" s="167"/>
      <c r="X262" s="185"/>
      <c r="Y262" s="179" t="str">
        <f>IF(ProjectInput[[#This Row],[Proposed Fixture Code]]=0, "", INDEX(Table7[WATT/ FIXT], MATCH(ProjectInput[[#This Row],[Proposed Fixture Code]], Table7[FIXTURE CODE],0 )))</f>
        <v/>
      </c>
      <c r="Z262" s="180">
        <f>INDEX(ReviewCalcs[Incentive Total Energy Savings (kWh)], MATCH(ProjectInput[[#This Row],[Project Index]], ReviewCalcs[Project Index], 0))</f>
        <v>0</v>
      </c>
      <c r="AA262" s="172">
        <f>INDEX(ReviewCalcs[Incentive Total Demand Savings (kW)], MATCH(ProjectInput[[#This Row],[Project Index]], ReviewCalcs[Project Index], 0))</f>
        <v>0</v>
      </c>
      <c r="AB262" s="181">
        <f>ProjectInput[[#This Row],[Energy Savings (kWh)]]*Avg_KWh_Rate</f>
        <v>0</v>
      </c>
      <c r="AC262" s="173">
        <f>IF(C262="", 0, IF(C262="Cust.", INDEX(ReviewCalcs[Incentive ($)], MATCH(ProjectInput[[#This Row],[Project Index]], ReviewCalcs[Project Index], 0)), IF(AND(C262="Pres.", D262="1 to 6"), 3*Q262, IF(AND(C262="Pres.", D262="7 to 11"), 4*Q262, IF(AND(C262="Pres.", D262="12 to 17"), 5*Q262, IF(AND(C262="Pres.", D262="Exit Sign"), 20*Q262, IF(AND(C262="Pres.", D262="&gt; 18"), 6*Q262)))))))</f>
        <v>0</v>
      </c>
      <c r="AD262" s="181">
        <f>ProjectInput[[#This Row],[Retrofit Cost]]</f>
        <v>0</v>
      </c>
      <c r="AE262" s="181">
        <f>ProjectInput[[#This Row],[Retrofit Cost]]-ProjectInput[[#This Row],[Incentive ($)]]</f>
        <v>0</v>
      </c>
      <c r="AF262" s="182" t="str">
        <f>IFERROR(ProjectInput[[#This Row],[Net Project Cost ($)]]/ProjectInput[[#This Row],[Energy Cost Savings ($)]], "")</f>
        <v/>
      </c>
    </row>
    <row r="263" spans="2:32" s="175" customFormat="1" ht="40" customHeight="1">
      <c r="B263" s="213">
        <v>260</v>
      </c>
      <c r="C263" s="220"/>
      <c r="D263" s="219"/>
      <c r="E263" s="183"/>
      <c r="F263" s="167"/>
      <c r="G263" s="184"/>
      <c r="H263" s="167"/>
      <c r="I263" s="184"/>
      <c r="J26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3" s="183"/>
      <c r="L263" s="167"/>
      <c r="M263" s="184"/>
      <c r="N263" s="184"/>
      <c r="O263" s="184"/>
      <c r="P263" s="177" t="str">
        <f>IF(ProjectInput[[#This Row],[Existing Fixture Code]]=0, "",INDEX(Table7[WATT/ FIXT], MATCH(ProjectInput[[#This Row],[Existing Fixture Code]], Table7[FIXTURE CODE], 0)))</f>
        <v/>
      </c>
      <c r="Q263" s="183"/>
      <c r="R263" s="167"/>
      <c r="S263" s="184"/>
      <c r="T263" s="184"/>
      <c r="U263" s="184"/>
      <c r="V263" s="184"/>
      <c r="W263" s="167"/>
      <c r="X263" s="185"/>
      <c r="Y263" s="179" t="str">
        <f>IF(ProjectInput[[#This Row],[Proposed Fixture Code]]=0, "", INDEX(Table7[WATT/ FIXT], MATCH(ProjectInput[[#This Row],[Proposed Fixture Code]], Table7[FIXTURE CODE],0 )))</f>
        <v/>
      </c>
      <c r="Z263" s="180">
        <f>INDEX(ReviewCalcs[Incentive Total Energy Savings (kWh)], MATCH(ProjectInput[[#This Row],[Project Index]], ReviewCalcs[Project Index], 0))</f>
        <v>0</v>
      </c>
      <c r="AA263" s="172">
        <f>INDEX(ReviewCalcs[Incentive Total Demand Savings (kW)], MATCH(ProjectInput[[#This Row],[Project Index]], ReviewCalcs[Project Index], 0))</f>
        <v>0</v>
      </c>
      <c r="AB263" s="181">
        <f>ProjectInput[[#This Row],[Energy Savings (kWh)]]*Avg_KWh_Rate</f>
        <v>0</v>
      </c>
      <c r="AC263" s="173">
        <f>IF(C263="", 0, IF(C263="Cust.", INDEX(ReviewCalcs[Incentive ($)], MATCH(ProjectInput[[#This Row],[Project Index]], ReviewCalcs[Project Index], 0)), IF(AND(C263="Pres.", D263="1 to 6"), 3*Q263, IF(AND(C263="Pres.", D263="7 to 11"), 4*Q263, IF(AND(C263="Pres.", D263="12 to 17"), 5*Q263, IF(AND(C263="Pres.", D263="Exit Sign"), 20*Q263, IF(AND(C263="Pres.", D263="&gt; 18"), 6*Q263)))))))</f>
        <v>0</v>
      </c>
      <c r="AD263" s="181">
        <f>ProjectInput[[#This Row],[Retrofit Cost]]</f>
        <v>0</v>
      </c>
      <c r="AE263" s="181">
        <f>ProjectInput[[#This Row],[Retrofit Cost]]-ProjectInput[[#This Row],[Incentive ($)]]</f>
        <v>0</v>
      </c>
      <c r="AF263" s="182" t="str">
        <f>IFERROR(ProjectInput[[#This Row],[Net Project Cost ($)]]/ProjectInput[[#This Row],[Energy Cost Savings ($)]], "")</f>
        <v/>
      </c>
    </row>
    <row r="264" spans="2:32" s="175" customFormat="1" ht="40" customHeight="1">
      <c r="B264" s="213">
        <v>261</v>
      </c>
      <c r="C264" s="223"/>
      <c r="D264" s="224"/>
      <c r="E264" s="183"/>
      <c r="F264" s="167"/>
      <c r="G264" s="184"/>
      <c r="H264" s="167"/>
      <c r="I264" s="184"/>
      <c r="J26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4" s="183"/>
      <c r="L264" s="167"/>
      <c r="M264" s="184"/>
      <c r="N264" s="184"/>
      <c r="O264" s="184"/>
      <c r="P264" s="177" t="str">
        <f>IF(ProjectInput[[#This Row],[Existing Fixture Code]]=0, "",INDEX(Table7[WATT/ FIXT], MATCH(ProjectInput[[#This Row],[Existing Fixture Code]], Table7[FIXTURE CODE], 0)))</f>
        <v/>
      </c>
      <c r="Q264" s="183"/>
      <c r="R264" s="167"/>
      <c r="S264" s="184"/>
      <c r="T264" s="184"/>
      <c r="U264" s="184"/>
      <c r="V264" s="184"/>
      <c r="W264" s="167"/>
      <c r="X264" s="185"/>
      <c r="Y264" s="179" t="str">
        <f>IF(ProjectInput[[#This Row],[Proposed Fixture Code]]=0, "", INDEX(Table7[WATT/ FIXT], MATCH(ProjectInput[[#This Row],[Proposed Fixture Code]], Table7[FIXTURE CODE],0 )))</f>
        <v/>
      </c>
      <c r="Z264" s="180">
        <f>INDEX(ReviewCalcs[Incentive Total Energy Savings (kWh)], MATCH(ProjectInput[[#This Row],[Project Index]], ReviewCalcs[Project Index], 0))</f>
        <v>0</v>
      </c>
      <c r="AA264" s="172">
        <f>INDEX(ReviewCalcs[Incentive Total Demand Savings (kW)], MATCH(ProjectInput[[#This Row],[Project Index]], ReviewCalcs[Project Index], 0))</f>
        <v>0</v>
      </c>
      <c r="AB264" s="181">
        <f>ProjectInput[[#This Row],[Energy Savings (kWh)]]*Avg_KWh_Rate</f>
        <v>0</v>
      </c>
      <c r="AC264" s="173">
        <f>IF(C264="", 0, IF(C264="Cust.", INDEX(ReviewCalcs[Incentive ($)], MATCH(ProjectInput[[#This Row],[Project Index]], ReviewCalcs[Project Index], 0)), IF(AND(C264="Pres.", D264="1 to 6"), 3*Q264, IF(AND(C264="Pres.", D264="7 to 11"), 4*Q264, IF(AND(C264="Pres.", D264="12 to 17"), 5*Q264, IF(AND(C264="Pres.", D264="Exit Sign"), 20*Q264, IF(AND(C264="Pres.", D264="&gt; 18"), 6*Q264)))))))</f>
        <v>0</v>
      </c>
      <c r="AD264" s="181">
        <f>ProjectInput[[#This Row],[Retrofit Cost]]</f>
        <v>0</v>
      </c>
      <c r="AE264" s="181">
        <f>ProjectInput[[#This Row],[Retrofit Cost]]-ProjectInput[[#This Row],[Incentive ($)]]</f>
        <v>0</v>
      </c>
      <c r="AF264" s="182" t="str">
        <f>IFERROR(ProjectInput[[#This Row],[Net Project Cost ($)]]/ProjectInput[[#This Row],[Energy Cost Savings ($)]], "")</f>
        <v/>
      </c>
    </row>
    <row r="265" spans="2:32" s="175" customFormat="1" ht="40" customHeight="1">
      <c r="B265" s="213">
        <v>262</v>
      </c>
      <c r="C265" s="220"/>
      <c r="D265" s="219"/>
      <c r="E265" s="183"/>
      <c r="F265" s="167"/>
      <c r="G265" s="184"/>
      <c r="H265" s="167"/>
      <c r="I265" s="184"/>
      <c r="J26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5" s="183"/>
      <c r="L265" s="167"/>
      <c r="M265" s="184"/>
      <c r="N265" s="184"/>
      <c r="O265" s="184"/>
      <c r="P265" s="177" t="str">
        <f>IF(ProjectInput[[#This Row],[Existing Fixture Code]]=0, "",INDEX(Table7[WATT/ FIXT], MATCH(ProjectInput[[#This Row],[Existing Fixture Code]], Table7[FIXTURE CODE], 0)))</f>
        <v/>
      </c>
      <c r="Q265" s="183"/>
      <c r="R265" s="167"/>
      <c r="S265" s="184"/>
      <c r="T265" s="184"/>
      <c r="U265" s="184"/>
      <c r="V265" s="184"/>
      <c r="W265" s="167"/>
      <c r="X265" s="185"/>
      <c r="Y265" s="179" t="str">
        <f>IF(ProjectInput[[#This Row],[Proposed Fixture Code]]=0, "", INDEX(Table7[WATT/ FIXT], MATCH(ProjectInput[[#This Row],[Proposed Fixture Code]], Table7[FIXTURE CODE],0 )))</f>
        <v/>
      </c>
      <c r="Z265" s="180">
        <f>INDEX(ReviewCalcs[Incentive Total Energy Savings (kWh)], MATCH(ProjectInput[[#This Row],[Project Index]], ReviewCalcs[Project Index], 0))</f>
        <v>0</v>
      </c>
      <c r="AA265" s="172">
        <f>INDEX(ReviewCalcs[Incentive Total Demand Savings (kW)], MATCH(ProjectInput[[#This Row],[Project Index]], ReviewCalcs[Project Index], 0))</f>
        <v>0</v>
      </c>
      <c r="AB265" s="181">
        <f>ProjectInput[[#This Row],[Energy Savings (kWh)]]*Avg_KWh_Rate</f>
        <v>0</v>
      </c>
      <c r="AC265" s="173">
        <f>IF(C265="", 0, IF(C265="Cust.", INDEX(ReviewCalcs[Incentive ($)], MATCH(ProjectInput[[#This Row],[Project Index]], ReviewCalcs[Project Index], 0)), IF(AND(C265="Pres.", D265="1 to 6"), 3*Q265, IF(AND(C265="Pres.", D265="7 to 11"), 4*Q265, IF(AND(C265="Pres.", D265="12 to 17"), 5*Q265, IF(AND(C265="Pres.", D265="Exit Sign"), 20*Q265, IF(AND(C265="Pres.", D265="&gt; 18"), 6*Q265)))))))</f>
        <v>0</v>
      </c>
      <c r="AD265" s="181">
        <f>ProjectInput[[#This Row],[Retrofit Cost]]</f>
        <v>0</v>
      </c>
      <c r="AE265" s="181">
        <f>ProjectInput[[#This Row],[Retrofit Cost]]-ProjectInput[[#This Row],[Incentive ($)]]</f>
        <v>0</v>
      </c>
      <c r="AF265" s="182" t="str">
        <f>IFERROR(ProjectInput[[#This Row],[Net Project Cost ($)]]/ProjectInput[[#This Row],[Energy Cost Savings ($)]], "")</f>
        <v/>
      </c>
    </row>
    <row r="266" spans="2:32" s="175" customFormat="1" ht="40" customHeight="1">
      <c r="B266" s="213">
        <v>263</v>
      </c>
      <c r="C266" s="223"/>
      <c r="D266" s="224"/>
      <c r="E266" s="183"/>
      <c r="F266" s="167"/>
      <c r="G266" s="184"/>
      <c r="H266" s="167"/>
      <c r="I266" s="184"/>
      <c r="J26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6" s="183"/>
      <c r="L266" s="167"/>
      <c r="M266" s="184"/>
      <c r="N266" s="184"/>
      <c r="O266" s="184"/>
      <c r="P266" s="177" t="str">
        <f>IF(ProjectInput[[#This Row],[Existing Fixture Code]]=0, "",INDEX(Table7[WATT/ FIXT], MATCH(ProjectInput[[#This Row],[Existing Fixture Code]], Table7[FIXTURE CODE], 0)))</f>
        <v/>
      </c>
      <c r="Q266" s="183"/>
      <c r="R266" s="167"/>
      <c r="S266" s="184"/>
      <c r="T266" s="184"/>
      <c r="U266" s="184"/>
      <c r="V266" s="184"/>
      <c r="W266" s="167"/>
      <c r="X266" s="185"/>
      <c r="Y266" s="179" t="str">
        <f>IF(ProjectInput[[#This Row],[Proposed Fixture Code]]=0, "", INDEX(Table7[WATT/ FIXT], MATCH(ProjectInput[[#This Row],[Proposed Fixture Code]], Table7[FIXTURE CODE],0 )))</f>
        <v/>
      </c>
      <c r="Z266" s="180">
        <f>INDEX(ReviewCalcs[Incentive Total Energy Savings (kWh)], MATCH(ProjectInput[[#This Row],[Project Index]], ReviewCalcs[Project Index], 0))</f>
        <v>0</v>
      </c>
      <c r="AA266" s="172">
        <f>INDEX(ReviewCalcs[Incentive Total Demand Savings (kW)], MATCH(ProjectInput[[#This Row],[Project Index]], ReviewCalcs[Project Index], 0))</f>
        <v>0</v>
      </c>
      <c r="AB266" s="181">
        <f>ProjectInput[[#This Row],[Energy Savings (kWh)]]*Avg_KWh_Rate</f>
        <v>0</v>
      </c>
      <c r="AC266" s="173">
        <f>IF(C266="", 0, IF(C266="Cust.", INDEX(ReviewCalcs[Incentive ($)], MATCH(ProjectInput[[#This Row],[Project Index]], ReviewCalcs[Project Index], 0)), IF(AND(C266="Pres.", D266="1 to 6"), 3*Q266, IF(AND(C266="Pres.", D266="7 to 11"), 4*Q266, IF(AND(C266="Pres.", D266="12 to 17"), 5*Q266, IF(AND(C266="Pres.", D266="Exit Sign"), 20*Q266, IF(AND(C266="Pres.", D266="&gt; 18"), 6*Q266)))))))</f>
        <v>0</v>
      </c>
      <c r="AD266" s="181">
        <f>ProjectInput[[#This Row],[Retrofit Cost]]</f>
        <v>0</v>
      </c>
      <c r="AE266" s="181">
        <f>ProjectInput[[#This Row],[Retrofit Cost]]-ProjectInput[[#This Row],[Incentive ($)]]</f>
        <v>0</v>
      </c>
      <c r="AF266" s="182" t="str">
        <f>IFERROR(ProjectInput[[#This Row],[Net Project Cost ($)]]/ProjectInput[[#This Row],[Energy Cost Savings ($)]], "")</f>
        <v/>
      </c>
    </row>
    <row r="267" spans="2:32" s="175" customFormat="1" ht="40" customHeight="1">
      <c r="B267" s="213">
        <v>264</v>
      </c>
      <c r="C267" s="220"/>
      <c r="D267" s="219"/>
      <c r="E267" s="183"/>
      <c r="F267" s="167"/>
      <c r="G267" s="184"/>
      <c r="H267" s="167"/>
      <c r="I267" s="184"/>
      <c r="J26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7" s="183"/>
      <c r="L267" s="167"/>
      <c r="M267" s="184"/>
      <c r="N267" s="184"/>
      <c r="O267" s="184"/>
      <c r="P267" s="177" t="str">
        <f>IF(ProjectInput[[#This Row],[Existing Fixture Code]]=0, "",INDEX(Table7[WATT/ FIXT], MATCH(ProjectInput[[#This Row],[Existing Fixture Code]], Table7[FIXTURE CODE], 0)))</f>
        <v/>
      </c>
      <c r="Q267" s="183"/>
      <c r="R267" s="167"/>
      <c r="S267" s="184"/>
      <c r="T267" s="184"/>
      <c r="U267" s="184"/>
      <c r="V267" s="184"/>
      <c r="W267" s="167"/>
      <c r="X267" s="185"/>
      <c r="Y267" s="179" t="str">
        <f>IF(ProjectInput[[#This Row],[Proposed Fixture Code]]=0, "", INDEX(Table7[WATT/ FIXT], MATCH(ProjectInput[[#This Row],[Proposed Fixture Code]], Table7[FIXTURE CODE],0 )))</f>
        <v/>
      </c>
      <c r="Z267" s="180">
        <f>INDEX(ReviewCalcs[Incentive Total Energy Savings (kWh)], MATCH(ProjectInput[[#This Row],[Project Index]], ReviewCalcs[Project Index], 0))</f>
        <v>0</v>
      </c>
      <c r="AA267" s="172">
        <f>INDEX(ReviewCalcs[Incentive Total Demand Savings (kW)], MATCH(ProjectInput[[#This Row],[Project Index]], ReviewCalcs[Project Index], 0))</f>
        <v>0</v>
      </c>
      <c r="AB267" s="181">
        <f>ProjectInput[[#This Row],[Energy Savings (kWh)]]*Avg_KWh_Rate</f>
        <v>0</v>
      </c>
      <c r="AC267" s="173">
        <f>IF(C267="", 0, IF(C267="Cust.", INDEX(ReviewCalcs[Incentive ($)], MATCH(ProjectInput[[#This Row],[Project Index]], ReviewCalcs[Project Index], 0)), IF(AND(C267="Pres.", D267="1 to 6"), 3*Q267, IF(AND(C267="Pres.", D267="7 to 11"), 4*Q267, IF(AND(C267="Pres.", D267="12 to 17"), 5*Q267, IF(AND(C267="Pres.", D267="Exit Sign"), 20*Q267, IF(AND(C267="Pres.", D267="&gt; 18"), 6*Q267)))))))</f>
        <v>0</v>
      </c>
      <c r="AD267" s="181">
        <f>ProjectInput[[#This Row],[Retrofit Cost]]</f>
        <v>0</v>
      </c>
      <c r="AE267" s="181">
        <f>ProjectInput[[#This Row],[Retrofit Cost]]-ProjectInput[[#This Row],[Incentive ($)]]</f>
        <v>0</v>
      </c>
      <c r="AF267" s="182" t="str">
        <f>IFERROR(ProjectInput[[#This Row],[Net Project Cost ($)]]/ProjectInput[[#This Row],[Energy Cost Savings ($)]], "")</f>
        <v/>
      </c>
    </row>
    <row r="268" spans="2:32" s="175" customFormat="1" ht="40" customHeight="1">
      <c r="B268" s="213">
        <v>265</v>
      </c>
      <c r="C268" s="223"/>
      <c r="D268" s="224"/>
      <c r="E268" s="183"/>
      <c r="F268" s="167"/>
      <c r="G268" s="184"/>
      <c r="H268" s="167"/>
      <c r="I268" s="184"/>
      <c r="J26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8" s="183"/>
      <c r="L268" s="167"/>
      <c r="M268" s="184"/>
      <c r="N268" s="184"/>
      <c r="O268" s="184"/>
      <c r="P268" s="177" t="str">
        <f>IF(ProjectInput[[#This Row],[Existing Fixture Code]]=0, "",INDEX(Table7[WATT/ FIXT], MATCH(ProjectInput[[#This Row],[Existing Fixture Code]], Table7[FIXTURE CODE], 0)))</f>
        <v/>
      </c>
      <c r="Q268" s="183"/>
      <c r="R268" s="167"/>
      <c r="S268" s="184"/>
      <c r="T268" s="184"/>
      <c r="U268" s="184"/>
      <c r="V268" s="184"/>
      <c r="W268" s="167"/>
      <c r="X268" s="185"/>
      <c r="Y268" s="179" t="str">
        <f>IF(ProjectInput[[#This Row],[Proposed Fixture Code]]=0, "", INDEX(Table7[WATT/ FIXT], MATCH(ProjectInput[[#This Row],[Proposed Fixture Code]], Table7[FIXTURE CODE],0 )))</f>
        <v/>
      </c>
      <c r="Z268" s="180">
        <f>INDEX(ReviewCalcs[Incentive Total Energy Savings (kWh)], MATCH(ProjectInput[[#This Row],[Project Index]], ReviewCalcs[Project Index], 0))</f>
        <v>0</v>
      </c>
      <c r="AA268" s="172">
        <f>INDEX(ReviewCalcs[Incentive Total Demand Savings (kW)], MATCH(ProjectInput[[#This Row],[Project Index]], ReviewCalcs[Project Index], 0))</f>
        <v>0</v>
      </c>
      <c r="AB268" s="181">
        <f>ProjectInput[[#This Row],[Energy Savings (kWh)]]*Avg_KWh_Rate</f>
        <v>0</v>
      </c>
      <c r="AC268" s="173">
        <f>IF(C268="", 0, IF(C268="Cust.", INDEX(ReviewCalcs[Incentive ($)], MATCH(ProjectInput[[#This Row],[Project Index]], ReviewCalcs[Project Index], 0)), IF(AND(C268="Pres.", D268="1 to 6"), 3*Q268, IF(AND(C268="Pres.", D268="7 to 11"), 4*Q268, IF(AND(C268="Pres.", D268="12 to 17"), 5*Q268, IF(AND(C268="Pres.", D268="Exit Sign"), 20*Q268, IF(AND(C268="Pres.", D268="&gt; 18"), 6*Q268)))))))</f>
        <v>0</v>
      </c>
      <c r="AD268" s="181">
        <f>ProjectInput[[#This Row],[Retrofit Cost]]</f>
        <v>0</v>
      </c>
      <c r="AE268" s="181">
        <f>ProjectInput[[#This Row],[Retrofit Cost]]-ProjectInput[[#This Row],[Incentive ($)]]</f>
        <v>0</v>
      </c>
      <c r="AF268" s="182" t="str">
        <f>IFERROR(ProjectInput[[#This Row],[Net Project Cost ($)]]/ProjectInput[[#This Row],[Energy Cost Savings ($)]], "")</f>
        <v/>
      </c>
    </row>
    <row r="269" spans="2:32" s="175" customFormat="1" ht="40" customHeight="1">
      <c r="B269" s="213">
        <v>266</v>
      </c>
      <c r="C269" s="220"/>
      <c r="D269" s="219"/>
      <c r="E269" s="183"/>
      <c r="F269" s="167"/>
      <c r="G269" s="184"/>
      <c r="H269" s="167"/>
      <c r="I269" s="184"/>
      <c r="J26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69" s="183"/>
      <c r="L269" s="167"/>
      <c r="M269" s="184"/>
      <c r="N269" s="184"/>
      <c r="O269" s="184"/>
      <c r="P269" s="177" t="str">
        <f>IF(ProjectInput[[#This Row],[Existing Fixture Code]]=0, "",INDEX(Table7[WATT/ FIXT], MATCH(ProjectInput[[#This Row],[Existing Fixture Code]], Table7[FIXTURE CODE], 0)))</f>
        <v/>
      </c>
      <c r="Q269" s="183"/>
      <c r="R269" s="167"/>
      <c r="S269" s="184"/>
      <c r="T269" s="184"/>
      <c r="U269" s="184"/>
      <c r="V269" s="184"/>
      <c r="W269" s="167"/>
      <c r="X269" s="185"/>
      <c r="Y269" s="179" t="str">
        <f>IF(ProjectInput[[#This Row],[Proposed Fixture Code]]=0, "", INDEX(Table7[WATT/ FIXT], MATCH(ProjectInput[[#This Row],[Proposed Fixture Code]], Table7[FIXTURE CODE],0 )))</f>
        <v/>
      </c>
      <c r="Z269" s="180">
        <f>INDEX(ReviewCalcs[Incentive Total Energy Savings (kWh)], MATCH(ProjectInput[[#This Row],[Project Index]], ReviewCalcs[Project Index], 0))</f>
        <v>0</v>
      </c>
      <c r="AA269" s="172">
        <f>INDEX(ReviewCalcs[Incentive Total Demand Savings (kW)], MATCH(ProjectInput[[#This Row],[Project Index]], ReviewCalcs[Project Index], 0))</f>
        <v>0</v>
      </c>
      <c r="AB269" s="181">
        <f>ProjectInput[[#This Row],[Energy Savings (kWh)]]*Avg_KWh_Rate</f>
        <v>0</v>
      </c>
      <c r="AC269" s="173">
        <f>IF(C269="", 0, IF(C269="Cust.", INDEX(ReviewCalcs[Incentive ($)], MATCH(ProjectInput[[#This Row],[Project Index]], ReviewCalcs[Project Index], 0)), IF(AND(C269="Pres.", D269="1 to 6"), 3*Q269, IF(AND(C269="Pres.", D269="7 to 11"), 4*Q269, IF(AND(C269="Pres.", D269="12 to 17"), 5*Q269, IF(AND(C269="Pres.", D269="Exit Sign"), 20*Q269, IF(AND(C269="Pres.", D269="&gt; 18"), 6*Q269)))))))</f>
        <v>0</v>
      </c>
      <c r="AD269" s="181">
        <f>ProjectInput[[#This Row],[Retrofit Cost]]</f>
        <v>0</v>
      </c>
      <c r="AE269" s="181">
        <f>ProjectInput[[#This Row],[Retrofit Cost]]-ProjectInput[[#This Row],[Incentive ($)]]</f>
        <v>0</v>
      </c>
      <c r="AF269" s="182" t="str">
        <f>IFERROR(ProjectInput[[#This Row],[Net Project Cost ($)]]/ProjectInput[[#This Row],[Energy Cost Savings ($)]], "")</f>
        <v/>
      </c>
    </row>
    <row r="270" spans="2:32" s="175" customFormat="1" ht="40" customHeight="1">
      <c r="B270" s="213">
        <v>267</v>
      </c>
      <c r="C270" s="223"/>
      <c r="D270" s="224"/>
      <c r="E270" s="183"/>
      <c r="F270" s="167"/>
      <c r="G270" s="184"/>
      <c r="H270" s="167"/>
      <c r="I270" s="184"/>
      <c r="J27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0" s="183"/>
      <c r="L270" s="167"/>
      <c r="M270" s="184"/>
      <c r="N270" s="184"/>
      <c r="O270" s="184"/>
      <c r="P270" s="177" t="str">
        <f>IF(ProjectInput[[#This Row],[Existing Fixture Code]]=0, "",INDEX(Table7[WATT/ FIXT], MATCH(ProjectInput[[#This Row],[Existing Fixture Code]], Table7[FIXTURE CODE], 0)))</f>
        <v/>
      </c>
      <c r="Q270" s="183"/>
      <c r="R270" s="167"/>
      <c r="S270" s="184"/>
      <c r="T270" s="184"/>
      <c r="U270" s="184"/>
      <c r="V270" s="184"/>
      <c r="W270" s="167"/>
      <c r="X270" s="185"/>
      <c r="Y270" s="179" t="str">
        <f>IF(ProjectInput[[#This Row],[Proposed Fixture Code]]=0, "", INDEX(Table7[WATT/ FIXT], MATCH(ProjectInput[[#This Row],[Proposed Fixture Code]], Table7[FIXTURE CODE],0 )))</f>
        <v/>
      </c>
      <c r="Z270" s="180">
        <f>INDEX(ReviewCalcs[Incentive Total Energy Savings (kWh)], MATCH(ProjectInput[[#This Row],[Project Index]], ReviewCalcs[Project Index], 0))</f>
        <v>0</v>
      </c>
      <c r="AA270" s="172">
        <f>INDEX(ReviewCalcs[Incentive Total Demand Savings (kW)], MATCH(ProjectInput[[#This Row],[Project Index]], ReviewCalcs[Project Index], 0))</f>
        <v>0</v>
      </c>
      <c r="AB270" s="181">
        <f>ProjectInput[[#This Row],[Energy Savings (kWh)]]*Avg_KWh_Rate</f>
        <v>0</v>
      </c>
      <c r="AC270" s="173">
        <f>IF(C270="", 0, IF(C270="Cust.", INDEX(ReviewCalcs[Incentive ($)], MATCH(ProjectInput[[#This Row],[Project Index]], ReviewCalcs[Project Index], 0)), IF(AND(C270="Pres.", D270="1 to 6"), 3*Q270, IF(AND(C270="Pres.", D270="7 to 11"), 4*Q270, IF(AND(C270="Pres.", D270="12 to 17"), 5*Q270, IF(AND(C270="Pres.", D270="Exit Sign"), 20*Q270, IF(AND(C270="Pres.", D270="&gt; 18"), 6*Q270)))))))</f>
        <v>0</v>
      </c>
      <c r="AD270" s="181">
        <f>ProjectInput[[#This Row],[Retrofit Cost]]</f>
        <v>0</v>
      </c>
      <c r="AE270" s="181">
        <f>ProjectInput[[#This Row],[Retrofit Cost]]-ProjectInput[[#This Row],[Incentive ($)]]</f>
        <v>0</v>
      </c>
      <c r="AF270" s="182" t="str">
        <f>IFERROR(ProjectInput[[#This Row],[Net Project Cost ($)]]/ProjectInput[[#This Row],[Energy Cost Savings ($)]], "")</f>
        <v/>
      </c>
    </row>
    <row r="271" spans="2:32" s="175" customFormat="1" ht="40" customHeight="1">
      <c r="B271" s="213">
        <v>268</v>
      </c>
      <c r="C271" s="220"/>
      <c r="D271" s="219"/>
      <c r="E271" s="183"/>
      <c r="F271" s="167"/>
      <c r="G271" s="184"/>
      <c r="H271" s="167"/>
      <c r="I271" s="184"/>
      <c r="J27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1" s="183"/>
      <c r="L271" s="167"/>
      <c r="M271" s="184"/>
      <c r="N271" s="184"/>
      <c r="O271" s="184"/>
      <c r="P271" s="177" t="str">
        <f>IF(ProjectInput[[#This Row],[Existing Fixture Code]]=0, "",INDEX(Table7[WATT/ FIXT], MATCH(ProjectInput[[#This Row],[Existing Fixture Code]], Table7[FIXTURE CODE], 0)))</f>
        <v/>
      </c>
      <c r="Q271" s="183"/>
      <c r="R271" s="167"/>
      <c r="S271" s="184"/>
      <c r="T271" s="184"/>
      <c r="U271" s="184"/>
      <c r="V271" s="184"/>
      <c r="W271" s="167"/>
      <c r="X271" s="185"/>
      <c r="Y271" s="179" t="str">
        <f>IF(ProjectInput[[#This Row],[Proposed Fixture Code]]=0, "", INDEX(Table7[WATT/ FIXT], MATCH(ProjectInput[[#This Row],[Proposed Fixture Code]], Table7[FIXTURE CODE],0 )))</f>
        <v/>
      </c>
      <c r="Z271" s="180">
        <f>INDEX(ReviewCalcs[Incentive Total Energy Savings (kWh)], MATCH(ProjectInput[[#This Row],[Project Index]], ReviewCalcs[Project Index], 0))</f>
        <v>0</v>
      </c>
      <c r="AA271" s="172">
        <f>INDEX(ReviewCalcs[Incentive Total Demand Savings (kW)], MATCH(ProjectInput[[#This Row],[Project Index]], ReviewCalcs[Project Index], 0))</f>
        <v>0</v>
      </c>
      <c r="AB271" s="181">
        <f>ProjectInput[[#This Row],[Energy Savings (kWh)]]*Avg_KWh_Rate</f>
        <v>0</v>
      </c>
      <c r="AC271" s="173">
        <f>IF(C271="", 0, IF(C271="Cust.", INDEX(ReviewCalcs[Incentive ($)], MATCH(ProjectInput[[#This Row],[Project Index]], ReviewCalcs[Project Index], 0)), IF(AND(C271="Pres.", D271="1 to 6"), 3*Q271, IF(AND(C271="Pres.", D271="7 to 11"), 4*Q271, IF(AND(C271="Pres.", D271="12 to 17"), 5*Q271, IF(AND(C271="Pres.", D271="Exit Sign"), 20*Q271, IF(AND(C271="Pres.", D271="&gt; 18"), 6*Q271)))))))</f>
        <v>0</v>
      </c>
      <c r="AD271" s="181">
        <f>ProjectInput[[#This Row],[Retrofit Cost]]</f>
        <v>0</v>
      </c>
      <c r="AE271" s="181">
        <f>ProjectInput[[#This Row],[Retrofit Cost]]-ProjectInput[[#This Row],[Incentive ($)]]</f>
        <v>0</v>
      </c>
      <c r="AF271" s="182" t="str">
        <f>IFERROR(ProjectInput[[#This Row],[Net Project Cost ($)]]/ProjectInput[[#This Row],[Energy Cost Savings ($)]], "")</f>
        <v/>
      </c>
    </row>
    <row r="272" spans="2:32" s="175" customFormat="1" ht="40" customHeight="1">
      <c r="B272" s="213">
        <v>269</v>
      </c>
      <c r="C272" s="223"/>
      <c r="D272" s="224"/>
      <c r="E272" s="183"/>
      <c r="F272" s="167"/>
      <c r="G272" s="184"/>
      <c r="H272" s="167"/>
      <c r="I272" s="184"/>
      <c r="J27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2" s="183"/>
      <c r="L272" s="167"/>
      <c r="M272" s="184"/>
      <c r="N272" s="184"/>
      <c r="O272" s="184"/>
      <c r="P272" s="177" t="str">
        <f>IF(ProjectInput[[#This Row],[Existing Fixture Code]]=0, "",INDEX(Table7[WATT/ FIXT], MATCH(ProjectInput[[#This Row],[Existing Fixture Code]], Table7[FIXTURE CODE], 0)))</f>
        <v/>
      </c>
      <c r="Q272" s="183"/>
      <c r="R272" s="167"/>
      <c r="S272" s="184"/>
      <c r="T272" s="184"/>
      <c r="U272" s="184"/>
      <c r="V272" s="184"/>
      <c r="W272" s="167"/>
      <c r="X272" s="185"/>
      <c r="Y272" s="179" t="str">
        <f>IF(ProjectInput[[#This Row],[Proposed Fixture Code]]=0, "", INDEX(Table7[WATT/ FIXT], MATCH(ProjectInput[[#This Row],[Proposed Fixture Code]], Table7[FIXTURE CODE],0 )))</f>
        <v/>
      </c>
      <c r="Z272" s="180">
        <f>INDEX(ReviewCalcs[Incentive Total Energy Savings (kWh)], MATCH(ProjectInput[[#This Row],[Project Index]], ReviewCalcs[Project Index], 0))</f>
        <v>0</v>
      </c>
      <c r="AA272" s="172">
        <f>INDEX(ReviewCalcs[Incentive Total Demand Savings (kW)], MATCH(ProjectInput[[#This Row],[Project Index]], ReviewCalcs[Project Index], 0))</f>
        <v>0</v>
      </c>
      <c r="AB272" s="181">
        <f>ProjectInput[[#This Row],[Energy Savings (kWh)]]*Avg_KWh_Rate</f>
        <v>0</v>
      </c>
      <c r="AC272" s="173">
        <f>IF(C272="", 0, IF(C272="Cust.", INDEX(ReviewCalcs[Incentive ($)], MATCH(ProjectInput[[#This Row],[Project Index]], ReviewCalcs[Project Index], 0)), IF(AND(C272="Pres.", D272="1 to 6"), 3*Q272, IF(AND(C272="Pres.", D272="7 to 11"), 4*Q272, IF(AND(C272="Pres.", D272="12 to 17"), 5*Q272, IF(AND(C272="Pres.", D272="Exit Sign"), 20*Q272, IF(AND(C272="Pres.", D272="&gt; 18"), 6*Q272)))))))</f>
        <v>0</v>
      </c>
      <c r="AD272" s="181">
        <f>ProjectInput[[#This Row],[Retrofit Cost]]</f>
        <v>0</v>
      </c>
      <c r="AE272" s="181">
        <f>ProjectInput[[#This Row],[Retrofit Cost]]-ProjectInput[[#This Row],[Incentive ($)]]</f>
        <v>0</v>
      </c>
      <c r="AF272" s="182" t="str">
        <f>IFERROR(ProjectInput[[#This Row],[Net Project Cost ($)]]/ProjectInput[[#This Row],[Energy Cost Savings ($)]], "")</f>
        <v/>
      </c>
    </row>
    <row r="273" spans="2:32" s="175" customFormat="1" ht="40" customHeight="1">
      <c r="B273" s="213">
        <v>270</v>
      </c>
      <c r="C273" s="220"/>
      <c r="D273" s="219"/>
      <c r="E273" s="183"/>
      <c r="F273" s="167"/>
      <c r="G273" s="184"/>
      <c r="H273" s="167"/>
      <c r="I273" s="184"/>
      <c r="J27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3" s="183"/>
      <c r="L273" s="167"/>
      <c r="M273" s="184"/>
      <c r="N273" s="184"/>
      <c r="O273" s="184"/>
      <c r="P273" s="177" t="str">
        <f>IF(ProjectInput[[#This Row],[Existing Fixture Code]]=0, "",INDEX(Table7[WATT/ FIXT], MATCH(ProjectInput[[#This Row],[Existing Fixture Code]], Table7[FIXTURE CODE], 0)))</f>
        <v/>
      </c>
      <c r="Q273" s="183"/>
      <c r="R273" s="167"/>
      <c r="S273" s="184"/>
      <c r="T273" s="184"/>
      <c r="U273" s="184"/>
      <c r="V273" s="184"/>
      <c r="W273" s="167"/>
      <c r="X273" s="185"/>
      <c r="Y273" s="179" t="str">
        <f>IF(ProjectInput[[#This Row],[Proposed Fixture Code]]=0, "", INDEX(Table7[WATT/ FIXT], MATCH(ProjectInput[[#This Row],[Proposed Fixture Code]], Table7[FIXTURE CODE],0 )))</f>
        <v/>
      </c>
      <c r="Z273" s="180">
        <f>INDEX(ReviewCalcs[Incentive Total Energy Savings (kWh)], MATCH(ProjectInput[[#This Row],[Project Index]], ReviewCalcs[Project Index], 0))</f>
        <v>0</v>
      </c>
      <c r="AA273" s="172">
        <f>INDEX(ReviewCalcs[Incentive Total Demand Savings (kW)], MATCH(ProjectInput[[#This Row],[Project Index]], ReviewCalcs[Project Index], 0))</f>
        <v>0</v>
      </c>
      <c r="AB273" s="181">
        <f>ProjectInput[[#This Row],[Energy Savings (kWh)]]*Avg_KWh_Rate</f>
        <v>0</v>
      </c>
      <c r="AC273" s="173">
        <f>IF(C273="", 0, IF(C273="Cust.", INDEX(ReviewCalcs[Incentive ($)], MATCH(ProjectInput[[#This Row],[Project Index]], ReviewCalcs[Project Index], 0)), IF(AND(C273="Pres.", D273="1 to 6"), 3*Q273, IF(AND(C273="Pres.", D273="7 to 11"), 4*Q273, IF(AND(C273="Pres.", D273="12 to 17"), 5*Q273, IF(AND(C273="Pres.", D273="Exit Sign"), 20*Q273, IF(AND(C273="Pres.", D273="&gt; 18"), 6*Q273)))))))</f>
        <v>0</v>
      </c>
      <c r="AD273" s="181">
        <f>ProjectInput[[#This Row],[Retrofit Cost]]</f>
        <v>0</v>
      </c>
      <c r="AE273" s="181">
        <f>ProjectInput[[#This Row],[Retrofit Cost]]-ProjectInput[[#This Row],[Incentive ($)]]</f>
        <v>0</v>
      </c>
      <c r="AF273" s="182" t="str">
        <f>IFERROR(ProjectInput[[#This Row],[Net Project Cost ($)]]/ProjectInput[[#This Row],[Energy Cost Savings ($)]], "")</f>
        <v/>
      </c>
    </row>
    <row r="274" spans="2:32" s="175" customFormat="1" ht="40" customHeight="1">
      <c r="B274" s="213">
        <v>271</v>
      </c>
      <c r="C274" s="223"/>
      <c r="D274" s="224"/>
      <c r="E274" s="183"/>
      <c r="F274" s="167"/>
      <c r="G274" s="184"/>
      <c r="H274" s="167"/>
      <c r="I274" s="184"/>
      <c r="J27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4" s="183"/>
      <c r="L274" s="167"/>
      <c r="M274" s="184"/>
      <c r="N274" s="184"/>
      <c r="O274" s="184"/>
      <c r="P274" s="177" t="str">
        <f>IF(ProjectInput[[#This Row],[Existing Fixture Code]]=0, "",INDEX(Table7[WATT/ FIXT], MATCH(ProjectInput[[#This Row],[Existing Fixture Code]], Table7[FIXTURE CODE], 0)))</f>
        <v/>
      </c>
      <c r="Q274" s="183"/>
      <c r="R274" s="167"/>
      <c r="S274" s="184"/>
      <c r="T274" s="184"/>
      <c r="U274" s="184"/>
      <c r="V274" s="184"/>
      <c r="W274" s="167"/>
      <c r="X274" s="185"/>
      <c r="Y274" s="179" t="str">
        <f>IF(ProjectInput[[#This Row],[Proposed Fixture Code]]=0, "", INDEX(Table7[WATT/ FIXT], MATCH(ProjectInput[[#This Row],[Proposed Fixture Code]], Table7[FIXTURE CODE],0 )))</f>
        <v/>
      </c>
      <c r="Z274" s="180">
        <f>INDEX(ReviewCalcs[Incentive Total Energy Savings (kWh)], MATCH(ProjectInput[[#This Row],[Project Index]], ReviewCalcs[Project Index], 0))</f>
        <v>0</v>
      </c>
      <c r="AA274" s="172">
        <f>INDEX(ReviewCalcs[Incentive Total Demand Savings (kW)], MATCH(ProjectInput[[#This Row],[Project Index]], ReviewCalcs[Project Index], 0))</f>
        <v>0</v>
      </c>
      <c r="AB274" s="181">
        <f>ProjectInput[[#This Row],[Energy Savings (kWh)]]*Avg_KWh_Rate</f>
        <v>0</v>
      </c>
      <c r="AC274" s="173">
        <f>IF(C274="", 0, IF(C274="Cust.", INDEX(ReviewCalcs[Incentive ($)], MATCH(ProjectInput[[#This Row],[Project Index]], ReviewCalcs[Project Index], 0)), IF(AND(C274="Pres.", D274="1 to 6"), 3*Q274, IF(AND(C274="Pres.", D274="7 to 11"), 4*Q274, IF(AND(C274="Pres.", D274="12 to 17"), 5*Q274, IF(AND(C274="Pres.", D274="Exit Sign"), 20*Q274, IF(AND(C274="Pres.", D274="&gt; 18"), 6*Q274)))))))</f>
        <v>0</v>
      </c>
      <c r="AD274" s="181">
        <f>ProjectInput[[#This Row],[Retrofit Cost]]</f>
        <v>0</v>
      </c>
      <c r="AE274" s="181">
        <f>ProjectInput[[#This Row],[Retrofit Cost]]-ProjectInput[[#This Row],[Incentive ($)]]</f>
        <v>0</v>
      </c>
      <c r="AF274" s="182" t="str">
        <f>IFERROR(ProjectInput[[#This Row],[Net Project Cost ($)]]/ProjectInput[[#This Row],[Energy Cost Savings ($)]], "")</f>
        <v/>
      </c>
    </row>
    <row r="275" spans="2:32" s="175" customFormat="1" ht="40" customHeight="1">
      <c r="B275" s="213">
        <v>272</v>
      </c>
      <c r="C275" s="220"/>
      <c r="D275" s="219"/>
      <c r="E275" s="183"/>
      <c r="F275" s="167"/>
      <c r="G275" s="184"/>
      <c r="H275" s="167"/>
      <c r="I275" s="184"/>
      <c r="J27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5" s="183"/>
      <c r="L275" s="167"/>
      <c r="M275" s="184"/>
      <c r="N275" s="184"/>
      <c r="O275" s="184"/>
      <c r="P275" s="177" t="str">
        <f>IF(ProjectInput[[#This Row],[Existing Fixture Code]]=0, "",INDEX(Table7[WATT/ FIXT], MATCH(ProjectInput[[#This Row],[Existing Fixture Code]], Table7[FIXTURE CODE], 0)))</f>
        <v/>
      </c>
      <c r="Q275" s="183"/>
      <c r="R275" s="167"/>
      <c r="S275" s="184"/>
      <c r="T275" s="184"/>
      <c r="U275" s="184"/>
      <c r="V275" s="184"/>
      <c r="W275" s="167"/>
      <c r="X275" s="185"/>
      <c r="Y275" s="179" t="str">
        <f>IF(ProjectInput[[#This Row],[Proposed Fixture Code]]=0, "", INDEX(Table7[WATT/ FIXT], MATCH(ProjectInput[[#This Row],[Proposed Fixture Code]], Table7[FIXTURE CODE],0 )))</f>
        <v/>
      </c>
      <c r="Z275" s="180">
        <f>INDEX(ReviewCalcs[Incentive Total Energy Savings (kWh)], MATCH(ProjectInput[[#This Row],[Project Index]], ReviewCalcs[Project Index], 0))</f>
        <v>0</v>
      </c>
      <c r="AA275" s="172">
        <f>INDEX(ReviewCalcs[Incentive Total Demand Savings (kW)], MATCH(ProjectInput[[#This Row],[Project Index]], ReviewCalcs[Project Index], 0))</f>
        <v>0</v>
      </c>
      <c r="AB275" s="181">
        <f>ProjectInput[[#This Row],[Energy Savings (kWh)]]*Avg_KWh_Rate</f>
        <v>0</v>
      </c>
      <c r="AC275" s="173">
        <f>IF(C275="", 0, IF(C275="Cust.", INDEX(ReviewCalcs[Incentive ($)], MATCH(ProjectInput[[#This Row],[Project Index]], ReviewCalcs[Project Index], 0)), IF(AND(C275="Pres.", D275="1 to 6"), 3*Q275, IF(AND(C275="Pres.", D275="7 to 11"), 4*Q275, IF(AND(C275="Pres.", D275="12 to 17"), 5*Q275, IF(AND(C275="Pres.", D275="Exit Sign"), 20*Q275, IF(AND(C275="Pres.", D275="&gt; 18"), 6*Q275)))))))</f>
        <v>0</v>
      </c>
      <c r="AD275" s="181">
        <f>ProjectInput[[#This Row],[Retrofit Cost]]</f>
        <v>0</v>
      </c>
      <c r="AE275" s="181">
        <f>ProjectInput[[#This Row],[Retrofit Cost]]-ProjectInput[[#This Row],[Incentive ($)]]</f>
        <v>0</v>
      </c>
      <c r="AF275" s="182" t="str">
        <f>IFERROR(ProjectInput[[#This Row],[Net Project Cost ($)]]/ProjectInput[[#This Row],[Energy Cost Savings ($)]], "")</f>
        <v/>
      </c>
    </row>
    <row r="276" spans="2:32" s="175" customFormat="1" ht="40" customHeight="1">
      <c r="B276" s="213">
        <v>273</v>
      </c>
      <c r="C276" s="223"/>
      <c r="D276" s="224"/>
      <c r="E276" s="183"/>
      <c r="F276" s="167"/>
      <c r="G276" s="184"/>
      <c r="H276" s="167"/>
      <c r="I276" s="184"/>
      <c r="J27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6" s="183"/>
      <c r="L276" s="167"/>
      <c r="M276" s="184"/>
      <c r="N276" s="184"/>
      <c r="O276" s="184"/>
      <c r="P276" s="177" t="str">
        <f>IF(ProjectInput[[#This Row],[Existing Fixture Code]]=0, "",INDEX(Table7[WATT/ FIXT], MATCH(ProjectInput[[#This Row],[Existing Fixture Code]], Table7[FIXTURE CODE], 0)))</f>
        <v/>
      </c>
      <c r="Q276" s="183"/>
      <c r="R276" s="167"/>
      <c r="S276" s="184"/>
      <c r="T276" s="184"/>
      <c r="U276" s="184"/>
      <c r="V276" s="184"/>
      <c r="W276" s="167"/>
      <c r="X276" s="185"/>
      <c r="Y276" s="179" t="str">
        <f>IF(ProjectInput[[#This Row],[Proposed Fixture Code]]=0, "", INDEX(Table7[WATT/ FIXT], MATCH(ProjectInput[[#This Row],[Proposed Fixture Code]], Table7[FIXTURE CODE],0 )))</f>
        <v/>
      </c>
      <c r="Z276" s="180">
        <f>INDEX(ReviewCalcs[Incentive Total Energy Savings (kWh)], MATCH(ProjectInput[[#This Row],[Project Index]], ReviewCalcs[Project Index], 0))</f>
        <v>0</v>
      </c>
      <c r="AA276" s="172">
        <f>INDEX(ReviewCalcs[Incentive Total Demand Savings (kW)], MATCH(ProjectInput[[#This Row],[Project Index]], ReviewCalcs[Project Index], 0))</f>
        <v>0</v>
      </c>
      <c r="AB276" s="181">
        <f>ProjectInput[[#This Row],[Energy Savings (kWh)]]*Avg_KWh_Rate</f>
        <v>0</v>
      </c>
      <c r="AC276" s="173">
        <f>IF(C276="", 0, IF(C276="Cust.", INDEX(ReviewCalcs[Incentive ($)], MATCH(ProjectInput[[#This Row],[Project Index]], ReviewCalcs[Project Index], 0)), IF(AND(C276="Pres.", D276="1 to 6"), 3*Q276, IF(AND(C276="Pres.", D276="7 to 11"), 4*Q276, IF(AND(C276="Pres.", D276="12 to 17"), 5*Q276, IF(AND(C276="Pres.", D276="Exit Sign"), 20*Q276, IF(AND(C276="Pres.", D276="&gt; 18"), 6*Q276)))))))</f>
        <v>0</v>
      </c>
      <c r="AD276" s="181">
        <f>ProjectInput[[#This Row],[Retrofit Cost]]</f>
        <v>0</v>
      </c>
      <c r="AE276" s="181">
        <f>ProjectInput[[#This Row],[Retrofit Cost]]-ProjectInput[[#This Row],[Incentive ($)]]</f>
        <v>0</v>
      </c>
      <c r="AF276" s="182" t="str">
        <f>IFERROR(ProjectInput[[#This Row],[Net Project Cost ($)]]/ProjectInput[[#This Row],[Energy Cost Savings ($)]], "")</f>
        <v/>
      </c>
    </row>
    <row r="277" spans="2:32" s="175" customFormat="1" ht="40" customHeight="1">
      <c r="B277" s="213">
        <v>274</v>
      </c>
      <c r="C277" s="220"/>
      <c r="D277" s="219"/>
      <c r="E277" s="183"/>
      <c r="F277" s="167"/>
      <c r="G277" s="184"/>
      <c r="H277" s="167"/>
      <c r="I277" s="184"/>
      <c r="J27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7" s="183"/>
      <c r="L277" s="167"/>
      <c r="M277" s="184"/>
      <c r="N277" s="184"/>
      <c r="O277" s="184"/>
      <c r="P277" s="177" t="str">
        <f>IF(ProjectInput[[#This Row],[Existing Fixture Code]]=0, "",INDEX(Table7[WATT/ FIXT], MATCH(ProjectInput[[#This Row],[Existing Fixture Code]], Table7[FIXTURE CODE], 0)))</f>
        <v/>
      </c>
      <c r="Q277" s="183"/>
      <c r="R277" s="167"/>
      <c r="S277" s="184"/>
      <c r="T277" s="184"/>
      <c r="U277" s="184"/>
      <c r="V277" s="184"/>
      <c r="W277" s="167"/>
      <c r="X277" s="185"/>
      <c r="Y277" s="179" t="str">
        <f>IF(ProjectInput[[#This Row],[Proposed Fixture Code]]=0, "", INDEX(Table7[WATT/ FIXT], MATCH(ProjectInput[[#This Row],[Proposed Fixture Code]], Table7[FIXTURE CODE],0 )))</f>
        <v/>
      </c>
      <c r="Z277" s="180">
        <f>INDEX(ReviewCalcs[Incentive Total Energy Savings (kWh)], MATCH(ProjectInput[[#This Row],[Project Index]], ReviewCalcs[Project Index], 0))</f>
        <v>0</v>
      </c>
      <c r="AA277" s="172">
        <f>INDEX(ReviewCalcs[Incentive Total Demand Savings (kW)], MATCH(ProjectInput[[#This Row],[Project Index]], ReviewCalcs[Project Index], 0))</f>
        <v>0</v>
      </c>
      <c r="AB277" s="181">
        <f>ProjectInput[[#This Row],[Energy Savings (kWh)]]*Avg_KWh_Rate</f>
        <v>0</v>
      </c>
      <c r="AC277" s="173">
        <f>IF(C277="", 0, IF(C277="Cust.", INDEX(ReviewCalcs[Incentive ($)], MATCH(ProjectInput[[#This Row],[Project Index]], ReviewCalcs[Project Index], 0)), IF(AND(C277="Pres.", D277="1 to 6"), 3*Q277, IF(AND(C277="Pres.", D277="7 to 11"), 4*Q277, IF(AND(C277="Pres.", D277="12 to 17"), 5*Q277, IF(AND(C277="Pres.", D277="Exit Sign"), 20*Q277, IF(AND(C277="Pres.", D277="&gt; 18"), 6*Q277)))))))</f>
        <v>0</v>
      </c>
      <c r="AD277" s="181">
        <f>ProjectInput[[#This Row],[Retrofit Cost]]</f>
        <v>0</v>
      </c>
      <c r="AE277" s="181">
        <f>ProjectInput[[#This Row],[Retrofit Cost]]-ProjectInput[[#This Row],[Incentive ($)]]</f>
        <v>0</v>
      </c>
      <c r="AF277" s="182" t="str">
        <f>IFERROR(ProjectInput[[#This Row],[Net Project Cost ($)]]/ProjectInput[[#This Row],[Energy Cost Savings ($)]], "")</f>
        <v/>
      </c>
    </row>
    <row r="278" spans="2:32" s="175" customFormat="1" ht="40" customHeight="1">
      <c r="B278" s="213">
        <v>275</v>
      </c>
      <c r="C278" s="223"/>
      <c r="D278" s="224"/>
      <c r="E278" s="183"/>
      <c r="F278" s="167"/>
      <c r="G278" s="184"/>
      <c r="H278" s="167"/>
      <c r="I278" s="184"/>
      <c r="J27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8" s="183"/>
      <c r="L278" s="167"/>
      <c r="M278" s="184"/>
      <c r="N278" s="184"/>
      <c r="O278" s="184"/>
      <c r="P278" s="177" t="str">
        <f>IF(ProjectInput[[#This Row],[Existing Fixture Code]]=0, "",INDEX(Table7[WATT/ FIXT], MATCH(ProjectInput[[#This Row],[Existing Fixture Code]], Table7[FIXTURE CODE], 0)))</f>
        <v/>
      </c>
      <c r="Q278" s="183"/>
      <c r="R278" s="167"/>
      <c r="S278" s="184"/>
      <c r="T278" s="184"/>
      <c r="U278" s="184"/>
      <c r="V278" s="184"/>
      <c r="W278" s="167"/>
      <c r="X278" s="185"/>
      <c r="Y278" s="179" t="str">
        <f>IF(ProjectInput[[#This Row],[Proposed Fixture Code]]=0, "", INDEX(Table7[WATT/ FIXT], MATCH(ProjectInput[[#This Row],[Proposed Fixture Code]], Table7[FIXTURE CODE],0 )))</f>
        <v/>
      </c>
      <c r="Z278" s="180">
        <f>INDEX(ReviewCalcs[Incentive Total Energy Savings (kWh)], MATCH(ProjectInput[[#This Row],[Project Index]], ReviewCalcs[Project Index], 0))</f>
        <v>0</v>
      </c>
      <c r="AA278" s="172">
        <f>INDEX(ReviewCalcs[Incentive Total Demand Savings (kW)], MATCH(ProjectInput[[#This Row],[Project Index]], ReviewCalcs[Project Index], 0))</f>
        <v>0</v>
      </c>
      <c r="AB278" s="181">
        <f>ProjectInput[[#This Row],[Energy Savings (kWh)]]*Avg_KWh_Rate</f>
        <v>0</v>
      </c>
      <c r="AC278" s="173">
        <f>IF(C278="", 0, IF(C278="Cust.", INDEX(ReviewCalcs[Incentive ($)], MATCH(ProjectInput[[#This Row],[Project Index]], ReviewCalcs[Project Index], 0)), IF(AND(C278="Pres.", D278="1 to 6"), 3*Q278, IF(AND(C278="Pres.", D278="7 to 11"), 4*Q278, IF(AND(C278="Pres.", D278="12 to 17"), 5*Q278, IF(AND(C278="Pres.", D278="Exit Sign"), 20*Q278, IF(AND(C278="Pres.", D278="&gt; 18"), 6*Q278)))))))</f>
        <v>0</v>
      </c>
      <c r="AD278" s="181">
        <f>ProjectInput[[#This Row],[Retrofit Cost]]</f>
        <v>0</v>
      </c>
      <c r="AE278" s="181">
        <f>ProjectInput[[#This Row],[Retrofit Cost]]-ProjectInput[[#This Row],[Incentive ($)]]</f>
        <v>0</v>
      </c>
      <c r="AF278" s="182" t="str">
        <f>IFERROR(ProjectInput[[#This Row],[Net Project Cost ($)]]/ProjectInput[[#This Row],[Energy Cost Savings ($)]], "")</f>
        <v/>
      </c>
    </row>
    <row r="279" spans="2:32" s="175" customFormat="1" ht="40" customHeight="1">
      <c r="B279" s="213">
        <v>276</v>
      </c>
      <c r="C279" s="220"/>
      <c r="D279" s="219"/>
      <c r="E279" s="183"/>
      <c r="F279" s="167"/>
      <c r="G279" s="184"/>
      <c r="H279" s="167"/>
      <c r="I279" s="184"/>
      <c r="J27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79" s="183"/>
      <c r="L279" s="167"/>
      <c r="M279" s="184"/>
      <c r="N279" s="184"/>
      <c r="O279" s="184"/>
      <c r="P279" s="177" t="str">
        <f>IF(ProjectInput[[#This Row],[Existing Fixture Code]]=0, "",INDEX(Table7[WATT/ FIXT], MATCH(ProjectInput[[#This Row],[Existing Fixture Code]], Table7[FIXTURE CODE], 0)))</f>
        <v/>
      </c>
      <c r="Q279" s="183"/>
      <c r="R279" s="167"/>
      <c r="S279" s="184"/>
      <c r="T279" s="184"/>
      <c r="U279" s="184"/>
      <c r="V279" s="184"/>
      <c r="W279" s="167"/>
      <c r="X279" s="185"/>
      <c r="Y279" s="179" t="str">
        <f>IF(ProjectInput[[#This Row],[Proposed Fixture Code]]=0, "", INDEX(Table7[WATT/ FIXT], MATCH(ProjectInput[[#This Row],[Proposed Fixture Code]], Table7[FIXTURE CODE],0 )))</f>
        <v/>
      </c>
      <c r="Z279" s="180">
        <f>INDEX(ReviewCalcs[Incentive Total Energy Savings (kWh)], MATCH(ProjectInput[[#This Row],[Project Index]], ReviewCalcs[Project Index], 0))</f>
        <v>0</v>
      </c>
      <c r="AA279" s="172">
        <f>INDEX(ReviewCalcs[Incentive Total Demand Savings (kW)], MATCH(ProjectInput[[#This Row],[Project Index]], ReviewCalcs[Project Index], 0))</f>
        <v>0</v>
      </c>
      <c r="AB279" s="181">
        <f>ProjectInput[[#This Row],[Energy Savings (kWh)]]*Avg_KWh_Rate</f>
        <v>0</v>
      </c>
      <c r="AC279" s="173">
        <f>IF(C279="", 0, IF(C279="Cust.", INDEX(ReviewCalcs[Incentive ($)], MATCH(ProjectInput[[#This Row],[Project Index]], ReviewCalcs[Project Index], 0)), IF(AND(C279="Pres.", D279="1 to 6"), 3*Q279, IF(AND(C279="Pres.", D279="7 to 11"), 4*Q279, IF(AND(C279="Pres.", D279="12 to 17"), 5*Q279, IF(AND(C279="Pres.", D279="Exit Sign"), 20*Q279, IF(AND(C279="Pres.", D279="&gt; 18"), 6*Q279)))))))</f>
        <v>0</v>
      </c>
      <c r="AD279" s="181">
        <f>ProjectInput[[#This Row],[Retrofit Cost]]</f>
        <v>0</v>
      </c>
      <c r="AE279" s="181">
        <f>ProjectInput[[#This Row],[Retrofit Cost]]-ProjectInput[[#This Row],[Incentive ($)]]</f>
        <v>0</v>
      </c>
      <c r="AF279" s="182" t="str">
        <f>IFERROR(ProjectInput[[#This Row],[Net Project Cost ($)]]/ProjectInput[[#This Row],[Energy Cost Savings ($)]], "")</f>
        <v/>
      </c>
    </row>
    <row r="280" spans="2:32" s="175" customFormat="1" ht="40" customHeight="1">
      <c r="B280" s="213">
        <v>277</v>
      </c>
      <c r="C280" s="223"/>
      <c r="D280" s="224"/>
      <c r="E280" s="183"/>
      <c r="F280" s="167"/>
      <c r="G280" s="184"/>
      <c r="H280" s="167"/>
      <c r="I280" s="184"/>
      <c r="J28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0" s="183"/>
      <c r="L280" s="167"/>
      <c r="M280" s="184"/>
      <c r="N280" s="184"/>
      <c r="O280" s="184"/>
      <c r="P280" s="177" t="str">
        <f>IF(ProjectInput[[#This Row],[Existing Fixture Code]]=0, "",INDEX(Table7[WATT/ FIXT], MATCH(ProjectInput[[#This Row],[Existing Fixture Code]], Table7[FIXTURE CODE], 0)))</f>
        <v/>
      </c>
      <c r="Q280" s="183"/>
      <c r="R280" s="167"/>
      <c r="S280" s="184"/>
      <c r="T280" s="184"/>
      <c r="U280" s="184"/>
      <c r="V280" s="184"/>
      <c r="W280" s="167"/>
      <c r="X280" s="185"/>
      <c r="Y280" s="179" t="str">
        <f>IF(ProjectInput[[#This Row],[Proposed Fixture Code]]=0, "", INDEX(Table7[WATT/ FIXT], MATCH(ProjectInput[[#This Row],[Proposed Fixture Code]], Table7[FIXTURE CODE],0 )))</f>
        <v/>
      </c>
      <c r="Z280" s="180">
        <f>INDEX(ReviewCalcs[Incentive Total Energy Savings (kWh)], MATCH(ProjectInput[[#This Row],[Project Index]], ReviewCalcs[Project Index], 0))</f>
        <v>0</v>
      </c>
      <c r="AA280" s="172">
        <f>INDEX(ReviewCalcs[Incentive Total Demand Savings (kW)], MATCH(ProjectInput[[#This Row],[Project Index]], ReviewCalcs[Project Index], 0))</f>
        <v>0</v>
      </c>
      <c r="AB280" s="181">
        <f>ProjectInput[[#This Row],[Energy Savings (kWh)]]*Avg_KWh_Rate</f>
        <v>0</v>
      </c>
      <c r="AC280" s="173">
        <f>IF(C280="", 0, IF(C280="Cust.", INDEX(ReviewCalcs[Incentive ($)], MATCH(ProjectInput[[#This Row],[Project Index]], ReviewCalcs[Project Index], 0)), IF(AND(C280="Pres.", D280="1 to 6"), 3*Q280, IF(AND(C280="Pres.", D280="7 to 11"), 4*Q280, IF(AND(C280="Pres.", D280="12 to 17"), 5*Q280, IF(AND(C280="Pres.", D280="Exit Sign"), 20*Q280, IF(AND(C280="Pres.", D280="&gt; 18"), 6*Q280)))))))</f>
        <v>0</v>
      </c>
      <c r="AD280" s="181">
        <f>ProjectInput[[#This Row],[Retrofit Cost]]</f>
        <v>0</v>
      </c>
      <c r="AE280" s="181">
        <f>ProjectInput[[#This Row],[Retrofit Cost]]-ProjectInput[[#This Row],[Incentive ($)]]</f>
        <v>0</v>
      </c>
      <c r="AF280" s="182" t="str">
        <f>IFERROR(ProjectInput[[#This Row],[Net Project Cost ($)]]/ProjectInput[[#This Row],[Energy Cost Savings ($)]], "")</f>
        <v/>
      </c>
    </row>
    <row r="281" spans="2:32" s="175" customFormat="1" ht="40" customHeight="1">
      <c r="B281" s="213">
        <v>278</v>
      </c>
      <c r="C281" s="220"/>
      <c r="D281" s="219"/>
      <c r="E281" s="183"/>
      <c r="F281" s="167"/>
      <c r="G281" s="184"/>
      <c r="H281" s="167"/>
      <c r="I281" s="184"/>
      <c r="J28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1" s="183"/>
      <c r="L281" s="167"/>
      <c r="M281" s="184"/>
      <c r="N281" s="184"/>
      <c r="O281" s="184"/>
      <c r="P281" s="177" t="str">
        <f>IF(ProjectInput[[#This Row],[Existing Fixture Code]]=0, "",INDEX(Table7[WATT/ FIXT], MATCH(ProjectInput[[#This Row],[Existing Fixture Code]], Table7[FIXTURE CODE], 0)))</f>
        <v/>
      </c>
      <c r="Q281" s="183"/>
      <c r="R281" s="167"/>
      <c r="S281" s="184"/>
      <c r="T281" s="184"/>
      <c r="U281" s="184"/>
      <c r="V281" s="184"/>
      <c r="W281" s="167"/>
      <c r="X281" s="185"/>
      <c r="Y281" s="179" t="str">
        <f>IF(ProjectInput[[#This Row],[Proposed Fixture Code]]=0, "", INDEX(Table7[WATT/ FIXT], MATCH(ProjectInput[[#This Row],[Proposed Fixture Code]], Table7[FIXTURE CODE],0 )))</f>
        <v/>
      </c>
      <c r="Z281" s="180">
        <f>INDEX(ReviewCalcs[Incentive Total Energy Savings (kWh)], MATCH(ProjectInput[[#This Row],[Project Index]], ReviewCalcs[Project Index], 0))</f>
        <v>0</v>
      </c>
      <c r="AA281" s="172">
        <f>INDEX(ReviewCalcs[Incentive Total Demand Savings (kW)], MATCH(ProjectInput[[#This Row],[Project Index]], ReviewCalcs[Project Index], 0))</f>
        <v>0</v>
      </c>
      <c r="AB281" s="181">
        <f>ProjectInput[[#This Row],[Energy Savings (kWh)]]*Avg_KWh_Rate</f>
        <v>0</v>
      </c>
      <c r="AC281" s="173">
        <f>IF(C281="", 0, IF(C281="Cust.", INDEX(ReviewCalcs[Incentive ($)], MATCH(ProjectInput[[#This Row],[Project Index]], ReviewCalcs[Project Index], 0)), IF(AND(C281="Pres.", D281="1 to 6"), 3*Q281, IF(AND(C281="Pres.", D281="7 to 11"), 4*Q281, IF(AND(C281="Pres.", D281="12 to 17"), 5*Q281, IF(AND(C281="Pres.", D281="Exit Sign"), 20*Q281, IF(AND(C281="Pres.", D281="&gt; 18"), 6*Q281)))))))</f>
        <v>0</v>
      </c>
      <c r="AD281" s="181">
        <f>ProjectInput[[#This Row],[Retrofit Cost]]</f>
        <v>0</v>
      </c>
      <c r="AE281" s="181">
        <f>ProjectInput[[#This Row],[Retrofit Cost]]-ProjectInput[[#This Row],[Incentive ($)]]</f>
        <v>0</v>
      </c>
      <c r="AF281" s="182" t="str">
        <f>IFERROR(ProjectInput[[#This Row],[Net Project Cost ($)]]/ProjectInput[[#This Row],[Energy Cost Savings ($)]], "")</f>
        <v/>
      </c>
    </row>
    <row r="282" spans="2:32" s="175" customFormat="1" ht="40" customHeight="1">
      <c r="B282" s="213">
        <v>279</v>
      </c>
      <c r="C282" s="223"/>
      <c r="D282" s="224"/>
      <c r="E282" s="183"/>
      <c r="F282" s="167"/>
      <c r="G282" s="184"/>
      <c r="H282" s="167"/>
      <c r="I282" s="184"/>
      <c r="J28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2" s="183"/>
      <c r="L282" s="167"/>
      <c r="M282" s="184"/>
      <c r="N282" s="184"/>
      <c r="O282" s="184"/>
      <c r="P282" s="177" t="str">
        <f>IF(ProjectInput[[#This Row],[Existing Fixture Code]]=0, "",INDEX(Table7[WATT/ FIXT], MATCH(ProjectInput[[#This Row],[Existing Fixture Code]], Table7[FIXTURE CODE], 0)))</f>
        <v/>
      </c>
      <c r="Q282" s="183"/>
      <c r="R282" s="167"/>
      <c r="S282" s="184"/>
      <c r="T282" s="184"/>
      <c r="U282" s="184"/>
      <c r="V282" s="184"/>
      <c r="W282" s="167"/>
      <c r="X282" s="185"/>
      <c r="Y282" s="179" t="str">
        <f>IF(ProjectInput[[#This Row],[Proposed Fixture Code]]=0, "", INDEX(Table7[WATT/ FIXT], MATCH(ProjectInput[[#This Row],[Proposed Fixture Code]], Table7[FIXTURE CODE],0 )))</f>
        <v/>
      </c>
      <c r="Z282" s="180">
        <f>INDEX(ReviewCalcs[Incentive Total Energy Savings (kWh)], MATCH(ProjectInput[[#This Row],[Project Index]], ReviewCalcs[Project Index], 0))</f>
        <v>0</v>
      </c>
      <c r="AA282" s="172">
        <f>INDEX(ReviewCalcs[Incentive Total Demand Savings (kW)], MATCH(ProjectInput[[#This Row],[Project Index]], ReviewCalcs[Project Index], 0))</f>
        <v>0</v>
      </c>
      <c r="AB282" s="181">
        <f>ProjectInput[[#This Row],[Energy Savings (kWh)]]*Avg_KWh_Rate</f>
        <v>0</v>
      </c>
      <c r="AC282" s="173">
        <f>IF(C282="", 0, IF(C282="Cust.", INDEX(ReviewCalcs[Incentive ($)], MATCH(ProjectInput[[#This Row],[Project Index]], ReviewCalcs[Project Index], 0)), IF(AND(C282="Pres.", D282="1 to 6"), 3*Q282, IF(AND(C282="Pres.", D282="7 to 11"), 4*Q282, IF(AND(C282="Pres.", D282="12 to 17"), 5*Q282, IF(AND(C282="Pres.", D282="Exit Sign"), 20*Q282, IF(AND(C282="Pres.", D282="&gt; 18"), 6*Q282)))))))</f>
        <v>0</v>
      </c>
      <c r="AD282" s="181">
        <f>ProjectInput[[#This Row],[Retrofit Cost]]</f>
        <v>0</v>
      </c>
      <c r="AE282" s="181">
        <f>ProjectInput[[#This Row],[Retrofit Cost]]-ProjectInput[[#This Row],[Incentive ($)]]</f>
        <v>0</v>
      </c>
      <c r="AF282" s="182" t="str">
        <f>IFERROR(ProjectInput[[#This Row],[Net Project Cost ($)]]/ProjectInput[[#This Row],[Energy Cost Savings ($)]], "")</f>
        <v/>
      </c>
    </row>
    <row r="283" spans="2:32" s="175" customFormat="1" ht="40" customHeight="1">
      <c r="B283" s="213">
        <v>280</v>
      </c>
      <c r="C283" s="220"/>
      <c r="D283" s="219"/>
      <c r="E283" s="183"/>
      <c r="F283" s="167"/>
      <c r="G283" s="184"/>
      <c r="H283" s="167"/>
      <c r="I283" s="184"/>
      <c r="J28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3" s="183"/>
      <c r="L283" s="167"/>
      <c r="M283" s="184"/>
      <c r="N283" s="184"/>
      <c r="O283" s="184"/>
      <c r="P283" s="177" t="str">
        <f>IF(ProjectInput[[#This Row],[Existing Fixture Code]]=0, "",INDEX(Table7[WATT/ FIXT], MATCH(ProjectInput[[#This Row],[Existing Fixture Code]], Table7[FIXTURE CODE], 0)))</f>
        <v/>
      </c>
      <c r="Q283" s="183"/>
      <c r="R283" s="167"/>
      <c r="S283" s="184"/>
      <c r="T283" s="184"/>
      <c r="U283" s="184"/>
      <c r="V283" s="184"/>
      <c r="W283" s="167"/>
      <c r="X283" s="185"/>
      <c r="Y283" s="179" t="str">
        <f>IF(ProjectInput[[#This Row],[Proposed Fixture Code]]=0, "", INDEX(Table7[WATT/ FIXT], MATCH(ProjectInput[[#This Row],[Proposed Fixture Code]], Table7[FIXTURE CODE],0 )))</f>
        <v/>
      </c>
      <c r="Z283" s="180">
        <f>INDEX(ReviewCalcs[Incentive Total Energy Savings (kWh)], MATCH(ProjectInput[[#This Row],[Project Index]], ReviewCalcs[Project Index], 0))</f>
        <v>0</v>
      </c>
      <c r="AA283" s="172">
        <f>INDEX(ReviewCalcs[Incentive Total Demand Savings (kW)], MATCH(ProjectInput[[#This Row],[Project Index]], ReviewCalcs[Project Index], 0))</f>
        <v>0</v>
      </c>
      <c r="AB283" s="181">
        <f>ProjectInput[[#This Row],[Energy Savings (kWh)]]*Avg_KWh_Rate</f>
        <v>0</v>
      </c>
      <c r="AC283" s="173">
        <f>IF(C283="", 0, IF(C283="Cust.", INDEX(ReviewCalcs[Incentive ($)], MATCH(ProjectInput[[#This Row],[Project Index]], ReviewCalcs[Project Index], 0)), IF(AND(C283="Pres.", D283="1 to 6"), 3*Q283, IF(AND(C283="Pres.", D283="7 to 11"), 4*Q283, IF(AND(C283="Pres.", D283="12 to 17"), 5*Q283, IF(AND(C283="Pres.", D283="Exit Sign"), 20*Q283, IF(AND(C283="Pres.", D283="&gt; 18"), 6*Q283)))))))</f>
        <v>0</v>
      </c>
      <c r="AD283" s="181">
        <f>ProjectInput[[#This Row],[Retrofit Cost]]</f>
        <v>0</v>
      </c>
      <c r="AE283" s="181">
        <f>ProjectInput[[#This Row],[Retrofit Cost]]-ProjectInput[[#This Row],[Incentive ($)]]</f>
        <v>0</v>
      </c>
      <c r="AF283" s="182" t="str">
        <f>IFERROR(ProjectInput[[#This Row],[Net Project Cost ($)]]/ProjectInput[[#This Row],[Energy Cost Savings ($)]], "")</f>
        <v/>
      </c>
    </row>
    <row r="284" spans="2:32" s="175" customFormat="1" ht="40" customHeight="1">
      <c r="B284" s="213">
        <v>281</v>
      </c>
      <c r="C284" s="223"/>
      <c r="D284" s="224"/>
      <c r="E284" s="183"/>
      <c r="F284" s="167"/>
      <c r="G284" s="184"/>
      <c r="H284" s="167"/>
      <c r="I284" s="184"/>
      <c r="J28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4" s="183"/>
      <c r="L284" s="167"/>
      <c r="M284" s="184"/>
      <c r="N284" s="184"/>
      <c r="O284" s="184"/>
      <c r="P284" s="177" t="str">
        <f>IF(ProjectInput[[#This Row],[Existing Fixture Code]]=0, "",INDEX(Table7[WATT/ FIXT], MATCH(ProjectInput[[#This Row],[Existing Fixture Code]], Table7[FIXTURE CODE], 0)))</f>
        <v/>
      </c>
      <c r="Q284" s="183"/>
      <c r="R284" s="167"/>
      <c r="S284" s="184"/>
      <c r="T284" s="184"/>
      <c r="U284" s="184"/>
      <c r="V284" s="184"/>
      <c r="W284" s="167"/>
      <c r="X284" s="185"/>
      <c r="Y284" s="179" t="str">
        <f>IF(ProjectInput[[#This Row],[Proposed Fixture Code]]=0, "", INDEX(Table7[WATT/ FIXT], MATCH(ProjectInput[[#This Row],[Proposed Fixture Code]], Table7[FIXTURE CODE],0 )))</f>
        <v/>
      </c>
      <c r="Z284" s="180">
        <f>INDEX(ReviewCalcs[Incentive Total Energy Savings (kWh)], MATCH(ProjectInput[[#This Row],[Project Index]], ReviewCalcs[Project Index], 0))</f>
        <v>0</v>
      </c>
      <c r="AA284" s="172">
        <f>INDEX(ReviewCalcs[Incentive Total Demand Savings (kW)], MATCH(ProjectInput[[#This Row],[Project Index]], ReviewCalcs[Project Index], 0))</f>
        <v>0</v>
      </c>
      <c r="AB284" s="181">
        <f>ProjectInput[[#This Row],[Energy Savings (kWh)]]*Avg_KWh_Rate</f>
        <v>0</v>
      </c>
      <c r="AC284" s="173">
        <f>IF(C284="", 0, IF(C284="Cust.", INDEX(ReviewCalcs[Incentive ($)], MATCH(ProjectInput[[#This Row],[Project Index]], ReviewCalcs[Project Index], 0)), IF(AND(C284="Pres.", D284="1 to 6"), 3*Q284, IF(AND(C284="Pres.", D284="7 to 11"), 4*Q284, IF(AND(C284="Pres.", D284="12 to 17"), 5*Q284, IF(AND(C284="Pres.", D284="Exit Sign"), 20*Q284, IF(AND(C284="Pres.", D284="&gt; 18"), 6*Q284)))))))</f>
        <v>0</v>
      </c>
      <c r="AD284" s="181">
        <f>ProjectInput[[#This Row],[Retrofit Cost]]</f>
        <v>0</v>
      </c>
      <c r="AE284" s="181">
        <f>ProjectInput[[#This Row],[Retrofit Cost]]-ProjectInput[[#This Row],[Incentive ($)]]</f>
        <v>0</v>
      </c>
      <c r="AF284" s="182" t="str">
        <f>IFERROR(ProjectInput[[#This Row],[Net Project Cost ($)]]/ProjectInput[[#This Row],[Energy Cost Savings ($)]], "")</f>
        <v/>
      </c>
    </row>
    <row r="285" spans="2:32" s="175" customFormat="1" ht="40" customHeight="1">
      <c r="B285" s="213">
        <v>282</v>
      </c>
      <c r="C285" s="220"/>
      <c r="D285" s="219"/>
      <c r="E285" s="183"/>
      <c r="F285" s="167"/>
      <c r="G285" s="184"/>
      <c r="H285" s="167"/>
      <c r="I285" s="184"/>
      <c r="J28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5" s="183"/>
      <c r="L285" s="167"/>
      <c r="M285" s="184"/>
      <c r="N285" s="184"/>
      <c r="O285" s="184"/>
      <c r="P285" s="177" t="str">
        <f>IF(ProjectInput[[#This Row],[Existing Fixture Code]]=0, "",INDEX(Table7[WATT/ FIXT], MATCH(ProjectInput[[#This Row],[Existing Fixture Code]], Table7[FIXTURE CODE], 0)))</f>
        <v/>
      </c>
      <c r="Q285" s="183"/>
      <c r="R285" s="167"/>
      <c r="S285" s="184"/>
      <c r="T285" s="184"/>
      <c r="U285" s="184"/>
      <c r="V285" s="184"/>
      <c r="W285" s="167"/>
      <c r="X285" s="185"/>
      <c r="Y285" s="179" t="str">
        <f>IF(ProjectInput[[#This Row],[Proposed Fixture Code]]=0, "", INDEX(Table7[WATT/ FIXT], MATCH(ProjectInput[[#This Row],[Proposed Fixture Code]], Table7[FIXTURE CODE],0 )))</f>
        <v/>
      </c>
      <c r="Z285" s="180">
        <f>INDEX(ReviewCalcs[Incentive Total Energy Savings (kWh)], MATCH(ProjectInput[[#This Row],[Project Index]], ReviewCalcs[Project Index], 0))</f>
        <v>0</v>
      </c>
      <c r="AA285" s="172">
        <f>INDEX(ReviewCalcs[Incentive Total Demand Savings (kW)], MATCH(ProjectInput[[#This Row],[Project Index]], ReviewCalcs[Project Index], 0))</f>
        <v>0</v>
      </c>
      <c r="AB285" s="181">
        <f>ProjectInput[[#This Row],[Energy Savings (kWh)]]*Avg_KWh_Rate</f>
        <v>0</v>
      </c>
      <c r="AC285" s="173">
        <f>IF(C285="", 0, IF(C285="Cust.", INDEX(ReviewCalcs[Incentive ($)], MATCH(ProjectInput[[#This Row],[Project Index]], ReviewCalcs[Project Index], 0)), IF(AND(C285="Pres.", D285="1 to 6"), 3*Q285, IF(AND(C285="Pres.", D285="7 to 11"), 4*Q285, IF(AND(C285="Pres.", D285="12 to 17"), 5*Q285, IF(AND(C285="Pres.", D285="Exit Sign"), 20*Q285, IF(AND(C285="Pres.", D285="&gt; 18"), 6*Q285)))))))</f>
        <v>0</v>
      </c>
      <c r="AD285" s="181">
        <f>ProjectInput[[#This Row],[Retrofit Cost]]</f>
        <v>0</v>
      </c>
      <c r="AE285" s="181">
        <f>ProjectInput[[#This Row],[Retrofit Cost]]-ProjectInput[[#This Row],[Incentive ($)]]</f>
        <v>0</v>
      </c>
      <c r="AF285" s="182" t="str">
        <f>IFERROR(ProjectInput[[#This Row],[Net Project Cost ($)]]/ProjectInput[[#This Row],[Energy Cost Savings ($)]], "")</f>
        <v/>
      </c>
    </row>
    <row r="286" spans="2:32" s="175" customFormat="1" ht="40" customHeight="1">
      <c r="B286" s="213">
        <v>283</v>
      </c>
      <c r="C286" s="223"/>
      <c r="D286" s="224"/>
      <c r="E286" s="183"/>
      <c r="F286" s="167"/>
      <c r="G286" s="184"/>
      <c r="H286" s="167"/>
      <c r="I286" s="184"/>
      <c r="J28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6" s="183"/>
      <c r="L286" s="167"/>
      <c r="M286" s="184"/>
      <c r="N286" s="184"/>
      <c r="O286" s="184"/>
      <c r="P286" s="177" t="str">
        <f>IF(ProjectInput[[#This Row],[Existing Fixture Code]]=0, "",INDEX(Table7[WATT/ FIXT], MATCH(ProjectInput[[#This Row],[Existing Fixture Code]], Table7[FIXTURE CODE], 0)))</f>
        <v/>
      </c>
      <c r="Q286" s="183"/>
      <c r="R286" s="167"/>
      <c r="S286" s="184"/>
      <c r="T286" s="184"/>
      <c r="U286" s="184"/>
      <c r="V286" s="184"/>
      <c r="W286" s="167"/>
      <c r="X286" s="185"/>
      <c r="Y286" s="179" t="str">
        <f>IF(ProjectInput[[#This Row],[Proposed Fixture Code]]=0, "", INDEX(Table7[WATT/ FIXT], MATCH(ProjectInput[[#This Row],[Proposed Fixture Code]], Table7[FIXTURE CODE],0 )))</f>
        <v/>
      </c>
      <c r="Z286" s="180">
        <f>INDEX(ReviewCalcs[Incentive Total Energy Savings (kWh)], MATCH(ProjectInput[[#This Row],[Project Index]], ReviewCalcs[Project Index], 0))</f>
        <v>0</v>
      </c>
      <c r="AA286" s="172">
        <f>INDEX(ReviewCalcs[Incentive Total Demand Savings (kW)], MATCH(ProjectInput[[#This Row],[Project Index]], ReviewCalcs[Project Index], 0))</f>
        <v>0</v>
      </c>
      <c r="AB286" s="181">
        <f>ProjectInput[[#This Row],[Energy Savings (kWh)]]*Avg_KWh_Rate</f>
        <v>0</v>
      </c>
      <c r="AC286" s="173">
        <f>IF(C286="", 0, IF(C286="Cust.", INDEX(ReviewCalcs[Incentive ($)], MATCH(ProjectInput[[#This Row],[Project Index]], ReviewCalcs[Project Index], 0)), IF(AND(C286="Pres.", D286="1 to 6"), 3*Q286, IF(AND(C286="Pres.", D286="7 to 11"), 4*Q286, IF(AND(C286="Pres.", D286="12 to 17"), 5*Q286, IF(AND(C286="Pres.", D286="Exit Sign"), 20*Q286, IF(AND(C286="Pres.", D286="&gt; 18"), 6*Q286)))))))</f>
        <v>0</v>
      </c>
      <c r="AD286" s="181">
        <f>ProjectInput[[#This Row],[Retrofit Cost]]</f>
        <v>0</v>
      </c>
      <c r="AE286" s="181">
        <f>ProjectInput[[#This Row],[Retrofit Cost]]-ProjectInput[[#This Row],[Incentive ($)]]</f>
        <v>0</v>
      </c>
      <c r="AF286" s="182" t="str">
        <f>IFERROR(ProjectInput[[#This Row],[Net Project Cost ($)]]/ProjectInput[[#This Row],[Energy Cost Savings ($)]], "")</f>
        <v/>
      </c>
    </row>
    <row r="287" spans="2:32" s="175" customFormat="1" ht="40" customHeight="1">
      <c r="B287" s="213">
        <v>284</v>
      </c>
      <c r="C287" s="220"/>
      <c r="D287" s="219"/>
      <c r="E287" s="183"/>
      <c r="F287" s="167"/>
      <c r="G287" s="184"/>
      <c r="H287" s="167"/>
      <c r="I287" s="184"/>
      <c r="J28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7" s="183"/>
      <c r="L287" s="167"/>
      <c r="M287" s="184"/>
      <c r="N287" s="184"/>
      <c r="O287" s="184"/>
      <c r="P287" s="177" t="str">
        <f>IF(ProjectInput[[#This Row],[Existing Fixture Code]]=0, "",INDEX(Table7[WATT/ FIXT], MATCH(ProjectInput[[#This Row],[Existing Fixture Code]], Table7[FIXTURE CODE], 0)))</f>
        <v/>
      </c>
      <c r="Q287" s="183"/>
      <c r="R287" s="167"/>
      <c r="S287" s="184"/>
      <c r="T287" s="184"/>
      <c r="U287" s="184"/>
      <c r="V287" s="184"/>
      <c r="W287" s="167"/>
      <c r="X287" s="185"/>
      <c r="Y287" s="179" t="str">
        <f>IF(ProjectInput[[#This Row],[Proposed Fixture Code]]=0, "", INDEX(Table7[WATT/ FIXT], MATCH(ProjectInput[[#This Row],[Proposed Fixture Code]], Table7[FIXTURE CODE],0 )))</f>
        <v/>
      </c>
      <c r="Z287" s="180">
        <f>INDEX(ReviewCalcs[Incentive Total Energy Savings (kWh)], MATCH(ProjectInput[[#This Row],[Project Index]], ReviewCalcs[Project Index], 0))</f>
        <v>0</v>
      </c>
      <c r="AA287" s="172">
        <f>INDEX(ReviewCalcs[Incentive Total Demand Savings (kW)], MATCH(ProjectInput[[#This Row],[Project Index]], ReviewCalcs[Project Index], 0))</f>
        <v>0</v>
      </c>
      <c r="AB287" s="181">
        <f>ProjectInput[[#This Row],[Energy Savings (kWh)]]*Avg_KWh_Rate</f>
        <v>0</v>
      </c>
      <c r="AC287" s="173">
        <f>IF(C287="", 0, IF(C287="Cust.", INDEX(ReviewCalcs[Incentive ($)], MATCH(ProjectInput[[#This Row],[Project Index]], ReviewCalcs[Project Index], 0)), IF(AND(C287="Pres.", D287="1 to 6"), 3*Q287, IF(AND(C287="Pres.", D287="7 to 11"), 4*Q287, IF(AND(C287="Pres.", D287="12 to 17"), 5*Q287, IF(AND(C287="Pres.", D287="Exit Sign"), 20*Q287, IF(AND(C287="Pres.", D287="&gt; 18"), 6*Q287)))))))</f>
        <v>0</v>
      </c>
      <c r="AD287" s="181">
        <f>ProjectInput[[#This Row],[Retrofit Cost]]</f>
        <v>0</v>
      </c>
      <c r="AE287" s="181">
        <f>ProjectInput[[#This Row],[Retrofit Cost]]-ProjectInput[[#This Row],[Incentive ($)]]</f>
        <v>0</v>
      </c>
      <c r="AF287" s="182" t="str">
        <f>IFERROR(ProjectInput[[#This Row],[Net Project Cost ($)]]/ProjectInput[[#This Row],[Energy Cost Savings ($)]], "")</f>
        <v/>
      </c>
    </row>
    <row r="288" spans="2:32" s="175" customFormat="1" ht="40" customHeight="1">
      <c r="B288" s="213">
        <v>285</v>
      </c>
      <c r="C288" s="223"/>
      <c r="D288" s="224"/>
      <c r="E288" s="183"/>
      <c r="F288" s="167"/>
      <c r="G288" s="184"/>
      <c r="H288" s="167"/>
      <c r="I288" s="184"/>
      <c r="J28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8" s="183"/>
      <c r="L288" s="167"/>
      <c r="M288" s="184"/>
      <c r="N288" s="184"/>
      <c r="O288" s="184"/>
      <c r="P288" s="177" t="str">
        <f>IF(ProjectInput[[#This Row],[Existing Fixture Code]]=0, "",INDEX(Table7[WATT/ FIXT], MATCH(ProjectInput[[#This Row],[Existing Fixture Code]], Table7[FIXTURE CODE], 0)))</f>
        <v/>
      </c>
      <c r="Q288" s="183"/>
      <c r="R288" s="167"/>
      <c r="S288" s="184"/>
      <c r="T288" s="184"/>
      <c r="U288" s="184"/>
      <c r="V288" s="184"/>
      <c r="W288" s="167"/>
      <c r="X288" s="185"/>
      <c r="Y288" s="179" t="str">
        <f>IF(ProjectInput[[#This Row],[Proposed Fixture Code]]=0, "", INDEX(Table7[WATT/ FIXT], MATCH(ProjectInput[[#This Row],[Proposed Fixture Code]], Table7[FIXTURE CODE],0 )))</f>
        <v/>
      </c>
      <c r="Z288" s="180">
        <f>INDEX(ReviewCalcs[Incentive Total Energy Savings (kWh)], MATCH(ProjectInput[[#This Row],[Project Index]], ReviewCalcs[Project Index], 0))</f>
        <v>0</v>
      </c>
      <c r="AA288" s="172">
        <f>INDEX(ReviewCalcs[Incentive Total Demand Savings (kW)], MATCH(ProjectInput[[#This Row],[Project Index]], ReviewCalcs[Project Index], 0))</f>
        <v>0</v>
      </c>
      <c r="AB288" s="181">
        <f>ProjectInput[[#This Row],[Energy Savings (kWh)]]*Avg_KWh_Rate</f>
        <v>0</v>
      </c>
      <c r="AC288" s="173">
        <f>IF(C288="", 0, IF(C288="Cust.", INDEX(ReviewCalcs[Incentive ($)], MATCH(ProjectInput[[#This Row],[Project Index]], ReviewCalcs[Project Index], 0)), IF(AND(C288="Pres.", D288="1 to 6"), 3*Q288, IF(AND(C288="Pres.", D288="7 to 11"), 4*Q288, IF(AND(C288="Pres.", D288="12 to 17"), 5*Q288, IF(AND(C288="Pres.", D288="Exit Sign"), 20*Q288, IF(AND(C288="Pres.", D288="&gt; 18"), 6*Q288)))))))</f>
        <v>0</v>
      </c>
      <c r="AD288" s="181">
        <f>ProjectInput[[#This Row],[Retrofit Cost]]</f>
        <v>0</v>
      </c>
      <c r="AE288" s="181">
        <f>ProjectInput[[#This Row],[Retrofit Cost]]-ProjectInput[[#This Row],[Incentive ($)]]</f>
        <v>0</v>
      </c>
      <c r="AF288" s="182" t="str">
        <f>IFERROR(ProjectInput[[#This Row],[Net Project Cost ($)]]/ProjectInput[[#This Row],[Energy Cost Savings ($)]], "")</f>
        <v/>
      </c>
    </row>
    <row r="289" spans="2:32" s="175" customFormat="1" ht="40" customHeight="1">
      <c r="B289" s="213">
        <v>286</v>
      </c>
      <c r="C289" s="220"/>
      <c r="D289" s="219"/>
      <c r="E289" s="183"/>
      <c r="F289" s="167"/>
      <c r="G289" s="184"/>
      <c r="H289" s="167"/>
      <c r="I289" s="184"/>
      <c r="J28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89" s="183"/>
      <c r="L289" s="167"/>
      <c r="M289" s="184"/>
      <c r="N289" s="184"/>
      <c r="O289" s="184"/>
      <c r="P289" s="177" t="str">
        <f>IF(ProjectInput[[#This Row],[Existing Fixture Code]]=0, "",INDEX(Table7[WATT/ FIXT], MATCH(ProjectInput[[#This Row],[Existing Fixture Code]], Table7[FIXTURE CODE], 0)))</f>
        <v/>
      </c>
      <c r="Q289" s="183"/>
      <c r="R289" s="167"/>
      <c r="S289" s="184"/>
      <c r="T289" s="184"/>
      <c r="U289" s="184"/>
      <c r="V289" s="184"/>
      <c r="W289" s="167"/>
      <c r="X289" s="185"/>
      <c r="Y289" s="179" t="str">
        <f>IF(ProjectInput[[#This Row],[Proposed Fixture Code]]=0, "", INDEX(Table7[WATT/ FIXT], MATCH(ProjectInput[[#This Row],[Proposed Fixture Code]], Table7[FIXTURE CODE],0 )))</f>
        <v/>
      </c>
      <c r="Z289" s="180">
        <f>INDEX(ReviewCalcs[Incentive Total Energy Savings (kWh)], MATCH(ProjectInput[[#This Row],[Project Index]], ReviewCalcs[Project Index], 0))</f>
        <v>0</v>
      </c>
      <c r="AA289" s="172">
        <f>INDEX(ReviewCalcs[Incentive Total Demand Savings (kW)], MATCH(ProjectInput[[#This Row],[Project Index]], ReviewCalcs[Project Index], 0))</f>
        <v>0</v>
      </c>
      <c r="AB289" s="181">
        <f>ProjectInput[[#This Row],[Energy Savings (kWh)]]*Avg_KWh_Rate</f>
        <v>0</v>
      </c>
      <c r="AC289" s="173">
        <f>IF(C289="", 0, IF(C289="Cust.", INDEX(ReviewCalcs[Incentive ($)], MATCH(ProjectInput[[#This Row],[Project Index]], ReviewCalcs[Project Index], 0)), IF(AND(C289="Pres.", D289="1 to 6"), 3*Q289, IF(AND(C289="Pres.", D289="7 to 11"), 4*Q289, IF(AND(C289="Pres.", D289="12 to 17"), 5*Q289, IF(AND(C289="Pres.", D289="Exit Sign"), 20*Q289, IF(AND(C289="Pres.", D289="&gt; 18"), 6*Q289)))))))</f>
        <v>0</v>
      </c>
      <c r="AD289" s="181">
        <f>ProjectInput[[#This Row],[Retrofit Cost]]</f>
        <v>0</v>
      </c>
      <c r="AE289" s="181">
        <f>ProjectInput[[#This Row],[Retrofit Cost]]-ProjectInput[[#This Row],[Incentive ($)]]</f>
        <v>0</v>
      </c>
      <c r="AF289" s="182" t="str">
        <f>IFERROR(ProjectInput[[#This Row],[Net Project Cost ($)]]/ProjectInput[[#This Row],[Energy Cost Savings ($)]], "")</f>
        <v/>
      </c>
    </row>
    <row r="290" spans="2:32" s="175" customFormat="1" ht="40" customHeight="1">
      <c r="B290" s="213">
        <v>287</v>
      </c>
      <c r="C290" s="223"/>
      <c r="D290" s="224"/>
      <c r="E290" s="183"/>
      <c r="F290" s="167"/>
      <c r="G290" s="184"/>
      <c r="H290" s="167"/>
      <c r="I290" s="184"/>
      <c r="J29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0" s="183"/>
      <c r="L290" s="167"/>
      <c r="M290" s="184"/>
      <c r="N290" s="184"/>
      <c r="O290" s="184"/>
      <c r="P290" s="177" t="str">
        <f>IF(ProjectInput[[#This Row],[Existing Fixture Code]]=0, "",INDEX(Table7[WATT/ FIXT], MATCH(ProjectInput[[#This Row],[Existing Fixture Code]], Table7[FIXTURE CODE], 0)))</f>
        <v/>
      </c>
      <c r="Q290" s="183"/>
      <c r="R290" s="167"/>
      <c r="S290" s="184"/>
      <c r="T290" s="184"/>
      <c r="U290" s="184"/>
      <c r="V290" s="184"/>
      <c r="W290" s="167"/>
      <c r="X290" s="185"/>
      <c r="Y290" s="179" t="str">
        <f>IF(ProjectInput[[#This Row],[Proposed Fixture Code]]=0, "", INDEX(Table7[WATT/ FIXT], MATCH(ProjectInput[[#This Row],[Proposed Fixture Code]], Table7[FIXTURE CODE],0 )))</f>
        <v/>
      </c>
      <c r="Z290" s="180">
        <f>INDEX(ReviewCalcs[Incentive Total Energy Savings (kWh)], MATCH(ProjectInput[[#This Row],[Project Index]], ReviewCalcs[Project Index], 0))</f>
        <v>0</v>
      </c>
      <c r="AA290" s="172">
        <f>INDEX(ReviewCalcs[Incentive Total Demand Savings (kW)], MATCH(ProjectInput[[#This Row],[Project Index]], ReviewCalcs[Project Index], 0))</f>
        <v>0</v>
      </c>
      <c r="AB290" s="181">
        <f>ProjectInput[[#This Row],[Energy Savings (kWh)]]*Avg_KWh_Rate</f>
        <v>0</v>
      </c>
      <c r="AC290" s="173">
        <f>IF(C290="", 0, IF(C290="Cust.", INDEX(ReviewCalcs[Incentive ($)], MATCH(ProjectInput[[#This Row],[Project Index]], ReviewCalcs[Project Index], 0)), IF(AND(C290="Pres.", D290="1 to 6"), 3*Q290, IF(AND(C290="Pres.", D290="7 to 11"), 4*Q290, IF(AND(C290="Pres.", D290="12 to 17"), 5*Q290, IF(AND(C290="Pres.", D290="Exit Sign"), 20*Q290, IF(AND(C290="Pres.", D290="&gt; 18"), 6*Q290)))))))</f>
        <v>0</v>
      </c>
      <c r="AD290" s="181">
        <f>ProjectInput[[#This Row],[Retrofit Cost]]</f>
        <v>0</v>
      </c>
      <c r="AE290" s="181">
        <f>ProjectInput[[#This Row],[Retrofit Cost]]-ProjectInput[[#This Row],[Incentive ($)]]</f>
        <v>0</v>
      </c>
      <c r="AF290" s="182" t="str">
        <f>IFERROR(ProjectInput[[#This Row],[Net Project Cost ($)]]/ProjectInput[[#This Row],[Energy Cost Savings ($)]], "")</f>
        <v/>
      </c>
    </row>
    <row r="291" spans="2:32" s="175" customFormat="1" ht="40" customHeight="1">
      <c r="B291" s="213">
        <v>288</v>
      </c>
      <c r="C291" s="220"/>
      <c r="D291" s="219"/>
      <c r="E291" s="183"/>
      <c r="F291" s="167"/>
      <c r="G291" s="184"/>
      <c r="H291" s="167"/>
      <c r="I291" s="184"/>
      <c r="J29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1" s="183"/>
      <c r="L291" s="167"/>
      <c r="M291" s="184"/>
      <c r="N291" s="184"/>
      <c r="O291" s="184"/>
      <c r="P291" s="177" t="str">
        <f>IF(ProjectInput[[#This Row],[Existing Fixture Code]]=0, "",INDEX(Table7[WATT/ FIXT], MATCH(ProjectInput[[#This Row],[Existing Fixture Code]], Table7[FIXTURE CODE], 0)))</f>
        <v/>
      </c>
      <c r="Q291" s="183"/>
      <c r="R291" s="167"/>
      <c r="S291" s="184"/>
      <c r="T291" s="184"/>
      <c r="U291" s="184"/>
      <c r="V291" s="184"/>
      <c r="W291" s="167"/>
      <c r="X291" s="185"/>
      <c r="Y291" s="179" t="str">
        <f>IF(ProjectInput[[#This Row],[Proposed Fixture Code]]=0, "", INDEX(Table7[WATT/ FIXT], MATCH(ProjectInput[[#This Row],[Proposed Fixture Code]], Table7[FIXTURE CODE],0 )))</f>
        <v/>
      </c>
      <c r="Z291" s="180">
        <f>INDEX(ReviewCalcs[Incentive Total Energy Savings (kWh)], MATCH(ProjectInput[[#This Row],[Project Index]], ReviewCalcs[Project Index], 0))</f>
        <v>0</v>
      </c>
      <c r="AA291" s="172">
        <f>INDEX(ReviewCalcs[Incentive Total Demand Savings (kW)], MATCH(ProjectInput[[#This Row],[Project Index]], ReviewCalcs[Project Index], 0))</f>
        <v>0</v>
      </c>
      <c r="AB291" s="181">
        <f>ProjectInput[[#This Row],[Energy Savings (kWh)]]*Avg_KWh_Rate</f>
        <v>0</v>
      </c>
      <c r="AC291" s="173">
        <f>IF(C291="", 0, IF(C291="Cust.", INDEX(ReviewCalcs[Incentive ($)], MATCH(ProjectInput[[#This Row],[Project Index]], ReviewCalcs[Project Index], 0)), IF(AND(C291="Pres.", D291="1 to 6"), 3*Q291, IF(AND(C291="Pres.", D291="7 to 11"), 4*Q291, IF(AND(C291="Pres.", D291="12 to 17"), 5*Q291, IF(AND(C291="Pres.", D291="Exit Sign"), 20*Q291, IF(AND(C291="Pres.", D291="&gt; 18"), 6*Q291)))))))</f>
        <v>0</v>
      </c>
      <c r="AD291" s="181">
        <f>ProjectInput[[#This Row],[Retrofit Cost]]</f>
        <v>0</v>
      </c>
      <c r="AE291" s="181">
        <f>ProjectInput[[#This Row],[Retrofit Cost]]-ProjectInput[[#This Row],[Incentive ($)]]</f>
        <v>0</v>
      </c>
      <c r="AF291" s="182" t="str">
        <f>IFERROR(ProjectInput[[#This Row],[Net Project Cost ($)]]/ProjectInput[[#This Row],[Energy Cost Savings ($)]], "")</f>
        <v/>
      </c>
    </row>
    <row r="292" spans="2:32" s="175" customFormat="1" ht="40" customHeight="1">
      <c r="B292" s="213">
        <v>289</v>
      </c>
      <c r="C292" s="223"/>
      <c r="D292" s="224"/>
      <c r="E292" s="183"/>
      <c r="F292" s="167"/>
      <c r="G292" s="184"/>
      <c r="H292" s="167"/>
      <c r="I292" s="184"/>
      <c r="J29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2" s="183"/>
      <c r="L292" s="167"/>
      <c r="M292" s="184"/>
      <c r="N292" s="184"/>
      <c r="O292" s="184"/>
      <c r="P292" s="177" t="str">
        <f>IF(ProjectInput[[#This Row],[Existing Fixture Code]]=0, "",INDEX(Table7[WATT/ FIXT], MATCH(ProjectInput[[#This Row],[Existing Fixture Code]], Table7[FIXTURE CODE], 0)))</f>
        <v/>
      </c>
      <c r="Q292" s="183"/>
      <c r="R292" s="167"/>
      <c r="S292" s="184"/>
      <c r="T292" s="184"/>
      <c r="U292" s="184"/>
      <c r="V292" s="184"/>
      <c r="W292" s="167"/>
      <c r="X292" s="185"/>
      <c r="Y292" s="179" t="str">
        <f>IF(ProjectInput[[#This Row],[Proposed Fixture Code]]=0, "", INDEX(Table7[WATT/ FIXT], MATCH(ProjectInput[[#This Row],[Proposed Fixture Code]], Table7[FIXTURE CODE],0 )))</f>
        <v/>
      </c>
      <c r="Z292" s="180">
        <f>INDEX(ReviewCalcs[Incentive Total Energy Savings (kWh)], MATCH(ProjectInput[[#This Row],[Project Index]], ReviewCalcs[Project Index], 0))</f>
        <v>0</v>
      </c>
      <c r="AA292" s="172">
        <f>INDEX(ReviewCalcs[Incentive Total Demand Savings (kW)], MATCH(ProjectInput[[#This Row],[Project Index]], ReviewCalcs[Project Index], 0))</f>
        <v>0</v>
      </c>
      <c r="AB292" s="181">
        <f>ProjectInput[[#This Row],[Energy Savings (kWh)]]*Avg_KWh_Rate</f>
        <v>0</v>
      </c>
      <c r="AC292" s="173">
        <f>IF(C292="", 0, IF(C292="Cust.", INDEX(ReviewCalcs[Incentive ($)], MATCH(ProjectInput[[#This Row],[Project Index]], ReviewCalcs[Project Index], 0)), IF(AND(C292="Pres.", D292="1 to 6"), 3*Q292, IF(AND(C292="Pres.", D292="7 to 11"), 4*Q292, IF(AND(C292="Pres.", D292="12 to 17"), 5*Q292, IF(AND(C292="Pres.", D292="Exit Sign"), 20*Q292, IF(AND(C292="Pres.", D292="&gt; 18"), 6*Q292)))))))</f>
        <v>0</v>
      </c>
      <c r="AD292" s="181">
        <f>ProjectInput[[#This Row],[Retrofit Cost]]</f>
        <v>0</v>
      </c>
      <c r="AE292" s="181">
        <f>ProjectInput[[#This Row],[Retrofit Cost]]-ProjectInput[[#This Row],[Incentive ($)]]</f>
        <v>0</v>
      </c>
      <c r="AF292" s="182" t="str">
        <f>IFERROR(ProjectInput[[#This Row],[Net Project Cost ($)]]/ProjectInput[[#This Row],[Energy Cost Savings ($)]], "")</f>
        <v/>
      </c>
    </row>
    <row r="293" spans="2:32" s="175" customFormat="1" ht="40" customHeight="1">
      <c r="B293" s="213">
        <v>290</v>
      </c>
      <c r="C293" s="220"/>
      <c r="D293" s="219"/>
      <c r="E293" s="183"/>
      <c r="F293" s="167"/>
      <c r="G293" s="184"/>
      <c r="H293" s="167"/>
      <c r="I293" s="184"/>
      <c r="J293"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3" s="183"/>
      <c r="L293" s="167"/>
      <c r="M293" s="184"/>
      <c r="N293" s="184"/>
      <c r="O293" s="184"/>
      <c r="P293" s="177" t="str">
        <f>IF(ProjectInput[[#This Row],[Existing Fixture Code]]=0, "",INDEX(Table7[WATT/ FIXT], MATCH(ProjectInput[[#This Row],[Existing Fixture Code]], Table7[FIXTURE CODE], 0)))</f>
        <v/>
      </c>
      <c r="Q293" s="183"/>
      <c r="R293" s="167"/>
      <c r="S293" s="184"/>
      <c r="T293" s="184"/>
      <c r="U293" s="184"/>
      <c r="V293" s="184"/>
      <c r="W293" s="167"/>
      <c r="X293" s="185"/>
      <c r="Y293" s="179" t="str">
        <f>IF(ProjectInput[[#This Row],[Proposed Fixture Code]]=0, "", INDEX(Table7[WATT/ FIXT], MATCH(ProjectInput[[#This Row],[Proposed Fixture Code]], Table7[FIXTURE CODE],0 )))</f>
        <v/>
      </c>
      <c r="Z293" s="180">
        <f>INDEX(ReviewCalcs[Incentive Total Energy Savings (kWh)], MATCH(ProjectInput[[#This Row],[Project Index]], ReviewCalcs[Project Index], 0))</f>
        <v>0</v>
      </c>
      <c r="AA293" s="172">
        <f>INDEX(ReviewCalcs[Incentive Total Demand Savings (kW)], MATCH(ProjectInput[[#This Row],[Project Index]], ReviewCalcs[Project Index], 0))</f>
        <v>0</v>
      </c>
      <c r="AB293" s="181">
        <f>ProjectInput[[#This Row],[Energy Savings (kWh)]]*Avg_KWh_Rate</f>
        <v>0</v>
      </c>
      <c r="AC293" s="173">
        <f>IF(C293="", 0, IF(C293="Cust.", INDEX(ReviewCalcs[Incentive ($)], MATCH(ProjectInput[[#This Row],[Project Index]], ReviewCalcs[Project Index], 0)), IF(AND(C293="Pres.", D293="1 to 6"), 3*Q293, IF(AND(C293="Pres.", D293="7 to 11"), 4*Q293, IF(AND(C293="Pres.", D293="12 to 17"), 5*Q293, IF(AND(C293="Pres.", D293="Exit Sign"), 20*Q293, IF(AND(C293="Pres.", D293="&gt; 18"), 6*Q293)))))))</f>
        <v>0</v>
      </c>
      <c r="AD293" s="181">
        <f>ProjectInput[[#This Row],[Retrofit Cost]]</f>
        <v>0</v>
      </c>
      <c r="AE293" s="181">
        <f>ProjectInput[[#This Row],[Retrofit Cost]]-ProjectInput[[#This Row],[Incentive ($)]]</f>
        <v>0</v>
      </c>
      <c r="AF293" s="182" t="str">
        <f>IFERROR(ProjectInput[[#This Row],[Net Project Cost ($)]]/ProjectInput[[#This Row],[Energy Cost Savings ($)]], "")</f>
        <v/>
      </c>
    </row>
    <row r="294" spans="2:32" s="175" customFormat="1" ht="40" customHeight="1">
      <c r="B294" s="213">
        <v>291</v>
      </c>
      <c r="C294" s="223"/>
      <c r="D294" s="224"/>
      <c r="E294" s="183"/>
      <c r="F294" s="167"/>
      <c r="G294" s="184"/>
      <c r="H294" s="167"/>
      <c r="I294" s="184"/>
      <c r="J294"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4" s="183"/>
      <c r="L294" s="167"/>
      <c r="M294" s="184"/>
      <c r="N294" s="184"/>
      <c r="O294" s="184"/>
      <c r="P294" s="177" t="str">
        <f>IF(ProjectInput[[#This Row],[Existing Fixture Code]]=0, "",INDEX(Table7[WATT/ FIXT], MATCH(ProjectInput[[#This Row],[Existing Fixture Code]], Table7[FIXTURE CODE], 0)))</f>
        <v/>
      </c>
      <c r="Q294" s="183"/>
      <c r="R294" s="167"/>
      <c r="S294" s="184"/>
      <c r="T294" s="184"/>
      <c r="U294" s="184"/>
      <c r="V294" s="184"/>
      <c r="W294" s="167"/>
      <c r="X294" s="185"/>
      <c r="Y294" s="179" t="str">
        <f>IF(ProjectInput[[#This Row],[Proposed Fixture Code]]=0, "", INDEX(Table7[WATT/ FIXT], MATCH(ProjectInput[[#This Row],[Proposed Fixture Code]], Table7[FIXTURE CODE],0 )))</f>
        <v/>
      </c>
      <c r="Z294" s="180">
        <f>INDEX(ReviewCalcs[Incentive Total Energy Savings (kWh)], MATCH(ProjectInput[[#This Row],[Project Index]], ReviewCalcs[Project Index], 0))</f>
        <v>0</v>
      </c>
      <c r="AA294" s="172">
        <f>INDEX(ReviewCalcs[Incentive Total Demand Savings (kW)], MATCH(ProjectInput[[#This Row],[Project Index]], ReviewCalcs[Project Index], 0))</f>
        <v>0</v>
      </c>
      <c r="AB294" s="181">
        <f>ProjectInput[[#This Row],[Energy Savings (kWh)]]*Avg_KWh_Rate</f>
        <v>0</v>
      </c>
      <c r="AC294" s="173">
        <f>IF(C294="", 0, IF(C294="Cust.", INDEX(ReviewCalcs[Incentive ($)], MATCH(ProjectInput[[#This Row],[Project Index]], ReviewCalcs[Project Index], 0)), IF(AND(C294="Pres.", D294="1 to 6"), 3*Q294, IF(AND(C294="Pres.", D294="7 to 11"), 4*Q294, IF(AND(C294="Pres.", D294="12 to 17"), 5*Q294, IF(AND(C294="Pres.", D294="Exit Sign"), 20*Q294, IF(AND(C294="Pres.", D294="&gt; 18"), 6*Q294)))))))</f>
        <v>0</v>
      </c>
      <c r="AD294" s="181">
        <f>ProjectInput[[#This Row],[Retrofit Cost]]</f>
        <v>0</v>
      </c>
      <c r="AE294" s="181">
        <f>ProjectInput[[#This Row],[Retrofit Cost]]-ProjectInput[[#This Row],[Incentive ($)]]</f>
        <v>0</v>
      </c>
      <c r="AF294" s="182" t="str">
        <f>IFERROR(ProjectInput[[#This Row],[Net Project Cost ($)]]/ProjectInput[[#This Row],[Energy Cost Savings ($)]], "")</f>
        <v/>
      </c>
    </row>
    <row r="295" spans="2:32" s="175" customFormat="1" ht="40" customHeight="1">
      <c r="B295" s="213">
        <v>292</v>
      </c>
      <c r="C295" s="220"/>
      <c r="D295" s="219"/>
      <c r="E295" s="183"/>
      <c r="F295" s="167"/>
      <c r="G295" s="184"/>
      <c r="H295" s="167"/>
      <c r="I295" s="184"/>
      <c r="J295"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5" s="183"/>
      <c r="L295" s="167"/>
      <c r="M295" s="184"/>
      <c r="N295" s="184"/>
      <c r="O295" s="184"/>
      <c r="P295" s="177" t="str">
        <f>IF(ProjectInput[[#This Row],[Existing Fixture Code]]=0, "",INDEX(Table7[WATT/ FIXT], MATCH(ProjectInput[[#This Row],[Existing Fixture Code]], Table7[FIXTURE CODE], 0)))</f>
        <v/>
      </c>
      <c r="Q295" s="183"/>
      <c r="R295" s="167"/>
      <c r="S295" s="184"/>
      <c r="T295" s="184"/>
      <c r="U295" s="184"/>
      <c r="V295" s="184"/>
      <c r="W295" s="167"/>
      <c r="X295" s="185"/>
      <c r="Y295" s="179" t="str">
        <f>IF(ProjectInput[[#This Row],[Proposed Fixture Code]]=0, "", INDEX(Table7[WATT/ FIXT], MATCH(ProjectInput[[#This Row],[Proposed Fixture Code]], Table7[FIXTURE CODE],0 )))</f>
        <v/>
      </c>
      <c r="Z295" s="180">
        <f>INDEX(ReviewCalcs[Incentive Total Energy Savings (kWh)], MATCH(ProjectInput[[#This Row],[Project Index]], ReviewCalcs[Project Index], 0))</f>
        <v>0</v>
      </c>
      <c r="AA295" s="172">
        <f>INDEX(ReviewCalcs[Incentive Total Demand Savings (kW)], MATCH(ProjectInput[[#This Row],[Project Index]], ReviewCalcs[Project Index], 0))</f>
        <v>0</v>
      </c>
      <c r="AB295" s="181">
        <f>ProjectInput[[#This Row],[Energy Savings (kWh)]]*Avg_KWh_Rate</f>
        <v>0</v>
      </c>
      <c r="AC295" s="173">
        <f>IF(C295="", 0, IF(C295="Cust.", INDEX(ReviewCalcs[Incentive ($)], MATCH(ProjectInput[[#This Row],[Project Index]], ReviewCalcs[Project Index], 0)), IF(AND(C295="Pres.", D295="1 to 6"), 3*Q295, IF(AND(C295="Pres.", D295="7 to 11"), 4*Q295, IF(AND(C295="Pres.", D295="12 to 17"), 5*Q295, IF(AND(C295="Pres.", D295="Exit Sign"), 20*Q295, IF(AND(C295="Pres.", D295="&gt; 18"), 6*Q295)))))))</f>
        <v>0</v>
      </c>
      <c r="AD295" s="181">
        <f>ProjectInput[[#This Row],[Retrofit Cost]]</f>
        <v>0</v>
      </c>
      <c r="AE295" s="181">
        <f>ProjectInput[[#This Row],[Retrofit Cost]]-ProjectInput[[#This Row],[Incentive ($)]]</f>
        <v>0</v>
      </c>
      <c r="AF295" s="182" t="str">
        <f>IFERROR(ProjectInput[[#This Row],[Net Project Cost ($)]]/ProjectInput[[#This Row],[Energy Cost Savings ($)]], "")</f>
        <v/>
      </c>
    </row>
    <row r="296" spans="2:32" s="175" customFormat="1" ht="40" customHeight="1">
      <c r="B296" s="213">
        <v>293</v>
      </c>
      <c r="C296" s="223"/>
      <c r="D296" s="224"/>
      <c r="E296" s="183"/>
      <c r="F296" s="167"/>
      <c r="G296" s="184"/>
      <c r="H296" s="167"/>
      <c r="I296" s="184"/>
      <c r="J296"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6" s="183"/>
      <c r="L296" s="167"/>
      <c r="M296" s="184"/>
      <c r="N296" s="184"/>
      <c r="O296" s="184"/>
      <c r="P296" s="177" t="str">
        <f>IF(ProjectInput[[#This Row],[Existing Fixture Code]]=0, "",INDEX(Table7[WATT/ FIXT], MATCH(ProjectInput[[#This Row],[Existing Fixture Code]], Table7[FIXTURE CODE], 0)))</f>
        <v/>
      </c>
      <c r="Q296" s="183"/>
      <c r="R296" s="167"/>
      <c r="S296" s="184"/>
      <c r="T296" s="184"/>
      <c r="U296" s="184"/>
      <c r="V296" s="184"/>
      <c r="W296" s="167"/>
      <c r="X296" s="185"/>
      <c r="Y296" s="179" t="str">
        <f>IF(ProjectInput[[#This Row],[Proposed Fixture Code]]=0, "", INDEX(Table7[WATT/ FIXT], MATCH(ProjectInput[[#This Row],[Proposed Fixture Code]], Table7[FIXTURE CODE],0 )))</f>
        <v/>
      </c>
      <c r="Z296" s="180">
        <f>INDEX(ReviewCalcs[Incentive Total Energy Savings (kWh)], MATCH(ProjectInput[[#This Row],[Project Index]], ReviewCalcs[Project Index], 0))</f>
        <v>0</v>
      </c>
      <c r="AA296" s="172">
        <f>INDEX(ReviewCalcs[Incentive Total Demand Savings (kW)], MATCH(ProjectInput[[#This Row],[Project Index]], ReviewCalcs[Project Index], 0))</f>
        <v>0</v>
      </c>
      <c r="AB296" s="181">
        <f>ProjectInput[[#This Row],[Energy Savings (kWh)]]*Avg_KWh_Rate</f>
        <v>0</v>
      </c>
      <c r="AC296" s="173">
        <f>IF(C296="", 0, IF(C296="Cust.", INDEX(ReviewCalcs[Incentive ($)], MATCH(ProjectInput[[#This Row],[Project Index]], ReviewCalcs[Project Index], 0)), IF(AND(C296="Pres.", D296="1 to 6"), 3*Q296, IF(AND(C296="Pres.", D296="7 to 11"), 4*Q296, IF(AND(C296="Pres.", D296="12 to 17"), 5*Q296, IF(AND(C296="Pres.", D296="Exit Sign"), 20*Q296, IF(AND(C296="Pres.", D296="&gt; 18"), 6*Q296)))))))</f>
        <v>0</v>
      </c>
      <c r="AD296" s="181">
        <f>ProjectInput[[#This Row],[Retrofit Cost]]</f>
        <v>0</v>
      </c>
      <c r="AE296" s="181">
        <f>ProjectInput[[#This Row],[Retrofit Cost]]-ProjectInput[[#This Row],[Incentive ($)]]</f>
        <v>0</v>
      </c>
      <c r="AF296" s="182" t="str">
        <f>IFERROR(ProjectInput[[#This Row],[Net Project Cost ($)]]/ProjectInput[[#This Row],[Energy Cost Savings ($)]], "")</f>
        <v/>
      </c>
    </row>
    <row r="297" spans="2:32" s="175" customFormat="1" ht="40" customHeight="1">
      <c r="B297" s="213">
        <v>294</v>
      </c>
      <c r="C297" s="220"/>
      <c r="D297" s="219"/>
      <c r="E297" s="183"/>
      <c r="F297" s="167"/>
      <c r="G297" s="184"/>
      <c r="H297" s="167"/>
      <c r="I297" s="184"/>
      <c r="J297"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7" s="183"/>
      <c r="L297" s="167"/>
      <c r="M297" s="184"/>
      <c r="N297" s="184"/>
      <c r="O297" s="184"/>
      <c r="P297" s="177" t="str">
        <f>IF(ProjectInput[[#This Row],[Existing Fixture Code]]=0, "",INDEX(Table7[WATT/ FIXT], MATCH(ProjectInput[[#This Row],[Existing Fixture Code]], Table7[FIXTURE CODE], 0)))</f>
        <v/>
      </c>
      <c r="Q297" s="183"/>
      <c r="R297" s="167"/>
      <c r="S297" s="184"/>
      <c r="T297" s="184"/>
      <c r="U297" s="184"/>
      <c r="V297" s="184"/>
      <c r="W297" s="167"/>
      <c r="X297" s="185"/>
      <c r="Y297" s="179" t="str">
        <f>IF(ProjectInput[[#This Row],[Proposed Fixture Code]]=0, "", INDEX(Table7[WATT/ FIXT], MATCH(ProjectInput[[#This Row],[Proposed Fixture Code]], Table7[FIXTURE CODE],0 )))</f>
        <v/>
      </c>
      <c r="Z297" s="180">
        <f>INDEX(ReviewCalcs[Incentive Total Energy Savings (kWh)], MATCH(ProjectInput[[#This Row],[Project Index]], ReviewCalcs[Project Index], 0))</f>
        <v>0</v>
      </c>
      <c r="AA297" s="172">
        <f>INDEX(ReviewCalcs[Incentive Total Demand Savings (kW)], MATCH(ProjectInput[[#This Row],[Project Index]], ReviewCalcs[Project Index], 0))</f>
        <v>0</v>
      </c>
      <c r="AB297" s="181">
        <f>ProjectInput[[#This Row],[Energy Savings (kWh)]]*Avg_KWh_Rate</f>
        <v>0</v>
      </c>
      <c r="AC297" s="173">
        <f>IF(C297="", 0, IF(C297="Cust.", INDEX(ReviewCalcs[Incentive ($)], MATCH(ProjectInput[[#This Row],[Project Index]], ReviewCalcs[Project Index], 0)), IF(AND(C297="Pres.", D297="1 to 6"), 3*Q297, IF(AND(C297="Pres.", D297="7 to 11"), 4*Q297, IF(AND(C297="Pres.", D297="12 to 17"), 5*Q297, IF(AND(C297="Pres.", D297="Exit Sign"), 20*Q297, IF(AND(C297="Pres.", D297="&gt; 18"), 6*Q297)))))))</f>
        <v>0</v>
      </c>
      <c r="AD297" s="181">
        <f>ProjectInput[[#This Row],[Retrofit Cost]]</f>
        <v>0</v>
      </c>
      <c r="AE297" s="181">
        <f>ProjectInput[[#This Row],[Retrofit Cost]]-ProjectInput[[#This Row],[Incentive ($)]]</f>
        <v>0</v>
      </c>
      <c r="AF297" s="182" t="str">
        <f>IFERROR(ProjectInput[[#This Row],[Net Project Cost ($)]]/ProjectInput[[#This Row],[Energy Cost Savings ($)]], "")</f>
        <v/>
      </c>
    </row>
    <row r="298" spans="2:32" s="175" customFormat="1" ht="40" customHeight="1">
      <c r="B298" s="213">
        <v>295</v>
      </c>
      <c r="C298" s="223"/>
      <c r="D298" s="224"/>
      <c r="E298" s="183"/>
      <c r="F298" s="167"/>
      <c r="G298" s="184"/>
      <c r="H298" s="167"/>
      <c r="I298" s="184"/>
      <c r="J298"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8" s="183"/>
      <c r="L298" s="167"/>
      <c r="M298" s="184"/>
      <c r="N298" s="184"/>
      <c r="O298" s="184"/>
      <c r="P298" s="177" t="str">
        <f>IF(ProjectInput[[#This Row],[Existing Fixture Code]]=0, "",INDEX(Table7[WATT/ FIXT], MATCH(ProjectInput[[#This Row],[Existing Fixture Code]], Table7[FIXTURE CODE], 0)))</f>
        <v/>
      </c>
      <c r="Q298" s="183"/>
      <c r="R298" s="167"/>
      <c r="S298" s="184"/>
      <c r="T298" s="184"/>
      <c r="U298" s="184"/>
      <c r="V298" s="184"/>
      <c r="W298" s="167"/>
      <c r="X298" s="185"/>
      <c r="Y298" s="179" t="str">
        <f>IF(ProjectInput[[#This Row],[Proposed Fixture Code]]=0, "", INDEX(Table7[WATT/ FIXT], MATCH(ProjectInput[[#This Row],[Proposed Fixture Code]], Table7[FIXTURE CODE],0 )))</f>
        <v/>
      </c>
      <c r="Z298" s="180">
        <f>INDEX(ReviewCalcs[Incentive Total Energy Savings (kWh)], MATCH(ProjectInput[[#This Row],[Project Index]], ReviewCalcs[Project Index], 0))</f>
        <v>0</v>
      </c>
      <c r="AA298" s="172">
        <f>INDEX(ReviewCalcs[Incentive Total Demand Savings (kW)], MATCH(ProjectInput[[#This Row],[Project Index]], ReviewCalcs[Project Index], 0))</f>
        <v>0</v>
      </c>
      <c r="AB298" s="181">
        <f>ProjectInput[[#This Row],[Energy Savings (kWh)]]*Avg_KWh_Rate</f>
        <v>0</v>
      </c>
      <c r="AC298" s="173">
        <f>IF(C298="", 0, IF(C298="Cust.", INDEX(ReviewCalcs[Incentive ($)], MATCH(ProjectInput[[#This Row],[Project Index]], ReviewCalcs[Project Index], 0)), IF(AND(C298="Pres.", D298="1 to 6"), 3*Q298, IF(AND(C298="Pres.", D298="7 to 11"), 4*Q298, IF(AND(C298="Pres.", D298="12 to 17"), 5*Q298, IF(AND(C298="Pres.", D298="Exit Sign"), 20*Q298, IF(AND(C298="Pres.", D298="&gt; 18"), 6*Q298)))))))</f>
        <v>0</v>
      </c>
      <c r="AD298" s="181">
        <f>ProjectInput[[#This Row],[Retrofit Cost]]</f>
        <v>0</v>
      </c>
      <c r="AE298" s="181">
        <f>ProjectInput[[#This Row],[Retrofit Cost]]-ProjectInput[[#This Row],[Incentive ($)]]</f>
        <v>0</v>
      </c>
      <c r="AF298" s="182" t="str">
        <f>IFERROR(ProjectInput[[#This Row],[Net Project Cost ($)]]/ProjectInput[[#This Row],[Energy Cost Savings ($)]], "")</f>
        <v/>
      </c>
    </row>
    <row r="299" spans="2:32" s="175" customFormat="1" ht="40" customHeight="1">
      <c r="B299" s="213">
        <v>296</v>
      </c>
      <c r="C299" s="220"/>
      <c r="D299" s="219"/>
      <c r="E299" s="183"/>
      <c r="F299" s="167"/>
      <c r="G299" s="184"/>
      <c r="H299" s="167"/>
      <c r="I299" s="184"/>
      <c r="J299"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299" s="183"/>
      <c r="L299" s="167"/>
      <c r="M299" s="184"/>
      <c r="N299" s="184"/>
      <c r="O299" s="184"/>
      <c r="P299" s="177" t="str">
        <f>IF(ProjectInput[[#This Row],[Existing Fixture Code]]=0, "",INDEX(Table7[WATT/ FIXT], MATCH(ProjectInput[[#This Row],[Existing Fixture Code]], Table7[FIXTURE CODE], 0)))</f>
        <v/>
      </c>
      <c r="Q299" s="183"/>
      <c r="R299" s="167"/>
      <c r="S299" s="184"/>
      <c r="T299" s="184"/>
      <c r="U299" s="184"/>
      <c r="V299" s="184"/>
      <c r="W299" s="167"/>
      <c r="X299" s="185"/>
      <c r="Y299" s="179" t="str">
        <f>IF(ProjectInput[[#This Row],[Proposed Fixture Code]]=0, "", INDEX(Table7[WATT/ FIXT], MATCH(ProjectInput[[#This Row],[Proposed Fixture Code]], Table7[FIXTURE CODE],0 )))</f>
        <v/>
      </c>
      <c r="Z299" s="180">
        <f>INDEX(ReviewCalcs[Incentive Total Energy Savings (kWh)], MATCH(ProjectInput[[#This Row],[Project Index]], ReviewCalcs[Project Index], 0))</f>
        <v>0</v>
      </c>
      <c r="AA299" s="172">
        <f>INDEX(ReviewCalcs[Incentive Total Demand Savings (kW)], MATCH(ProjectInput[[#This Row],[Project Index]], ReviewCalcs[Project Index], 0))</f>
        <v>0</v>
      </c>
      <c r="AB299" s="181">
        <f>ProjectInput[[#This Row],[Energy Savings (kWh)]]*Avg_KWh_Rate</f>
        <v>0</v>
      </c>
      <c r="AC299" s="173">
        <f>IF(C299="", 0, IF(C299="Cust.", INDEX(ReviewCalcs[Incentive ($)], MATCH(ProjectInput[[#This Row],[Project Index]], ReviewCalcs[Project Index], 0)), IF(AND(C299="Pres.", D299="1 to 6"), 3*Q299, IF(AND(C299="Pres.", D299="7 to 11"), 4*Q299, IF(AND(C299="Pres.", D299="12 to 17"), 5*Q299, IF(AND(C299="Pres.", D299="Exit Sign"), 20*Q299, IF(AND(C299="Pres.", D299="&gt; 18"), 6*Q299)))))))</f>
        <v>0</v>
      </c>
      <c r="AD299" s="181">
        <f>ProjectInput[[#This Row],[Retrofit Cost]]</f>
        <v>0</v>
      </c>
      <c r="AE299" s="181">
        <f>ProjectInput[[#This Row],[Retrofit Cost]]-ProjectInput[[#This Row],[Incentive ($)]]</f>
        <v>0</v>
      </c>
      <c r="AF299" s="182" t="str">
        <f>IFERROR(ProjectInput[[#This Row],[Net Project Cost ($)]]/ProjectInput[[#This Row],[Energy Cost Savings ($)]], "")</f>
        <v/>
      </c>
    </row>
    <row r="300" spans="2:32" s="175" customFormat="1" ht="40" customHeight="1">
      <c r="B300" s="213">
        <v>297</v>
      </c>
      <c r="C300" s="223"/>
      <c r="D300" s="224"/>
      <c r="E300" s="183"/>
      <c r="F300" s="167"/>
      <c r="G300" s="184"/>
      <c r="H300" s="167"/>
      <c r="I300" s="184"/>
      <c r="J300"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0" s="183"/>
      <c r="L300" s="167"/>
      <c r="M300" s="184"/>
      <c r="N300" s="184"/>
      <c r="O300" s="184"/>
      <c r="P300" s="177" t="str">
        <f>IF(ProjectInput[[#This Row],[Existing Fixture Code]]=0, "",INDEX(Table7[WATT/ FIXT], MATCH(ProjectInput[[#This Row],[Existing Fixture Code]], Table7[FIXTURE CODE], 0)))</f>
        <v/>
      </c>
      <c r="Q300" s="183"/>
      <c r="R300" s="167"/>
      <c r="S300" s="184"/>
      <c r="T300" s="184"/>
      <c r="U300" s="184"/>
      <c r="V300" s="184"/>
      <c r="W300" s="167"/>
      <c r="X300" s="185"/>
      <c r="Y300" s="179" t="str">
        <f>IF(ProjectInput[[#This Row],[Proposed Fixture Code]]=0, "", INDEX(Table7[WATT/ FIXT], MATCH(ProjectInput[[#This Row],[Proposed Fixture Code]], Table7[FIXTURE CODE],0 )))</f>
        <v/>
      </c>
      <c r="Z300" s="180">
        <f>INDEX(ReviewCalcs[Incentive Total Energy Savings (kWh)], MATCH(ProjectInput[[#This Row],[Project Index]], ReviewCalcs[Project Index], 0))</f>
        <v>0</v>
      </c>
      <c r="AA300" s="172">
        <f>INDEX(ReviewCalcs[Incentive Total Demand Savings (kW)], MATCH(ProjectInput[[#This Row],[Project Index]], ReviewCalcs[Project Index], 0))</f>
        <v>0</v>
      </c>
      <c r="AB300" s="181">
        <f>ProjectInput[[#This Row],[Energy Savings (kWh)]]*Avg_KWh_Rate</f>
        <v>0</v>
      </c>
      <c r="AC300" s="173">
        <f>IF(C300="", 0, IF(C300="Cust.", INDEX(ReviewCalcs[Incentive ($)], MATCH(ProjectInput[[#This Row],[Project Index]], ReviewCalcs[Project Index], 0)), IF(AND(C300="Pres.", D300="1 to 6"), 3*Q300, IF(AND(C300="Pres.", D300="7 to 11"), 4*Q300, IF(AND(C300="Pres.", D300="12 to 17"), 5*Q300, IF(AND(C300="Pres.", D300="Exit Sign"), 20*Q300, IF(AND(C300="Pres.", D300="&gt; 18"), 6*Q300)))))))</f>
        <v>0</v>
      </c>
      <c r="AD300" s="181">
        <f>ProjectInput[[#This Row],[Retrofit Cost]]</f>
        <v>0</v>
      </c>
      <c r="AE300" s="181">
        <f>ProjectInput[[#This Row],[Retrofit Cost]]-ProjectInput[[#This Row],[Incentive ($)]]</f>
        <v>0</v>
      </c>
      <c r="AF300" s="182" t="str">
        <f>IFERROR(ProjectInput[[#This Row],[Net Project Cost ($)]]/ProjectInput[[#This Row],[Energy Cost Savings ($)]], "")</f>
        <v/>
      </c>
    </row>
    <row r="301" spans="2:32" s="175" customFormat="1" ht="40" customHeight="1">
      <c r="B301" s="213">
        <v>298</v>
      </c>
      <c r="C301" s="220"/>
      <c r="D301" s="219"/>
      <c r="E301" s="183"/>
      <c r="F301" s="167"/>
      <c r="G301" s="184"/>
      <c r="H301" s="167"/>
      <c r="I301" s="184"/>
      <c r="J301"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1" s="183"/>
      <c r="L301" s="167"/>
      <c r="M301" s="184"/>
      <c r="N301" s="184"/>
      <c r="O301" s="184"/>
      <c r="P301" s="177" t="str">
        <f>IF(ProjectInput[[#This Row],[Existing Fixture Code]]=0, "",INDEX(Table7[WATT/ FIXT], MATCH(ProjectInput[[#This Row],[Existing Fixture Code]], Table7[FIXTURE CODE], 0)))</f>
        <v/>
      </c>
      <c r="Q301" s="183"/>
      <c r="R301" s="167"/>
      <c r="S301" s="184"/>
      <c r="T301" s="184"/>
      <c r="U301" s="184"/>
      <c r="V301" s="184"/>
      <c r="W301" s="167"/>
      <c r="X301" s="185"/>
      <c r="Y301" s="179" t="str">
        <f>IF(ProjectInput[[#This Row],[Proposed Fixture Code]]=0, "", INDEX(Table7[WATT/ FIXT], MATCH(ProjectInput[[#This Row],[Proposed Fixture Code]], Table7[FIXTURE CODE],0 )))</f>
        <v/>
      </c>
      <c r="Z301" s="180">
        <f>INDEX(ReviewCalcs[Incentive Total Energy Savings (kWh)], MATCH(ProjectInput[[#This Row],[Project Index]], ReviewCalcs[Project Index], 0))</f>
        <v>0</v>
      </c>
      <c r="AA301" s="172">
        <f>INDEX(ReviewCalcs[Incentive Total Demand Savings (kW)], MATCH(ProjectInput[[#This Row],[Project Index]], ReviewCalcs[Project Index], 0))</f>
        <v>0</v>
      </c>
      <c r="AB301" s="181">
        <f>ProjectInput[[#This Row],[Energy Savings (kWh)]]*Avg_KWh_Rate</f>
        <v>0</v>
      </c>
      <c r="AC301" s="173">
        <f>IF(C301="", 0, IF(C301="Cust.", INDEX(ReviewCalcs[Incentive ($)], MATCH(ProjectInput[[#This Row],[Project Index]], ReviewCalcs[Project Index], 0)), IF(AND(C301="Pres.", D301="1 to 6"), 3*Q301, IF(AND(C301="Pres.", D301="7 to 11"), 4*Q301, IF(AND(C301="Pres.", D301="12 to 17"), 5*Q301, IF(AND(C301="Pres.", D301="Exit Sign"), 20*Q301, IF(AND(C301="Pres.", D301="&gt; 18"), 6*Q301)))))))</f>
        <v>0</v>
      </c>
      <c r="AD301" s="181">
        <f>ProjectInput[[#This Row],[Retrofit Cost]]</f>
        <v>0</v>
      </c>
      <c r="AE301" s="181">
        <f>ProjectInput[[#This Row],[Retrofit Cost]]-ProjectInput[[#This Row],[Incentive ($)]]</f>
        <v>0</v>
      </c>
      <c r="AF301" s="182" t="str">
        <f>IFERROR(ProjectInput[[#This Row],[Net Project Cost ($)]]/ProjectInput[[#This Row],[Energy Cost Savings ($)]], "")</f>
        <v/>
      </c>
    </row>
    <row r="302" spans="2:32" s="175" customFormat="1" ht="40" customHeight="1">
      <c r="B302" s="213">
        <v>299</v>
      </c>
      <c r="C302" s="223"/>
      <c r="D302" s="224"/>
      <c r="E302" s="183"/>
      <c r="F302" s="167"/>
      <c r="G302" s="184"/>
      <c r="H302" s="167"/>
      <c r="I302" s="184"/>
      <c r="J302" s="177"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2" s="183"/>
      <c r="L302" s="167"/>
      <c r="M302" s="184"/>
      <c r="N302" s="184"/>
      <c r="O302" s="184"/>
      <c r="P302" s="177" t="str">
        <f>IF(ProjectInput[[#This Row],[Existing Fixture Code]]=0, "",INDEX(Table7[WATT/ FIXT], MATCH(ProjectInput[[#This Row],[Existing Fixture Code]], Table7[FIXTURE CODE], 0)))</f>
        <v/>
      </c>
      <c r="Q302" s="183"/>
      <c r="R302" s="167"/>
      <c r="S302" s="184"/>
      <c r="T302" s="184"/>
      <c r="U302" s="184"/>
      <c r="V302" s="184"/>
      <c r="W302" s="167"/>
      <c r="X302" s="185"/>
      <c r="Y302" s="179" t="str">
        <f>IF(ProjectInput[[#This Row],[Proposed Fixture Code]]=0, "", INDEX(Table7[WATT/ FIXT], MATCH(ProjectInput[[#This Row],[Proposed Fixture Code]], Table7[FIXTURE CODE],0 )))</f>
        <v/>
      </c>
      <c r="Z302" s="180">
        <f>INDEX(ReviewCalcs[Incentive Total Energy Savings (kWh)], MATCH(ProjectInput[[#This Row],[Project Index]], ReviewCalcs[Project Index], 0))</f>
        <v>0</v>
      </c>
      <c r="AA302" s="172">
        <f>INDEX(ReviewCalcs[Incentive Total Demand Savings (kW)], MATCH(ProjectInput[[#This Row],[Project Index]], ReviewCalcs[Project Index], 0))</f>
        <v>0</v>
      </c>
      <c r="AB302" s="181">
        <f>ProjectInput[[#This Row],[Energy Savings (kWh)]]*Avg_KWh_Rate</f>
        <v>0</v>
      </c>
      <c r="AC302" s="173">
        <f>IF(C302="", 0, IF(C302="Cust.", INDEX(ReviewCalcs[Incentive ($)], MATCH(ProjectInput[[#This Row],[Project Index]], ReviewCalcs[Project Index], 0)), IF(AND(C302="Pres.", D302="1 to 6"), 3*Q302, IF(AND(C302="Pres.", D302="7 to 11"), 4*Q302, IF(AND(C302="Pres.", D302="12 to 17"), 5*Q302, IF(AND(C302="Pres.", D302="Exit Sign"), 20*Q302, IF(AND(C302="Pres.", D302="&gt; 18"), 6*Q302)))))))</f>
        <v>0</v>
      </c>
      <c r="AD302" s="181">
        <f>ProjectInput[[#This Row],[Retrofit Cost]]</f>
        <v>0</v>
      </c>
      <c r="AE302" s="181">
        <f>ProjectInput[[#This Row],[Retrofit Cost]]-ProjectInput[[#This Row],[Incentive ($)]]</f>
        <v>0</v>
      </c>
      <c r="AF302" s="182" t="str">
        <f>IFERROR(ProjectInput[[#This Row],[Net Project Cost ($)]]/ProjectInput[[#This Row],[Energy Cost Savings ($)]], "")</f>
        <v/>
      </c>
    </row>
    <row r="303" spans="2:32" s="175" customFormat="1" ht="40" customHeight="1" thickBot="1">
      <c r="B303" s="214">
        <v>300</v>
      </c>
      <c r="C303" s="245"/>
      <c r="D303" s="246"/>
      <c r="E303" s="186"/>
      <c r="F303" s="208"/>
      <c r="G303" s="187"/>
      <c r="H303" s="208"/>
      <c r="I303" s="187"/>
      <c r="J303" s="188" t="str">
        <f>IF(ProjectInput[[#This Row],[Over-Ride Annual Hours]]=0, "", IF(ProjectInput[[#This Row],[Over-Ride Annual Hours]]="Default", VLOOKUP(ProjectInput[[#This Row],[Building/Space Type]], Table_364[], 2, FALSE), IF(ProjectInput[[#This Row],[Over-Ride Annual Hours]]="Over-Ride",INDEX(Table5[Annual Operating Hours], MATCH(ProjectInput[[#This Row],[Project Index]],ProjectInput[Project Index], 0)))))</f>
        <v/>
      </c>
      <c r="K303" s="186"/>
      <c r="L303" s="189"/>
      <c r="M303" s="187"/>
      <c r="N303" s="187"/>
      <c r="O303" s="187"/>
      <c r="P303" s="188" t="str">
        <f>IF(ProjectInput[[#This Row],[Existing Fixture Code]]=0, "",INDEX(Table7[WATT/ FIXT], MATCH(ProjectInput[[#This Row],[Existing Fixture Code]], Table7[FIXTURE CODE], 0)))</f>
        <v/>
      </c>
      <c r="Q303" s="186"/>
      <c r="R303" s="189"/>
      <c r="S303" s="187"/>
      <c r="T303" s="187"/>
      <c r="U303" s="187"/>
      <c r="V303" s="187"/>
      <c r="W303" s="208"/>
      <c r="X303" s="190"/>
      <c r="Y303" s="191" t="str">
        <f>IF(ProjectInput[[#This Row],[Proposed Fixture Code]]=0, "", INDEX(Table7[WATT/ FIXT], MATCH(ProjectInput[[#This Row],[Proposed Fixture Code]], Table7[FIXTURE CODE],0 )))</f>
        <v/>
      </c>
      <c r="Z303" s="180">
        <f>INDEX(ReviewCalcs[Incentive Total Energy Savings (kWh)], MATCH(ProjectInput[[#This Row],[Project Index]], ReviewCalcs[Project Index], 0))</f>
        <v>0</v>
      </c>
      <c r="AA303" s="192">
        <f>INDEX(ReviewCalcs[Incentive Total Demand Savings (kW)], MATCH(ProjectInput[[#This Row],[Project Index]], ReviewCalcs[Project Index], 0))</f>
        <v>0</v>
      </c>
      <c r="AB303" s="193">
        <f>ProjectInput[[#This Row],[Energy Savings (kWh)]]*Avg_KWh_Rate</f>
        <v>0</v>
      </c>
      <c r="AC303" s="173">
        <f>IF(C303="", 0, IF(C303="Cust.", INDEX(ReviewCalcs[Incentive ($)], MATCH(ProjectInput[[#This Row],[Project Index]], ReviewCalcs[Project Index], 0)), IF(AND(C303="Pres.", D303="1 to 6"), 3*Q303, IF(AND(C303="Pres.", D303="7 to 11"), 4*Q303, IF(AND(C303="Pres.", D303="12 to 17"), 5*Q303, IF(AND(C303="Pres.", D303="Exit Sign"), 20*Q303, IF(AND(C303="Pres.", D303="&gt; 18"), 6*Q303)))))))</f>
        <v>0</v>
      </c>
      <c r="AD303" s="193">
        <f>ProjectInput[[#This Row],[Retrofit Cost]]</f>
        <v>0</v>
      </c>
      <c r="AE303" s="193">
        <f>ProjectInput[[#This Row],[Retrofit Cost]]-ProjectInput[[#This Row],[Incentive ($)]]</f>
        <v>0</v>
      </c>
      <c r="AF303" s="194" t="str">
        <f>IFERROR(ProjectInput[[#This Row],[Net Project Cost ($)]]/ProjectInput[[#This Row],[Energy Cost Savings ($)]], "")</f>
        <v/>
      </c>
    </row>
  </sheetData>
  <sheetProtection algorithmName="SHA-512" hashValue="IESZ0gg2Yk5n5oZYSIdAA9I70PGeRvYYVOsBRkppizh6sQN5BeVO4rh9vXwKWfnCgkYpy/kMtKPQe9iBmkfo9g==" saltValue="+DPD5gm909pmpBI88ioDhw==" spinCount="100000" sheet="1" objects="1" scenarios="1"/>
  <protectedRanges>
    <protectedRange sqref="C1:D1048576" name="New Additions"/>
  </protectedRanges>
  <mergeCells count="3">
    <mergeCell ref="E2:J2"/>
    <mergeCell ref="K2:P2"/>
    <mergeCell ref="Q2:Y2"/>
  </mergeCells>
  <conditionalFormatting sqref="D4:D303">
    <cfRule type="expression" dxfId="196" priority="1">
      <formula>$C4="Cust."</formula>
    </cfRule>
  </conditionalFormatting>
  <dataValidations xWindow="847" yWindow="403" count="6">
    <dataValidation type="list" allowBlank="1" showErrorMessage="1" promptTitle="Drop-Down Select" prompt="Only select from the drop-down list if the cell is highlighted yellow, based on the selection in Column C" sqref="G4:G303" xr:uid="{00000000-0002-0000-0200-000000000000}">
      <formula1>Retrofit</formula1>
    </dataValidation>
    <dataValidation type="list" showInputMessage="1" showErrorMessage="1" sqref="H4:H303" xr:uid="{00000000-0002-0000-0200-000001000000}">
      <formula1>INDIRECT("Table_365[Lookup Value]")</formula1>
    </dataValidation>
    <dataValidation type="list" allowBlank="1" showInputMessage="1" showErrorMessage="1" sqref="O4:O303 W4:W303" xr:uid="{00000000-0002-0000-0200-000002000000}">
      <formula1>INDIRECT("Table_358[Control Type]")</formula1>
    </dataValidation>
    <dataValidation type="list" allowBlank="1" showInputMessage="1" showErrorMessage="1" sqref="I4:I303" xr:uid="{00000000-0002-0000-0200-000003000000}">
      <formula1>INDIRECT("Table11[Default or Over-Ride]")</formula1>
    </dataValidation>
    <dataValidation type="list" allowBlank="1" showInputMessage="1" showErrorMessage="1" sqref="D4:D303" xr:uid="{00000000-0002-0000-0200-000004000000}">
      <formula1>INDIRECT(C4)</formula1>
    </dataValidation>
    <dataValidation type="list" allowBlank="1" showInputMessage="1" showErrorMessage="1" sqref="C4:C303" xr:uid="{00000000-0002-0000-0200-000005000000}">
      <formula1>Validate</formula1>
    </dataValidation>
  </dataValidations>
  <pageMargins left="0.2" right="0.2" top="0.25" bottom="0.25" header="0.3" footer="0.3"/>
  <pageSetup scale="21" fitToHeight="0" orientation="landscape" verticalDpi="1200" r:id="rId1"/>
  <colBreaks count="3" manualBreakCount="3">
    <brk id="10" max="1048575" man="1"/>
    <brk id="16" max="302" man="1"/>
    <brk id="25" max="1048575" man="1"/>
  </colBreaks>
  <legacyDrawing r:id="rId2"/>
  <tableParts count="1">
    <tablePart r:id="rId3"/>
  </tableParts>
  <extLst>
    <ext xmlns:x14="http://schemas.microsoft.com/office/spreadsheetml/2009/9/main" uri="{CCE6A557-97BC-4b89-ADB6-D9C93CAAB3DF}">
      <x14:dataValidations xmlns:xm="http://schemas.microsoft.com/office/excel/2006/main" xWindow="847" yWindow="403" count="1">
        <x14:dataValidation type="list" allowBlank="1" showInputMessage="1" showErrorMessage="1" xr:uid="{D1F9A11B-EC6F-4840-8240-BEE6468BF7E1}">
          <x14:formula1>
            <xm:f>'Tables &amp; Ranges'!$A$93:$A$99</xm:f>
          </x14:formula1>
          <xm:sqref>F4:F303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B2:N303"/>
  <sheetViews>
    <sheetView showGridLines="0" showRowColHeaders="0" zoomScale="80" zoomScaleNormal="80" workbookViewId="0">
      <selection activeCell="E47" sqref="E47"/>
    </sheetView>
  </sheetViews>
  <sheetFormatPr defaultColWidth="9.1796875" defaultRowHeight="12.5"/>
  <cols>
    <col min="1" max="1" width="2.7265625" style="39" customWidth="1"/>
    <col min="2" max="2" width="6.1796875" style="39" customWidth="1"/>
    <col min="3" max="3" width="21.26953125" style="39" customWidth="1"/>
    <col min="4" max="4" width="13.453125" style="39" customWidth="1"/>
    <col min="5" max="5" width="10.1796875" style="39" customWidth="1"/>
    <col min="6" max="6" width="17" style="39" customWidth="1"/>
    <col min="7" max="7" width="17.1796875" style="39" customWidth="1"/>
    <col min="8" max="8" width="13" style="39" customWidth="1"/>
    <col min="9" max="9" width="17.1796875" style="39" customWidth="1"/>
    <col min="10" max="10" width="11" style="39" customWidth="1"/>
    <col min="11" max="11" width="17.1796875" style="39" customWidth="1"/>
    <col min="12" max="12" width="11.54296875" style="39" customWidth="1"/>
    <col min="13" max="13" width="12.26953125" style="39" customWidth="1"/>
    <col min="14" max="14" width="11.26953125" style="39" customWidth="1"/>
    <col min="15" max="16384" width="9.1796875" style="39"/>
  </cols>
  <sheetData>
    <row r="2" spans="2:14" ht="29.25" customHeight="1">
      <c r="B2" s="47"/>
      <c r="C2" s="325" t="s">
        <v>3610</v>
      </c>
      <c r="D2" s="326"/>
      <c r="E2" s="326"/>
      <c r="F2" s="326"/>
      <c r="G2" s="326"/>
      <c r="H2" s="326"/>
      <c r="I2" s="326"/>
      <c r="J2" s="326"/>
      <c r="K2" s="326"/>
      <c r="L2" s="326"/>
      <c r="M2" s="326"/>
      <c r="N2" s="327"/>
    </row>
    <row r="3" spans="2:14" s="41" customFormat="1" ht="49.5" customHeight="1">
      <c r="B3" s="77" t="s">
        <v>3580</v>
      </c>
      <c r="C3" s="239" t="s">
        <v>19</v>
      </c>
      <c r="D3" s="239" t="s">
        <v>3607</v>
      </c>
      <c r="E3" s="239" t="s">
        <v>103</v>
      </c>
      <c r="F3" s="239" t="s">
        <v>3599</v>
      </c>
      <c r="G3" s="239" t="s">
        <v>3600</v>
      </c>
      <c r="H3" s="239" t="s">
        <v>3601</v>
      </c>
      <c r="I3" s="239" t="s">
        <v>3602</v>
      </c>
      <c r="J3" s="239" t="s">
        <v>3603</v>
      </c>
      <c r="K3" s="239" t="s">
        <v>3604</v>
      </c>
      <c r="L3" s="239" t="s">
        <v>3605</v>
      </c>
      <c r="M3" s="239" t="s">
        <v>3596</v>
      </c>
      <c r="N3" s="240" t="s">
        <v>3606</v>
      </c>
    </row>
    <row r="4" spans="2:14" s="202" customFormat="1" ht="40" customHeight="1">
      <c r="B4" s="196">
        <f>ProjectInput[[#This Row],[Project Index]]</f>
        <v>1</v>
      </c>
      <c r="C4" s="197" t="str">
        <f>IF(ProjectInput[[#This Row],[Location]]=0, "", ProjectInput[[#This Row],[Location]])</f>
        <v/>
      </c>
      <c r="D4" s="198" t="str">
        <f>IF(Table5[[#This Row],[Location]]="", "", INDEX(ProjectInput[Over-Ride Annual Hours], MATCH(Table5[[#This Row],[Project Index]], ProjectInput[Project Index], 0)))</f>
        <v/>
      </c>
      <c r="E4" s="199"/>
      <c r="F4" s="200"/>
      <c r="G4" s="200"/>
      <c r="H4" s="200"/>
      <c r="I4" s="200"/>
      <c r="J4" s="200"/>
      <c r="K4" s="200"/>
      <c r="L4" s="200"/>
      <c r="M4" s="200"/>
      <c r="N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 spans="2:14" s="202" customFormat="1" ht="40" customHeight="1">
      <c r="B5" s="196">
        <f>ProjectInput[[#This Row],[Project Index]]</f>
        <v>2</v>
      </c>
      <c r="C5" s="197" t="str">
        <f>IF(ProjectInput[[#This Row],[Location]]=0, "", ProjectInput[[#This Row],[Location]])</f>
        <v/>
      </c>
      <c r="D5" s="198" t="str">
        <f>IF(Table5[[#This Row],[Location]]="", "", INDEX(ProjectInput[Over-Ride Annual Hours], MATCH(Table5[[#This Row],[Project Index]], ProjectInput[Project Index], 0)))</f>
        <v/>
      </c>
      <c r="E5" s="199"/>
      <c r="F5" s="200"/>
      <c r="G5" s="200"/>
      <c r="H5" s="200"/>
      <c r="I5" s="200"/>
      <c r="J5" s="200"/>
      <c r="K5" s="200"/>
      <c r="L5" s="200"/>
      <c r="M5" s="200"/>
      <c r="N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 spans="2:14" s="202" customFormat="1" ht="40" customHeight="1">
      <c r="B6" s="196">
        <f>ProjectInput[[#This Row],[Project Index]]</f>
        <v>3</v>
      </c>
      <c r="C6" s="197" t="str">
        <f>IF(ProjectInput[[#This Row],[Location]]=0, "", ProjectInput[[#This Row],[Location]])</f>
        <v/>
      </c>
      <c r="D6" s="198" t="str">
        <f>IF(Table5[[#This Row],[Location]]="", "", INDEX(ProjectInput[Over-Ride Annual Hours], MATCH(Table5[[#This Row],[Project Index]], ProjectInput[Project Index], 0)))</f>
        <v/>
      </c>
      <c r="E6" s="199"/>
      <c r="F6" s="200"/>
      <c r="G6" s="200"/>
      <c r="H6" s="200"/>
      <c r="I6" s="200"/>
      <c r="J6" s="200"/>
      <c r="K6" s="200"/>
      <c r="L6" s="200"/>
      <c r="M6" s="200"/>
      <c r="N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 spans="2:14" s="202" customFormat="1" ht="40" customHeight="1">
      <c r="B7" s="196">
        <f>ProjectInput[[#This Row],[Project Index]]</f>
        <v>4</v>
      </c>
      <c r="C7" s="197" t="str">
        <f>IF(ProjectInput[[#This Row],[Location]]=0, "", ProjectInput[[#This Row],[Location]])</f>
        <v/>
      </c>
      <c r="D7" s="198" t="str">
        <f>IF(Table5[[#This Row],[Location]]="", "", INDEX(ProjectInput[Over-Ride Annual Hours], MATCH(Table5[[#This Row],[Project Index]], ProjectInput[Project Index], 0)))</f>
        <v/>
      </c>
      <c r="E7" s="199"/>
      <c r="F7" s="200"/>
      <c r="G7" s="200"/>
      <c r="H7" s="200"/>
      <c r="I7" s="200"/>
      <c r="J7" s="200"/>
      <c r="K7" s="200"/>
      <c r="L7" s="200"/>
      <c r="M7" s="200"/>
      <c r="N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 spans="2:14" s="202" customFormat="1" ht="40" customHeight="1">
      <c r="B8" s="196">
        <f>ProjectInput[[#This Row],[Project Index]]</f>
        <v>5</v>
      </c>
      <c r="C8" s="197" t="str">
        <f>IF(ProjectInput[[#This Row],[Location]]=0, "", ProjectInput[[#This Row],[Location]])</f>
        <v/>
      </c>
      <c r="D8" s="198" t="str">
        <f>IF(Table5[[#This Row],[Location]]="", "", INDEX(ProjectInput[Over-Ride Annual Hours], MATCH(Table5[[#This Row],[Project Index]], ProjectInput[Project Index], 0)))</f>
        <v/>
      </c>
      <c r="E8" s="199"/>
      <c r="F8" s="200"/>
      <c r="G8" s="200"/>
      <c r="H8" s="200"/>
      <c r="I8" s="200"/>
      <c r="J8" s="200"/>
      <c r="K8" s="200"/>
      <c r="L8" s="200"/>
      <c r="M8" s="200"/>
      <c r="N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 spans="2:14" s="202" customFormat="1" ht="40" customHeight="1">
      <c r="B9" s="196">
        <f>ProjectInput[[#This Row],[Project Index]]</f>
        <v>6</v>
      </c>
      <c r="C9" s="197" t="str">
        <f>IF(ProjectInput[[#This Row],[Location]]=0, "", ProjectInput[[#This Row],[Location]])</f>
        <v/>
      </c>
      <c r="D9" s="198" t="str">
        <f>IF(Table5[[#This Row],[Location]]="", "", INDEX(ProjectInput[Over-Ride Annual Hours], MATCH(Table5[[#This Row],[Project Index]], ProjectInput[Project Index], 0)))</f>
        <v/>
      </c>
      <c r="E9" s="199"/>
      <c r="F9" s="200"/>
      <c r="G9" s="200"/>
      <c r="H9" s="200"/>
      <c r="I9" s="200"/>
      <c r="J9" s="200"/>
      <c r="K9" s="200"/>
      <c r="L9" s="200"/>
      <c r="M9" s="200"/>
      <c r="N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 spans="2:14" s="202" customFormat="1" ht="40" customHeight="1">
      <c r="B10" s="196">
        <f>ProjectInput[[#This Row],[Project Index]]</f>
        <v>7</v>
      </c>
      <c r="C10" s="197" t="str">
        <f>IF(ProjectInput[[#This Row],[Location]]=0, "", ProjectInput[[#This Row],[Location]])</f>
        <v/>
      </c>
      <c r="D10" s="198" t="str">
        <f>IF(Table5[[#This Row],[Location]]="", "", INDEX(ProjectInput[Over-Ride Annual Hours], MATCH(Table5[[#This Row],[Project Index]], ProjectInput[Project Index], 0)))</f>
        <v/>
      </c>
      <c r="E10" s="199"/>
      <c r="F10" s="200"/>
      <c r="G10" s="200"/>
      <c r="H10" s="200"/>
      <c r="I10" s="200"/>
      <c r="J10" s="200"/>
      <c r="K10" s="200"/>
      <c r="L10" s="200"/>
      <c r="M10" s="200"/>
      <c r="N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 spans="2:14" s="202" customFormat="1" ht="40" customHeight="1">
      <c r="B11" s="196">
        <f>ProjectInput[[#This Row],[Project Index]]</f>
        <v>8</v>
      </c>
      <c r="C11" s="197" t="str">
        <f>IF(ProjectInput[[#This Row],[Location]]=0, "", ProjectInput[[#This Row],[Location]])</f>
        <v/>
      </c>
      <c r="D11" s="198" t="str">
        <f>IF(Table5[[#This Row],[Location]]="", "", INDEX(ProjectInput[Over-Ride Annual Hours], MATCH(Table5[[#This Row],[Project Index]], ProjectInput[Project Index], 0)))</f>
        <v/>
      </c>
      <c r="E11" s="199"/>
      <c r="F11" s="200"/>
      <c r="G11" s="200"/>
      <c r="H11" s="200"/>
      <c r="I11" s="200"/>
      <c r="J11" s="200"/>
      <c r="K11" s="200"/>
      <c r="L11" s="200"/>
      <c r="M11" s="200"/>
      <c r="N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 spans="2:14" s="202" customFormat="1" ht="40" customHeight="1">
      <c r="B12" s="196">
        <f>ProjectInput[[#This Row],[Project Index]]</f>
        <v>9</v>
      </c>
      <c r="C12" s="197" t="str">
        <f>IF(ProjectInput[[#This Row],[Location]]=0, "", ProjectInput[[#This Row],[Location]])</f>
        <v/>
      </c>
      <c r="D12" s="198" t="str">
        <f>IF(Table5[[#This Row],[Location]]="", "", INDEX(ProjectInput[Over-Ride Annual Hours], MATCH(Table5[[#This Row],[Project Index]], ProjectInput[Project Index], 0)))</f>
        <v/>
      </c>
      <c r="E12" s="199"/>
      <c r="F12" s="200"/>
      <c r="G12" s="200"/>
      <c r="H12" s="200"/>
      <c r="I12" s="200"/>
      <c r="J12" s="200"/>
      <c r="K12" s="200"/>
      <c r="L12" s="200"/>
      <c r="M12" s="200"/>
      <c r="N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 spans="2:14" s="202" customFormat="1" ht="40" customHeight="1">
      <c r="B13" s="196">
        <f>ProjectInput[[#This Row],[Project Index]]</f>
        <v>10</v>
      </c>
      <c r="C13" s="197" t="str">
        <f>IF(ProjectInput[[#This Row],[Location]]=0, "", ProjectInput[[#This Row],[Location]])</f>
        <v/>
      </c>
      <c r="D13" s="198" t="str">
        <f>IF(Table5[[#This Row],[Location]]="", "", INDEX(ProjectInput[Over-Ride Annual Hours], MATCH(Table5[[#This Row],[Project Index]], ProjectInput[Project Index], 0)))</f>
        <v/>
      </c>
      <c r="E13" s="199"/>
      <c r="F13" s="200"/>
      <c r="G13" s="200"/>
      <c r="H13" s="200"/>
      <c r="I13" s="200"/>
      <c r="J13" s="200"/>
      <c r="K13" s="200"/>
      <c r="L13" s="200"/>
      <c r="M13" s="200"/>
      <c r="N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 spans="2:14" s="202" customFormat="1" ht="40" customHeight="1">
      <c r="B14" s="196">
        <f>ProjectInput[[#This Row],[Project Index]]</f>
        <v>11</v>
      </c>
      <c r="C14" s="197" t="str">
        <f>IF(ProjectInput[[#This Row],[Location]]=0, "", ProjectInput[[#This Row],[Location]])</f>
        <v/>
      </c>
      <c r="D14" s="198" t="str">
        <f>IF(Table5[[#This Row],[Location]]="", "", INDEX(ProjectInput[Over-Ride Annual Hours], MATCH(Table5[[#This Row],[Project Index]], ProjectInput[Project Index], 0)))</f>
        <v/>
      </c>
      <c r="E14" s="199"/>
      <c r="F14" s="200"/>
      <c r="G14" s="200"/>
      <c r="H14" s="200"/>
      <c r="I14" s="200"/>
      <c r="J14" s="200"/>
      <c r="K14" s="200"/>
      <c r="L14" s="200"/>
      <c r="M14" s="200"/>
      <c r="N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 spans="2:14" s="202" customFormat="1" ht="40" customHeight="1">
      <c r="B15" s="196">
        <f>ProjectInput[[#This Row],[Project Index]]</f>
        <v>12</v>
      </c>
      <c r="C15" s="197" t="str">
        <f>IF(ProjectInput[[#This Row],[Location]]=0, "", ProjectInput[[#This Row],[Location]])</f>
        <v/>
      </c>
      <c r="D15" s="198" t="str">
        <f>IF(Table5[[#This Row],[Location]]="", "", INDEX(ProjectInput[Over-Ride Annual Hours], MATCH(Table5[[#This Row],[Project Index]], ProjectInput[Project Index], 0)))</f>
        <v/>
      </c>
      <c r="E15" s="199"/>
      <c r="F15" s="200"/>
      <c r="G15" s="200"/>
      <c r="H15" s="200"/>
      <c r="I15" s="200"/>
      <c r="J15" s="200"/>
      <c r="K15" s="200"/>
      <c r="L15" s="200"/>
      <c r="M15" s="200"/>
      <c r="N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 spans="2:14" s="202" customFormat="1" ht="40" customHeight="1">
      <c r="B16" s="196">
        <f>ProjectInput[[#This Row],[Project Index]]</f>
        <v>13</v>
      </c>
      <c r="C16" s="197" t="str">
        <f>IF(ProjectInput[[#This Row],[Location]]=0, "", ProjectInput[[#This Row],[Location]])</f>
        <v/>
      </c>
      <c r="D16" s="198" t="str">
        <f>IF(Table5[[#This Row],[Location]]="", "", INDEX(ProjectInput[Over-Ride Annual Hours], MATCH(Table5[[#This Row],[Project Index]], ProjectInput[Project Index], 0)))</f>
        <v/>
      </c>
      <c r="E16" s="199"/>
      <c r="F16" s="200"/>
      <c r="G16" s="200"/>
      <c r="H16" s="200"/>
      <c r="I16" s="200"/>
      <c r="J16" s="200"/>
      <c r="K16" s="200"/>
      <c r="L16" s="200"/>
      <c r="M16" s="200"/>
      <c r="N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 spans="2:14" s="202" customFormat="1" ht="40" customHeight="1">
      <c r="B17" s="196">
        <f>ProjectInput[[#This Row],[Project Index]]</f>
        <v>14</v>
      </c>
      <c r="C17" s="197" t="str">
        <f>IF(ProjectInput[[#This Row],[Location]]=0, "", ProjectInput[[#This Row],[Location]])</f>
        <v/>
      </c>
      <c r="D17" s="198" t="str">
        <f>IF(Table5[[#This Row],[Location]]="", "", INDEX(ProjectInput[Over-Ride Annual Hours], MATCH(Table5[[#This Row],[Project Index]], ProjectInput[Project Index], 0)))</f>
        <v/>
      </c>
      <c r="E17" s="199"/>
      <c r="F17" s="200"/>
      <c r="G17" s="200"/>
      <c r="H17" s="200"/>
      <c r="I17" s="200"/>
      <c r="J17" s="200"/>
      <c r="K17" s="200"/>
      <c r="L17" s="200"/>
      <c r="M17" s="200"/>
      <c r="N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 spans="2:14" s="202" customFormat="1" ht="40" customHeight="1">
      <c r="B18" s="196">
        <f>ProjectInput[[#This Row],[Project Index]]</f>
        <v>15</v>
      </c>
      <c r="C18" s="197" t="str">
        <f>IF(ProjectInput[[#This Row],[Location]]=0, "", ProjectInput[[#This Row],[Location]])</f>
        <v/>
      </c>
      <c r="D18" s="198" t="str">
        <f>IF(Table5[[#This Row],[Location]]="", "", INDEX(ProjectInput[Over-Ride Annual Hours], MATCH(Table5[[#This Row],[Project Index]], ProjectInput[Project Index], 0)))</f>
        <v/>
      </c>
      <c r="E18" s="199"/>
      <c r="F18" s="200"/>
      <c r="G18" s="200"/>
      <c r="H18" s="200"/>
      <c r="I18" s="200"/>
      <c r="J18" s="200"/>
      <c r="K18" s="200"/>
      <c r="L18" s="200"/>
      <c r="M18" s="200"/>
      <c r="N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 spans="2:14" s="202" customFormat="1" ht="40" customHeight="1">
      <c r="B19" s="196">
        <f>ProjectInput[[#This Row],[Project Index]]</f>
        <v>16</v>
      </c>
      <c r="C19" s="197" t="str">
        <f>IF(ProjectInput[[#This Row],[Location]]=0, "", ProjectInput[[#This Row],[Location]])</f>
        <v/>
      </c>
      <c r="D19" s="198" t="str">
        <f>IF(Table5[[#This Row],[Location]]="", "", INDEX(ProjectInput[Over-Ride Annual Hours], MATCH(Table5[[#This Row],[Project Index]], ProjectInput[Project Index], 0)))</f>
        <v/>
      </c>
      <c r="E19" s="199"/>
      <c r="F19" s="200"/>
      <c r="G19" s="200"/>
      <c r="H19" s="200"/>
      <c r="I19" s="200"/>
      <c r="J19" s="200"/>
      <c r="K19" s="200"/>
      <c r="L19" s="200"/>
      <c r="M19" s="200"/>
      <c r="N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 spans="2:14" s="202" customFormat="1" ht="40" customHeight="1">
      <c r="B20" s="196">
        <f>ProjectInput[[#This Row],[Project Index]]</f>
        <v>17</v>
      </c>
      <c r="C20" s="197" t="str">
        <f>IF(ProjectInput[[#This Row],[Location]]=0, "", ProjectInput[[#This Row],[Location]])</f>
        <v/>
      </c>
      <c r="D20" s="198" t="str">
        <f>IF(Table5[[#This Row],[Location]]="", "", INDEX(ProjectInput[Over-Ride Annual Hours], MATCH(Table5[[#This Row],[Project Index]], ProjectInput[Project Index], 0)))</f>
        <v/>
      </c>
      <c r="E20" s="199"/>
      <c r="F20" s="200"/>
      <c r="G20" s="200"/>
      <c r="H20" s="200"/>
      <c r="I20" s="200"/>
      <c r="J20" s="200"/>
      <c r="K20" s="200"/>
      <c r="L20" s="200"/>
      <c r="M20" s="200"/>
      <c r="N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 spans="2:14" s="202" customFormat="1" ht="40" customHeight="1">
      <c r="B21" s="196">
        <f>ProjectInput[[#This Row],[Project Index]]</f>
        <v>18</v>
      </c>
      <c r="C21" s="197" t="str">
        <f>IF(ProjectInput[[#This Row],[Location]]=0, "", ProjectInput[[#This Row],[Location]])</f>
        <v/>
      </c>
      <c r="D21" s="198" t="str">
        <f>IF(Table5[[#This Row],[Location]]="", "", INDEX(ProjectInput[Over-Ride Annual Hours], MATCH(Table5[[#This Row],[Project Index]], ProjectInput[Project Index], 0)))</f>
        <v/>
      </c>
      <c r="E21" s="199"/>
      <c r="F21" s="200"/>
      <c r="G21" s="200"/>
      <c r="H21" s="200"/>
      <c r="I21" s="200"/>
      <c r="J21" s="200"/>
      <c r="K21" s="200"/>
      <c r="L21" s="200"/>
      <c r="M21" s="200"/>
      <c r="N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 spans="2:14" s="202" customFormat="1" ht="40" customHeight="1">
      <c r="B22" s="196">
        <f>ProjectInput[[#This Row],[Project Index]]</f>
        <v>19</v>
      </c>
      <c r="C22" s="197" t="str">
        <f>IF(ProjectInput[[#This Row],[Location]]=0, "", ProjectInput[[#This Row],[Location]])</f>
        <v/>
      </c>
      <c r="D22" s="198" t="str">
        <f>IF(Table5[[#This Row],[Location]]="", "", INDEX(ProjectInput[Over-Ride Annual Hours], MATCH(Table5[[#This Row],[Project Index]], ProjectInput[Project Index], 0)))</f>
        <v/>
      </c>
      <c r="E22" s="199"/>
      <c r="F22" s="200"/>
      <c r="G22" s="200"/>
      <c r="H22" s="200"/>
      <c r="I22" s="200"/>
      <c r="J22" s="200"/>
      <c r="K22" s="200"/>
      <c r="L22" s="200"/>
      <c r="M22" s="200"/>
      <c r="N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 spans="2:14" s="202" customFormat="1" ht="40" customHeight="1">
      <c r="B23" s="196">
        <f>ProjectInput[[#This Row],[Project Index]]</f>
        <v>20</v>
      </c>
      <c r="C23" s="197" t="str">
        <f>IF(ProjectInput[[#This Row],[Location]]=0, "", ProjectInput[[#This Row],[Location]])</f>
        <v/>
      </c>
      <c r="D23" s="198" t="str">
        <f>IF(Table5[[#This Row],[Location]]="", "", INDEX(ProjectInput[Over-Ride Annual Hours], MATCH(Table5[[#This Row],[Project Index]], ProjectInput[Project Index], 0)))</f>
        <v/>
      </c>
      <c r="E23" s="199"/>
      <c r="F23" s="200"/>
      <c r="G23" s="200"/>
      <c r="H23" s="200"/>
      <c r="I23" s="200"/>
      <c r="J23" s="200"/>
      <c r="K23" s="200"/>
      <c r="L23" s="200"/>
      <c r="M23" s="200"/>
      <c r="N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 spans="2:14" s="202" customFormat="1" ht="40" customHeight="1">
      <c r="B24" s="196">
        <f>ProjectInput[[#This Row],[Project Index]]</f>
        <v>21</v>
      </c>
      <c r="C24" s="197" t="str">
        <f>IF(ProjectInput[[#This Row],[Location]]=0, "", ProjectInput[[#This Row],[Location]])</f>
        <v/>
      </c>
      <c r="D24" s="198" t="str">
        <f>IF(Table5[[#This Row],[Location]]="", "", INDEX(ProjectInput[Over-Ride Annual Hours], MATCH(Table5[[#This Row],[Project Index]], ProjectInput[Project Index], 0)))</f>
        <v/>
      </c>
      <c r="E24" s="199"/>
      <c r="F24" s="200"/>
      <c r="G24" s="200"/>
      <c r="H24" s="200"/>
      <c r="I24" s="200"/>
      <c r="J24" s="200"/>
      <c r="K24" s="200"/>
      <c r="L24" s="200"/>
      <c r="M24" s="200"/>
      <c r="N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 spans="2:14" s="202" customFormat="1" ht="40" customHeight="1">
      <c r="B25" s="196">
        <f>ProjectInput[[#This Row],[Project Index]]</f>
        <v>22</v>
      </c>
      <c r="C25" s="197" t="str">
        <f>IF(ProjectInput[[#This Row],[Location]]=0, "", ProjectInput[[#This Row],[Location]])</f>
        <v/>
      </c>
      <c r="D25" s="198" t="str">
        <f>IF(Table5[[#This Row],[Location]]="", "", INDEX(ProjectInput[Over-Ride Annual Hours], MATCH(Table5[[#This Row],[Project Index]], ProjectInput[Project Index], 0)))</f>
        <v/>
      </c>
      <c r="E25" s="199"/>
      <c r="F25" s="200"/>
      <c r="G25" s="200"/>
      <c r="H25" s="200"/>
      <c r="I25" s="200"/>
      <c r="J25" s="200"/>
      <c r="K25" s="200"/>
      <c r="L25" s="200"/>
      <c r="M25" s="200"/>
      <c r="N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 spans="2:14" s="202" customFormat="1" ht="40" customHeight="1">
      <c r="B26" s="196">
        <f>ProjectInput[[#This Row],[Project Index]]</f>
        <v>23</v>
      </c>
      <c r="C26" s="197" t="str">
        <f>IF(ProjectInput[[#This Row],[Location]]=0, "", ProjectInput[[#This Row],[Location]])</f>
        <v/>
      </c>
      <c r="D26" s="198" t="str">
        <f>IF(Table5[[#This Row],[Location]]="", "", INDEX(ProjectInput[Over-Ride Annual Hours], MATCH(Table5[[#This Row],[Project Index]], ProjectInput[Project Index], 0)))</f>
        <v/>
      </c>
      <c r="E26" s="199"/>
      <c r="F26" s="200"/>
      <c r="G26" s="200"/>
      <c r="H26" s="200"/>
      <c r="I26" s="200"/>
      <c r="J26" s="200"/>
      <c r="K26" s="200"/>
      <c r="L26" s="200"/>
      <c r="M26" s="200"/>
      <c r="N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 spans="2:14" s="202" customFormat="1" ht="40" customHeight="1">
      <c r="B27" s="196">
        <f>ProjectInput[[#This Row],[Project Index]]</f>
        <v>24</v>
      </c>
      <c r="C27" s="197" t="str">
        <f>IF(ProjectInput[[#This Row],[Location]]=0, "", ProjectInput[[#This Row],[Location]])</f>
        <v/>
      </c>
      <c r="D27" s="198" t="str">
        <f>IF(Table5[[#This Row],[Location]]="", "", INDEX(ProjectInput[Over-Ride Annual Hours], MATCH(Table5[[#This Row],[Project Index]], ProjectInput[Project Index], 0)))</f>
        <v/>
      </c>
      <c r="E27" s="199"/>
      <c r="F27" s="200"/>
      <c r="G27" s="200"/>
      <c r="H27" s="200"/>
      <c r="I27" s="200"/>
      <c r="J27" s="200"/>
      <c r="K27" s="200"/>
      <c r="L27" s="200"/>
      <c r="M27" s="200"/>
      <c r="N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 spans="2:14" s="202" customFormat="1" ht="40" customHeight="1">
      <c r="B28" s="196">
        <f>ProjectInput[[#This Row],[Project Index]]</f>
        <v>25</v>
      </c>
      <c r="C28" s="197" t="str">
        <f>IF(ProjectInput[[#This Row],[Location]]=0, "", ProjectInput[[#This Row],[Location]])</f>
        <v/>
      </c>
      <c r="D28" s="198" t="str">
        <f>IF(Table5[[#This Row],[Location]]="", "", INDEX(ProjectInput[Over-Ride Annual Hours], MATCH(Table5[[#This Row],[Project Index]], ProjectInput[Project Index], 0)))</f>
        <v/>
      </c>
      <c r="E28" s="199"/>
      <c r="F28" s="200"/>
      <c r="G28" s="200"/>
      <c r="H28" s="200"/>
      <c r="I28" s="200"/>
      <c r="J28" s="200"/>
      <c r="K28" s="200"/>
      <c r="L28" s="200"/>
      <c r="M28" s="200"/>
      <c r="N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 spans="2:14" s="202" customFormat="1" ht="40" customHeight="1">
      <c r="B29" s="196">
        <f>ProjectInput[[#This Row],[Project Index]]</f>
        <v>26</v>
      </c>
      <c r="C29" s="197" t="str">
        <f>IF(ProjectInput[[#This Row],[Location]]=0, "", ProjectInput[[#This Row],[Location]])</f>
        <v/>
      </c>
      <c r="D29" s="198" t="str">
        <f>IF(Table5[[#This Row],[Location]]="", "", INDEX(ProjectInput[Over-Ride Annual Hours], MATCH(Table5[[#This Row],[Project Index]], ProjectInput[Project Index], 0)))</f>
        <v/>
      </c>
      <c r="E29" s="199"/>
      <c r="F29" s="200"/>
      <c r="G29" s="200"/>
      <c r="H29" s="200"/>
      <c r="I29" s="200"/>
      <c r="J29" s="200"/>
      <c r="K29" s="200"/>
      <c r="L29" s="200"/>
      <c r="M29" s="200"/>
      <c r="N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 spans="2:14" s="202" customFormat="1" ht="40" customHeight="1">
      <c r="B30" s="196">
        <f>ProjectInput[[#This Row],[Project Index]]</f>
        <v>27</v>
      </c>
      <c r="C30" s="197" t="str">
        <f>IF(ProjectInput[[#This Row],[Location]]=0, "", ProjectInput[[#This Row],[Location]])</f>
        <v/>
      </c>
      <c r="D30" s="198" t="str">
        <f>IF(Table5[[#This Row],[Location]]="", "", INDEX(ProjectInput[Over-Ride Annual Hours], MATCH(Table5[[#This Row],[Project Index]], ProjectInput[Project Index], 0)))</f>
        <v/>
      </c>
      <c r="E30" s="199"/>
      <c r="F30" s="200"/>
      <c r="G30" s="200"/>
      <c r="H30" s="200"/>
      <c r="I30" s="200"/>
      <c r="J30" s="200"/>
      <c r="K30" s="200"/>
      <c r="L30" s="200"/>
      <c r="M30" s="200"/>
      <c r="N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1" spans="2:14" s="202" customFormat="1" ht="40" customHeight="1">
      <c r="B31" s="196">
        <f>ProjectInput[[#This Row],[Project Index]]</f>
        <v>28</v>
      </c>
      <c r="C31" s="197" t="str">
        <f>IF(ProjectInput[[#This Row],[Location]]=0, "", ProjectInput[[#This Row],[Location]])</f>
        <v/>
      </c>
      <c r="D31" s="198" t="str">
        <f>IF(Table5[[#This Row],[Location]]="", "", INDEX(ProjectInput[Over-Ride Annual Hours], MATCH(Table5[[#This Row],[Project Index]], ProjectInput[Project Index], 0)))</f>
        <v/>
      </c>
      <c r="E31" s="199"/>
      <c r="F31" s="200"/>
      <c r="G31" s="200"/>
      <c r="H31" s="200"/>
      <c r="I31" s="200"/>
      <c r="J31" s="200"/>
      <c r="K31" s="200"/>
      <c r="L31" s="200"/>
      <c r="M31" s="200"/>
      <c r="N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2" spans="2:14" s="202" customFormat="1" ht="40" customHeight="1">
      <c r="B32" s="196">
        <f>ProjectInput[[#This Row],[Project Index]]</f>
        <v>29</v>
      </c>
      <c r="C32" s="197" t="str">
        <f>IF(ProjectInput[[#This Row],[Location]]=0, "", ProjectInput[[#This Row],[Location]])</f>
        <v/>
      </c>
      <c r="D32" s="198" t="str">
        <f>IF(Table5[[#This Row],[Location]]="", "", INDEX(ProjectInput[Over-Ride Annual Hours], MATCH(Table5[[#This Row],[Project Index]], ProjectInput[Project Index], 0)))</f>
        <v/>
      </c>
      <c r="E32" s="199"/>
      <c r="F32" s="200"/>
      <c r="G32" s="200"/>
      <c r="H32" s="200"/>
      <c r="I32" s="200"/>
      <c r="J32" s="200"/>
      <c r="K32" s="200"/>
      <c r="L32" s="200"/>
      <c r="M32" s="200"/>
      <c r="N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3" spans="2:14" s="202" customFormat="1" ht="40" customHeight="1">
      <c r="B33" s="196">
        <f>ProjectInput[[#This Row],[Project Index]]</f>
        <v>30</v>
      </c>
      <c r="C33" s="197" t="str">
        <f>IF(ProjectInput[[#This Row],[Location]]=0, "", ProjectInput[[#This Row],[Location]])</f>
        <v/>
      </c>
      <c r="D33" s="198" t="str">
        <f>IF(Table5[[#This Row],[Location]]="", "", INDEX(ProjectInput[Over-Ride Annual Hours], MATCH(Table5[[#This Row],[Project Index]], ProjectInput[Project Index], 0)))</f>
        <v/>
      </c>
      <c r="E33" s="199"/>
      <c r="F33" s="200"/>
      <c r="G33" s="200"/>
      <c r="H33" s="200"/>
      <c r="I33" s="200"/>
      <c r="J33" s="200"/>
      <c r="K33" s="200"/>
      <c r="L33" s="200"/>
      <c r="M33" s="200"/>
      <c r="N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4" spans="2:14" s="202" customFormat="1" ht="40" customHeight="1">
      <c r="B34" s="196">
        <f>ProjectInput[[#This Row],[Project Index]]</f>
        <v>31</v>
      </c>
      <c r="C34" s="197" t="str">
        <f>IF(ProjectInput[[#This Row],[Location]]=0, "", ProjectInput[[#This Row],[Location]])</f>
        <v/>
      </c>
      <c r="D34" s="198" t="str">
        <f>IF(Table5[[#This Row],[Location]]="", "", INDEX(ProjectInput[Over-Ride Annual Hours], MATCH(Table5[[#This Row],[Project Index]], ProjectInput[Project Index], 0)))</f>
        <v/>
      </c>
      <c r="E34" s="199"/>
      <c r="F34" s="200"/>
      <c r="G34" s="200"/>
      <c r="H34" s="200"/>
      <c r="I34" s="200"/>
      <c r="J34" s="200"/>
      <c r="K34" s="200"/>
      <c r="L34" s="200"/>
      <c r="M34" s="200"/>
      <c r="N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5" spans="2:14" s="202" customFormat="1" ht="40" customHeight="1">
      <c r="B35" s="196">
        <f>ProjectInput[[#This Row],[Project Index]]</f>
        <v>32</v>
      </c>
      <c r="C35" s="197" t="str">
        <f>IF(ProjectInput[[#This Row],[Location]]=0, "", ProjectInput[[#This Row],[Location]])</f>
        <v/>
      </c>
      <c r="D35" s="198" t="str">
        <f>IF(Table5[[#This Row],[Location]]="", "", INDEX(ProjectInput[Over-Ride Annual Hours], MATCH(Table5[[#This Row],[Project Index]], ProjectInput[Project Index], 0)))</f>
        <v/>
      </c>
      <c r="E35" s="199"/>
      <c r="F35" s="200"/>
      <c r="G35" s="200"/>
      <c r="H35" s="200"/>
      <c r="I35" s="200"/>
      <c r="J35" s="200"/>
      <c r="K35" s="200"/>
      <c r="L35" s="200"/>
      <c r="M35" s="200"/>
      <c r="N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6" spans="2:14" s="202" customFormat="1" ht="40" customHeight="1">
      <c r="B36" s="196">
        <f>ProjectInput[[#This Row],[Project Index]]</f>
        <v>33</v>
      </c>
      <c r="C36" s="197" t="str">
        <f>IF(ProjectInput[[#This Row],[Location]]=0, "", ProjectInput[[#This Row],[Location]])</f>
        <v/>
      </c>
      <c r="D36" s="198" t="str">
        <f>IF(Table5[[#This Row],[Location]]="", "", INDEX(ProjectInput[Over-Ride Annual Hours], MATCH(Table5[[#This Row],[Project Index]], ProjectInput[Project Index], 0)))</f>
        <v/>
      </c>
      <c r="E36" s="199"/>
      <c r="F36" s="200"/>
      <c r="G36" s="200"/>
      <c r="H36" s="200"/>
      <c r="I36" s="200"/>
      <c r="J36" s="200"/>
      <c r="K36" s="200"/>
      <c r="L36" s="200"/>
      <c r="M36" s="200"/>
      <c r="N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7" spans="2:14" s="202" customFormat="1" ht="40" customHeight="1">
      <c r="B37" s="196">
        <f>ProjectInput[[#This Row],[Project Index]]</f>
        <v>34</v>
      </c>
      <c r="C37" s="197" t="str">
        <f>IF(ProjectInput[[#This Row],[Location]]=0, "", ProjectInput[[#This Row],[Location]])</f>
        <v/>
      </c>
      <c r="D37" s="198" t="str">
        <f>IF(Table5[[#This Row],[Location]]="", "", INDEX(ProjectInput[Over-Ride Annual Hours], MATCH(Table5[[#This Row],[Project Index]], ProjectInput[Project Index], 0)))</f>
        <v/>
      </c>
      <c r="E37" s="199"/>
      <c r="F37" s="200"/>
      <c r="G37" s="200"/>
      <c r="H37" s="200"/>
      <c r="I37" s="200"/>
      <c r="J37" s="200"/>
      <c r="K37" s="200"/>
      <c r="L37" s="200"/>
      <c r="M37" s="200"/>
      <c r="N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8" spans="2:14" s="202" customFormat="1" ht="40" customHeight="1">
      <c r="B38" s="196">
        <f>ProjectInput[[#This Row],[Project Index]]</f>
        <v>35</v>
      </c>
      <c r="C38" s="197" t="str">
        <f>IF(ProjectInput[[#This Row],[Location]]=0, "", ProjectInput[[#This Row],[Location]])</f>
        <v/>
      </c>
      <c r="D38" s="198" t="str">
        <f>IF(Table5[[#This Row],[Location]]="", "", INDEX(ProjectInput[Over-Ride Annual Hours], MATCH(Table5[[#This Row],[Project Index]], ProjectInput[Project Index], 0)))</f>
        <v/>
      </c>
      <c r="E38" s="199"/>
      <c r="F38" s="200"/>
      <c r="G38" s="200"/>
      <c r="H38" s="200"/>
      <c r="I38" s="200"/>
      <c r="J38" s="200"/>
      <c r="K38" s="200"/>
      <c r="L38" s="200"/>
      <c r="M38" s="200"/>
      <c r="N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9" spans="2:14" s="202" customFormat="1" ht="40" customHeight="1">
      <c r="B39" s="196">
        <f>ProjectInput[[#This Row],[Project Index]]</f>
        <v>36</v>
      </c>
      <c r="C39" s="197" t="str">
        <f>IF(ProjectInput[[#This Row],[Location]]=0, "", ProjectInput[[#This Row],[Location]])</f>
        <v/>
      </c>
      <c r="D39" s="198" t="str">
        <f>IF(Table5[[#This Row],[Location]]="", "", INDEX(ProjectInput[Over-Ride Annual Hours], MATCH(Table5[[#This Row],[Project Index]], ProjectInput[Project Index], 0)))</f>
        <v/>
      </c>
      <c r="E39" s="199"/>
      <c r="F39" s="200"/>
      <c r="G39" s="200"/>
      <c r="H39" s="200"/>
      <c r="I39" s="200"/>
      <c r="J39" s="200"/>
      <c r="K39" s="200"/>
      <c r="L39" s="200"/>
      <c r="M39" s="200"/>
      <c r="N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0" spans="2:14" s="202" customFormat="1" ht="40" customHeight="1">
      <c r="B40" s="196">
        <f>ProjectInput[[#This Row],[Project Index]]</f>
        <v>37</v>
      </c>
      <c r="C40" s="197" t="str">
        <f>IF(ProjectInput[[#This Row],[Location]]=0, "", ProjectInput[[#This Row],[Location]])</f>
        <v/>
      </c>
      <c r="D40" s="198" t="str">
        <f>IF(Table5[[#This Row],[Location]]="", "", INDEX(ProjectInput[Over-Ride Annual Hours], MATCH(Table5[[#This Row],[Project Index]], ProjectInput[Project Index], 0)))</f>
        <v/>
      </c>
      <c r="E40" s="199"/>
      <c r="F40" s="200"/>
      <c r="G40" s="200"/>
      <c r="H40" s="200"/>
      <c r="I40" s="200"/>
      <c r="J40" s="200"/>
      <c r="K40" s="200"/>
      <c r="L40" s="200"/>
      <c r="M40" s="200"/>
      <c r="N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1" spans="2:14" s="202" customFormat="1" ht="40" customHeight="1">
      <c r="B41" s="196">
        <f>ProjectInput[[#This Row],[Project Index]]</f>
        <v>38</v>
      </c>
      <c r="C41" s="197" t="str">
        <f>IF(ProjectInput[[#This Row],[Location]]=0, "", ProjectInput[[#This Row],[Location]])</f>
        <v/>
      </c>
      <c r="D41" s="198" t="str">
        <f>IF(Table5[[#This Row],[Location]]="", "", INDEX(ProjectInput[Over-Ride Annual Hours], MATCH(Table5[[#This Row],[Project Index]], ProjectInput[Project Index], 0)))</f>
        <v/>
      </c>
      <c r="E41" s="199"/>
      <c r="F41" s="200"/>
      <c r="G41" s="200"/>
      <c r="H41" s="200"/>
      <c r="I41" s="200"/>
      <c r="J41" s="200"/>
      <c r="K41" s="200"/>
      <c r="L41" s="200"/>
      <c r="M41" s="200"/>
      <c r="N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2" spans="2:14" s="202" customFormat="1" ht="40" customHeight="1">
      <c r="B42" s="196">
        <f>ProjectInput[[#This Row],[Project Index]]</f>
        <v>39</v>
      </c>
      <c r="C42" s="197" t="str">
        <f>IF(ProjectInput[[#This Row],[Location]]=0, "", ProjectInput[[#This Row],[Location]])</f>
        <v/>
      </c>
      <c r="D42" s="198" t="str">
        <f>IF(Table5[[#This Row],[Location]]="", "", INDEX(ProjectInput[Over-Ride Annual Hours], MATCH(Table5[[#This Row],[Project Index]], ProjectInput[Project Index], 0)))</f>
        <v/>
      </c>
      <c r="E42" s="199"/>
      <c r="F42" s="200"/>
      <c r="G42" s="200"/>
      <c r="H42" s="200"/>
      <c r="I42" s="200"/>
      <c r="J42" s="200"/>
      <c r="K42" s="200"/>
      <c r="L42" s="200"/>
      <c r="M42" s="200"/>
      <c r="N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3" spans="2:14" s="202" customFormat="1" ht="40" customHeight="1">
      <c r="B43" s="196">
        <f>ProjectInput[[#This Row],[Project Index]]</f>
        <v>40</v>
      </c>
      <c r="C43" s="197" t="str">
        <f>IF(ProjectInput[[#This Row],[Location]]=0, "", ProjectInput[[#This Row],[Location]])</f>
        <v/>
      </c>
      <c r="D43" s="198" t="str">
        <f>IF(Table5[[#This Row],[Location]]="", "", INDEX(ProjectInput[Over-Ride Annual Hours], MATCH(Table5[[#This Row],[Project Index]], ProjectInput[Project Index], 0)))</f>
        <v/>
      </c>
      <c r="E43" s="199"/>
      <c r="F43" s="200"/>
      <c r="G43" s="200"/>
      <c r="H43" s="200"/>
      <c r="I43" s="200"/>
      <c r="J43" s="200"/>
      <c r="K43" s="200"/>
      <c r="L43" s="200"/>
      <c r="M43" s="200"/>
      <c r="N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4" spans="2:14" s="202" customFormat="1" ht="40" customHeight="1">
      <c r="B44" s="196">
        <f>ProjectInput[[#This Row],[Project Index]]</f>
        <v>41</v>
      </c>
      <c r="C44" s="197" t="str">
        <f>IF(ProjectInput[[#This Row],[Location]]=0, "", ProjectInput[[#This Row],[Location]])</f>
        <v/>
      </c>
      <c r="D44" s="198" t="str">
        <f>IF(Table5[[#This Row],[Location]]="", "", INDEX(ProjectInput[Over-Ride Annual Hours], MATCH(Table5[[#This Row],[Project Index]], ProjectInput[Project Index], 0)))</f>
        <v/>
      </c>
      <c r="E44" s="199"/>
      <c r="F44" s="200"/>
      <c r="G44" s="200"/>
      <c r="H44" s="200"/>
      <c r="I44" s="200"/>
      <c r="J44" s="200"/>
      <c r="K44" s="200"/>
      <c r="L44" s="200"/>
      <c r="M44" s="200"/>
      <c r="N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5" spans="2:14" s="202" customFormat="1" ht="40" customHeight="1">
      <c r="B45" s="196">
        <f>ProjectInput[[#This Row],[Project Index]]</f>
        <v>42</v>
      </c>
      <c r="C45" s="197" t="str">
        <f>IF(ProjectInput[[#This Row],[Location]]=0, "", ProjectInput[[#This Row],[Location]])</f>
        <v/>
      </c>
      <c r="D45" s="198" t="str">
        <f>IF(Table5[[#This Row],[Location]]="", "", INDEX(ProjectInput[Over-Ride Annual Hours], MATCH(Table5[[#This Row],[Project Index]], ProjectInput[Project Index], 0)))</f>
        <v/>
      </c>
      <c r="E45" s="199"/>
      <c r="F45" s="200"/>
      <c r="G45" s="200"/>
      <c r="H45" s="200"/>
      <c r="I45" s="200"/>
      <c r="J45" s="200"/>
      <c r="K45" s="200"/>
      <c r="L45" s="200"/>
      <c r="M45" s="200"/>
      <c r="N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6" spans="2:14" s="202" customFormat="1" ht="40" customHeight="1">
      <c r="B46" s="196">
        <f>ProjectInput[[#This Row],[Project Index]]</f>
        <v>43</v>
      </c>
      <c r="C46" s="197" t="str">
        <f>IF(ProjectInput[[#This Row],[Location]]=0, "", ProjectInput[[#This Row],[Location]])</f>
        <v/>
      </c>
      <c r="D46" s="198" t="str">
        <f>IF(Table5[[#This Row],[Location]]="", "", INDEX(ProjectInput[Over-Ride Annual Hours], MATCH(Table5[[#This Row],[Project Index]], ProjectInput[Project Index], 0)))</f>
        <v/>
      </c>
      <c r="E46" s="199"/>
      <c r="F46" s="200"/>
      <c r="G46" s="200"/>
      <c r="H46" s="200"/>
      <c r="I46" s="200"/>
      <c r="J46" s="200"/>
      <c r="K46" s="200"/>
      <c r="L46" s="200"/>
      <c r="M46" s="200"/>
      <c r="N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7" spans="2:14" s="202" customFormat="1" ht="40" customHeight="1">
      <c r="B47" s="196">
        <f>ProjectInput[[#This Row],[Project Index]]</f>
        <v>44</v>
      </c>
      <c r="C47" s="197" t="str">
        <f>IF(ProjectInput[[#This Row],[Location]]=0, "", ProjectInput[[#This Row],[Location]])</f>
        <v/>
      </c>
      <c r="D47" s="198" t="str">
        <f>IF(Table5[[#This Row],[Location]]="", "", INDEX(ProjectInput[Over-Ride Annual Hours], MATCH(Table5[[#This Row],[Project Index]], ProjectInput[Project Index], 0)))</f>
        <v/>
      </c>
      <c r="E47" s="199"/>
      <c r="F47" s="200"/>
      <c r="G47" s="200"/>
      <c r="H47" s="200"/>
      <c r="I47" s="200"/>
      <c r="J47" s="200"/>
      <c r="K47" s="200"/>
      <c r="L47" s="200"/>
      <c r="M47" s="200"/>
      <c r="N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8" spans="2:14" s="202" customFormat="1" ht="40" customHeight="1">
      <c r="B48" s="196">
        <f>ProjectInput[[#This Row],[Project Index]]</f>
        <v>45</v>
      </c>
      <c r="C48" s="197" t="str">
        <f>IF(ProjectInput[[#This Row],[Location]]=0, "", ProjectInput[[#This Row],[Location]])</f>
        <v/>
      </c>
      <c r="D48" s="198" t="str">
        <f>IF(Table5[[#This Row],[Location]]="", "", INDEX(ProjectInput[Over-Ride Annual Hours], MATCH(Table5[[#This Row],[Project Index]], ProjectInput[Project Index], 0)))</f>
        <v/>
      </c>
      <c r="E48" s="199"/>
      <c r="F48" s="200"/>
      <c r="G48" s="200"/>
      <c r="H48" s="200"/>
      <c r="I48" s="200"/>
      <c r="J48" s="200"/>
      <c r="K48" s="200"/>
      <c r="L48" s="200"/>
      <c r="M48" s="200"/>
      <c r="N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49" spans="2:14" s="202" customFormat="1" ht="40" customHeight="1">
      <c r="B49" s="196">
        <f>ProjectInput[[#This Row],[Project Index]]</f>
        <v>46</v>
      </c>
      <c r="C49" s="197" t="str">
        <f>IF(ProjectInput[[#This Row],[Location]]=0, "", ProjectInput[[#This Row],[Location]])</f>
        <v/>
      </c>
      <c r="D49" s="198" t="str">
        <f>IF(Table5[[#This Row],[Location]]="", "", INDEX(ProjectInput[Over-Ride Annual Hours], MATCH(Table5[[#This Row],[Project Index]], ProjectInput[Project Index], 0)))</f>
        <v/>
      </c>
      <c r="E49" s="199"/>
      <c r="F49" s="200"/>
      <c r="G49" s="200"/>
      <c r="H49" s="200"/>
      <c r="I49" s="200"/>
      <c r="J49" s="200"/>
      <c r="K49" s="200"/>
      <c r="L49" s="200"/>
      <c r="M49" s="200"/>
      <c r="N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0" spans="2:14" s="202" customFormat="1" ht="40" customHeight="1">
      <c r="B50" s="196">
        <f>ProjectInput[[#This Row],[Project Index]]</f>
        <v>47</v>
      </c>
      <c r="C50" s="197" t="str">
        <f>IF(ProjectInput[[#This Row],[Location]]=0, "", ProjectInput[[#This Row],[Location]])</f>
        <v/>
      </c>
      <c r="D50" s="198" t="str">
        <f>IF(Table5[[#This Row],[Location]]="", "", INDEX(ProjectInput[Over-Ride Annual Hours], MATCH(Table5[[#This Row],[Project Index]], ProjectInput[Project Index], 0)))</f>
        <v/>
      </c>
      <c r="E50" s="199"/>
      <c r="F50" s="200"/>
      <c r="G50" s="200"/>
      <c r="H50" s="200"/>
      <c r="I50" s="200"/>
      <c r="J50" s="200"/>
      <c r="K50" s="200"/>
      <c r="L50" s="200"/>
      <c r="M50" s="200"/>
      <c r="N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1" spans="2:14" s="202" customFormat="1" ht="40" customHeight="1">
      <c r="B51" s="196">
        <f>ProjectInput[[#This Row],[Project Index]]</f>
        <v>48</v>
      </c>
      <c r="C51" s="197" t="str">
        <f>IF(ProjectInput[[#This Row],[Location]]=0, "", ProjectInput[[#This Row],[Location]])</f>
        <v/>
      </c>
      <c r="D51" s="198" t="str">
        <f>IF(Table5[[#This Row],[Location]]="", "", INDEX(ProjectInput[Over-Ride Annual Hours], MATCH(Table5[[#This Row],[Project Index]], ProjectInput[Project Index], 0)))</f>
        <v/>
      </c>
      <c r="E51" s="199"/>
      <c r="F51" s="200"/>
      <c r="G51" s="200"/>
      <c r="H51" s="200"/>
      <c r="I51" s="200"/>
      <c r="J51" s="200"/>
      <c r="K51" s="200"/>
      <c r="L51" s="200"/>
      <c r="M51" s="200"/>
      <c r="N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2" spans="2:14" s="202" customFormat="1" ht="40" customHeight="1">
      <c r="B52" s="203">
        <f>ProjectInput[[#This Row],[Project Index]]</f>
        <v>49</v>
      </c>
      <c r="C52" s="197" t="str">
        <f>IF(ProjectInput[[#This Row],[Location]]=0, "", ProjectInput[[#This Row],[Location]])</f>
        <v/>
      </c>
      <c r="D52" s="198" t="str">
        <f>IF(Table5[[#This Row],[Location]]="", "", INDEX(ProjectInput[Over-Ride Annual Hours], MATCH(Table5[[#This Row],[Project Index]], ProjectInput[Project Index], 0)))</f>
        <v/>
      </c>
      <c r="E52" s="199"/>
      <c r="F52" s="200"/>
      <c r="G52" s="200"/>
      <c r="H52" s="200"/>
      <c r="I52" s="200"/>
      <c r="J52" s="200"/>
      <c r="K52" s="200"/>
      <c r="L52" s="200"/>
      <c r="M52" s="200"/>
      <c r="N52" s="204"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3" spans="2:14" s="202" customFormat="1" ht="40" customHeight="1">
      <c r="B53" s="196">
        <f>ProjectInput[[#This Row],[Project Index]]</f>
        <v>50</v>
      </c>
      <c r="C53" s="196" t="str">
        <f>IF(ProjectInput[[#This Row],[Location]]=0, "", ProjectInput[[#This Row],[Location]])</f>
        <v/>
      </c>
      <c r="D53" s="198" t="str">
        <f>IF(Table5[[#This Row],[Location]]="", "", INDEX(ProjectInput[Over-Ride Annual Hours], MATCH(Table5[[#This Row],[Project Index]], ProjectInput[Project Index], 0)))</f>
        <v/>
      </c>
      <c r="E53" s="205"/>
      <c r="F53" s="206"/>
      <c r="G53" s="206"/>
      <c r="H53" s="206"/>
      <c r="I53" s="206"/>
      <c r="J53" s="206"/>
      <c r="K53" s="206"/>
      <c r="L53" s="206"/>
      <c r="M53" s="206"/>
      <c r="N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4" spans="2:14" s="202" customFormat="1" ht="40" customHeight="1">
      <c r="B54" s="196">
        <f>ProjectInput[[#This Row],[Project Index]]</f>
        <v>51</v>
      </c>
      <c r="C54" s="196" t="str">
        <f>IF(ProjectInput[[#This Row],[Location]]=0, "", ProjectInput[[#This Row],[Location]])</f>
        <v/>
      </c>
      <c r="D54" s="198" t="str">
        <f>IF(Table5[[#This Row],[Location]]="", "", INDEX(ProjectInput[Over-Ride Annual Hours], MATCH(Table5[[#This Row],[Project Index]], ProjectInput[Project Index], 0)))</f>
        <v/>
      </c>
      <c r="E54" s="205"/>
      <c r="F54" s="206"/>
      <c r="G54" s="206"/>
      <c r="H54" s="206"/>
      <c r="I54" s="206"/>
      <c r="J54" s="206"/>
      <c r="K54" s="206"/>
      <c r="L54" s="206"/>
      <c r="M54" s="206"/>
      <c r="N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5" spans="2:14" s="202" customFormat="1" ht="40" customHeight="1">
      <c r="B55" s="196">
        <f>ProjectInput[[#This Row],[Project Index]]</f>
        <v>52</v>
      </c>
      <c r="C55" s="196" t="str">
        <f>IF(ProjectInput[[#This Row],[Location]]=0, "", ProjectInput[[#This Row],[Location]])</f>
        <v/>
      </c>
      <c r="D55" s="198" t="str">
        <f>IF(Table5[[#This Row],[Location]]="", "", INDEX(ProjectInput[Over-Ride Annual Hours], MATCH(Table5[[#This Row],[Project Index]], ProjectInput[Project Index], 0)))</f>
        <v/>
      </c>
      <c r="E55" s="205"/>
      <c r="F55" s="206"/>
      <c r="G55" s="206"/>
      <c r="H55" s="206"/>
      <c r="I55" s="206"/>
      <c r="J55" s="206"/>
      <c r="K55" s="206"/>
      <c r="L55" s="206"/>
      <c r="M55" s="206"/>
      <c r="N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6" spans="2:14" s="202" customFormat="1" ht="40" customHeight="1">
      <c r="B56" s="196">
        <f>ProjectInput[[#This Row],[Project Index]]</f>
        <v>53</v>
      </c>
      <c r="C56" s="196" t="str">
        <f>IF(ProjectInput[[#This Row],[Location]]=0, "", ProjectInput[[#This Row],[Location]])</f>
        <v/>
      </c>
      <c r="D56" s="198" t="str">
        <f>IF(Table5[[#This Row],[Location]]="", "", INDEX(ProjectInput[Over-Ride Annual Hours], MATCH(Table5[[#This Row],[Project Index]], ProjectInput[Project Index], 0)))</f>
        <v/>
      </c>
      <c r="E56" s="205"/>
      <c r="F56" s="206"/>
      <c r="G56" s="206"/>
      <c r="H56" s="206"/>
      <c r="I56" s="206"/>
      <c r="J56" s="206"/>
      <c r="K56" s="206"/>
      <c r="L56" s="206"/>
      <c r="M56" s="206"/>
      <c r="N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7" spans="2:14" s="202" customFormat="1" ht="40" customHeight="1">
      <c r="B57" s="196">
        <f>ProjectInput[[#This Row],[Project Index]]</f>
        <v>54</v>
      </c>
      <c r="C57" s="196" t="str">
        <f>IF(ProjectInput[[#This Row],[Location]]=0, "", ProjectInput[[#This Row],[Location]])</f>
        <v/>
      </c>
      <c r="D57" s="198" t="str">
        <f>IF(Table5[[#This Row],[Location]]="", "", INDEX(ProjectInput[Over-Ride Annual Hours], MATCH(Table5[[#This Row],[Project Index]], ProjectInput[Project Index], 0)))</f>
        <v/>
      </c>
      <c r="E57" s="205"/>
      <c r="F57" s="206"/>
      <c r="G57" s="206"/>
      <c r="H57" s="206"/>
      <c r="I57" s="206"/>
      <c r="J57" s="206"/>
      <c r="K57" s="206"/>
      <c r="L57" s="206"/>
      <c r="M57" s="206"/>
      <c r="N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8" spans="2:14" s="202" customFormat="1" ht="40" customHeight="1">
      <c r="B58" s="196">
        <f>ProjectInput[[#This Row],[Project Index]]</f>
        <v>55</v>
      </c>
      <c r="C58" s="196" t="str">
        <f>IF(ProjectInput[[#This Row],[Location]]=0, "", ProjectInput[[#This Row],[Location]])</f>
        <v/>
      </c>
      <c r="D58" s="198" t="str">
        <f>IF(Table5[[#This Row],[Location]]="", "", INDEX(ProjectInput[Over-Ride Annual Hours], MATCH(Table5[[#This Row],[Project Index]], ProjectInput[Project Index], 0)))</f>
        <v/>
      </c>
      <c r="E58" s="205"/>
      <c r="F58" s="206"/>
      <c r="G58" s="206"/>
      <c r="H58" s="206"/>
      <c r="I58" s="206"/>
      <c r="J58" s="206"/>
      <c r="K58" s="206"/>
      <c r="L58" s="206"/>
      <c r="M58" s="206"/>
      <c r="N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59" spans="2:14" s="202" customFormat="1" ht="40" customHeight="1">
      <c r="B59" s="196">
        <f>ProjectInput[[#This Row],[Project Index]]</f>
        <v>56</v>
      </c>
      <c r="C59" s="196" t="str">
        <f>IF(ProjectInput[[#This Row],[Location]]=0, "", ProjectInput[[#This Row],[Location]])</f>
        <v/>
      </c>
      <c r="D59" s="198" t="str">
        <f>IF(Table5[[#This Row],[Location]]="", "", INDEX(ProjectInput[Over-Ride Annual Hours], MATCH(Table5[[#This Row],[Project Index]], ProjectInput[Project Index], 0)))</f>
        <v/>
      </c>
      <c r="E59" s="205"/>
      <c r="F59" s="206"/>
      <c r="G59" s="206"/>
      <c r="H59" s="206"/>
      <c r="I59" s="206"/>
      <c r="J59" s="206"/>
      <c r="K59" s="206"/>
      <c r="L59" s="206"/>
      <c r="M59" s="206"/>
      <c r="N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0" spans="2:14" s="202" customFormat="1" ht="40" customHeight="1">
      <c r="B60" s="196">
        <f>ProjectInput[[#This Row],[Project Index]]</f>
        <v>57</v>
      </c>
      <c r="C60" s="196" t="str">
        <f>IF(ProjectInput[[#This Row],[Location]]=0, "", ProjectInput[[#This Row],[Location]])</f>
        <v/>
      </c>
      <c r="D60" s="198" t="str">
        <f>IF(Table5[[#This Row],[Location]]="", "", INDEX(ProjectInput[Over-Ride Annual Hours], MATCH(Table5[[#This Row],[Project Index]], ProjectInput[Project Index], 0)))</f>
        <v/>
      </c>
      <c r="E60" s="205"/>
      <c r="F60" s="206"/>
      <c r="G60" s="206"/>
      <c r="H60" s="206"/>
      <c r="I60" s="206"/>
      <c r="J60" s="206"/>
      <c r="K60" s="206"/>
      <c r="L60" s="206"/>
      <c r="M60" s="206"/>
      <c r="N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1" spans="2:14" s="202" customFormat="1" ht="40" customHeight="1">
      <c r="B61" s="196">
        <f>ProjectInput[[#This Row],[Project Index]]</f>
        <v>58</v>
      </c>
      <c r="C61" s="196" t="str">
        <f>IF(ProjectInput[[#This Row],[Location]]=0, "", ProjectInput[[#This Row],[Location]])</f>
        <v/>
      </c>
      <c r="D61" s="198" t="str">
        <f>IF(Table5[[#This Row],[Location]]="", "", INDEX(ProjectInput[Over-Ride Annual Hours], MATCH(Table5[[#This Row],[Project Index]], ProjectInput[Project Index], 0)))</f>
        <v/>
      </c>
      <c r="E61" s="205"/>
      <c r="F61" s="206"/>
      <c r="G61" s="206"/>
      <c r="H61" s="206"/>
      <c r="I61" s="206"/>
      <c r="J61" s="206"/>
      <c r="K61" s="206"/>
      <c r="L61" s="206"/>
      <c r="M61" s="206"/>
      <c r="N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2" spans="2:14" s="202" customFormat="1" ht="40" customHeight="1">
      <c r="B62" s="196">
        <f>ProjectInput[[#This Row],[Project Index]]</f>
        <v>59</v>
      </c>
      <c r="C62" s="196" t="str">
        <f>IF(ProjectInput[[#This Row],[Location]]=0, "", ProjectInput[[#This Row],[Location]])</f>
        <v/>
      </c>
      <c r="D62" s="198" t="str">
        <f>IF(Table5[[#This Row],[Location]]="", "", INDEX(ProjectInput[Over-Ride Annual Hours], MATCH(Table5[[#This Row],[Project Index]], ProjectInput[Project Index], 0)))</f>
        <v/>
      </c>
      <c r="E62" s="205"/>
      <c r="F62" s="206"/>
      <c r="G62" s="206"/>
      <c r="H62" s="206"/>
      <c r="I62" s="206"/>
      <c r="J62" s="206"/>
      <c r="K62" s="206"/>
      <c r="L62" s="206"/>
      <c r="M62" s="206"/>
      <c r="N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3" spans="2:14" s="202" customFormat="1" ht="40" customHeight="1">
      <c r="B63" s="196">
        <f>ProjectInput[[#This Row],[Project Index]]</f>
        <v>60</v>
      </c>
      <c r="C63" s="196" t="str">
        <f>IF(ProjectInput[[#This Row],[Location]]=0, "", ProjectInput[[#This Row],[Location]])</f>
        <v/>
      </c>
      <c r="D63" s="198" t="str">
        <f>IF(Table5[[#This Row],[Location]]="", "", INDEX(ProjectInput[Over-Ride Annual Hours], MATCH(Table5[[#This Row],[Project Index]], ProjectInput[Project Index], 0)))</f>
        <v/>
      </c>
      <c r="E63" s="205"/>
      <c r="F63" s="206"/>
      <c r="G63" s="206"/>
      <c r="H63" s="206"/>
      <c r="I63" s="206"/>
      <c r="J63" s="206"/>
      <c r="K63" s="206"/>
      <c r="L63" s="206"/>
      <c r="M63" s="206"/>
      <c r="N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4" spans="2:14" s="202" customFormat="1" ht="40" customHeight="1">
      <c r="B64" s="196">
        <f>ProjectInput[[#This Row],[Project Index]]</f>
        <v>61</v>
      </c>
      <c r="C64" s="196" t="str">
        <f>IF(ProjectInput[[#This Row],[Location]]=0, "", ProjectInput[[#This Row],[Location]])</f>
        <v/>
      </c>
      <c r="D64" s="198" t="str">
        <f>IF(Table5[[#This Row],[Location]]="", "", INDEX(ProjectInput[Over-Ride Annual Hours], MATCH(Table5[[#This Row],[Project Index]], ProjectInput[Project Index], 0)))</f>
        <v/>
      </c>
      <c r="E64" s="205"/>
      <c r="F64" s="206"/>
      <c r="G64" s="206"/>
      <c r="H64" s="206"/>
      <c r="I64" s="206"/>
      <c r="J64" s="206"/>
      <c r="K64" s="206"/>
      <c r="L64" s="206"/>
      <c r="M64" s="206"/>
      <c r="N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5" spans="2:14" s="202" customFormat="1" ht="40" customHeight="1">
      <c r="B65" s="196">
        <f>ProjectInput[[#This Row],[Project Index]]</f>
        <v>62</v>
      </c>
      <c r="C65" s="196" t="str">
        <f>IF(ProjectInput[[#This Row],[Location]]=0, "", ProjectInput[[#This Row],[Location]])</f>
        <v/>
      </c>
      <c r="D65" s="198" t="str">
        <f>IF(Table5[[#This Row],[Location]]="", "", INDEX(ProjectInput[Over-Ride Annual Hours], MATCH(Table5[[#This Row],[Project Index]], ProjectInput[Project Index], 0)))</f>
        <v/>
      </c>
      <c r="E65" s="205"/>
      <c r="F65" s="206"/>
      <c r="G65" s="206"/>
      <c r="H65" s="206"/>
      <c r="I65" s="206"/>
      <c r="J65" s="206"/>
      <c r="K65" s="206"/>
      <c r="L65" s="206"/>
      <c r="M65" s="206"/>
      <c r="N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6" spans="2:14" s="202" customFormat="1" ht="40" customHeight="1">
      <c r="B66" s="196">
        <f>ProjectInput[[#This Row],[Project Index]]</f>
        <v>63</v>
      </c>
      <c r="C66" s="196" t="str">
        <f>IF(ProjectInput[[#This Row],[Location]]=0, "", ProjectInput[[#This Row],[Location]])</f>
        <v/>
      </c>
      <c r="D66" s="198" t="str">
        <f>IF(Table5[[#This Row],[Location]]="", "", INDEX(ProjectInput[Over-Ride Annual Hours], MATCH(Table5[[#This Row],[Project Index]], ProjectInput[Project Index], 0)))</f>
        <v/>
      </c>
      <c r="E66" s="205"/>
      <c r="F66" s="206"/>
      <c r="G66" s="206"/>
      <c r="H66" s="206"/>
      <c r="I66" s="206"/>
      <c r="J66" s="206"/>
      <c r="K66" s="206"/>
      <c r="L66" s="206"/>
      <c r="M66" s="206"/>
      <c r="N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7" spans="2:14" s="202" customFormat="1" ht="40" customHeight="1">
      <c r="B67" s="196">
        <f>ProjectInput[[#This Row],[Project Index]]</f>
        <v>64</v>
      </c>
      <c r="C67" s="196" t="str">
        <f>IF(ProjectInput[[#This Row],[Location]]=0, "", ProjectInput[[#This Row],[Location]])</f>
        <v/>
      </c>
      <c r="D67" s="198" t="str">
        <f>IF(Table5[[#This Row],[Location]]="", "", INDEX(ProjectInput[Over-Ride Annual Hours], MATCH(Table5[[#This Row],[Project Index]], ProjectInput[Project Index], 0)))</f>
        <v/>
      </c>
      <c r="E67" s="205"/>
      <c r="F67" s="206"/>
      <c r="G67" s="206"/>
      <c r="H67" s="206"/>
      <c r="I67" s="206"/>
      <c r="J67" s="206"/>
      <c r="K67" s="206"/>
      <c r="L67" s="206"/>
      <c r="M67" s="206"/>
      <c r="N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8" spans="2:14" s="202" customFormat="1" ht="40" customHeight="1">
      <c r="B68" s="196">
        <f>ProjectInput[[#This Row],[Project Index]]</f>
        <v>65</v>
      </c>
      <c r="C68" s="196" t="str">
        <f>IF(ProjectInput[[#This Row],[Location]]=0, "", ProjectInput[[#This Row],[Location]])</f>
        <v/>
      </c>
      <c r="D68" s="198" t="str">
        <f>IF(Table5[[#This Row],[Location]]="", "", INDEX(ProjectInput[Over-Ride Annual Hours], MATCH(Table5[[#This Row],[Project Index]], ProjectInput[Project Index], 0)))</f>
        <v/>
      </c>
      <c r="E68" s="205"/>
      <c r="F68" s="206"/>
      <c r="G68" s="206"/>
      <c r="H68" s="206"/>
      <c r="I68" s="206"/>
      <c r="J68" s="206"/>
      <c r="K68" s="206"/>
      <c r="L68" s="206"/>
      <c r="M68" s="206"/>
      <c r="N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69" spans="2:14" s="202" customFormat="1" ht="40" customHeight="1">
      <c r="B69" s="196">
        <f>ProjectInput[[#This Row],[Project Index]]</f>
        <v>66</v>
      </c>
      <c r="C69" s="196" t="str">
        <f>IF(ProjectInput[[#This Row],[Location]]=0, "", ProjectInput[[#This Row],[Location]])</f>
        <v/>
      </c>
      <c r="D69" s="198" t="str">
        <f>IF(Table5[[#This Row],[Location]]="", "", INDEX(ProjectInput[Over-Ride Annual Hours], MATCH(Table5[[#This Row],[Project Index]], ProjectInput[Project Index], 0)))</f>
        <v/>
      </c>
      <c r="E69" s="205"/>
      <c r="F69" s="206"/>
      <c r="G69" s="206"/>
      <c r="H69" s="206"/>
      <c r="I69" s="206"/>
      <c r="J69" s="206"/>
      <c r="K69" s="206"/>
      <c r="L69" s="206"/>
      <c r="M69" s="206"/>
      <c r="N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0" spans="2:14" s="202" customFormat="1" ht="40" customHeight="1">
      <c r="B70" s="196">
        <f>ProjectInput[[#This Row],[Project Index]]</f>
        <v>67</v>
      </c>
      <c r="C70" s="196" t="str">
        <f>IF(ProjectInput[[#This Row],[Location]]=0, "", ProjectInput[[#This Row],[Location]])</f>
        <v/>
      </c>
      <c r="D70" s="198" t="str">
        <f>IF(Table5[[#This Row],[Location]]="", "", INDEX(ProjectInput[Over-Ride Annual Hours], MATCH(Table5[[#This Row],[Project Index]], ProjectInput[Project Index], 0)))</f>
        <v/>
      </c>
      <c r="E70" s="205"/>
      <c r="F70" s="206"/>
      <c r="G70" s="206"/>
      <c r="H70" s="206"/>
      <c r="I70" s="206"/>
      <c r="J70" s="206"/>
      <c r="K70" s="206"/>
      <c r="L70" s="206"/>
      <c r="M70" s="206"/>
      <c r="N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1" spans="2:14" s="202" customFormat="1" ht="40" customHeight="1">
      <c r="B71" s="196">
        <f>ProjectInput[[#This Row],[Project Index]]</f>
        <v>68</v>
      </c>
      <c r="C71" s="196" t="str">
        <f>IF(ProjectInput[[#This Row],[Location]]=0, "", ProjectInput[[#This Row],[Location]])</f>
        <v/>
      </c>
      <c r="D71" s="198" t="str">
        <f>IF(Table5[[#This Row],[Location]]="", "", INDEX(ProjectInput[Over-Ride Annual Hours], MATCH(Table5[[#This Row],[Project Index]], ProjectInput[Project Index], 0)))</f>
        <v/>
      </c>
      <c r="E71" s="205"/>
      <c r="F71" s="206"/>
      <c r="G71" s="206"/>
      <c r="H71" s="206"/>
      <c r="I71" s="206"/>
      <c r="J71" s="206"/>
      <c r="K71" s="206"/>
      <c r="L71" s="206"/>
      <c r="M71" s="206"/>
      <c r="N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2" spans="2:14" s="202" customFormat="1" ht="40" customHeight="1">
      <c r="B72" s="196">
        <f>ProjectInput[[#This Row],[Project Index]]</f>
        <v>69</v>
      </c>
      <c r="C72" s="196" t="str">
        <f>IF(ProjectInput[[#This Row],[Location]]=0, "", ProjectInput[[#This Row],[Location]])</f>
        <v/>
      </c>
      <c r="D72" s="198" t="str">
        <f>IF(Table5[[#This Row],[Location]]="", "", INDEX(ProjectInput[Over-Ride Annual Hours], MATCH(Table5[[#This Row],[Project Index]], ProjectInput[Project Index], 0)))</f>
        <v/>
      </c>
      <c r="E72" s="205"/>
      <c r="F72" s="206"/>
      <c r="G72" s="206"/>
      <c r="H72" s="206"/>
      <c r="I72" s="206"/>
      <c r="J72" s="206"/>
      <c r="K72" s="206"/>
      <c r="L72" s="206"/>
      <c r="M72" s="206"/>
      <c r="N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3" spans="2:14" s="202" customFormat="1" ht="40" customHeight="1">
      <c r="B73" s="196">
        <f>ProjectInput[[#This Row],[Project Index]]</f>
        <v>70</v>
      </c>
      <c r="C73" s="196" t="str">
        <f>IF(ProjectInput[[#This Row],[Location]]=0, "", ProjectInput[[#This Row],[Location]])</f>
        <v/>
      </c>
      <c r="D73" s="198" t="str">
        <f>IF(Table5[[#This Row],[Location]]="", "", INDEX(ProjectInput[Over-Ride Annual Hours], MATCH(Table5[[#This Row],[Project Index]], ProjectInput[Project Index], 0)))</f>
        <v/>
      </c>
      <c r="E73" s="205"/>
      <c r="F73" s="206"/>
      <c r="G73" s="206"/>
      <c r="H73" s="206"/>
      <c r="I73" s="206"/>
      <c r="J73" s="206"/>
      <c r="K73" s="206"/>
      <c r="L73" s="206"/>
      <c r="M73" s="206"/>
      <c r="N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4" spans="2:14" s="202" customFormat="1" ht="40" customHeight="1">
      <c r="B74" s="196">
        <f>ProjectInput[[#This Row],[Project Index]]</f>
        <v>71</v>
      </c>
      <c r="C74" s="196" t="str">
        <f>IF(ProjectInput[[#This Row],[Location]]=0, "", ProjectInput[[#This Row],[Location]])</f>
        <v/>
      </c>
      <c r="D74" s="198" t="str">
        <f>IF(Table5[[#This Row],[Location]]="", "", INDEX(ProjectInput[Over-Ride Annual Hours], MATCH(Table5[[#This Row],[Project Index]], ProjectInput[Project Index], 0)))</f>
        <v/>
      </c>
      <c r="E74" s="205"/>
      <c r="F74" s="206"/>
      <c r="G74" s="206"/>
      <c r="H74" s="206"/>
      <c r="I74" s="206"/>
      <c r="J74" s="206"/>
      <c r="K74" s="206"/>
      <c r="L74" s="206"/>
      <c r="M74" s="206"/>
      <c r="N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5" spans="2:14" s="202" customFormat="1" ht="40" customHeight="1">
      <c r="B75" s="196">
        <f>ProjectInput[[#This Row],[Project Index]]</f>
        <v>72</v>
      </c>
      <c r="C75" s="196" t="str">
        <f>IF(ProjectInput[[#This Row],[Location]]=0, "", ProjectInput[[#This Row],[Location]])</f>
        <v/>
      </c>
      <c r="D75" s="198" t="str">
        <f>IF(Table5[[#This Row],[Location]]="", "", INDEX(ProjectInput[Over-Ride Annual Hours], MATCH(Table5[[#This Row],[Project Index]], ProjectInput[Project Index], 0)))</f>
        <v/>
      </c>
      <c r="E75" s="205"/>
      <c r="F75" s="206"/>
      <c r="G75" s="206"/>
      <c r="H75" s="206"/>
      <c r="I75" s="206"/>
      <c r="J75" s="206"/>
      <c r="K75" s="206"/>
      <c r="L75" s="206"/>
      <c r="M75" s="206"/>
      <c r="N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6" spans="2:14" s="202" customFormat="1" ht="40" customHeight="1">
      <c r="B76" s="196">
        <f>ProjectInput[[#This Row],[Project Index]]</f>
        <v>73</v>
      </c>
      <c r="C76" s="196" t="str">
        <f>IF(ProjectInput[[#This Row],[Location]]=0, "", ProjectInput[[#This Row],[Location]])</f>
        <v/>
      </c>
      <c r="D76" s="198" t="str">
        <f>IF(Table5[[#This Row],[Location]]="", "", INDEX(ProjectInput[Over-Ride Annual Hours], MATCH(Table5[[#This Row],[Project Index]], ProjectInput[Project Index], 0)))</f>
        <v/>
      </c>
      <c r="E76" s="205"/>
      <c r="F76" s="206"/>
      <c r="G76" s="206"/>
      <c r="H76" s="206"/>
      <c r="I76" s="206"/>
      <c r="J76" s="206"/>
      <c r="K76" s="206"/>
      <c r="L76" s="206"/>
      <c r="M76" s="206"/>
      <c r="N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7" spans="2:14" s="202" customFormat="1" ht="40" customHeight="1">
      <c r="B77" s="196">
        <f>ProjectInput[[#This Row],[Project Index]]</f>
        <v>74</v>
      </c>
      <c r="C77" s="196" t="str">
        <f>IF(ProjectInput[[#This Row],[Location]]=0, "", ProjectInput[[#This Row],[Location]])</f>
        <v/>
      </c>
      <c r="D77" s="198" t="str">
        <f>IF(Table5[[#This Row],[Location]]="", "", INDEX(ProjectInput[Over-Ride Annual Hours], MATCH(Table5[[#This Row],[Project Index]], ProjectInput[Project Index], 0)))</f>
        <v/>
      </c>
      <c r="E77" s="205"/>
      <c r="F77" s="206"/>
      <c r="G77" s="206"/>
      <c r="H77" s="206"/>
      <c r="I77" s="206"/>
      <c r="J77" s="206"/>
      <c r="K77" s="206"/>
      <c r="L77" s="206"/>
      <c r="M77" s="206"/>
      <c r="N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8" spans="2:14" s="202" customFormat="1" ht="40" customHeight="1">
      <c r="B78" s="196">
        <f>ProjectInput[[#This Row],[Project Index]]</f>
        <v>75</v>
      </c>
      <c r="C78" s="196" t="str">
        <f>IF(ProjectInput[[#This Row],[Location]]=0, "", ProjectInput[[#This Row],[Location]])</f>
        <v/>
      </c>
      <c r="D78" s="198" t="str">
        <f>IF(Table5[[#This Row],[Location]]="", "", INDEX(ProjectInput[Over-Ride Annual Hours], MATCH(Table5[[#This Row],[Project Index]], ProjectInput[Project Index], 0)))</f>
        <v/>
      </c>
      <c r="E78" s="205"/>
      <c r="F78" s="206"/>
      <c r="G78" s="206"/>
      <c r="H78" s="206"/>
      <c r="I78" s="206"/>
      <c r="J78" s="206"/>
      <c r="K78" s="206"/>
      <c r="L78" s="206"/>
      <c r="M78" s="206"/>
      <c r="N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79" spans="2:14" s="202" customFormat="1" ht="40" customHeight="1">
      <c r="B79" s="196">
        <f>ProjectInput[[#This Row],[Project Index]]</f>
        <v>76</v>
      </c>
      <c r="C79" s="196" t="str">
        <f>IF(ProjectInput[[#This Row],[Location]]=0, "", ProjectInput[[#This Row],[Location]])</f>
        <v/>
      </c>
      <c r="D79" s="198" t="str">
        <f>IF(Table5[[#This Row],[Location]]="", "", INDEX(ProjectInput[Over-Ride Annual Hours], MATCH(Table5[[#This Row],[Project Index]], ProjectInput[Project Index], 0)))</f>
        <v/>
      </c>
      <c r="E79" s="205"/>
      <c r="F79" s="206"/>
      <c r="G79" s="206"/>
      <c r="H79" s="206"/>
      <c r="I79" s="206"/>
      <c r="J79" s="206"/>
      <c r="K79" s="206"/>
      <c r="L79" s="206"/>
      <c r="M79" s="206"/>
      <c r="N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0" spans="2:14" s="202" customFormat="1" ht="40" customHeight="1">
      <c r="B80" s="196">
        <f>ProjectInput[[#This Row],[Project Index]]</f>
        <v>77</v>
      </c>
      <c r="C80" s="196" t="str">
        <f>IF(ProjectInput[[#This Row],[Location]]=0, "", ProjectInput[[#This Row],[Location]])</f>
        <v/>
      </c>
      <c r="D80" s="198" t="str">
        <f>IF(Table5[[#This Row],[Location]]="", "", INDEX(ProjectInput[Over-Ride Annual Hours], MATCH(Table5[[#This Row],[Project Index]], ProjectInput[Project Index], 0)))</f>
        <v/>
      </c>
      <c r="E80" s="205"/>
      <c r="F80" s="206"/>
      <c r="G80" s="206"/>
      <c r="H80" s="206"/>
      <c r="I80" s="206"/>
      <c r="J80" s="206"/>
      <c r="K80" s="206"/>
      <c r="L80" s="206"/>
      <c r="M80" s="206"/>
      <c r="N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1" spans="2:14" s="202" customFormat="1" ht="40" customHeight="1">
      <c r="B81" s="196">
        <f>ProjectInput[[#This Row],[Project Index]]</f>
        <v>78</v>
      </c>
      <c r="C81" s="196" t="str">
        <f>IF(ProjectInput[[#This Row],[Location]]=0, "", ProjectInput[[#This Row],[Location]])</f>
        <v/>
      </c>
      <c r="D81" s="198" t="str">
        <f>IF(Table5[[#This Row],[Location]]="", "", INDEX(ProjectInput[Over-Ride Annual Hours], MATCH(Table5[[#This Row],[Project Index]], ProjectInput[Project Index], 0)))</f>
        <v/>
      </c>
      <c r="E81" s="205"/>
      <c r="F81" s="206"/>
      <c r="G81" s="206"/>
      <c r="H81" s="206"/>
      <c r="I81" s="206"/>
      <c r="J81" s="206"/>
      <c r="K81" s="206"/>
      <c r="L81" s="206"/>
      <c r="M81" s="206"/>
      <c r="N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2" spans="2:14" s="202" customFormat="1" ht="40" customHeight="1">
      <c r="B82" s="196">
        <f>ProjectInput[[#This Row],[Project Index]]</f>
        <v>79</v>
      </c>
      <c r="C82" s="196" t="str">
        <f>IF(ProjectInput[[#This Row],[Location]]=0, "", ProjectInput[[#This Row],[Location]])</f>
        <v/>
      </c>
      <c r="D82" s="198" t="str">
        <f>IF(Table5[[#This Row],[Location]]="", "", INDEX(ProjectInput[Over-Ride Annual Hours], MATCH(Table5[[#This Row],[Project Index]], ProjectInput[Project Index], 0)))</f>
        <v/>
      </c>
      <c r="E82" s="205"/>
      <c r="F82" s="206"/>
      <c r="G82" s="206"/>
      <c r="H82" s="206"/>
      <c r="I82" s="206"/>
      <c r="J82" s="206"/>
      <c r="K82" s="206"/>
      <c r="L82" s="206"/>
      <c r="M82" s="206"/>
      <c r="N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3" spans="2:14" s="202" customFormat="1" ht="40" customHeight="1">
      <c r="B83" s="196">
        <f>ProjectInput[[#This Row],[Project Index]]</f>
        <v>80</v>
      </c>
      <c r="C83" s="196" t="str">
        <f>IF(ProjectInput[[#This Row],[Location]]=0, "", ProjectInput[[#This Row],[Location]])</f>
        <v/>
      </c>
      <c r="D83" s="198" t="str">
        <f>IF(Table5[[#This Row],[Location]]="", "", INDEX(ProjectInput[Over-Ride Annual Hours], MATCH(Table5[[#This Row],[Project Index]], ProjectInput[Project Index], 0)))</f>
        <v/>
      </c>
      <c r="E83" s="205"/>
      <c r="F83" s="206"/>
      <c r="G83" s="206"/>
      <c r="H83" s="206"/>
      <c r="I83" s="206"/>
      <c r="J83" s="206"/>
      <c r="K83" s="206"/>
      <c r="L83" s="206"/>
      <c r="M83" s="206"/>
      <c r="N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4" spans="2:14" s="202" customFormat="1" ht="40" customHeight="1">
      <c r="B84" s="196">
        <f>ProjectInput[[#This Row],[Project Index]]</f>
        <v>81</v>
      </c>
      <c r="C84" s="196" t="str">
        <f>IF(ProjectInput[[#This Row],[Location]]=0, "", ProjectInput[[#This Row],[Location]])</f>
        <v/>
      </c>
      <c r="D84" s="198" t="str">
        <f>IF(Table5[[#This Row],[Location]]="", "", INDEX(ProjectInput[Over-Ride Annual Hours], MATCH(Table5[[#This Row],[Project Index]], ProjectInput[Project Index], 0)))</f>
        <v/>
      </c>
      <c r="E84" s="205"/>
      <c r="F84" s="206"/>
      <c r="G84" s="206"/>
      <c r="H84" s="206"/>
      <c r="I84" s="206"/>
      <c r="J84" s="206"/>
      <c r="K84" s="206"/>
      <c r="L84" s="206"/>
      <c r="M84" s="206"/>
      <c r="N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5" spans="2:14" s="202" customFormat="1" ht="40" customHeight="1">
      <c r="B85" s="196">
        <f>ProjectInput[[#This Row],[Project Index]]</f>
        <v>82</v>
      </c>
      <c r="C85" s="196" t="str">
        <f>IF(ProjectInput[[#This Row],[Location]]=0, "", ProjectInput[[#This Row],[Location]])</f>
        <v/>
      </c>
      <c r="D85" s="198" t="str">
        <f>IF(Table5[[#This Row],[Location]]="", "", INDEX(ProjectInput[Over-Ride Annual Hours], MATCH(Table5[[#This Row],[Project Index]], ProjectInput[Project Index], 0)))</f>
        <v/>
      </c>
      <c r="E85" s="205"/>
      <c r="F85" s="206"/>
      <c r="G85" s="206"/>
      <c r="H85" s="206"/>
      <c r="I85" s="206"/>
      <c r="J85" s="206"/>
      <c r="K85" s="206"/>
      <c r="L85" s="206"/>
      <c r="M85" s="206"/>
      <c r="N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6" spans="2:14" s="202" customFormat="1" ht="40" customHeight="1">
      <c r="B86" s="196">
        <f>ProjectInput[[#This Row],[Project Index]]</f>
        <v>83</v>
      </c>
      <c r="C86" s="196" t="str">
        <f>IF(ProjectInput[[#This Row],[Location]]=0, "", ProjectInput[[#This Row],[Location]])</f>
        <v/>
      </c>
      <c r="D86" s="198" t="str">
        <f>IF(Table5[[#This Row],[Location]]="", "", INDEX(ProjectInput[Over-Ride Annual Hours], MATCH(Table5[[#This Row],[Project Index]], ProjectInput[Project Index], 0)))</f>
        <v/>
      </c>
      <c r="E86" s="205"/>
      <c r="F86" s="206"/>
      <c r="G86" s="206"/>
      <c r="H86" s="206"/>
      <c r="I86" s="206"/>
      <c r="J86" s="206"/>
      <c r="K86" s="206"/>
      <c r="L86" s="206"/>
      <c r="M86" s="206"/>
      <c r="N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7" spans="2:14" s="202" customFormat="1" ht="40" customHeight="1">
      <c r="B87" s="196">
        <f>ProjectInput[[#This Row],[Project Index]]</f>
        <v>84</v>
      </c>
      <c r="C87" s="196" t="str">
        <f>IF(ProjectInput[[#This Row],[Location]]=0, "", ProjectInput[[#This Row],[Location]])</f>
        <v/>
      </c>
      <c r="D87" s="198" t="str">
        <f>IF(Table5[[#This Row],[Location]]="", "", INDEX(ProjectInput[Over-Ride Annual Hours], MATCH(Table5[[#This Row],[Project Index]], ProjectInput[Project Index], 0)))</f>
        <v/>
      </c>
      <c r="E87" s="205"/>
      <c r="F87" s="206"/>
      <c r="G87" s="206"/>
      <c r="H87" s="206"/>
      <c r="I87" s="206"/>
      <c r="J87" s="206"/>
      <c r="K87" s="206"/>
      <c r="L87" s="206"/>
      <c r="M87" s="206"/>
      <c r="N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8" spans="2:14" s="202" customFormat="1" ht="40" customHeight="1">
      <c r="B88" s="196">
        <f>ProjectInput[[#This Row],[Project Index]]</f>
        <v>85</v>
      </c>
      <c r="C88" s="196" t="str">
        <f>IF(ProjectInput[[#This Row],[Location]]=0, "", ProjectInput[[#This Row],[Location]])</f>
        <v/>
      </c>
      <c r="D88" s="198" t="str">
        <f>IF(Table5[[#This Row],[Location]]="", "", INDEX(ProjectInput[Over-Ride Annual Hours], MATCH(Table5[[#This Row],[Project Index]], ProjectInput[Project Index], 0)))</f>
        <v/>
      </c>
      <c r="E88" s="205"/>
      <c r="F88" s="206"/>
      <c r="G88" s="206"/>
      <c r="H88" s="206"/>
      <c r="I88" s="206"/>
      <c r="J88" s="206"/>
      <c r="K88" s="206"/>
      <c r="L88" s="206"/>
      <c r="M88" s="206"/>
      <c r="N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89" spans="2:14" s="202" customFormat="1" ht="40" customHeight="1">
      <c r="B89" s="196">
        <f>ProjectInput[[#This Row],[Project Index]]</f>
        <v>86</v>
      </c>
      <c r="C89" s="196" t="str">
        <f>IF(ProjectInput[[#This Row],[Location]]=0, "", ProjectInput[[#This Row],[Location]])</f>
        <v/>
      </c>
      <c r="D89" s="198" t="str">
        <f>IF(Table5[[#This Row],[Location]]="", "", INDEX(ProjectInput[Over-Ride Annual Hours], MATCH(Table5[[#This Row],[Project Index]], ProjectInput[Project Index], 0)))</f>
        <v/>
      </c>
      <c r="E89" s="205"/>
      <c r="F89" s="206"/>
      <c r="G89" s="206"/>
      <c r="H89" s="206"/>
      <c r="I89" s="206"/>
      <c r="J89" s="206"/>
      <c r="K89" s="206"/>
      <c r="L89" s="206"/>
      <c r="M89" s="206"/>
      <c r="N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0" spans="2:14" s="202" customFormat="1" ht="40" customHeight="1">
      <c r="B90" s="196">
        <f>ProjectInput[[#This Row],[Project Index]]</f>
        <v>87</v>
      </c>
      <c r="C90" s="196" t="str">
        <f>IF(ProjectInput[[#This Row],[Location]]=0, "", ProjectInput[[#This Row],[Location]])</f>
        <v/>
      </c>
      <c r="D90" s="198" t="str">
        <f>IF(Table5[[#This Row],[Location]]="", "", INDEX(ProjectInput[Over-Ride Annual Hours], MATCH(Table5[[#This Row],[Project Index]], ProjectInput[Project Index], 0)))</f>
        <v/>
      </c>
      <c r="E90" s="205"/>
      <c r="F90" s="206"/>
      <c r="G90" s="206"/>
      <c r="H90" s="206"/>
      <c r="I90" s="206"/>
      <c r="J90" s="206"/>
      <c r="K90" s="206"/>
      <c r="L90" s="206"/>
      <c r="M90" s="206"/>
      <c r="N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1" spans="2:14" s="202" customFormat="1" ht="40" customHeight="1">
      <c r="B91" s="196">
        <f>ProjectInput[[#This Row],[Project Index]]</f>
        <v>88</v>
      </c>
      <c r="C91" s="196" t="str">
        <f>IF(ProjectInput[[#This Row],[Location]]=0, "", ProjectInput[[#This Row],[Location]])</f>
        <v/>
      </c>
      <c r="D91" s="198" t="str">
        <f>IF(Table5[[#This Row],[Location]]="", "", INDEX(ProjectInput[Over-Ride Annual Hours], MATCH(Table5[[#This Row],[Project Index]], ProjectInput[Project Index], 0)))</f>
        <v/>
      </c>
      <c r="E91" s="205"/>
      <c r="F91" s="206"/>
      <c r="G91" s="206"/>
      <c r="H91" s="206"/>
      <c r="I91" s="206"/>
      <c r="J91" s="206"/>
      <c r="K91" s="206"/>
      <c r="L91" s="206"/>
      <c r="M91" s="206"/>
      <c r="N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2" spans="2:14" s="202" customFormat="1" ht="40" customHeight="1">
      <c r="B92" s="196">
        <f>ProjectInput[[#This Row],[Project Index]]</f>
        <v>89</v>
      </c>
      <c r="C92" s="196" t="str">
        <f>IF(ProjectInput[[#This Row],[Location]]=0, "", ProjectInput[[#This Row],[Location]])</f>
        <v/>
      </c>
      <c r="D92" s="198" t="str">
        <f>IF(Table5[[#This Row],[Location]]="", "", INDEX(ProjectInput[Over-Ride Annual Hours], MATCH(Table5[[#This Row],[Project Index]], ProjectInput[Project Index], 0)))</f>
        <v/>
      </c>
      <c r="E92" s="205"/>
      <c r="F92" s="206"/>
      <c r="G92" s="206"/>
      <c r="H92" s="206"/>
      <c r="I92" s="206"/>
      <c r="J92" s="206"/>
      <c r="K92" s="206"/>
      <c r="L92" s="206"/>
      <c r="M92" s="206"/>
      <c r="N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3" spans="2:14" s="202" customFormat="1" ht="40" customHeight="1">
      <c r="B93" s="196">
        <f>ProjectInput[[#This Row],[Project Index]]</f>
        <v>90</v>
      </c>
      <c r="C93" s="196" t="str">
        <f>IF(ProjectInput[[#This Row],[Location]]=0, "", ProjectInput[[#This Row],[Location]])</f>
        <v/>
      </c>
      <c r="D93" s="198" t="str">
        <f>IF(Table5[[#This Row],[Location]]="", "", INDEX(ProjectInput[Over-Ride Annual Hours], MATCH(Table5[[#This Row],[Project Index]], ProjectInput[Project Index], 0)))</f>
        <v/>
      </c>
      <c r="E93" s="205"/>
      <c r="F93" s="206"/>
      <c r="G93" s="206"/>
      <c r="H93" s="206"/>
      <c r="I93" s="206"/>
      <c r="J93" s="206"/>
      <c r="K93" s="206"/>
      <c r="L93" s="206"/>
      <c r="M93" s="206"/>
      <c r="N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4" spans="2:14" s="202" customFormat="1" ht="40" customHeight="1">
      <c r="B94" s="196">
        <f>ProjectInput[[#This Row],[Project Index]]</f>
        <v>91</v>
      </c>
      <c r="C94" s="196" t="str">
        <f>IF(ProjectInput[[#This Row],[Location]]=0, "", ProjectInput[[#This Row],[Location]])</f>
        <v/>
      </c>
      <c r="D94" s="198" t="str">
        <f>IF(Table5[[#This Row],[Location]]="", "", INDEX(ProjectInput[Over-Ride Annual Hours], MATCH(Table5[[#This Row],[Project Index]], ProjectInput[Project Index], 0)))</f>
        <v/>
      </c>
      <c r="E94" s="205"/>
      <c r="F94" s="206"/>
      <c r="G94" s="206"/>
      <c r="H94" s="206"/>
      <c r="I94" s="206"/>
      <c r="J94" s="206"/>
      <c r="K94" s="206"/>
      <c r="L94" s="206"/>
      <c r="M94" s="206"/>
      <c r="N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5" spans="2:14" s="202" customFormat="1" ht="40" customHeight="1">
      <c r="B95" s="196">
        <f>ProjectInput[[#This Row],[Project Index]]</f>
        <v>92</v>
      </c>
      <c r="C95" s="196" t="str">
        <f>IF(ProjectInput[[#This Row],[Location]]=0, "", ProjectInput[[#This Row],[Location]])</f>
        <v/>
      </c>
      <c r="D95" s="198" t="str">
        <f>IF(Table5[[#This Row],[Location]]="", "", INDEX(ProjectInput[Over-Ride Annual Hours], MATCH(Table5[[#This Row],[Project Index]], ProjectInput[Project Index], 0)))</f>
        <v/>
      </c>
      <c r="E95" s="205"/>
      <c r="F95" s="206"/>
      <c r="G95" s="206"/>
      <c r="H95" s="206"/>
      <c r="I95" s="206"/>
      <c r="J95" s="206"/>
      <c r="K95" s="206"/>
      <c r="L95" s="206"/>
      <c r="M95" s="206"/>
      <c r="N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6" spans="2:14" s="202" customFormat="1" ht="40" customHeight="1">
      <c r="B96" s="196">
        <f>ProjectInput[[#This Row],[Project Index]]</f>
        <v>93</v>
      </c>
      <c r="C96" s="196" t="str">
        <f>IF(ProjectInput[[#This Row],[Location]]=0, "", ProjectInput[[#This Row],[Location]])</f>
        <v/>
      </c>
      <c r="D96" s="198" t="str">
        <f>IF(Table5[[#This Row],[Location]]="", "", INDEX(ProjectInput[Over-Ride Annual Hours], MATCH(Table5[[#This Row],[Project Index]], ProjectInput[Project Index], 0)))</f>
        <v/>
      </c>
      <c r="E96" s="205"/>
      <c r="F96" s="206"/>
      <c r="G96" s="206"/>
      <c r="H96" s="206"/>
      <c r="I96" s="206"/>
      <c r="J96" s="206"/>
      <c r="K96" s="206"/>
      <c r="L96" s="206"/>
      <c r="M96" s="206"/>
      <c r="N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7" spans="2:14" s="202" customFormat="1" ht="40" customHeight="1">
      <c r="B97" s="196">
        <f>ProjectInput[[#This Row],[Project Index]]</f>
        <v>94</v>
      </c>
      <c r="C97" s="196" t="str">
        <f>IF(ProjectInput[[#This Row],[Location]]=0, "", ProjectInput[[#This Row],[Location]])</f>
        <v/>
      </c>
      <c r="D97" s="198" t="str">
        <f>IF(Table5[[#This Row],[Location]]="", "", INDEX(ProjectInput[Over-Ride Annual Hours], MATCH(Table5[[#This Row],[Project Index]], ProjectInput[Project Index], 0)))</f>
        <v/>
      </c>
      <c r="E97" s="205"/>
      <c r="F97" s="206"/>
      <c r="G97" s="206"/>
      <c r="H97" s="206"/>
      <c r="I97" s="206"/>
      <c r="J97" s="206"/>
      <c r="K97" s="206"/>
      <c r="L97" s="206"/>
      <c r="M97" s="206"/>
      <c r="N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8" spans="2:14" s="202" customFormat="1" ht="40" customHeight="1">
      <c r="B98" s="196">
        <f>ProjectInput[[#This Row],[Project Index]]</f>
        <v>95</v>
      </c>
      <c r="C98" s="196" t="str">
        <f>IF(ProjectInput[[#This Row],[Location]]=0, "", ProjectInput[[#This Row],[Location]])</f>
        <v/>
      </c>
      <c r="D98" s="198" t="str">
        <f>IF(Table5[[#This Row],[Location]]="", "", INDEX(ProjectInput[Over-Ride Annual Hours], MATCH(Table5[[#This Row],[Project Index]], ProjectInput[Project Index], 0)))</f>
        <v/>
      </c>
      <c r="E98" s="205"/>
      <c r="F98" s="206"/>
      <c r="G98" s="206"/>
      <c r="H98" s="206"/>
      <c r="I98" s="206"/>
      <c r="J98" s="206"/>
      <c r="K98" s="206"/>
      <c r="L98" s="206"/>
      <c r="M98" s="206"/>
      <c r="N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99" spans="2:14" s="202" customFormat="1" ht="40" customHeight="1">
      <c r="B99" s="196">
        <f>ProjectInput[[#This Row],[Project Index]]</f>
        <v>96</v>
      </c>
      <c r="C99" s="196" t="str">
        <f>IF(ProjectInput[[#This Row],[Location]]=0, "", ProjectInput[[#This Row],[Location]])</f>
        <v/>
      </c>
      <c r="D99" s="198" t="str">
        <f>IF(Table5[[#This Row],[Location]]="", "", INDEX(ProjectInput[Over-Ride Annual Hours], MATCH(Table5[[#This Row],[Project Index]], ProjectInput[Project Index], 0)))</f>
        <v/>
      </c>
      <c r="E99" s="205"/>
      <c r="F99" s="206"/>
      <c r="G99" s="206"/>
      <c r="H99" s="206"/>
      <c r="I99" s="206"/>
      <c r="J99" s="206"/>
      <c r="K99" s="206"/>
      <c r="L99" s="206"/>
      <c r="M99" s="206"/>
      <c r="N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0" spans="2:14" s="202" customFormat="1" ht="40" customHeight="1">
      <c r="B100" s="196">
        <f>ProjectInput[[#This Row],[Project Index]]</f>
        <v>97</v>
      </c>
      <c r="C100" s="196" t="str">
        <f>IF(ProjectInput[[#This Row],[Location]]=0, "", ProjectInput[[#This Row],[Location]])</f>
        <v/>
      </c>
      <c r="D100" s="198" t="str">
        <f>IF(Table5[[#This Row],[Location]]="", "", INDEX(ProjectInput[Over-Ride Annual Hours], MATCH(Table5[[#This Row],[Project Index]], ProjectInput[Project Index], 0)))</f>
        <v/>
      </c>
      <c r="E100" s="205"/>
      <c r="F100" s="206"/>
      <c r="G100" s="206"/>
      <c r="H100" s="206"/>
      <c r="I100" s="206"/>
      <c r="J100" s="206"/>
      <c r="K100" s="206"/>
      <c r="L100" s="206"/>
      <c r="M100" s="206"/>
      <c r="N1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1" spans="2:14" s="202" customFormat="1" ht="40" customHeight="1">
      <c r="B101" s="196">
        <f>ProjectInput[[#This Row],[Project Index]]</f>
        <v>98</v>
      </c>
      <c r="C101" s="196" t="str">
        <f>IF(ProjectInput[[#This Row],[Location]]=0, "", ProjectInput[[#This Row],[Location]])</f>
        <v/>
      </c>
      <c r="D101" s="198" t="str">
        <f>IF(Table5[[#This Row],[Location]]="", "", INDEX(ProjectInput[Over-Ride Annual Hours], MATCH(Table5[[#This Row],[Project Index]], ProjectInput[Project Index], 0)))</f>
        <v/>
      </c>
      <c r="E101" s="205"/>
      <c r="F101" s="206"/>
      <c r="G101" s="206"/>
      <c r="H101" s="206"/>
      <c r="I101" s="206"/>
      <c r="J101" s="206"/>
      <c r="K101" s="206"/>
      <c r="L101" s="206"/>
      <c r="M101" s="206"/>
      <c r="N1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2" spans="2:14" s="202" customFormat="1" ht="40" customHeight="1">
      <c r="B102" s="196">
        <f>ProjectInput[[#This Row],[Project Index]]</f>
        <v>99</v>
      </c>
      <c r="C102" s="196" t="str">
        <f>IF(ProjectInput[[#This Row],[Location]]=0, "", ProjectInput[[#This Row],[Location]])</f>
        <v/>
      </c>
      <c r="D102" s="198" t="str">
        <f>IF(Table5[[#This Row],[Location]]="", "", INDEX(ProjectInput[Over-Ride Annual Hours], MATCH(Table5[[#This Row],[Project Index]], ProjectInput[Project Index], 0)))</f>
        <v/>
      </c>
      <c r="E102" s="205"/>
      <c r="F102" s="206"/>
      <c r="G102" s="206"/>
      <c r="H102" s="206"/>
      <c r="I102" s="206"/>
      <c r="J102" s="206"/>
      <c r="K102" s="206"/>
      <c r="L102" s="206"/>
      <c r="M102" s="206"/>
      <c r="N1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3" spans="2:14" s="202" customFormat="1" ht="40" customHeight="1">
      <c r="B103" s="196">
        <f>ProjectInput[[#This Row],[Project Index]]</f>
        <v>100</v>
      </c>
      <c r="C103" s="196" t="str">
        <f>IF(ProjectInput[[#This Row],[Location]]=0, "", ProjectInput[[#This Row],[Location]])</f>
        <v/>
      </c>
      <c r="D103" s="198" t="str">
        <f>IF(Table5[[#This Row],[Location]]="", "", INDEX(ProjectInput[Over-Ride Annual Hours], MATCH(Table5[[#This Row],[Project Index]], ProjectInput[Project Index], 0)))</f>
        <v/>
      </c>
      <c r="E103" s="205"/>
      <c r="F103" s="206"/>
      <c r="G103" s="206"/>
      <c r="H103" s="206"/>
      <c r="I103" s="206"/>
      <c r="J103" s="206"/>
      <c r="K103" s="206"/>
      <c r="L103" s="206"/>
      <c r="M103" s="206"/>
      <c r="N1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4" spans="2:14" s="202" customFormat="1" ht="40" customHeight="1">
      <c r="B104" s="196">
        <f>ProjectInput[[#This Row],[Project Index]]</f>
        <v>101</v>
      </c>
      <c r="C104" s="196" t="str">
        <f>IF(ProjectInput[[#This Row],[Location]]=0, "", ProjectInput[[#This Row],[Location]])</f>
        <v/>
      </c>
      <c r="D104" s="198" t="str">
        <f>IF(Table5[[#This Row],[Location]]="", "", INDEX(ProjectInput[Over-Ride Annual Hours], MATCH(Table5[[#This Row],[Project Index]], ProjectInput[Project Index], 0)))</f>
        <v/>
      </c>
      <c r="E104" s="205"/>
      <c r="F104" s="206"/>
      <c r="G104" s="206"/>
      <c r="H104" s="206"/>
      <c r="I104" s="206"/>
      <c r="J104" s="206"/>
      <c r="K104" s="206"/>
      <c r="L104" s="206"/>
      <c r="M104" s="206"/>
      <c r="N10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5" spans="2:14" s="202" customFormat="1" ht="40" customHeight="1">
      <c r="B105" s="196">
        <f>ProjectInput[[#This Row],[Project Index]]</f>
        <v>102</v>
      </c>
      <c r="C105" s="196" t="str">
        <f>IF(ProjectInput[[#This Row],[Location]]=0, "", ProjectInput[[#This Row],[Location]])</f>
        <v/>
      </c>
      <c r="D105" s="198" t="str">
        <f>IF(Table5[[#This Row],[Location]]="", "", INDEX(ProjectInput[Over-Ride Annual Hours], MATCH(Table5[[#This Row],[Project Index]], ProjectInput[Project Index], 0)))</f>
        <v/>
      </c>
      <c r="E105" s="205"/>
      <c r="F105" s="206"/>
      <c r="G105" s="206"/>
      <c r="H105" s="206"/>
      <c r="I105" s="206"/>
      <c r="J105" s="206"/>
      <c r="K105" s="206"/>
      <c r="L105" s="206"/>
      <c r="M105" s="206"/>
      <c r="N10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6" spans="2:14" s="202" customFormat="1" ht="40" customHeight="1">
      <c r="B106" s="196">
        <f>ProjectInput[[#This Row],[Project Index]]</f>
        <v>103</v>
      </c>
      <c r="C106" s="196" t="str">
        <f>IF(ProjectInput[[#This Row],[Location]]=0, "", ProjectInput[[#This Row],[Location]])</f>
        <v/>
      </c>
      <c r="D106" s="198" t="str">
        <f>IF(Table5[[#This Row],[Location]]="", "", INDEX(ProjectInput[Over-Ride Annual Hours], MATCH(Table5[[#This Row],[Project Index]], ProjectInput[Project Index], 0)))</f>
        <v/>
      </c>
      <c r="E106" s="205"/>
      <c r="F106" s="206"/>
      <c r="G106" s="206"/>
      <c r="H106" s="206"/>
      <c r="I106" s="206"/>
      <c r="J106" s="206"/>
      <c r="K106" s="206"/>
      <c r="L106" s="206"/>
      <c r="M106" s="206"/>
      <c r="N10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7" spans="2:14" s="202" customFormat="1" ht="40" customHeight="1">
      <c r="B107" s="196">
        <f>ProjectInput[[#This Row],[Project Index]]</f>
        <v>104</v>
      </c>
      <c r="C107" s="196" t="str">
        <f>IF(ProjectInput[[#This Row],[Location]]=0, "", ProjectInput[[#This Row],[Location]])</f>
        <v/>
      </c>
      <c r="D107" s="198" t="str">
        <f>IF(Table5[[#This Row],[Location]]="", "", INDEX(ProjectInput[Over-Ride Annual Hours], MATCH(Table5[[#This Row],[Project Index]], ProjectInput[Project Index], 0)))</f>
        <v/>
      </c>
      <c r="E107" s="205"/>
      <c r="F107" s="206"/>
      <c r="G107" s="206"/>
      <c r="H107" s="206"/>
      <c r="I107" s="206"/>
      <c r="J107" s="206"/>
      <c r="K107" s="206"/>
      <c r="L107" s="206"/>
      <c r="M107" s="206"/>
      <c r="N10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8" spans="2:14" s="202" customFormat="1" ht="40" customHeight="1">
      <c r="B108" s="196">
        <f>ProjectInput[[#This Row],[Project Index]]</f>
        <v>105</v>
      </c>
      <c r="C108" s="196" t="str">
        <f>IF(ProjectInput[[#This Row],[Location]]=0, "", ProjectInput[[#This Row],[Location]])</f>
        <v/>
      </c>
      <c r="D108" s="198" t="str">
        <f>IF(Table5[[#This Row],[Location]]="", "", INDEX(ProjectInput[Over-Ride Annual Hours], MATCH(Table5[[#This Row],[Project Index]], ProjectInput[Project Index], 0)))</f>
        <v/>
      </c>
      <c r="E108" s="205"/>
      <c r="F108" s="206"/>
      <c r="G108" s="206"/>
      <c r="H108" s="206"/>
      <c r="I108" s="206"/>
      <c r="J108" s="206"/>
      <c r="K108" s="206"/>
      <c r="L108" s="206"/>
      <c r="M108" s="206"/>
      <c r="N10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09" spans="2:14" s="202" customFormat="1" ht="40" customHeight="1">
      <c r="B109" s="196">
        <f>ProjectInput[[#This Row],[Project Index]]</f>
        <v>106</v>
      </c>
      <c r="C109" s="196" t="str">
        <f>IF(ProjectInput[[#This Row],[Location]]=0, "", ProjectInput[[#This Row],[Location]])</f>
        <v/>
      </c>
      <c r="D109" s="198" t="str">
        <f>IF(Table5[[#This Row],[Location]]="", "", INDEX(ProjectInput[Over-Ride Annual Hours], MATCH(Table5[[#This Row],[Project Index]], ProjectInput[Project Index], 0)))</f>
        <v/>
      </c>
      <c r="E109" s="205"/>
      <c r="F109" s="206"/>
      <c r="G109" s="206"/>
      <c r="H109" s="206"/>
      <c r="I109" s="206"/>
      <c r="J109" s="206"/>
      <c r="K109" s="206"/>
      <c r="L109" s="206"/>
      <c r="M109" s="206"/>
      <c r="N10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0" spans="2:14" s="202" customFormat="1" ht="40" customHeight="1">
      <c r="B110" s="196">
        <f>ProjectInput[[#This Row],[Project Index]]</f>
        <v>107</v>
      </c>
      <c r="C110" s="196" t="str">
        <f>IF(ProjectInput[[#This Row],[Location]]=0, "", ProjectInput[[#This Row],[Location]])</f>
        <v/>
      </c>
      <c r="D110" s="198" t="str">
        <f>IF(Table5[[#This Row],[Location]]="", "", INDEX(ProjectInput[Over-Ride Annual Hours], MATCH(Table5[[#This Row],[Project Index]], ProjectInput[Project Index], 0)))</f>
        <v/>
      </c>
      <c r="E110" s="205"/>
      <c r="F110" s="206"/>
      <c r="G110" s="206"/>
      <c r="H110" s="206"/>
      <c r="I110" s="206"/>
      <c r="J110" s="206"/>
      <c r="K110" s="206"/>
      <c r="L110" s="206"/>
      <c r="M110" s="206"/>
      <c r="N1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1" spans="2:14" s="202" customFormat="1" ht="40" customHeight="1">
      <c r="B111" s="196">
        <f>ProjectInput[[#This Row],[Project Index]]</f>
        <v>108</v>
      </c>
      <c r="C111" s="196" t="str">
        <f>IF(ProjectInput[[#This Row],[Location]]=0, "", ProjectInput[[#This Row],[Location]])</f>
        <v/>
      </c>
      <c r="D111" s="198" t="str">
        <f>IF(Table5[[#This Row],[Location]]="", "", INDEX(ProjectInput[Over-Ride Annual Hours], MATCH(Table5[[#This Row],[Project Index]], ProjectInput[Project Index], 0)))</f>
        <v/>
      </c>
      <c r="E111" s="205"/>
      <c r="F111" s="206"/>
      <c r="G111" s="206"/>
      <c r="H111" s="206"/>
      <c r="I111" s="206"/>
      <c r="J111" s="206"/>
      <c r="K111" s="206"/>
      <c r="L111" s="206"/>
      <c r="M111" s="206"/>
      <c r="N1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2" spans="2:14" s="202" customFormat="1" ht="40" customHeight="1">
      <c r="B112" s="196">
        <f>ProjectInput[[#This Row],[Project Index]]</f>
        <v>109</v>
      </c>
      <c r="C112" s="196" t="str">
        <f>IF(ProjectInput[[#This Row],[Location]]=0, "", ProjectInput[[#This Row],[Location]])</f>
        <v/>
      </c>
      <c r="D112" s="198" t="str">
        <f>IF(Table5[[#This Row],[Location]]="", "", INDEX(ProjectInput[Over-Ride Annual Hours], MATCH(Table5[[#This Row],[Project Index]], ProjectInput[Project Index], 0)))</f>
        <v/>
      </c>
      <c r="E112" s="205"/>
      <c r="F112" s="206"/>
      <c r="G112" s="206"/>
      <c r="H112" s="206"/>
      <c r="I112" s="206"/>
      <c r="J112" s="206"/>
      <c r="K112" s="206"/>
      <c r="L112" s="206"/>
      <c r="M112" s="206"/>
      <c r="N1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3" spans="2:14" s="202" customFormat="1" ht="40" customHeight="1">
      <c r="B113" s="196">
        <f>ProjectInput[[#This Row],[Project Index]]</f>
        <v>110</v>
      </c>
      <c r="C113" s="196" t="str">
        <f>IF(ProjectInput[[#This Row],[Location]]=0, "", ProjectInput[[#This Row],[Location]])</f>
        <v/>
      </c>
      <c r="D113" s="198" t="str">
        <f>IF(Table5[[#This Row],[Location]]="", "", INDEX(ProjectInput[Over-Ride Annual Hours], MATCH(Table5[[#This Row],[Project Index]], ProjectInput[Project Index], 0)))</f>
        <v/>
      </c>
      <c r="E113" s="205"/>
      <c r="F113" s="206"/>
      <c r="G113" s="206"/>
      <c r="H113" s="206"/>
      <c r="I113" s="206"/>
      <c r="J113" s="206"/>
      <c r="K113" s="206"/>
      <c r="L113" s="206"/>
      <c r="M113" s="206"/>
      <c r="N1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4" spans="2:14" s="202" customFormat="1" ht="40" customHeight="1">
      <c r="B114" s="196">
        <f>ProjectInput[[#This Row],[Project Index]]</f>
        <v>111</v>
      </c>
      <c r="C114" s="196" t="str">
        <f>IF(ProjectInput[[#This Row],[Location]]=0, "", ProjectInput[[#This Row],[Location]])</f>
        <v/>
      </c>
      <c r="D114" s="198" t="str">
        <f>IF(Table5[[#This Row],[Location]]="", "", INDEX(ProjectInput[Over-Ride Annual Hours], MATCH(Table5[[#This Row],[Project Index]], ProjectInput[Project Index], 0)))</f>
        <v/>
      </c>
      <c r="E114" s="205"/>
      <c r="F114" s="206"/>
      <c r="G114" s="206"/>
      <c r="H114" s="206"/>
      <c r="I114" s="206"/>
      <c r="J114" s="206"/>
      <c r="K114" s="206"/>
      <c r="L114" s="206"/>
      <c r="M114" s="206"/>
      <c r="N1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5" spans="2:14" s="202" customFormat="1" ht="40" customHeight="1">
      <c r="B115" s="196">
        <f>ProjectInput[[#This Row],[Project Index]]</f>
        <v>112</v>
      </c>
      <c r="C115" s="196" t="str">
        <f>IF(ProjectInput[[#This Row],[Location]]=0, "", ProjectInput[[#This Row],[Location]])</f>
        <v/>
      </c>
      <c r="D115" s="198" t="str">
        <f>IF(Table5[[#This Row],[Location]]="", "", INDEX(ProjectInput[Over-Ride Annual Hours], MATCH(Table5[[#This Row],[Project Index]], ProjectInput[Project Index], 0)))</f>
        <v/>
      </c>
      <c r="E115" s="205"/>
      <c r="F115" s="206"/>
      <c r="G115" s="206"/>
      <c r="H115" s="206"/>
      <c r="I115" s="206"/>
      <c r="J115" s="206"/>
      <c r="K115" s="206"/>
      <c r="L115" s="206"/>
      <c r="M115" s="206"/>
      <c r="N1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6" spans="2:14" s="202" customFormat="1" ht="40" customHeight="1">
      <c r="B116" s="196">
        <f>ProjectInput[[#This Row],[Project Index]]</f>
        <v>113</v>
      </c>
      <c r="C116" s="196" t="str">
        <f>IF(ProjectInput[[#This Row],[Location]]=0, "", ProjectInput[[#This Row],[Location]])</f>
        <v/>
      </c>
      <c r="D116" s="198" t="str">
        <f>IF(Table5[[#This Row],[Location]]="", "", INDEX(ProjectInput[Over-Ride Annual Hours], MATCH(Table5[[#This Row],[Project Index]], ProjectInput[Project Index], 0)))</f>
        <v/>
      </c>
      <c r="E116" s="205"/>
      <c r="F116" s="206"/>
      <c r="G116" s="206"/>
      <c r="H116" s="206"/>
      <c r="I116" s="206"/>
      <c r="J116" s="206"/>
      <c r="K116" s="206"/>
      <c r="L116" s="206"/>
      <c r="M116" s="206"/>
      <c r="N1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7" spans="2:14" s="202" customFormat="1" ht="40" customHeight="1">
      <c r="B117" s="196">
        <f>ProjectInput[[#This Row],[Project Index]]</f>
        <v>114</v>
      </c>
      <c r="C117" s="196" t="str">
        <f>IF(ProjectInput[[#This Row],[Location]]=0, "", ProjectInput[[#This Row],[Location]])</f>
        <v/>
      </c>
      <c r="D117" s="198" t="str">
        <f>IF(Table5[[#This Row],[Location]]="", "", INDEX(ProjectInput[Over-Ride Annual Hours], MATCH(Table5[[#This Row],[Project Index]], ProjectInput[Project Index], 0)))</f>
        <v/>
      </c>
      <c r="E117" s="205"/>
      <c r="F117" s="206"/>
      <c r="G117" s="206"/>
      <c r="H117" s="206"/>
      <c r="I117" s="206"/>
      <c r="J117" s="206"/>
      <c r="K117" s="206"/>
      <c r="L117" s="206"/>
      <c r="M117" s="206"/>
      <c r="N1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8" spans="2:14" s="202" customFormat="1" ht="40" customHeight="1">
      <c r="B118" s="196">
        <f>ProjectInput[[#This Row],[Project Index]]</f>
        <v>115</v>
      </c>
      <c r="C118" s="196" t="str">
        <f>IF(ProjectInput[[#This Row],[Location]]=0, "", ProjectInput[[#This Row],[Location]])</f>
        <v/>
      </c>
      <c r="D118" s="198" t="str">
        <f>IF(Table5[[#This Row],[Location]]="", "", INDEX(ProjectInput[Over-Ride Annual Hours], MATCH(Table5[[#This Row],[Project Index]], ProjectInput[Project Index], 0)))</f>
        <v/>
      </c>
      <c r="E118" s="205"/>
      <c r="F118" s="206"/>
      <c r="G118" s="206"/>
      <c r="H118" s="206"/>
      <c r="I118" s="206"/>
      <c r="J118" s="206"/>
      <c r="K118" s="206"/>
      <c r="L118" s="206"/>
      <c r="M118" s="206"/>
      <c r="N1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19" spans="2:14" s="202" customFormat="1" ht="40" customHeight="1">
      <c r="B119" s="196">
        <f>ProjectInput[[#This Row],[Project Index]]</f>
        <v>116</v>
      </c>
      <c r="C119" s="196" t="str">
        <f>IF(ProjectInput[[#This Row],[Location]]=0, "", ProjectInput[[#This Row],[Location]])</f>
        <v/>
      </c>
      <c r="D119" s="198" t="str">
        <f>IF(Table5[[#This Row],[Location]]="", "", INDEX(ProjectInput[Over-Ride Annual Hours], MATCH(Table5[[#This Row],[Project Index]], ProjectInput[Project Index], 0)))</f>
        <v/>
      </c>
      <c r="E119" s="205"/>
      <c r="F119" s="206"/>
      <c r="G119" s="206"/>
      <c r="H119" s="206"/>
      <c r="I119" s="206"/>
      <c r="J119" s="206"/>
      <c r="K119" s="206"/>
      <c r="L119" s="206"/>
      <c r="M119" s="206"/>
      <c r="N1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0" spans="2:14" s="202" customFormat="1" ht="40" customHeight="1">
      <c r="B120" s="196">
        <f>ProjectInput[[#This Row],[Project Index]]</f>
        <v>117</v>
      </c>
      <c r="C120" s="196" t="str">
        <f>IF(ProjectInput[[#This Row],[Location]]=0, "", ProjectInput[[#This Row],[Location]])</f>
        <v/>
      </c>
      <c r="D120" s="198" t="str">
        <f>IF(Table5[[#This Row],[Location]]="", "", INDEX(ProjectInput[Over-Ride Annual Hours], MATCH(Table5[[#This Row],[Project Index]], ProjectInput[Project Index], 0)))</f>
        <v/>
      </c>
      <c r="E120" s="205"/>
      <c r="F120" s="206"/>
      <c r="G120" s="206"/>
      <c r="H120" s="206"/>
      <c r="I120" s="206"/>
      <c r="J120" s="206"/>
      <c r="K120" s="206"/>
      <c r="L120" s="206"/>
      <c r="M120" s="206"/>
      <c r="N1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1" spans="2:14" s="202" customFormat="1" ht="40" customHeight="1">
      <c r="B121" s="196">
        <f>ProjectInput[[#This Row],[Project Index]]</f>
        <v>118</v>
      </c>
      <c r="C121" s="196" t="str">
        <f>IF(ProjectInput[[#This Row],[Location]]=0, "", ProjectInput[[#This Row],[Location]])</f>
        <v/>
      </c>
      <c r="D121" s="198" t="str">
        <f>IF(Table5[[#This Row],[Location]]="", "", INDEX(ProjectInput[Over-Ride Annual Hours], MATCH(Table5[[#This Row],[Project Index]], ProjectInput[Project Index], 0)))</f>
        <v/>
      </c>
      <c r="E121" s="205"/>
      <c r="F121" s="206"/>
      <c r="G121" s="206"/>
      <c r="H121" s="206"/>
      <c r="I121" s="206"/>
      <c r="J121" s="206"/>
      <c r="K121" s="206"/>
      <c r="L121" s="206"/>
      <c r="M121" s="206"/>
      <c r="N1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2" spans="2:14" s="202" customFormat="1" ht="40" customHeight="1">
      <c r="B122" s="196">
        <f>ProjectInput[[#This Row],[Project Index]]</f>
        <v>119</v>
      </c>
      <c r="C122" s="196" t="str">
        <f>IF(ProjectInput[[#This Row],[Location]]=0, "", ProjectInput[[#This Row],[Location]])</f>
        <v/>
      </c>
      <c r="D122" s="198" t="str">
        <f>IF(Table5[[#This Row],[Location]]="", "", INDEX(ProjectInput[Over-Ride Annual Hours], MATCH(Table5[[#This Row],[Project Index]], ProjectInput[Project Index], 0)))</f>
        <v/>
      </c>
      <c r="E122" s="205"/>
      <c r="F122" s="206"/>
      <c r="G122" s="206"/>
      <c r="H122" s="206"/>
      <c r="I122" s="206"/>
      <c r="J122" s="206"/>
      <c r="K122" s="206"/>
      <c r="L122" s="206"/>
      <c r="M122" s="206"/>
      <c r="N1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3" spans="2:14" s="202" customFormat="1" ht="40" customHeight="1">
      <c r="B123" s="196">
        <f>ProjectInput[[#This Row],[Project Index]]</f>
        <v>120</v>
      </c>
      <c r="C123" s="196" t="str">
        <f>IF(ProjectInput[[#This Row],[Location]]=0, "", ProjectInput[[#This Row],[Location]])</f>
        <v/>
      </c>
      <c r="D123" s="198" t="str">
        <f>IF(Table5[[#This Row],[Location]]="", "", INDEX(ProjectInput[Over-Ride Annual Hours], MATCH(Table5[[#This Row],[Project Index]], ProjectInput[Project Index], 0)))</f>
        <v/>
      </c>
      <c r="E123" s="205"/>
      <c r="F123" s="206"/>
      <c r="G123" s="206"/>
      <c r="H123" s="206"/>
      <c r="I123" s="206"/>
      <c r="J123" s="206"/>
      <c r="K123" s="206"/>
      <c r="L123" s="206"/>
      <c r="M123" s="206"/>
      <c r="N1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4" spans="2:14" s="202" customFormat="1" ht="40" customHeight="1">
      <c r="B124" s="196">
        <f>ProjectInput[[#This Row],[Project Index]]</f>
        <v>121</v>
      </c>
      <c r="C124" s="196" t="str">
        <f>IF(ProjectInput[[#This Row],[Location]]=0, "", ProjectInput[[#This Row],[Location]])</f>
        <v/>
      </c>
      <c r="D124" s="198" t="str">
        <f>IF(Table5[[#This Row],[Location]]="", "", INDEX(ProjectInput[Over-Ride Annual Hours], MATCH(Table5[[#This Row],[Project Index]], ProjectInput[Project Index], 0)))</f>
        <v/>
      </c>
      <c r="E124" s="205"/>
      <c r="F124" s="206"/>
      <c r="G124" s="206"/>
      <c r="H124" s="206"/>
      <c r="I124" s="206"/>
      <c r="J124" s="206"/>
      <c r="K124" s="206"/>
      <c r="L124" s="206"/>
      <c r="M124" s="206"/>
      <c r="N1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5" spans="2:14" s="202" customFormat="1" ht="40" customHeight="1">
      <c r="B125" s="196">
        <f>ProjectInput[[#This Row],[Project Index]]</f>
        <v>122</v>
      </c>
      <c r="C125" s="196" t="str">
        <f>IF(ProjectInput[[#This Row],[Location]]=0, "", ProjectInput[[#This Row],[Location]])</f>
        <v/>
      </c>
      <c r="D125" s="198" t="str">
        <f>IF(Table5[[#This Row],[Location]]="", "", INDEX(ProjectInput[Over-Ride Annual Hours], MATCH(Table5[[#This Row],[Project Index]], ProjectInput[Project Index], 0)))</f>
        <v/>
      </c>
      <c r="E125" s="205"/>
      <c r="F125" s="206"/>
      <c r="G125" s="206"/>
      <c r="H125" s="206"/>
      <c r="I125" s="206"/>
      <c r="J125" s="206"/>
      <c r="K125" s="206"/>
      <c r="L125" s="206"/>
      <c r="M125" s="206"/>
      <c r="N1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6" spans="2:14" s="202" customFormat="1" ht="40" customHeight="1">
      <c r="B126" s="196">
        <f>ProjectInput[[#This Row],[Project Index]]</f>
        <v>123</v>
      </c>
      <c r="C126" s="196" t="str">
        <f>IF(ProjectInput[[#This Row],[Location]]=0, "", ProjectInput[[#This Row],[Location]])</f>
        <v/>
      </c>
      <c r="D126" s="198" t="str">
        <f>IF(Table5[[#This Row],[Location]]="", "", INDEX(ProjectInput[Over-Ride Annual Hours], MATCH(Table5[[#This Row],[Project Index]], ProjectInput[Project Index], 0)))</f>
        <v/>
      </c>
      <c r="E126" s="205"/>
      <c r="F126" s="206"/>
      <c r="G126" s="206"/>
      <c r="H126" s="206"/>
      <c r="I126" s="206"/>
      <c r="J126" s="206"/>
      <c r="K126" s="206"/>
      <c r="L126" s="206"/>
      <c r="M126" s="206"/>
      <c r="N1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7" spans="2:14" s="202" customFormat="1" ht="40" customHeight="1">
      <c r="B127" s="196">
        <f>ProjectInput[[#This Row],[Project Index]]</f>
        <v>124</v>
      </c>
      <c r="C127" s="196" t="str">
        <f>IF(ProjectInput[[#This Row],[Location]]=0, "", ProjectInput[[#This Row],[Location]])</f>
        <v/>
      </c>
      <c r="D127" s="198" t="str">
        <f>IF(Table5[[#This Row],[Location]]="", "", INDEX(ProjectInput[Over-Ride Annual Hours], MATCH(Table5[[#This Row],[Project Index]], ProjectInput[Project Index], 0)))</f>
        <v/>
      </c>
      <c r="E127" s="205"/>
      <c r="F127" s="206"/>
      <c r="G127" s="206"/>
      <c r="H127" s="206"/>
      <c r="I127" s="206"/>
      <c r="J127" s="206"/>
      <c r="K127" s="206"/>
      <c r="L127" s="206"/>
      <c r="M127" s="206"/>
      <c r="N1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8" spans="2:14" s="202" customFormat="1" ht="40" customHeight="1">
      <c r="B128" s="196">
        <f>ProjectInput[[#This Row],[Project Index]]</f>
        <v>125</v>
      </c>
      <c r="C128" s="196" t="str">
        <f>IF(ProjectInput[[#This Row],[Location]]=0, "", ProjectInput[[#This Row],[Location]])</f>
        <v/>
      </c>
      <c r="D128" s="198" t="str">
        <f>IF(Table5[[#This Row],[Location]]="", "", INDEX(ProjectInput[Over-Ride Annual Hours], MATCH(Table5[[#This Row],[Project Index]], ProjectInput[Project Index], 0)))</f>
        <v/>
      </c>
      <c r="E128" s="205"/>
      <c r="F128" s="206"/>
      <c r="G128" s="206"/>
      <c r="H128" s="206"/>
      <c r="I128" s="206"/>
      <c r="J128" s="206"/>
      <c r="K128" s="206"/>
      <c r="L128" s="206"/>
      <c r="M128" s="206"/>
      <c r="N1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29" spans="2:14" s="202" customFormat="1" ht="40" customHeight="1">
      <c r="B129" s="196">
        <f>ProjectInput[[#This Row],[Project Index]]</f>
        <v>126</v>
      </c>
      <c r="C129" s="196" t="str">
        <f>IF(ProjectInput[[#This Row],[Location]]=0, "", ProjectInput[[#This Row],[Location]])</f>
        <v/>
      </c>
      <c r="D129" s="198" t="str">
        <f>IF(Table5[[#This Row],[Location]]="", "", INDEX(ProjectInput[Over-Ride Annual Hours], MATCH(Table5[[#This Row],[Project Index]], ProjectInput[Project Index], 0)))</f>
        <v/>
      </c>
      <c r="E129" s="205"/>
      <c r="F129" s="206"/>
      <c r="G129" s="206"/>
      <c r="H129" s="206"/>
      <c r="I129" s="206"/>
      <c r="J129" s="206"/>
      <c r="K129" s="206"/>
      <c r="L129" s="206"/>
      <c r="M129" s="206"/>
      <c r="N1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0" spans="2:14" s="202" customFormat="1" ht="40" customHeight="1">
      <c r="B130" s="196">
        <f>ProjectInput[[#This Row],[Project Index]]</f>
        <v>127</v>
      </c>
      <c r="C130" s="196" t="str">
        <f>IF(ProjectInput[[#This Row],[Location]]=0, "", ProjectInput[[#This Row],[Location]])</f>
        <v/>
      </c>
      <c r="D130" s="198" t="str">
        <f>IF(Table5[[#This Row],[Location]]="", "", INDEX(ProjectInput[Over-Ride Annual Hours], MATCH(Table5[[#This Row],[Project Index]], ProjectInput[Project Index], 0)))</f>
        <v/>
      </c>
      <c r="E130" s="205"/>
      <c r="F130" s="206"/>
      <c r="G130" s="206"/>
      <c r="H130" s="206"/>
      <c r="I130" s="206"/>
      <c r="J130" s="206"/>
      <c r="K130" s="206"/>
      <c r="L130" s="206"/>
      <c r="M130" s="206"/>
      <c r="N1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1" spans="2:14" s="202" customFormat="1" ht="40" customHeight="1">
      <c r="B131" s="196">
        <f>ProjectInput[[#This Row],[Project Index]]</f>
        <v>128</v>
      </c>
      <c r="C131" s="196" t="str">
        <f>IF(ProjectInput[[#This Row],[Location]]=0, "", ProjectInput[[#This Row],[Location]])</f>
        <v/>
      </c>
      <c r="D131" s="198" t="str">
        <f>IF(Table5[[#This Row],[Location]]="", "", INDEX(ProjectInput[Over-Ride Annual Hours], MATCH(Table5[[#This Row],[Project Index]], ProjectInput[Project Index], 0)))</f>
        <v/>
      </c>
      <c r="E131" s="205"/>
      <c r="F131" s="206"/>
      <c r="G131" s="206"/>
      <c r="H131" s="206"/>
      <c r="I131" s="206"/>
      <c r="J131" s="206"/>
      <c r="K131" s="206"/>
      <c r="L131" s="206"/>
      <c r="M131" s="206"/>
      <c r="N1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2" spans="2:14" s="202" customFormat="1" ht="40" customHeight="1">
      <c r="B132" s="196">
        <f>ProjectInput[[#This Row],[Project Index]]</f>
        <v>129</v>
      </c>
      <c r="C132" s="196" t="str">
        <f>IF(ProjectInput[[#This Row],[Location]]=0, "", ProjectInput[[#This Row],[Location]])</f>
        <v/>
      </c>
      <c r="D132" s="198" t="str">
        <f>IF(Table5[[#This Row],[Location]]="", "", INDEX(ProjectInput[Over-Ride Annual Hours], MATCH(Table5[[#This Row],[Project Index]], ProjectInput[Project Index], 0)))</f>
        <v/>
      </c>
      <c r="E132" s="205"/>
      <c r="F132" s="206"/>
      <c r="G132" s="206"/>
      <c r="H132" s="206"/>
      <c r="I132" s="206"/>
      <c r="J132" s="206"/>
      <c r="K132" s="206"/>
      <c r="L132" s="206"/>
      <c r="M132" s="206"/>
      <c r="N1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3" spans="2:14" s="202" customFormat="1" ht="40" customHeight="1">
      <c r="B133" s="196">
        <f>ProjectInput[[#This Row],[Project Index]]</f>
        <v>130</v>
      </c>
      <c r="C133" s="196" t="str">
        <f>IF(ProjectInput[[#This Row],[Location]]=0, "", ProjectInput[[#This Row],[Location]])</f>
        <v/>
      </c>
      <c r="D133" s="198" t="str">
        <f>IF(Table5[[#This Row],[Location]]="", "", INDEX(ProjectInput[Over-Ride Annual Hours], MATCH(Table5[[#This Row],[Project Index]], ProjectInput[Project Index], 0)))</f>
        <v/>
      </c>
      <c r="E133" s="205"/>
      <c r="F133" s="206"/>
      <c r="G133" s="206"/>
      <c r="H133" s="206"/>
      <c r="I133" s="206"/>
      <c r="J133" s="206"/>
      <c r="K133" s="206"/>
      <c r="L133" s="206"/>
      <c r="M133" s="206"/>
      <c r="N1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4" spans="2:14" s="202" customFormat="1" ht="40" customHeight="1">
      <c r="B134" s="196">
        <f>ProjectInput[[#This Row],[Project Index]]</f>
        <v>131</v>
      </c>
      <c r="C134" s="196" t="str">
        <f>IF(ProjectInput[[#This Row],[Location]]=0, "", ProjectInput[[#This Row],[Location]])</f>
        <v/>
      </c>
      <c r="D134" s="198" t="str">
        <f>IF(Table5[[#This Row],[Location]]="", "", INDEX(ProjectInput[Over-Ride Annual Hours], MATCH(Table5[[#This Row],[Project Index]], ProjectInput[Project Index], 0)))</f>
        <v/>
      </c>
      <c r="E134" s="205"/>
      <c r="F134" s="206"/>
      <c r="G134" s="206"/>
      <c r="H134" s="206"/>
      <c r="I134" s="206"/>
      <c r="J134" s="206"/>
      <c r="K134" s="206"/>
      <c r="L134" s="206"/>
      <c r="M134" s="206"/>
      <c r="N1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5" spans="2:14" s="202" customFormat="1" ht="40" customHeight="1">
      <c r="B135" s="196">
        <f>ProjectInput[[#This Row],[Project Index]]</f>
        <v>132</v>
      </c>
      <c r="C135" s="196" t="str">
        <f>IF(ProjectInput[[#This Row],[Location]]=0, "", ProjectInput[[#This Row],[Location]])</f>
        <v/>
      </c>
      <c r="D135" s="198" t="str">
        <f>IF(Table5[[#This Row],[Location]]="", "", INDEX(ProjectInput[Over-Ride Annual Hours], MATCH(Table5[[#This Row],[Project Index]], ProjectInput[Project Index], 0)))</f>
        <v/>
      </c>
      <c r="E135" s="205"/>
      <c r="F135" s="206"/>
      <c r="G135" s="206"/>
      <c r="H135" s="206"/>
      <c r="I135" s="206"/>
      <c r="J135" s="206"/>
      <c r="K135" s="206"/>
      <c r="L135" s="206"/>
      <c r="M135" s="206"/>
      <c r="N1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6" spans="2:14" s="202" customFormat="1" ht="40" customHeight="1">
      <c r="B136" s="196">
        <f>ProjectInput[[#This Row],[Project Index]]</f>
        <v>133</v>
      </c>
      <c r="C136" s="196" t="str">
        <f>IF(ProjectInput[[#This Row],[Location]]=0, "", ProjectInput[[#This Row],[Location]])</f>
        <v/>
      </c>
      <c r="D136" s="198" t="str">
        <f>IF(Table5[[#This Row],[Location]]="", "", INDEX(ProjectInput[Over-Ride Annual Hours], MATCH(Table5[[#This Row],[Project Index]], ProjectInput[Project Index], 0)))</f>
        <v/>
      </c>
      <c r="E136" s="205"/>
      <c r="F136" s="206"/>
      <c r="G136" s="206"/>
      <c r="H136" s="206"/>
      <c r="I136" s="206"/>
      <c r="J136" s="206"/>
      <c r="K136" s="206"/>
      <c r="L136" s="206"/>
      <c r="M136" s="206"/>
      <c r="N1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7" spans="2:14" s="202" customFormat="1" ht="40" customHeight="1">
      <c r="B137" s="196">
        <f>ProjectInput[[#This Row],[Project Index]]</f>
        <v>134</v>
      </c>
      <c r="C137" s="196" t="str">
        <f>IF(ProjectInput[[#This Row],[Location]]=0, "", ProjectInput[[#This Row],[Location]])</f>
        <v/>
      </c>
      <c r="D137" s="198" t="str">
        <f>IF(Table5[[#This Row],[Location]]="", "", INDEX(ProjectInput[Over-Ride Annual Hours], MATCH(Table5[[#This Row],[Project Index]], ProjectInput[Project Index], 0)))</f>
        <v/>
      </c>
      <c r="E137" s="205"/>
      <c r="F137" s="206"/>
      <c r="G137" s="206"/>
      <c r="H137" s="206"/>
      <c r="I137" s="206"/>
      <c r="J137" s="206"/>
      <c r="K137" s="206"/>
      <c r="L137" s="206"/>
      <c r="M137" s="206"/>
      <c r="N1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8" spans="2:14" s="202" customFormat="1" ht="40" customHeight="1">
      <c r="B138" s="196">
        <f>ProjectInput[[#This Row],[Project Index]]</f>
        <v>135</v>
      </c>
      <c r="C138" s="196" t="str">
        <f>IF(ProjectInput[[#This Row],[Location]]=0, "", ProjectInput[[#This Row],[Location]])</f>
        <v/>
      </c>
      <c r="D138" s="198" t="str">
        <f>IF(Table5[[#This Row],[Location]]="", "", INDEX(ProjectInput[Over-Ride Annual Hours], MATCH(Table5[[#This Row],[Project Index]], ProjectInput[Project Index], 0)))</f>
        <v/>
      </c>
      <c r="E138" s="205"/>
      <c r="F138" s="206"/>
      <c r="G138" s="206"/>
      <c r="H138" s="206"/>
      <c r="I138" s="206"/>
      <c r="J138" s="206"/>
      <c r="K138" s="206"/>
      <c r="L138" s="206"/>
      <c r="M138" s="206"/>
      <c r="N1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39" spans="2:14" s="202" customFormat="1" ht="40" customHeight="1">
      <c r="B139" s="196">
        <f>ProjectInput[[#This Row],[Project Index]]</f>
        <v>136</v>
      </c>
      <c r="C139" s="196" t="str">
        <f>IF(ProjectInput[[#This Row],[Location]]=0, "", ProjectInput[[#This Row],[Location]])</f>
        <v/>
      </c>
      <c r="D139" s="198" t="str">
        <f>IF(Table5[[#This Row],[Location]]="", "", INDEX(ProjectInput[Over-Ride Annual Hours], MATCH(Table5[[#This Row],[Project Index]], ProjectInput[Project Index], 0)))</f>
        <v/>
      </c>
      <c r="E139" s="205"/>
      <c r="F139" s="206"/>
      <c r="G139" s="206"/>
      <c r="H139" s="206"/>
      <c r="I139" s="206"/>
      <c r="J139" s="206"/>
      <c r="K139" s="206"/>
      <c r="L139" s="206"/>
      <c r="M139" s="206"/>
      <c r="N1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0" spans="2:14" s="202" customFormat="1" ht="40" customHeight="1">
      <c r="B140" s="196">
        <f>ProjectInput[[#This Row],[Project Index]]</f>
        <v>137</v>
      </c>
      <c r="C140" s="196" t="str">
        <f>IF(ProjectInput[[#This Row],[Location]]=0, "", ProjectInput[[#This Row],[Location]])</f>
        <v/>
      </c>
      <c r="D140" s="198" t="str">
        <f>IF(Table5[[#This Row],[Location]]="", "", INDEX(ProjectInput[Over-Ride Annual Hours], MATCH(Table5[[#This Row],[Project Index]], ProjectInput[Project Index], 0)))</f>
        <v/>
      </c>
      <c r="E140" s="205"/>
      <c r="F140" s="206"/>
      <c r="G140" s="206"/>
      <c r="H140" s="206"/>
      <c r="I140" s="206"/>
      <c r="J140" s="206"/>
      <c r="K140" s="206"/>
      <c r="L140" s="206"/>
      <c r="M140" s="206"/>
      <c r="N1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1" spans="2:14" s="202" customFormat="1" ht="40" customHeight="1">
      <c r="B141" s="196">
        <f>ProjectInput[[#This Row],[Project Index]]</f>
        <v>138</v>
      </c>
      <c r="C141" s="196" t="str">
        <f>IF(ProjectInput[[#This Row],[Location]]=0, "", ProjectInput[[#This Row],[Location]])</f>
        <v/>
      </c>
      <c r="D141" s="198" t="str">
        <f>IF(Table5[[#This Row],[Location]]="", "", INDEX(ProjectInput[Over-Ride Annual Hours], MATCH(Table5[[#This Row],[Project Index]], ProjectInput[Project Index], 0)))</f>
        <v/>
      </c>
      <c r="E141" s="205"/>
      <c r="F141" s="206"/>
      <c r="G141" s="206"/>
      <c r="H141" s="206"/>
      <c r="I141" s="206"/>
      <c r="J141" s="206"/>
      <c r="K141" s="206"/>
      <c r="L141" s="206"/>
      <c r="M141" s="206"/>
      <c r="N1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2" spans="2:14" s="202" customFormat="1" ht="40" customHeight="1">
      <c r="B142" s="196">
        <f>ProjectInput[[#This Row],[Project Index]]</f>
        <v>139</v>
      </c>
      <c r="C142" s="196" t="str">
        <f>IF(ProjectInput[[#This Row],[Location]]=0, "", ProjectInput[[#This Row],[Location]])</f>
        <v/>
      </c>
      <c r="D142" s="198" t="str">
        <f>IF(Table5[[#This Row],[Location]]="", "", INDEX(ProjectInput[Over-Ride Annual Hours], MATCH(Table5[[#This Row],[Project Index]], ProjectInput[Project Index], 0)))</f>
        <v/>
      </c>
      <c r="E142" s="205"/>
      <c r="F142" s="206"/>
      <c r="G142" s="206"/>
      <c r="H142" s="206"/>
      <c r="I142" s="206"/>
      <c r="J142" s="206"/>
      <c r="K142" s="206"/>
      <c r="L142" s="206"/>
      <c r="M142" s="206"/>
      <c r="N1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3" spans="2:14" s="202" customFormat="1" ht="40" customHeight="1">
      <c r="B143" s="196">
        <f>ProjectInput[[#This Row],[Project Index]]</f>
        <v>140</v>
      </c>
      <c r="C143" s="196" t="str">
        <f>IF(ProjectInput[[#This Row],[Location]]=0, "", ProjectInput[[#This Row],[Location]])</f>
        <v/>
      </c>
      <c r="D143" s="198" t="str">
        <f>IF(Table5[[#This Row],[Location]]="", "", INDEX(ProjectInput[Over-Ride Annual Hours], MATCH(Table5[[#This Row],[Project Index]], ProjectInput[Project Index], 0)))</f>
        <v/>
      </c>
      <c r="E143" s="205"/>
      <c r="F143" s="206"/>
      <c r="G143" s="206"/>
      <c r="H143" s="206"/>
      <c r="I143" s="206"/>
      <c r="J143" s="206"/>
      <c r="K143" s="206"/>
      <c r="L143" s="206"/>
      <c r="M143" s="206"/>
      <c r="N1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4" spans="2:14" s="202" customFormat="1" ht="40" customHeight="1">
      <c r="B144" s="196">
        <f>ProjectInput[[#This Row],[Project Index]]</f>
        <v>141</v>
      </c>
      <c r="C144" s="196" t="str">
        <f>IF(ProjectInput[[#This Row],[Location]]=0, "", ProjectInput[[#This Row],[Location]])</f>
        <v/>
      </c>
      <c r="D144" s="198" t="str">
        <f>IF(Table5[[#This Row],[Location]]="", "", INDEX(ProjectInput[Over-Ride Annual Hours], MATCH(Table5[[#This Row],[Project Index]], ProjectInput[Project Index], 0)))</f>
        <v/>
      </c>
      <c r="E144" s="205"/>
      <c r="F144" s="206"/>
      <c r="G144" s="206"/>
      <c r="H144" s="206"/>
      <c r="I144" s="206"/>
      <c r="J144" s="206"/>
      <c r="K144" s="206"/>
      <c r="L144" s="206"/>
      <c r="M144" s="206"/>
      <c r="N1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5" spans="2:14" s="202" customFormat="1" ht="40" customHeight="1">
      <c r="B145" s="196">
        <f>ProjectInput[[#This Row],[Project Index]]</f>
        <v>142</v>
      </c>
      <c r="C145" s="196" t="str">
        <f>IF(ProjectInput[[#This Row],[Location]]=0, "", ProjectInput[[#This Row],[Location]])</f>
        <v/>
      </c>
      <c r="D145" s="198" t="str">
        <f>IF(Table5[[#This Row],[Location]]="", "", INDEX(ProjectInput[Over-Ride Annual Hours], MATCH(Table5[[#This Row],[Project Index]], ProjectInput[Project Index], 0)))</f>
        <v/>
      </c>
      <c r="E145" s="205"/>
      <c r="F145" s="206"/>
      <c r="G145" s="206"/>
      <c r="H145" s="206"/>
      <c r="I145" s="206"/>
      <c r="J145" s="206"/>
      <c r="K145" s="206"/>
      <c r="L145" s="206"/>
      <c r="M145" s="206"/>
      <c r="N1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6" spans="2:14" s="202" customFormat="1" ht="40" customHeight="1">
      <c r="B146" s="196">
        <f>ProjectInput[[#This Row],[Project Index]]</f>
        <v>143</v>
      </c>
      <c r="C146" s="196" t="str">
        <f>IF(ProjectInput[[#This Row],[Location]]=0, "", ProjectInput[[#This Row],[Location]])</f>
        <v/>
      </c>
      <c r="D146" s="198" t="str">
        <f>IF(Table5[[#This Row],[Location]]="", "", INDEX(ProjectInput[Over-Ride Annual Hours], MATCH(Table5[[#This Row],[Project Index]], ProjectInput[Project Index], 0)))</f>
        <v/>
      </c>
      <c r="E146" s="205"/>
      <c r="F146" s="206"/>
      <c r="G146" s="206"/>
      <c r="H146" s="206"/>
      <c r="I146" s="206"/>
      <c r="J146" s="206"/>
      <c r="K146" s="206"/>
      <c r="L146" s="206"/>
      <c r="M146" s="206"/>
      <c r="N1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7" spans="2:14" s="202" customFormat="1" ht="40" customHeight="1">
      <c r="B147" s="196">
        <f>ProjectInput[[#This Row],[Project Index]]</f>
        <v>144</v>
      </c>
      <c r="C147" s="196" t="str">
        <f>IF(ProjectInput[[#This Row],[Location]]=0, "", ProjectInput[[#This Row],[Location]])</f>
        <v/>
      </c>
      <c r="D147" s="198" t="str">
        <f>IF(Table5[[#This Row],[Location]]="", "", INDEX(ProjectInput[Over-Ride Annual Hours], MATCH(Table5[[#This Row],[Project Index]], ProjectInput[Project Index], 0)))</f>
        <v/>
      </c>
      <c r="E147" s="205"/>
      <c r="F147" s="206"/>
      <c r="G147" s="206"/>
      <c r="H147" s="206"/>
      <c r="I147" s="206"/>
      <c r="J147" s="206"/>
      <c r="K147" s="206"/>
      <c r="L147" s="206"/>
      <c r="M147" s="206"/>
      <c r="N1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8" spans="2:14" s="202" customFormat="1" ht="40" customHeight="1">
      <c r="B148" s="196">
        <f>ProjectInput[[#This Row],[Project Index]]</f>
        <v>145</v>
      </c>
      <c r="C148" s="196" t="str">
        <f>IF(ProjectInput[[#This Row],[Location]]=0, "", ProjectInput[[#This Row],[Location]])</f>
        <v/>
      </c>
      <c r="D148" s="198" t="str">
        <f>IF(Table5[[#This Row],[Location]]="", "", INDEX(ProjectInput[Over-Ride Annual Hours], MATCH(Table5[[#This Row],[Project Index]], ProjectInput[Project Index], 0)))</f>
        <v/>
      </c>
      <c r="E148" s="205"/>
      <c r="F148" s="206"/>
      <c r="G148" s="206"/>
      <c r="H148" s="206"/>
      <c r="I148" s="206"/>
      <c r="J148" s="206"/>
      <c r="K148" s="206"/>
      <c r="L148" s="206"/>
      <c r="M148" s="206"/>
      <c r="N1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49" spans="2:14" s="202" customFormat="1" ht="40" customHeight="1">
      <c r="B149" s="196">
        <f>ProjectInput[[#This Row],[Project Index]]</f>
        <v>146</v>
      </c>
      <c r="C149" s="196" t="str">
        <f>IF(ProjectInput[[#This Row],[Location]]=0, "", ProjectInput[[#This Row],[Location]])</f>
        <v/>
      </c>
      <c r="D149" s="198" t="str">
        <f>IF(Table5[[#This Row],[Location]]="", "", INDEX(ProjectInput[Over-Ride Annual Hours], MATCH(Table5[[#This Row],[Project Index]], ProjectInput[Project Index], 0)))</f>
        <v/>
      </c>
      <c r="E149" s="205"/>
      <c r="F149" s="206"/>
      <c r="G149" s="206"/>
      <c r="H149" s="206"/>
      <c r="I149" s="206"/>
      <c r="J149" s="206"/>
      <c r="K149" s="206"/>
      <c r="L149" s="206"/>
      <c r="M149" s="206"/>
      <c r="N1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0" spans="2:14" s="202" customFormat="1" ht="40" customHeight="1">
      <c r="B150" s="196">
        <f>ProjectInput[[#This Row],[Project Index]]</f>
        <v>147</v>
      </c>
      <c r="C150" s="196" t="str">
        <f>IF(ProjectInput[[#This Row],[Location]]=0, "", ProjectInput[[#This Row],[Location]])</f>
        <v/>
      </c>
      <c r="D150" s="198" t="str">
        <f>IF(Table5[[#This Row],[Location]]="", "", INDEX(ProjectInput[Over-Ride Annual Hours], MATCH(Table5[[#This Row],[Project Index]], ProjectInput[Project Index], 0)))</f>
        <v/>
      </c>
      <c r="E150" s="205"/>
      <c r="F150" s="206"/>
      <c r="G150" s="206"/>
      <c r="H150" s="206"/>
      <c r="I150" s="206"/>
      <c r="J150" s="206"/>
      <c r="K150" s="206"/>
      <c r="L150" s="206"/>
      <c r="M150" s="206"/>
      <c r="N1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1" spans="2:14" s="202" customFormat="1" ht="40" customHeight="1">
      <c r="B151" s="196">
        <f>ProjectInput[[#This Row],[Project Index]]</f>
        <v>148</v>
      </c>
      <c r="C151" s="196" t="str">
        <f>IF(ProjectInput[[#This Row],[Location]]=0, "", ProjectInput[[#This Row],[Location]])</f>
        <v/>
      </c>
      <c r="D151" s="198" t="str">
        <f>IF(Table5[[#This Row],[Location]]="", "", INDEX(ProjectInput[Over-Ride Annual Hours], MATCH(Table5[[#This Row],[Project Index]], ProjectInput[Project Index], 0)))</f>
        <v/>
      </c>
      <c r="E151" s="205"/>
      <c r="F151" s="206"/>
      <c r="G151" s="206"/>
      <c r="H151" s="206"/>
      <c r="I151" s="206"/>
      <c r="J151" s="206"/>
      <c r="K151" s="206"/>
      <c r="L151" s="206"/>
      <c r="M151" s="206"/>
      <c r="N1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2" spans="2:14" s="202" customFormat="1" ht="40" customHeight="1">
      <c r="B152" s="196">
        <f>ProjectInput[[#This Row],[Project Index]]</f>
        <v>149</v>
      </c>
      <c r="C152" s="196" t="str">
        <f>IF(ProjectInput[[#This Row],[Location]]=0, "", ProjectInput[[#This Row],[Location]])</f>
        <v/>
      </c>
      <c r="D152" s="198" t="str">
        <f>IF(Table5[[#This Row],[Location]]="", "", INDEX(ProjectInput[Over-Ride Annual Hours], MATCH(Table5[[#This Row],[Project Index]], ProjectInput[Project Index], 0)))</f>
        <v/>
      </c>
      <c r="E152" s="205"/>
      <c r="F152" s="206"/>
      <c r="G152" s="206"/>
      <c r="H152" s="206"/>
      <c r="I152" s="206"/>
      <c r="J152" s="206"/>
      <c r="K152" s="206"/>
      <c r="L152" s="206"/>
      <c r="M152" s="206"/>
      <c r="N15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3" spans="2:14" s="202" customFormat="1" ht="40" customHeight="1">
      <c r="B153" s="196">
        <f>ProjectInput[[#This Row],[Project Index]]</f>
        <v>150</v>
      </c>
      <c r="C153" s="196" t="str">
        <f>IF(ProjectInput[[#This Row],[Location]]=0, "", ProjectInput[[#This Row],[Location]])</f>
        <v/>
      </c>
      <c r="D153" s="198" t="str">
        <f>IF(Table5[[#This Row],[Location]]="", "", INDEX(ProjectInput[Over-Ride Annual Hours], MATCH(Table5[[#This Row],[Project Index]], ProjectInput[Project Index], 0)))</f>
        <v/>
      </c>
      <c r="E153" s="205"/>
      <c r="F153" s="206"/>
      <c r="G153" s="206"/>
      <c r="H153" s="206"/>
      <c r="I153" s="206"/>
      <c r="J153" s="206"/>
      <c r="K153" s="206"/>
      <c r="L153" s="206"/>
      <c r="M153" s="206"/>
      <c r="N1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4" spans="2:14" s="202" customFormat="1" ht="40" customHeight="1">
      <c r="B154" s="196">
        <f>ProjectInput[[#This Row],[Project Index]]</f>
        <v>151</v>
      </c>
      <c r="C154" s="196" t="str">
        <f>IF(ProjectInput[[#This Row],[Location]]=0, "", ProjectInput[[#This Row],[Location]])</f>
        <v/>
      </c>
      <c r="D154" s="198" t="str">
        <f>IF(Table5[[#This Row],[Location]]="", "", INDEX(ProjectInput[Over-Ride Annual Hours], MATCH(Table5[[#This Row],[Project Index]], ProjectInput[Project Index], 0)))</f>
        <v/>
      </c>
      <c r="E154" s="205"/>
      <c r="F154" s="206"/>
      <c r="G154" s="206"/>
      <c r="H154" s="206"/>
      <c r="I154" s="206"/>
      <c r="J154" s="206"/>
      <c r="K154" s="206"/>
      <c r="L154" s="206"/>
      <c r="M154" s="206"/>
      <c r="N1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5" spans="2:14" s="202" customFormat="1" ht="40" customHeight="1">
      <c r="B155" s="196">
        <f>ProjectInput[[#This Row],[Project Index]]</f>
        <v>152</v>
      </c>
      <c r="C155" s="196" t="str">
        <f>IF(ProjectInput[[#This Row],[Location]]=0, "", ProjectInput[[#This Row],[Location]])</f>
        <v/>
      </c>
      <c r="D155" s="198" t="str">
        <f>IF(Table5[[#This Row],[Location]]="", "", INDEX(ProjectInput[Over-Ride Annual Hours], MATCH(Table5[[#This Row],[Project Index]], ProjectInput[Project Index], 0)))</f>
        <v/>
      </c>
      <c r="E155" s="205"/>
      <c r="F155" s="206"/>
      <c r="G155" s="206"/>
      <c r="H155" s="206"/>
      <c r="I155" s="206"/>
      <c r="J155" s="206"/>
      <c r="K155" s="206"/>
      <c r="L155" s="206"/>
      <c r="M155" s="206"/>
      <c r="N1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6" spans="2:14" s="202" customFormat="1" ht="40" customHeight="1">
      <c r="B156" s="196">
        <f>ProjectInput[[#This Row],[Project Index]]</f>
        <v>153</v>
      </c>
      <c r="C156" s="196" t="str">
        <f>IF(ProjectInput[[#This Row],[Location]]=0, "", ProjectInput[[#This Row],[Location]])</f>
        <v/>
      </c>
      <c r="D156" s="198" t="str">
        <f>IF(Table5[[#This Row],[Location]]="", "", INDEX(ProjectInput[Over-Ride Annual Hours], MATCH(Table5[[#This Row],[Project Index]], ProjectInput[Project Index], 0)))</f>
        <v/>
      </c>
      <c r="E156" s="205"/>
      <c r="F156" s="206"/>
      <c r="G156" s="206"/>
      <c r="H156" s="206"/>
      <c r="I156" s="206"/>
      <c r="J156" s="206"/>
      <c r="K156" s="206"/>
      <c r="L156" s="206"/>
      <c r="M156" s="206"/>
      <c r="N1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7" spans="2:14" s="202" customFormat="1" ht="40" customHeight="1">
      <c r="B157" s="196">
        <f>ProjectInput[[#This Row],[Project Index]]</f>
        <v>154</v>
      </c>
      <c r="C157" s="196" t="str">
        <f>IF(ProjectInput[[#This Row],[Location]]=0, "", ProjectInput[[#This Row],[Location]])</f>
        <v/>
      </c>
      <c r="D157" s="198" t="str">
        <f>IF(Table5[[#This Row],[Location]]="", "", INDEX(ProjectInput[Over-Ride Annual Hours], MATCH(Table5[[#This Row],[Project Index]], ProjectInput[Project Index], 0)))</f>
        <v/>
      </c>
      <c r="E157" s="205"/>
      <c r="F157" s="206"/>
      <c r="G157" s="206"/>
      <c r="H157" s="206"/>
      <c r="I157" s="206"/>
      <c r="J157" s="206"/>
      <c r="K157" s="206"/>
      <c r="L157" s="206"/>
      <c r="M157" s="206"/>
      <c r="N1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8" spans="2:14" s="202" customFormat="1" ht="40" customHeight="1">
      <c r="B158" s="196">
        <f>ProjectInput[[#This Row],[Project Index]]</f>
        <v>155</v>
      </c>
      <c r="C158" s="196" t="str">
        <f>IF(ProjectInput[[#This Row],[Location]]=0, "", ProjectInput[[#This Row],[Location]])</f>
        <v/>
      </c>
      <c r="D158" s="198" t="str">
        <f>IF(Table5[[#This Row],[Location]]="", "", INDEX(ProjectInput[Over-Ride Annual Hours], MATCH(Table5[[#This Row],[Project Index]], ProjectInput[Project Index], 0)))</f>
        <v/>
      </c>
      <c r="E158" s="205"/>
      <c r="F158" s="206"/>
      <c r="G158" s="206"/>
      <c r="H158" s="206"/>
      <c r="I158" s="206"/>
      <c r="J158" s="206"/>
      <c r="K158" s="206"/>
      <c r="L158" s="206"/>
      <c r="M158" s="206"/>
      <c r="N1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59" spans="2:14" s="202" customFormat="1" ht="40" customHeight="1">
      <c r="B159" s="196">
        <f>ProjectInput[[#This Row],[Project Index]]</f>
        <v>156</v>
      </c>
      <c r="C159" s="196" t="str">
        <f>IF(ProjectInput[[#This Row],[Location]]=0, "", ProjectInput[[#This Row],[Location]])</f>
        <v/>
      </c>
      <c r="D159" s="198" t="str">
        <f>IF(Table5[[#This Row],[Location]]="", "", INDEX(ProjectInput[Over-Ride Annual Hours], MATCH(Table5[[#This Row],[Project Index]], ProjectInput[Project Index], 0)))</f>
        <v/>
      </c>
      <c r="E159" s="205"/>
      <c r="F159" s="206"/>
      <c r="G159" s="206"/>
      <c r="H159" s="206"/>
      <c r="I159" s="206"/>
      <c r="J159" s="206"/>
      <c r="K159" s="206"/>
      <c r="L159" s="206"/>
      <c r="M159" s="206"/>
      <c r="N1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0" spans="2:14" s="202" customFormat="1" ht="40" customHeight="1">
      <c r="B160" s="196">
        <f>ProjectInput[[#This Row],[Project Index]]</f>
        <v>157</v>
      </c>
      <c r="C160" s="196" t="str">
        <f>IF(ProjectInput[[#This Row],[Location]]=0, "", ProjectInput[[#This Row],[Location]])</f>
        <v/>
      </c>
      <c r="D160" s="198" t="str">
        <f>IF(Table5[[#This Row],[Location]]="", "", INDEX(ProjectInput[Over-Ride Annual Hours], MATCH(Table5[[#This Row],[Project Index]], ProjectInput[Project Index], 0)))</f>
        <v/>
      </c>
      <c r="E160" s="205"/>
      <c r="F160" s="206"/>
      <c r="G160" s="206"/>
      <c r="H160" s="206"/>
      <c r="I160" s="206"/>
      <c r="J160" s="206"/>
      <c r="K160" s="206"/>
      <c r="L160" s="206"/>
      <c r="M160" s="206"/>
      <c r="N1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1" spans="2:14" s="202" customFormat="1" ht="40" customHeight="1">
      <c r="B161" s="196">
        <f>ProjectInput[[#This Row],[Project Index]]</f>
        <v>158</v>
      </c>
      <c r="C161" s="196" t="str">
        <f>IF(ProjectInput[[#This Row],[Location]]=0, "", ProjectInput[[#This Row],[Location]])</f>
        <v/>
      </c>
      <c r="D161" s="198" t="str">
        <f>IF(Table5[[#This Row],[Location]]="", "", INDEX(ProjectInput[Over-Ride Annual Hours], MATCH(Table5[[#This Row],[Project Index]], ProjectInput[Project Index], 0)))</f>
        <v/>
      </c>
      <c r="E161" s="205"/>
      <c r="F161" s="206"/>
      <c r="G161" s="206"/>
      <c r="H161" s="206"/>
      <c r="I161" s="206"/>
      <c r="J161" s="206"/>
      <c r="K161" s="206"/>
      <c r="L161" s="206"/>
      <c r="M161" s="206"/>
      <c r="N1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2" spans="2:14" s="202" customFormat="1" ht="40" customHeight="1">
      <c r="B162" s="196">
        <f>ProjectInput[[#This Row],[Project Index]]</f>
        <v>159</v>
      </c>
      <c r="C162" s="196" t="str">
        <f>IF(ProjectInput[[#This Row],[Location]]=0, "", ProjectInput[[#This Row],[Location]])</f>
        <v/>
      </c>
      <c r="D162" s="198" t="str">
        <f>IF(Table5[[#This Row],[Location]]="", "", INDEX(ProjectInput[Over-Ride Annual Hours], MATCH(Table5[[#This Row],[Project Index]], ProjectInput[Project Index], 0)))</f>
        <v/>
      </c>
      <c r="E162" s="205"/>
      <c r="F162" s="206"/>
      <c r="G162" s="206"/>
      <c r="H162" s="206"/>
      <c r="I162" s="206"/>
      <c r="J162" s="206"/>
      <c r="K162" s="206"/>
      <c r="L162" s="206"/>
      <c r="M162" s="206"/>
      <c r="N1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3" spans="2:14" s="202" customFormat="1" ht="40" customHeight="1">
      <c r="B163" s="196">
        <f>ProjectInput[[#This Row],[Project Index]]</f>
        <v>160</v>
      </c>
      <c r="C163" s="196" t="str">
        <f>IF(ProjectInput[[#This Row],[Location]]=0, "", ProjectInput[[#This Row],[Location]])</f>
        <v/>
      </c>
      <c r="D163" s="198" t="str">
        <f>IF(Table5[[#This Row],[Location]]="", "", INDEX(ProjectInput[Over-Ride Annual Hours], MATCH(Table5[[#This Row],[Project Index]], ProjectInput[Project Index], 0)))</f>
        <v/>
      </c>
      <c r="E163" s="205"/>
      <c r="F163" s="206"/>
      <c r="G163" s="206"/>
      <c r="H163" s="206"/>
      <c r="I163" s="206"/>
      <c r="J163" s="206"/>
      <c r="K163" s="206"/>
      <c r="L163" s="206"/>
      <c r="M163" s="206"/>
      <c r="N1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4" spans="2:14" s="202" customFormat="1" ht="40" customHeight="1">
      <c r="B164" s="196">
        <f>ProjectInput[[#This Row],[Project Index]]</f>
        <v>161</v>
      </c>
      <c r="C164" s="196" t="str">
        <f>IF(ProjectInput[[#This Row],[Location]]=0, "", ProjectInput[[#This Row],[Location]])</f>
        <v/>
      </c>
      <c r="D164" s="198" t="str">
        <f>IF(Table5[[#This Row],[Location]]="", "", INDEX(ProjectInput[Over-Ride Annual Hours], MATCH(Table5[[#This Row],[Project Index]], ProjectInput[Project Index], 0)))</f>
        <v/>
      </c>
      <c r="E164" s="205"/>
      <c r="F164" s="206"/>
      <c r="G164" s="206"/>
      <c r="H164" s="206"/>
      <c r="I164" s="206"/>
      <c r="J164" s="206"/>
      <c r="K164" s="206"/>
      <c r="L164" s="206"/>
      <c r="M164" s="206"/>
      <c r="N1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5" spans="2:14" s="202" customFormat="1" ht="40" customHeight="1">
      <c r="B165" s="196">
        <f>ProjectInput[[#This Row],[Project Index]]</f>
        <v>162</v>
      </c>
      <c r="C165" s="196" t="str">
        <f>IF(ProjectInput[[#This Row],[Location]]=0, "", ProjectInput[[#This Row],[Location]])</f>
        <v/>
      </c>
      <c r="D165" s="198" t="str">
        <f>IF(Table5[[#This Row],[Location]]="", "", INDEX(ProjectInput[Over-Ride Annual Hours], MATCH(Table5[[#This Row],[Project Index]], ProjectInput[Project Index], 0)))</f>
        <v/>
      </c>
      <c r="E165" s="205"/>
      <c r="F165" s="206"/>
      <c r="G165" s="206"/>
      <c r="H165" s="206"/>
      <c r="I165" s="206"/>
      <c r="J165" s="206"/>
      <c r="K165" s="206"/>
      <c r="L165" s="206"/>
      <c r="M165" s="206"/>
      <c r="N1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6" spans="2:14" s="202" customFormat="1" ht="40" customHeight="1">
      <c r="B166" s="196">
        <f>ProjectInput[[#This Row],[Project Index]]</f>
        <v>163</v>
      </c>
      <c r="C166" s="196" t="str">
        <f>IF(ProjectInput[[#This Row],[Location]]=0, "", ProjectInput[[#This Row],[Location]])</f>
        <v/>
      </c>
      <c r="D166" s="198" t="str">
        <f>IF(Table5[[#This Row],[Location]]="", "", INDEX(ProjectInput[Over-Ride Annual Hours], MATCH(Table5[[#This Row],[Project Index]], ProjectInput[Project Index], 0)))</f>
        <v/>
      </c>
      <c r="E166" s="205"/>
      <c r="F166" s="206"/>
      <c r="G166" s="206"/>
      <c r="H166" s="206"/>
      <c r="I166" s="206"/>
      <c r="J166" s="206"/>
      <c r="K166" s="206"/>
      <c r="L166" s="206"/>
      <c r="M166" s="206"/>
      <c r="N1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7" spans="2:14" s="202" customFormat="1" ht="40" customHeight="1">
      <c r="B167" s="196">
        <f>ProjectInput[[#This Row],[Project Index]]</f>
        <v>164</v>
      </c>
      <c r="C167" s="196" t="str">
        <f>IF(ProjectInput[[#This Row],[Location]]=0, "", ProjectInput[[#This Row],[Location]])</f>
        <v/>
      </c>
      <c r="D167" s="198" t="str">
        <f>IF(Table5[[#This Row],[Location]]="", "", INDEX(ProjectInput[Over-Ride Annual Hours], MATCH(Table5[[#This Row],[Project Index]], ProjectInput[Project Index], 0)))</f>
        <v/>
      </c>
      <c r="E167" s="205"/>
      <c r="F167" s="206"/>
      <c r="G167" s="206"/>
      <c r="H167" s="206"/>
      <c r="I167" s="206"/>
      <c r="J167" s="206"/>
      <c r="K167" s="206"/>
      <c r="L167" s="206"/>
      <c r="M167" s="206"/>
      <c r="N1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8" spans="2:14" s="202" customFormat="1" ht="40" customHeight="1">
      <c r="B168" s="196">
        <f>ProjectInput[[#This Row],[Project Index]]</f>
        <v>165</v>
      </c>
      <c r="C168" s="196" t="str">
        <f>IF(ProjectInput[[#This Row],[Location]]=0, "", ProjectInput[[#This Row],[Location]])</f>
        <v/>
      </c>
      <c r="D168" s="198" t="str">
        <f>IF(Table5[[#This Row],[Location]]="", "", INDEX(ProjectInput[Over-Ride Annual Hours], MATCH(Table5[[#This Row],[Project Index]], ProjectInput[Project Index], 0)))</f>
        <v/>
      </c>
      <c r="E168" s="205"/>
      <c r="F168" s="206"/>
      <c r="G168" s="206"/>
      <c r="H168" s="206"/>
      <c r="I168" s="206"/>
      <c r="J168" s="206"/>
      <c r="K168" s="206"/>
      <c r="L168" s="206"/>
      <c r="M168" s="206"/>
      <c r="N1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69" spans="2:14" s="202" customFormat="1" ht="40" customHeight="1">
      <c r="B169" s="196">
        <f>ProjectInput[[#This Row],[Project Index]]</f>
        <v>166</v>
      </c>
      <c r="C169" s="196" t="str">
        <f>IF(ProjectInput[[#This Row],[Location]]=0, "", ProjectInput[[#This Row],[Location]])</f>
        <v/>
      </c>
      <c r="D169" s="198" t="str">
        <f>IF(Table5[[#This Row],[Location]]="", "", INDEX(ProjectInput[Over-Ride Annual Hours], MATCH(Table5[[#This Row],[Project Index]], ProjectInput[Project Index], 0)))</f>
        <v/>
      </c>
      <c r="E169" s="205"/>
      <c r="F169" s="206"/>
      <c r="G169" s="206"/>
      <c r="H169" s="206"/>
      <c r="I169" s="206"/>
      <c r="J169" s="206"/>
      <c r="K169" s="206"/>
      <c r="L169" s="206"/>
      <c r="M169" s="206"/>
      <c r="N1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0" spans="2:14" s="202" customFormat="1" ht="40" customHeight="1">
      <c r="B170" s="196">
        <f>ProjectInput[[#This Row],[Project Index]]</f>
        <v>167</v>
      </c>
      <c r="C170" s="196" t="str">
        <f>IF(ProjectInput[[#This Row],[Location]]=0, "", ProjectInput[[#This Row],[Location]])</f>
        <v/>
      </c>
      <c r="D170" s="198" t="str">
        <f>IF(Table5[[#This Row],[Location]]="", "", INDEX(ProjectInput[Over-Ride Annual Hours], MATCH(Table5[[#This Row],[Project Index]], ProjectInput[Project Index], 0)))</f>
        <v/>
      </c>
      <c r="E170" s="205"/>
      <c r="F170" s="206"/>
      <c r="G170" s="206"/>
      <c r="H170" s="206"/>
      <c r="I170" s="206"/>
      <c r="J170" s="206"/>
      <c r="K170" s="206"/>
      <c r="L170" s="206"/>
      <c r="M170" s="206"/>
      <c r="N1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1" spans="2:14" s="202" customFormat="1" ht="40" customHeight="1">
      <c r="B171" s="196">
        <f>ProjectInput[[#This Row],[Project Index]]</f>
        <v>168</v>
      </c>
      <c r="C171" s="196" t="str">
        <f>IF(ProjectInput[[#This Row],[Location]]=0, "", ProjectInput[[#This Row],[Location]])</f>
        <v/>
      </c>
      <c r="D171" s="198" t="str">
        <f>IF(Table5[[#This Row],[Location]]="", "", INDEX(ProjectInput[Over-Ride Annual Hours], MATCH(Table5[[#This Row],[Project Index]], ProjectInput[Project Index], 0)))</f>
        <v/>
      </c>
      <c r="E171" s="205"/>
      <c r="F171" s="206"/>
      <c r="G171" s="206"/>
      <c r="H171" s="206"/>
      <c r="I171" s="206"/>
      <c r="J171" s="206"/>
      <c r="K171" s="206"/>
      <c r="L171" s="206"/>
      <c r="M171" s="206"/>
      <c r="N1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2" spans="2:14" s="202" customFormat="1" ht="40" customHeight="1">
      <c r="B172" s="196">
        <f>ProjectInput[[#This Row],[Project Index]]</f>
        <v>169</v>
      </c>
      <c r="C172" s="196" t="str">
        <f>IF(ProjectInput[[#This Row],[Location]]=0, "", ProjectInput[[#This Row],[Location]])</f>
        <v/>
      </c>
      <c r="D172" s="198" t="str">
        <f>IF(Table5[[#This Row],[Location]]="", "", INDEX(ProjectInput[Over-Ride Annual Hours], MATCH(Table5[[#This Row],[Project Index]], ProjectInput[Project Index], 0)))</f>
        <v/>
      </c>
      <c r="E172" s="205"/>
      <c r="F172" s="206"/>
      <c r="G172" s="206"/>
      <c r="H172" s="206"/>
      <c r="I172" s="206"/>
      <c r="J172" s="206"/>
      <c r="K172" s="206"/>
      <c r="L172" s="206"/>
      <c r="M172" s="206"/>
      <c r="N1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3" spans="2:14" s="202" customFormat="1" ht="40" customHeight="1">
      <c r="B173" s="196">
        <f>ProjectInput[[#This Row],[Project Index]]</f>
        <v>170</v>
      </c>
      <c r="C173" s="196" t="str">
        <f>IF(ProjectInput[[#This Row],[Location]]=0, "", ProjectInput[[#This Row],[Location]])</f>
        <v/>
      </c>
      <c r="D173" s="198" t="str">
        <f>IF(Table5[[#This Row],[Location]]="", "", INDEX(ProjectInput[Over-Ride Annual Hours], MATCH(Table5[[#This Row],[Project Index]], ProjectInput[Project Index], 0)))</f>
        <v/>
      </c>
      <c r="E173" s="205"/>
      <c r="F173" s="206"/>
      <c r="G173" s="206"/>
      <c r="H173" s="206"/>
      <c r="I173" s="206"/>
      <c r="J173" s="206"/>
      <c r="K173" s="206"/>
      <c r="L173" s="206"/>
      <c r="M173" s="206"/>
      <c r="N1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4" spans="2:14" s="202" customFormat="1" ht="40" customHeight="1">
      <c r="B174" s="196">
        <f>ProjectInput[[#This Row],[Project Index]]</f>
        <v>171</v>
      </c>
      <c r="C174" s="196" t="str">
        <f>IF(ProjectInput[[#This Row],[Location]]=0, "", ProjectInput[[#This Row],[Location]])</f>
        <v/>
      </c>
      <c r="D174" s="198" t="str">
        <f>IF(Table5[[#This Row],[Location]]="", "", INDEX(ProjectInput[Over-Ride Annual Hours], MATCH(Table5[[#This Row],[Project Index]], ProjectInput[Project Index], 0)))</f>
        <v/>
      </c>
      <c r="E174" s="205"/>
      <c r="F174" s="206"/>
      <c r="G174" s="206"/>
      <c r="H174" s="206"/>
      <c r="I174" s="206"/>
      <c r="J174" s="206"/>
      <c r="K174" s="206"/>
      <c r="L174" s="206"/>
      <c r="M174" s="206"/>
      <c r="N1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5" spans="2:14" s="202" customFormat="1" ht="40" customHeight="1">
      <c r="B175" s="196">
        <f>ProjectInput[[#This Row],[Project Index]]</f>
        <v>172</v>
      </c>
      <c r="C175" s="196" t="str">
        <f>IF(ProjectInput[[#This Row],[Location]]=0, "", ProjectInput[[#This Row],[Location]])</f>
        <v/>
      </c>
      <c r="D175" s="198" t="str">
        <f>IF(Table5[[#This Row],[Location]]="", "", INDEX(ProjectInput[Over-Ride Annual Hours], MATCH(Table5[[#This Row],[Project Index]], ProjectInput[Project Index], 0)))</f>
        <v/>
      </c>
      <c r="E175" s="205"/>
      <c r="F175" s="206"/>
      <c r="G175" s="206"/>
      <c r="H175" s="206"/>
      <c r="I175" s="206"/>
      <c r="J175" s="206"/>
      <c r="K175" s="206"/>
      <c r="L175" s="206"/>
      <c r="M175" s="206"/>
      <c r="N1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6" spans="2:14" s="202" customFormat="1" ht="40" customHeight="1">
      <c r="B176" s="196">
        <f>ProjectInput[[#This Row],[Project Index]]</f>
        <v>173</v>
      </c>
      <c r="C176" s="196" t="str">
        <f>IF(ProjectInput[[#This Row],[Location]]=0, "", ProjectInput[[#This Row],[Location]])</f>
        <v/>
      </c>
      <c r="D176" s="198" t="str">
        <f>IF(Table5[[#This Row],[Location]]="", "", INDEX(ProjectInput[Over-Ride Annual Hours], MATCH(Table5[[#This Row],[Project Index]], ProjectInput[Project Index], 0)))</f>
        <v/>
      </c>
      <c r="E176" s="205"/>
      <c r="F176" s="206"/>
      <c r="G176" s="206"/>
      <c r="H176" s="206"/>
      <c r="I176" s="206"/>
      <c r="J176" s="206"/>
      <c r="K176" s="206"/>
      <c r="L176" s="206"/>
      <c r="M176" s="206"/>
      <c r="N1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7" spans="2:14" s="202" customFormat="1" ht="40" customHeight="1">
      <c r="B177" s="196">
        <f>ProjectInput[[#This Row],[Project Index]]</f>
        <v>174</v>
      </c>
      <c r="C177" s="196" t="str">
        <f>IF(ProjectInput[[#This Row],[Location]]=0, "", ProjectInput[[#This Row],[Location]])</f>
        <v/>
      </c>
      <c r="D177" s="198" t="str">
        <f>IF(Table5[[#This Row],[Location]]="", "", INDEX(ProjectInput[Over-Ride Annual Hours], MATCH(Table5[[#This Row],[Project Index]], ProjectInput[Project Index], 0)))</f>
        <v/>
      </c>
      <c r="E177" s="205"/>
      <c r="F177" s="206"/>
      <c r="G177" s="206"/>
      <c r="H177" s="206"/>
      <c r="I177" s="206"/>
      <c r="J177" s="206"/>
      <c r="K177" s="206"/>
      <c r="L177" s="206"/>
      <c r="M177" s="206"/>
      <c r="N1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8" spans="2:14" s="202" customFormat="1" ht="40" customHeight="1">
      <c r="B178" s="196">
        <f>ProjectInput[[#This Row],[Project Index]]</f>
        <v>175</v>
      </c>
      <c r="C178" s="196" t="str">
        <f>IF(ProjectInput[[#This Row],[Location]]=0, "", ProjectInput[[#This Row],[Location]])</f>
        <v/>
      </c>
      <c r="D178" s="198" t="str">
        <f>IF(Table5[[#This Row],[Location]]="", "", INDEX(ProjectInput[Over-Ride Annual Hours], MATCH(Table5[[#This Row],[Project Index]], ProjectInput[Project Index], 0)))</f>
        <v/>
      </c>
      <c r="E178" s="205"/>
      <c r="F178" s="206"/>
      <c r="G178" s="206"/>
      <c r="H178" s="206"/>
      <c r="I178" s="206"/>
      <c r="J178" s="206"/>
      <c r="K178" s="206"/>
      <c r="L178" s="206"/>
      <c r="M178" s="206"/>
      <c r="N1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79" spans="2:14" s="202" customFormat="1" ht="40" customHeight="1">
      <c r="B179" s="196">
        <f>ProjectInput[[#This Row],[Project Index]]</f>
        <v>176</v>
      </c>
      <c r="C179" s="196" t="str">
        <f>IF(ProjectInput[[#This Row],[Location]]=0, "", ProjectInput[[#This Row],[Location]])</f>
        <v/>
      </c>
      <c r="D179" s="198" t="str">
        <f>IF(Table5[[#This Row],[Location]]="", "", INDEX(ProjectInput[Over-Ride Annual Hours], MATCH(Table5[[#This Row],[Project Index]], ProjectInput[Project Index], 0)))</f>
        <v/>
      </c>
      <c r="E179" s="205"/>
      <c r="F179" s="206"/>
      <c r="G179" s="206"/>
      <c r="H179" s="206"/>
      <c r="I179" s="206"/>
      <c r="J179" s="206"/>
      <c r="K179" s="206"/>
      <c r="L179" s="206"/>
      <c r="M179" s="206"/>
      <c r="N1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0" spans="2:14" s="202" customFormat="1" ht="40" customHeight="1">
      <c r="B180" s="196">
        <f>ProjectInput[[#This Row],[Project Index]]</f>
        <v>177</v>
      </c>
      <c r="C180" s="196" t="str">
        <f>IF(ProjectInput[[#This Row],[Location]]=0, "", ProjectInput[[#This Row],[Location]])</f>
        <v/>
      </c>
      <c r="D180" s="198" t="str">
        <f>IF(Table5[[#This Row],[Location]]="", "", INDEX(ProjectInput[Over-Ride Annual Hours], MATCH(Table5[[#This Row],[Project Index]], ProjectInput[Project Index], 0)))</f>
        <v/>
      </c>
      <c r="E180" s="205"/>
      <c r="F180" s="206"/>
      <c r="G180" s="206"/>
      <c r="H180" s="206"/>
      <c r="I180" s="206"/>
      <c r="J180" s="206"/>
      <c r="K180" s="206"/>
      <c r="L180" s="206"/>
      <c r="M180" s="206"/>
      <c r="N1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1" spans="2:14" s="202" customFormat="1" ht="40" customHeight="1">
      <c r="B181" s="196">
        <f>ProjectInput[[#This Row],[Project Index]]</f>
        <v>178</v>
      </c>
      <c r="C181" s="196" t="str">
        <f>IF(ProjectInput[[#This Row],[Location]]=0, "", ProjectInput[[#This Row],[Location]])</f>
        <v/>
      </c>
      <c r="D181" s="198" t="str">
        <f>IF(Table5[[#This Row],[Location]]="", "", INDEX(ProjectInput[Over-Ride Annual Hours], MATCH(Table5[[#This Row],[Project Index]], ProjectInput[Project Index], 0)))</f>
        <v/>
      </c>
      <c r="E181" s="205"/>
      <c r="F181" s="206"/>
      <c r="G181" s="206"/>
      <c r="H181" s="206"/>
      <c r="I181" s="206"/>
      <c r="J181" s="206"/>
      <c r="K181" s="206"/>
      <c r="L181" s="206"/>
      <c r="M181" s="206"/>
      <c r="N1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2" spans="2:14" s="202" customFormat="1" ht="40" customHeight="1">
      <c r="B182" s="196">
        <f>ProjectInput[[#This Row],[Project Index]]</f>
        <v>179</v>
      </c>
      <c r="C182" s="196" t="str">
        <f>IF(ProjectInput[[#This Row],[Location]]=0, "", ProjectInput[[#This Row],[Location]])</f>
        <v/>
      </c>
      <c r="D182" s="198" t="str">
        <f>IF(Table5[[#This Row],[Location]]="", "", INDEX(ProjectInput[Over-Ride Annual Hours], MATCH(Table5[[#This Row],[Project Index]], ProjectInput[Project Index], 0)))</f>
        <v/>
      </c>
      <c r="E182" s="205"/>
      <c r="F182" s="206"/>
      <c r="G182" s="206"/>
      <c r="H182" s="206"/>
      <c r="I182" s="206"/>
      <c r="J182" s="206"/>
      <c r="K182" s="206"/>
      <c r="L182" s="206"/>
      <c r="M182" s="206"/>
      <c r="N1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3" spans="2:14" s="202" customFormat="1" ht="40" customHeight="1">
      <c r="B183" s="196">
        <f>ProjectInput[[#This Row],[Project Index]]</f>
        <v>180</v>
      </c>
      <c r="C183" s="196" t="str">
        <f>IF(ProjectInput[[#This Row],[Location]]=0, "", ProjectInput[[#This Row],[Location]])</f>
        <v/>
      </c>
      <c r="D183" s="198" t="str">
        <f>IF(Table5[[#This Row],[Location]]="", "", INDEX(ProjectInput[Over-Ride Annual Hours], MATCH(Table5[[#This Row],[Project Index]], ProjectInput[Project Index], 0)))</f>
        <v/>
      </c>
      <c r="E183" s="205"/>
      <c r="F183" s="206"/>
      <c r="G183" s="206"/>
      <c r="H183" s="206"/>
      <c r="I183" s="206"/>
      <c r="J183" s="206"/>
      <c r="K183" s="206"/>
      <c r="L183" s="206"/>
      <c r="M183" s="206"/>
      <c r="N1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4" spans="2:14" s="202" customFormat="1" ht="40" customHeight="1">
      <c r="B184" s="196">
        <f>ProjectInput[[#This Row],[Project Index]]</f>
        <v>181</v>
      </c>
      <c r="C184" s="196" t="str">
        <f>IF(ProjectInput[[#This Row],[Location]]=0, "", ProjectInput[[#This Row],[Location]])</f>
        <v/>
      </c>
      <c r="D184" s="198" t="str">
        <f>IF(Table5[[#This Row],[Location]]="", "", INDEX(ProjectInput[Over-Ride Annual Hours], MATCH(Table5[[#This Row],[Project Index]], ProjectInput[Project Index], 0)))</f>
        <v/>
      </c>
      <c r="E184" s="205"/>
      <c r="F184" s="206"/>
      <c r="G184" s="206"/>
      <c r="H184" s="206"/>
      <c r="I184" s="206"/>
      <c r="J184" s="206"/>
      <c r="K184" s="206"/>
      <c r="L184" s="206"/>
      <c r="M184" s="206"/>
      <c r="N1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5" spans="2:14" s="202" customFormat="1" ht="40" customHeight="1">
      <c r="B185" s="196">
        <f>ProjectInput[[#This Row],[Project Index]]</f>
        <v>182</v>
      </c>
      <c r="C185" s="196" t="str">
        <f>IF(ProjectInput[[#This Row],[Location]]=0, "", ProjectInput[[#This Row],[Location]])</f>
        <v/>
      </c>
      <c r="D185" s="198" t="str">
        <f>IF(Table5[[#This Row],[Location]]="", "", INDEX(ProjectInput[Over-Ride Annual Hours], MATCH(Table5[[#This Row],[Project Index]], ProjectInput[Project Index], 0)))</f>
        <v/>
      </c>
      <c r="E185" s="205"/>
      <c r="F185" s="206"/>
      <c r="G185" s="206"/>
      <c r="H185" s="206"/>
      <c r="I185" s="206"/>
      <c r="J185" s="206"/>
      <c r="K185" s="206"/>
      <c r="L185" s="206"/>
      <c r="M185" s="206"/>
      <c r="N1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6" spans="2:14" s="202" customFormat="1" ht="40" customHeight="1">
      <c r="B186" s="196">
        <f>ProjectInput[[#This Row],[Project Index]]</f>
        <v>183</v>
      </c>
      <c r="C186" s="196" t="str">
        <f>IF(ProjectInput[[#This Row],[Location]]=0, "", ProjectInput[[#This Row],[Location]])</f>
        <v/>
      </c>
      <c r="D186" s="198" t="str">
        <f>IF(Table5[[#This Row],[Location]]="", "", INDEX(ProjectInput[Over-Ride Annual Hours], MATCH(Table5[[#This Row],[Project Index]], ProjectInput[Project Index], 0)))</f>
        <v/>
      </c>
      <c r="E186" s="205"/>
      <c r="F186" s="206"/>
      <c r="G186" s="206"/>
      <c r="H186" s="206"/>
      <c r="I186" s="206"/>
      <c r="J186" s="206"/>
      <c r="K186" s="206"/>
      <c r="L186" s="206"/>
      <c r="M186" s="206"/>
      <c r="N1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7" spans="2:14" s="202" customFormat="1" ht="40" customHeight="1">
      <c r="B187" s="196">
        <f>ProjectInput[[#This Row],[Project Index]]</f>
        <v>184</v>
      </c>
      <c r="C187" s="196" t="str">
        <f>IF(ProjectInput[[#This Row],[Location]]=0, "", ProjectInput[[#This Row],[Location]])</f>
        <v/>
      </c>
      <c r="D187" s="198" t="str">
        <f>IF(Table5[[#This Row],[Location]]="", "", INDEX(ProjectInput[Over-Ride Annual Hours], MATCH(Table5[[#This Row],[Project Index]], ProjectInput[Project Index], 0)))</f>
        <v/>
      </c>
      <c r="E187" s="205"/>
      <c r="F187" s="206"/>
      <c r="G187" s="206"/>
      <c r="H187" s="206"/>
      <c r="I187" s="206"/>
      <c r="J187" s="206"/>
      <c r="K187" s="206"/>
      <c r="L187" s="206"/>
      <c r="M187" s="206"/>
      <c r="N1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8" spans="2:14" s="202" customFormat="1" ht="40" customHeight="1">
      <c r="B188" s="196">
        <f>ProjectInput[[#This Row],[Project Index]]</f>
        <v>185</v>
      </c>
      <c r="C188" s="196" t="str">
        <f>IF(ProjectInput[[#This Row],[Location]]=0, "", ProjectInput[[#This Row],[Location]])</f>
        <v/>
      </c>
      <c r="D188" s="198" t="str">
        <f>IF(Table5[[#This Row],[Location]]="", "", INDEX(ProjectInput[Over-Ride Annual Hours], MATCH(Table5[[#This Row],[Project Index]], ProjectInput[Project Index], 0)))</f>
        <v/>
      </c>
      <c r="E188" s="205"/>
      <c r="F188" s="206"/>
      <c r="G188" s="206"/>
      <c r="H188" s="206"/>
      <c r="I188" s="206"/>
      <c r="J188" s="206"/>
      <c r="K188" s="206"/>
      <c r="L188" s="206"/>
      <c r="M188" s="206"/>
      <c r="N1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89" spans="2:14" s="202" customFormat="1" ht="40" customHeight="1">
      <c r="B189" s="196">
        <f>ProjectInput[[#This Row],[Project Index]]</f>
        <v>186</v>
      </c>
      <c r="C189" s="196" t="str">
        <f>IF(ProjectInput[[#This Row],[Location]]=0, "", ProjectInput[[#This Row],[Location]])</f>
        <v/>
      </c>
      <c r="D189" s="198" t="str">
        <f>IF(Table5[[#This Row],[Location]]="", "", INDEX(ProjectInput[Over-Ride Annual Hours], MATCH(Table5[[#This Row],[Project Index]], ProjectInput[Project Index], 0)))</f>
        <v/>
      </c>
      <c r="E189" s="205"/>
      <c r="F189" s="206"/>
      <c r="G189" s="206"/>
      <c r="H189" s="206"/>
      <c r="I189" s="206"/>
      <c r="J189" s="206"/>
      <c r="K189" s="206"/>
      <c r="L189" s="206"/>
      <c r="M189" s="206"/>
      <c r="N1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0" spans="2:14" s="202" customFormat="1" ht="40" customHeight="1">
      <c r="B190" s="196">
        <f>ProjectInput[[#This Row],[Project Index]]</f>
        <v>187</v>
      </c>
      <c r="C190" s="196" t="str">
        <f>IF(ProjectInput[[#This Row],[Location]]=0, "", ProjectInput[[#This Row],[Location]])</f>
        <v/>
      </c>
      <c r="D190" s="198" t="str">
        <f>IF(Table5[[#This Row],[Location]]="", "", INDEX(ProjectInput[Over-Ride Annual Hours], MATCH(Table5[[#This Row],[Project Index]], ProjectInput[Project Index], 0)))</f>
        <v/>
      </c>
      <c r="E190" s="205"/>
      <c r="F190" s="206"/>
      <c r="G190" s="206"/>
      <c r="H190" s="206"/>
      <c r="I190" s="206"/>
      <c r="J190" s="206"/>
      <c r="K190" s="206"/>
      <c r="L190" s="206"/>
      <c r="M190" s="206"/>
      <c r="N1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1" spans="2:14" s="202" customFormat="1" ht="40" customHeight="1">
      <c r="B191" s="196">
        <f>ProjectInput[[#This Row],[Project Index]]</f>
        <v>188</v>
      </c>
      <c r="C191" s="196" t="str">
        <f>IF(ProjectInput[[#This Row],[Location]]=0, "", ProjectInput[[#This Row],[Location]])</f>
        <v/>
      </c>
      <c r="D191" s="198" t="str">
        <f>IF(Table5[[#This Row],[Location]]="", "", INDEX(ProjectInput[Over-Ride Annual Hours], MATCH(Table5[[#This Row],[Project Index]], ProjectInput[Project Index], 0)))</f>
        <v/>
      </c>
      <c r="E191" s="205"/>
      <c r="F191" s="206"/>
      <c r="G191" s="206"/>
      <c r="H191" s="206"/>
      <c r="I191" s="206"/>
      <c r="J191" s="206"/>
      <c r="K191" s="206"/>
      <c r="L191" s="206"/>
      <c r="M191" s="206"/>
      <c r="N1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2" spans="2:14" s="202" customFormat="1" ht="40" customHeight="1">
      <c r="B192" s="196">
        <f>ProjectInput[[#This Row],[Project Index]]</f>
        <v>189</v>
      </c>
      <c r="C192" s="196" t="str">
        <f>IF(ProjectInput[[#This Row],[Location]]=0, "", ProjectInput[[#This Row],[Location]])</f>
        <v/>
      </c>
      <c r="D192" s="198" t="str">
        <f>IF(Table5[[#This Row],[Location]]="", "", INDEX(ProjectInput[Over-Ride Annual Hours], MATCH(Table5[[#This Row],[Project Index]], ProjectInput[Project Index], 0)))</f>
        <v/>
      </c>
      <c r="E192" s="205"/>
      <c r="F192" s="206"/>
      <c r="G192" s="206"/>
      <c r="H192" s="206"/>
      <c r="I192" s="206"/>
      <c r="J192" s="206"/>
      <c r="K192" s="206"/>
      <c r="L192" s="206"/>
      <c r="M192" s="206"/>
      <c r="N1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3" spans="2:14" s="202" customFormat="1" ht="40" customHeight="1">
      <c r="B193" s="196">
        <f>ProjectInput[[#This Row],[Project Index]]</f>
        <v>190</v>
      </c>
      <c r="C193" s="196" t="str">
        <f>IF(ProjectInput[[#This Row],[Location]]=0, "", ProjectInput[[#This Row],[Location]])</f>
        <v/>
      </c>
      <c r="D193" s="198" t="str">
        <f>IF(Table5[[#This Row],[Location]]="", "", INDEX(ProjectInput[Over-Ride Annual Hours], MATCH(Table5[[#This Row],[Project Index]], ProjectInput[Project Index], 0)))</f>
        <v/>
      </c>
      <c r="E193" s="205"/>
      <c r="F193" s="206"/>
      <c r="G193" s="206"/>
      <c r="H193" s="206"/>
      <c r="I193" s="206"/>
      <c r="J193" s="206"/>
      <c r="K193" s="206"/>
      <c r="L193" s="206"/>
      <c r="M193" s="206"/>
      <c r="N1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4" spans="2:14" s="202" customFormat="1" ht="40" customHeight="1">
      <c r="B194" s="196">
        <f>ProjectInput[[#This Row],[Project Index]]</f>
        <v>191</v>
      </c>
      <c r="C194" s="196" t="str">
        <f>IF(ProjectInput[[#This Row],[Location]]=0, "", ProjectInput[[#This Row],[Location]])</f>
        <v/>
      </c>
      <c r="D194" s="198" t="str">
        <f>IF(Table5[[#This Row],[Location]]="", "", INDEX(ProjectInput[Over-Ride Annual Hours], MATCH(Table5[[#This Row],[Project Index]], ProjectInput[Project Index], 0)))</f>
        <v/>
      </c>
      <c r="E194" s="205"/>
      <c r="F194" s="206"/>
      <c r="G194" s="206"/>
      <c r="H194" s="206"/>
      <c r="I194" s="206"/>
      <c r="J194" s="206"/>
      <c r="K194" s="206"/>
      <c r="L194" s="206"/>
      <c r="M194" s="206"/>
      <c r="N1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5" spans="2:14" s="202" customFormat="1" ht="40" customHeight="1">
      <c r="B195" s="196">
        <f>ProjectInput[[#This Row],[Project Index]]</f>
        <v>192</v>
      </c>
      <c r="C195" s="196" t="str">
        <f>IF(ProjectInput[[#This Row],[Location]]=0, "", ProjectInput[[#This Row],[Location]])</f>
        <v/>
      </c>
      <c r="D195" s="198" t="str">
        <f>IF(Table5[[#This Row],[Location]]="", "", INDEX(ProjectInput[Over-Ride Annual Hours], MATCH(Table5[[#This Row],[Project Index]], ProjectInput[Project Index], 0)))</f>
        <v/>
      </c>
      <c r="E195" s="205"/>
      <c r="F195" s="206"/>
      <c r="G195" s="206"/>
      <c r="H195" s="206"/>
      <c r="I195" s="206"/>
      <c r="J195" s="206"/>
      <c r="K195" s="206"/>
      <c r="L195" s="206"/>
      <c r="M195" s="206"/>
      <c r="N1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6" spans="2:14" s="202" customFormat="1" ht="40" customHeight="1">
      <c r="B196" s="196">
        <f>ProjectInput[[#This Row],[Project Index]]</f>
        <v>193</v>
      </c>
      <c r="C196" s="196" t="str">
        <f>IF(ProjectInput[[#This Row],[Location]]=0, "", ProjectInput[[#This Row],[Location]])</f>
        <v/>
      </c>
      <c r="D196" s="198" t="str">
        <f>IF(Table5[[#This Row],[Location]]="", "", INDEX(ProjectInput[Over-Ride Annual Hours], MATCH(Table5[[#This Row],[Project Index]], ProjectInput[Project Index], 0)))</f>
        <v/>
      </c>
      <c r="E196" s="205"/>
      <c r="F196" s="206"/>
      <c r="G196" s="206"/>
      <c r="H196" s="206"/>
      <c r="I196" s="206"/>
      <c r="J196" s="206"/>
      <c r="K196" s="206"/>
      <c r="L196" s="206"/>
      <c r="M196" s="206"/>
      <c r="N1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7" spans="2:14" s="202" customFormat="1" ht="40" customHeight="1">
      <c r="B197" s="196">
        <f>ProjectInput[[#This Row],[Project Index]]</f>
        <v>194</v>
      </c>
      <c r="C197" s="196" t="str">
        <f>IF(ProjectInput[[#This Row],[Location]]=0, "", ProjectInput[[#This Row],[Location]])</f>
        <v/>
      </c>
      <c r="D197" s="198" t="str">
        <f>IF(Table5[[#This Row],[Location]]="", "", INDEX(ProjectInput[Over-Ride Annual Hours], MATCH(Table5[[#This Row],[Project Index]], ProjectInput[Project Index], 0)))</f>
        <v/>
      </c>
      <c r="E197" s="205"/>
      <c r="F197" s="206"/>
      <c r="G197" s="206"/>
      <c r="H197" s="206"/>
      <c r="I197" s="206"/>
      <c r="J197" s="206"/>
      <c r="K197" s="206"/>
      <c r="L197" s="206"/>
      <c r="M197" s="206"/>
      <c r="N1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8" spans="2:14" s="202" customFormat="1" ht="40" customHeight="1">
      <c r="B198" s="196">
        <f>ProjectInput[[#This Row],[Project Index]]</f>
        <v>195</v>
      </c>
      <c r="C198" s="196" t="str">
        <f>IF(ProjectInput[[#This Row],[Location]]=0, "", ProjectInput[[#This Row],[Location]])</f>
        <v/>
      </c>
      <c r="D198" s="198" t="str">
        <f>IF(Table5[[#This Row],[Location]]="", "", INDEX(ProjectInput[Over-Ride Annual Hours], MATCH(Table5[[#This Row],[Project Index]], ProjectInput[Project Index], 0)))</f>
        <v/>
      </c>
      <c r="E198" s="205"/>
      <c r="F198" s="206"/>
      <c r="G198" s="206"/>
      <c r="H198" s="206"/>
      <c r="I198" s="206"/>
      <c r="J198" s="206"/>
      <c r="K198" s="206"/>
      <c r="L198" s="206"/>
      <c r="M198" s="206"/>
      <c r="N1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199" spans="2:14" s="202" customFormat="1" ht="40" customHeight="1">
      <c r="B199" s="196">
        <f>ProjectInput[[#This Row],[Project Index]]</f>
        <v>196</v>
      </c>
      <c r="C199" s="196" t="str">
        <f>IF(ProjectInput[[#This Row],[Location]]=0, "", ProjectInput[[#This Row],[Location]])</f>
        <v/>
      </c>
      <c r="D199" s="198" t="str">
        <f>IF(Table5[[#This Row],[Location]]="", "", INDEX(ProjectInput[Over-Ride Annual Hours], MATCH(Table5[[#This Row],[Project Index]], ProjectInput[Project Index], 0)))</f>
        <v/>
      </c>
      <c r="E199" s="205"/>
      <c r="F199" s="206"/>
      <c r="G199" s="206"/>
      <c r="H199" s="206"/>
      <c r="I199" s="206"/>
      <c r="J199" s="206"/>
      <c r="K199" s="206"/>
      <c r="L199" s="206"/>
      <c r="M199" s="206"/>
      <c r="N1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0" spans="2:14" s="202" customFormat="1" ht="40" customHeight="1">
      <c r="B200" s="196">
        <f>ProjectInput[[#This Row],[Project Index]]</f>
        <v>197</v>
      </c>
      <c r="C200" s="196" t="str">
        <f>IF(ProjectInput[[#This Row],[Location]]=0, "", ProjectInput[[#This Row],[Location]])</f>
        <v/>
      </c>
      <c r="D200" s="198" t="str">
        <f>IF(Table5[[#This Row],[Location]]="", "", INDEX(ProjectInput[Over-Ride Annual Hours], MATCH(Table5[[#This Row],[Project Index]], ProjectInput[Project Index], 0)))</f>
        <v/>
      </c>
      <c r="E200" s="205"/>
      <c r="F200" s="206"/>
      <c r="G200" s="206"/>
      <c r="H200" s="206"/>
      <c r="I200" s="206"/>
      <c r="J200" s="206"/>
      <c r="K200" s="206"/>
      <c r="L200" s="206"/>
      <c r="M200" s="206"/>
      <c r="N2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1" spans="2:14" s="202" customFormat="1" ht="40" customHeight="1">
      <c r="B201" s="196">
        <f>ProjectInput[[#This Row],[Project Index]]</f>
        <v>198</v>
      </c>
      <c r="C201" s="196" t="str">
        <f>IF(ProjectInput[[#This Row],[Location]]=0, "", ProjectInput[[#This Row],[Location]])</f>
        <v/>
      </c>
      <c r="D201" s="198" t="str">
        <f>IF(Table5[[#This Row],[Location]]="", "", INDEX(ProjectInput[Over-Ride Annual Hours], MATCH(Table5[[#This Row],[Project Index]], ProjectInput[Project Index], 0)))</f>
        <v/>
      </c>
      <c r="E201" s="205"/>
      <c r="F201" s="206"/>
      <c r="G201" s="206"/>
      <c r="H201" s="206"/>
      <c r="I201" s="206"/>
      <c r="J201" s="206"/>
      <c r="K201" s="206"/>
      <c r="L201" s="206"/>
      <c r="M201" s="206"/>
      <c r="N2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2" spans="2:14" s="202" customFormat="1" ht="40" customHeight="1">
      <c r="B202" s="196">
        <f>ProjectInput[[#This Row],[Project Index]]</f>
        <v>199</v>
      </c>
      <c r="C202" s="196" t="str">
        <f>IF(ProjectInput[[#This Row],[Location]]=0, "", ProjectInput[[#This Row],[Location]])</f>
        <v/>
      </c>
      <c r="D202" s="198" t="str">
        <f>IF(Table5[[#This Row],[Location]]="", "", INDEX(ProjectInput[Over-Ride Annual Hours], MATCH(Table5[[#This Row],[Project Index]], ProjectInput[Project Index], 0)))</f>
        <v/>
      </c>
      <c r="E202" s="205"/>
      <c r="F202" s="206"/>
      <c r="G202" s="206"/>
      <c r="H202" s="206"/>
      <c r="I202" s="206"/>
      <c r="J202" s="206"/>
      <c r="K202" s="206"/>
      <c r="L202" s="206"/>
      <c r="M202" s="206"/>
      <c r="N2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3" spans="2:14" s="202" customFormat="1" ht="40" customHeight="1">
      <c r="B203" s="196">
        <f>ProjectInput[[#This Row],[Project Index]]</f>
        <v>200</v>
      </c>
      <c r="C203" s="196" t="str">
        <f>IF(ProjectInput[[#This Row],[Location]]=0, "", ProjectInput[[#This Row],[Location]])</f>
        <v/>
      </c>
      <c r="D203" s="198" t="str">
        <f>IF(Table5[[#This Row],[Location]]="", "", INDEX(ProjectInput[Over-Ride Annual Hours], MATCH(Table5[[#This Row],[Project Index]], ProjectInput[Project Index], 0)))</f>
        <v/>
      </c>
      <c r="E203" s="205"/>
      <c r="F203" s="206"/>
      <c r="G203" s="206"/>
      <c r="H203" s="206"/>
      <c r="I203" s="206"/>
      <c r="J203" s="206"/>
      <c r="K203" s="206"/>
      <c r="L203" s="206"/>
      <c r="M203" s="206"/>
      <c r="N2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4" spans="2:14" s="202" customFormat="1" ht="40" customHeight="1">
      <c r="B204" s="196">
        <f>ProjectInput[[#This Row],[Project Index]]</f>
        <v>201</v>
      </c>
      <c r="C204" s="196" t="str">
        <f>IF(ProjectInput[[#This Row],[Location]]=0, "", ProjectInput[[#This Row],[Location]])</f>
        <v/>
      </c>
      <c r="D204" s="198" t="str">
        <f>IF(Table5[[#This Row],[Location]]="", "", INDEX(ProjectInput[Over-Ride Annual Hours], MATCH(Table5[[#This Row],[Project Index]], ProjectInput[Project Index], 0)))</f>
        <v/>
      </c>
      <c r="E204" s="205"/>
      <c r="F204" s="206"/>
      <c r="G204" s="206"/>
      <c r="H204" s="206"/>
      <c r="I204" s="206"/>
      <c r="J204" s="206"/>
      <c r="K204" s="206"/>
      <c r="L204" s="206"/>
      <c r="M204" s="206"/>
      <c r="N20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5" spans="2:14" s="202" customFormat="1" ht="40" customHeight="1">
      <c r="B205" s="196">
        <f>ProjectInput[[#This Row],[Project Index]]</f>
        <v>202</v>
      </c>
      <c r="C205" s="196" t="str">
        <f>IF(ProjectInput[[#This Row],[Location]]=0, "", ProjectInput[[#This Row],[Location]])</f>
        <v/>
      </c>
      <c r="D205" s="198" t="str">
        <f>IF(Table5[[#This Row],[Location]]="", "", INDEX(ProjectInput[Over-Ride Annual Hours], MATCH(Table5[[#This Row],[Project Index]], ProjectInput[Project Index], 0)))</f>
        <v/>
      </c>
      <c r="E205" s="205"/>
      <c r="F205" s="206"/>
      <c r="G205" s="206"/>
      <c r="H205" s="206"/>
      <c r="I205" s="206"/>
      <c r="J205" s="206"/>
      <c r="K205" s="206"/>
      <c r="L205" s="206"/>
      <c r="M205" s="206"/>
      <c r="N20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6" spans="2:14" s="202" customFormat="1" ht="40" customHeight="1">
      <c r="B206" s="196">
        <f>ProjectInput[[#This Row],[Project Index]]</f>
        <v>203</v>
      </c>
      <c r="C206" s="196" t="str">
        <f>IF(ProjectInput[[#This Row],[Location]]=0, "", ProjectInput[[#This Row],[Location]])</f>
        <v/>
      </c>
      <c r="D206" s="198" t="str">
        <f>IF(Table5[[#This Row],[Location]]="", "", INDEX(ProjectInput[Over-Ride Annual Hours], MATCH(Table5[[#This Row],[Project Index]], ProjectInput[Project Index], 0)))</f>
        <v/>
      </c>
      <c r="E206" s="205"/>
      <c r="F206" s="206"/>
      <c r="G206" s="206"/>
      <c r="H206" s="206"/>
      <c r="I206" s="206"/>
      <c r="J206" s="206"/>
      <c r="K206" s="206"/>
      <c r="L206" s="206"/>
      <c r="M206" s="206"/>
      <c r="N20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7" spans="2:14" s="202" customFormat="1" ht="40" customHeight="1">
      <c r="B207" s="196">
        <f>ProjectInput[[#This Row],[Project Index]]</f>
        <v>204</v>
      </c>
      <c r="C207" s="196" t="str">
        <f>IF(ProjectInput[[#This Row],[Location]]=0, "", ProjectInput[[#This Row],[Location]])</f>
        <v/>
      </c>
      <c r="D207" s="198" t="str">
        <f>IF(Table5[[#This Row],[Location]]="", "", INDEX(ProjectInput[Over-Ride Annual Hours], MATCH(Table5[[#This Row],[Project Index]], ProjectInput[Project Index], 0)))</f>
        <v/>
      </c>
      <c r="E207" s="205"/>
      <c r="F207" s="206"/>
      <c r="G207" s="206"/>
      <c r="H207" s="206"/>
      <c r="I207" s="206"/>
      <c r="J207" s="206"/>
      <c r="K207" s="206"/>
      <c r="L207" s="206"/>
      <c r="M207" s="206"/>
      <c r="N20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8" spans="2:14" s="202" customFormat="1" ht="40" customHeight="1">
      <c r="B208" s="196">
        <f>ProjectInput[[#This Row],[Project Index]]</f>
        <v>205</v>
      </c>
      <c r="C208" s="196" t="str">
        <f>IF(ProjectInput[[#This Row],[Location]]=0, "", ProjectInput[[#This Row],[Location]])</f>
        <v/>
      </c>
      <c r="D208" s="198" t="str">
        <f>IF(Table5[[#This Row],[Location]]="", "", INDEX(ProjectInput[Over-Ride Annual Hours], MATCH(Table5[[#This Row],[Project Index]], ProjectInput[Project Index], 0)))</f>
        <v/>
      </c>
      <c r="E208" s="205"/>
      <c r="F208" s="206"/>
      <c r="G208" s="206"/>
      <c r="H208" s="206"/>
      <c r="I208" s="206"/>
      <c r="J208" s="206"/>
      <c r="K208" s="206"/>
      <c r="L208" s="206"/>
      <c r="M208" s="206"/>
      <c r="N20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09" spans="2:14" s="202" customFormat="1" ht="40" customHeight="1">
      <c r="B209" s="196">
        <f>ProjectInput[[#This Row],[Project Index]]</f>
        <v>206</v>
      </c>
      <c r="C209" s="196" t="str">
        <f>IF(ProjectInput[[#This Row],[Location]]=0, "", ProjectInput[[#This Row],[Location]])</f>
        <v/>
      </c>
      <c r="D209" s="198" t="str">
        <f>IF(Table5[[#This Row],[Location]]="", "", INDEX(ProjectInput[Over-Ride Annual Hours], MATCH(Table5[[#This Row],[Project Index]], ProjectInput[Project Index], 0)))</f>
        <v/>
      </c>
      <c r="E209" s="205"/>
      <c r="F209" s="206"/>
      <c r="G209" s="206"/>
      <c r="H209" s="206"/>
      <c r="I209" s="206"/>
      <c r="J209" s="206"/>
      <c r="K209" s="206"/>
      <c r="L209" s="206"/>
      <c r="M209" s="206"/>
      <c r="N20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0" spans="2:14" s="202" customFormat="1" ht="40" customHeight="1">
      <c r="B210" s="196">
        <f>ProjectInput[[#This Row],[Project Index]]</f>
        <v>207</v>
      </c>
      <c r="C210" s="196" t="str">
        <f>IF(ProjectInput[[#This Row],[Location]]=0, "", ProjectInput[[#This Row],[Location]])</f>
        <v/>
      </c>
      <c r="D210" s="198" t="str">
        <f>IF(Table5[[#This Row],[Location]]="", "", INDEX(ProjectInput[Over-Ride Annual Hours], MATCH(Table5[[#This Row],[Project Index]], ProjectInput[Project Index], 0)))</f>
        <v/>
      </c>
      <c r="E210" s="205"/>
      <c r="F210" s="206"/>
      <c r="G210" s="206"/>
      <c r="H210" s="206"/>
      <c r="I210" s="206"/>
      <c r="J210" s="206"/>
      <c r="K210" s="206"/>
      <c r="L210" s="206"/>
      <c r="M210" s="206"/>
      <c r="N21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1" spans="2:14" s="202" customFormat="1" ht="40" customHeight="1">
      <c r="B211" s="196">
        <f>ProjectInput[[#This Row],[Project Index]]</f>
        <v>208</v>
      </c>
      <c r="C211" s="196" t="str">
        <f>IF(ProjectInput[[#This Row],[Location]]=0, "", ProjectInput[[#This Row],[Location]])</f>
        <v/>
      </c>
      <c r="D211" s="198" t="str">
        <f>IF(Table5[[#This Row],[Location]]="", "", INDEX(ProjectInput[Over-Ride Annual Hours], MATCH(Table5[[#This Row],[Project Index]], ProjectInput[Project Index], 0)))</f>
        <v/>
      </c>
      <c r="E211" s="205"/>
      <c r="F211" s="206"/>
      <c r="G211" s="206"/>
      <c r="H211" s="206"/>
      <c r="I211" s="206"/>
      <c r="J211" s="206"/>
      <c r="K211" s="206"/>
      <c r="L211" s="206"/>
      <c r="M211" s="206"/>
      <c r="N21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2" spans="2:14" s="202" customFormat="1" ht="40" customHeight="1">
      <c r="B212" s="196">
        <f>ProjectInput[[#This Row],[Project Index]]</f>
        <v>209</v>
      </c>
      <c r="C212" s="196" t="str">
        <f>IF(ProjectInput[[#This Row],[Location]]=0, "", ProjectInput[[#This Row],[Location]])</f>
        <v/>
      </c>
      <c r="D212" s="198" t="str">
        <f>IF(Table5[[#This Row],[Location]]="", "", INDEX(ProjectInput[Over-Ride Annual Hours], MATCH(Table5[[#This Row],[Project Index]], ProjectInput[Project Index], 0)))</f>
        <v/>
      </c>
      <c r="E212" s="205"/>
      <c r="F212" s="206"/>
      <c r="G212" s="206"/>
      <c r="H212" s="206"/>
      <c r="I212" s="206"/>
      <c r="J212" s="206"/>
      <c r="K212" s="206"/>
      <c r="L212" s="206"/>
      <c r="M212" s="206"/>
      <c r="N21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3" spans="2:14" s="202" customFormat="1" ht="40" customHeight="1">
      <c r="B213" s="196">
        <f>ProjectInput[[#This Row],[Project Index]]</f>
        <v>210</v>
      </c>
      <c r="C213" s="196" t="str">
        <f>IF(ProjectInput[[#This Row],[Location]]=0, "", ProjectInput[[#This Row],[Location]])</f>
        <v/>
      </c>
      <c r="D213" s="198" t="str">
        <f>IF(Table5[[#This Row],[Location]]="", "", INDEX(ProjectInput[Over-Ride Annual Hours], MATCH(Table5[[#This Row],[Project Index]], ProjectInput[Project Index], 0)))</f>
        <v/>
      </c>
      <c r="E213" s="205"/>
      <c r="F213" s="206"/>
      <c r="G213" s="206"/>
      <c r="H213" s="206"/>
      <c r="I213" s="206"/>
      <c r="J213" s="206"/>
      <c r="K213" s="206"/>
      <c r="L213" s="206"/>
      <c r="M213" s="206"/>
      <c r="N21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4" spans="2:14" s="202" customFormat="1" ht="40" customHeight="1">
      <c r="B214" s="196">
        <f>ProjectInput[[#This Row],[Project Index]]</f>
        <v>211</v>
      </c>
      <c r="C214" s="196" t="str">
        <f>IF(ProjectInput[[#This Row],[Location]]=0, "", ProjectInput[[#This Row],[Location]])</f>
        <v/>
      </c>
      <c r="D214" s="198" t="str">
        <f>IF(Table5[[#This Row],[Location]]="", "", INDEX(ProjectInput[Over-Ride Annual Hours], MATCH(Table5[[#This Row],[Project Index]], ProjectInput[Project Index], 0)))</f>
        <v/>
      </c>
      <c r="E214" s="205"/>
      <c r="F214" s="206"/>
      <c r="G214" s="206"/>
      <c r="H214" s="206"/>
      <c r="I214" s="206"/>
      <c r="J214" s="206"/>
      <c r="K214" s="206"/>
      <c r="L214" s="206"/>
      <c r="M214" s="206"/>
      <c r="N21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5" spans="2:14" s="202" customFormat="1" ht="40" customHeight="1">
      <c r="B215" s="196">
        <f>ProjectInput[[#This Row],[Project Index]]</f>
        <v>212</v>
      </c>
      <c r="C215" s="196" t="str">
        <f>IF(ProjectInput[[#This Row],[Location]]=0, "", ProjectInput[[#This Row],[Location]])</f>
        <v/>
      </c>
      <c r="D215" s="198" t="str">
        <f>IF(Table5[[#This Row],[Location]]="", "", INDEX(ProjectInput[Over-Ride Annual Hours], MATCH(Table5[[#This Row],[Project Index]], ProjectInput[Project Index], 0)))</f>
        <v/>
      </c>
      <c r="E215" s="205"/>
      <c r="F215" s="206"/>
      <c r="G215" s="206"/>
      <c r="H215" s="206"/>
      <c r="I215" s="206"/>
      <c r="J215" s="206"/>
      <c r="K215" s="206"/>
      <c r="L215" s="206"/>
      <c r="M215" s="206"/>
      <c r="N21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6" spans="2:14" s="202" customFormat="1" ht="40" customHeight="1">
      <c r="B216" s="196">
        <f>ProjectInput[[#This Row],[Project Index]]</f>
        <v>213</v>
      </c>
      <c r="C216" s="196" t="str">
        <f>IF(ProjectInput[[#This Row],[Location]]=0, "", ProjectInput[[#This Row],[Location]])</f>
        <v/>
      </c>
      <c r="D216" s="198" t="str">
        <f>IF(Table5[[#This Row],[Location]]="", "", INDEX(ProjectInput[Over-Ride Annual Hours], MATCH(Table5[[#This Row],[Project Index]], ProjectInput[Project Index], 0)))</f>
        <v/>
      </c>
      <c r="E216" s="205"/>
      <c r="F216" s="206"/>
      <c r="G216" s="206"/>
      <c r="H216" s="206"/>
      <c r="I216" s="206"/>
      <c r="J216" s="206"/>
      <c r="K216" s="206"/>
      <c r="L216" s="206"/>
      <c r="M216" s="206"/>
      <c r="N21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7" spans="2:14" s="202" customFormat="1" ht="40" customHeight="1">
      <c r="B217" s="196">
        <f>ProjectInput[[#This Row],[Project Index]]</f>
        <v>214</v>
      </c>
      <c r="C217" s="196" t="str">
        <f>IF(ProjectInput[[#This Row],[Location]]=0, "", ProjectInput[[#This Row],[Location]])</f>
        <v/>
      </c>
      <c r="D217" s="198" t="str">
        <f>IF(Table5[[#This Row],[Location]]="", "", INDEX(ProjectInput[Over-Ride Annual Hours], MATCH(Table5[[#This Row],[Project Index]], ProjectInput[Project Index], 0)))</f>
        <v/>
      </c>
      <c r="E217" s="205"/>
      <c r="F217" s="206"/>
      <c r="G217" s="206"/>
      <c r="H217" s="206"/>
      <c r="I217" s="206"/>
      <c r="J217" s="206"/>
      <c r="K217" s="206"/>
      <c r="L217" s="206"/>
      <c r="M217" s="206"/>
      <c r="N21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8" spans="2:14" s="202" customFormat="1" ht="40" customHeight="1">
      <c r="B218" s="196">
        <f>ProjectInput[[#This Row],[Project Index]]</f>
        <v>215</v>
      </c>
      <c r="C218" s="196" t="str">
        <f>IF(ProjectInput[[#This Row],[Location]]=0, "", ProjectInput[[#This Row],[Location]])</f>
        <v/>
      </c>
      <c r="D218" s="198" t="str">
        <f>IF(Table5[[#This Row],[Location]]="", "", INDEX(ProjectInput[Over-Ride Annual Hours], MATCH(Table5[[#This Row],[Project Index]], ProjectInput[Project Index], 0)))</f>
        <v/>
      </c>
      <c r="E218" s="205"/>
      <c r="F218" s="206"/>
      <c r="G218" s="206"/>
      <c r="H218" s="206"/>
      <c r="I218" s="206"/>
      <c r="J218" s="206"/>
      <c r="K218" s="206"/>
      <c r="L218" s="206"/>
      <c r="M218" s="206"/>
      <c r="N21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19" spans="2:14" s="202" customFormat="1" ht="40" customHeight="1">
      <c r="B219" s="196">
        <f>ProjectInput[[#This Row],[Project Index]]</f>
        <v>216</v>
      </c>
      <c r="C219" s="196" t="str">
        <f>IF(ProjectInput[[#This Row],[Location]]=0, "", ProjectInput[[#This Row],[Location]])</f>
        <v/>
      </c>
      <c r="D219" s="198" t="str">
        <f>IF(Table5[[#This Row],[Location]]="", "", INDEX(ProjectInput[Over-Ride Annual Hours], MATCH(Table5[[#This Row],[Project Index]], ProjectInput[Project Index], 0)))</f>
        <v/>
      </c>
      <c r="E219" s="205"/>
      <c r="F219" s="206"/>
      <c r="G219" s="206"/>
      <c r="H219" s="206"/>
      <c r="I219" s="206"/>
      <c r="J219" s="206"/>
      <c r="K219" s="206"/>
      <c r="L219" s="206"/>
      <c r="M219" s="206"/>
      <c r="N21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0" spans="2:14" s="202" customFormat="1" ht="40" customHeight="1">
      <c r="B220" s="196">
        <f>ProjectInput[[#This Row],[Project Index]]</f>
        <v>217</v>
      </c>
      <c r="C220" s="196" t="str">
        <f>IF(ProjectInput[[#This Row],[Location]]=0, "", ProjectInput[[#This Row],[Location]])</f>
        <v/>
      </c>
      <c r="D220" s="198" t="str">
        <f>IF(Table5[[#This Row],[Location]]="", "", INDEX(ProjectInput[Over-Ride Annual Hours], MATCH(Table5[[#This Row],[Project Index]], ProjectInput[Project Index], 0)))</f>
        <v/>
      </c>
      <c r="E220" s="205"/>
      <c r="F220" s="206"/>
      <c r="G220" s="206"/>
      <c r="H220" s="206"/>
      <c r="I220" s="206"/>
      <c r="J220" s="206"/>
      <c r="K220" s="206"/>
      <c r="L220" s="206"/>
      <c r="M220" s="206"/>
      <c r="N22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1" spans="2:14" s="202" customFormat="1" ht="40" customHeight="1">
      <c r="B221" s="196">
        <f>ProjectInput[[#This Row],[Project Index]]</f>
        <v>218</v>
      </c>
      <c r="C221" s="196" t="str">
        <f>IF(ProjectInput[[#This Row],[Location]]=0, "", ProjectInput[[#This Row],[Location]])</f>
        <v/>
      </c>
      <c r="D221" s="198" t="str">
        <f>IF(Table5[[#This Row],[Location]]="", "", INDEX(ProjectInput[Over-Ride Annual Hours], MATCH(Table5[[#This Row],[Project Index]], ProjectInput[Project Index], 0)))</f>
        <v/>
      </c>
      <c r="E221" s="205"/>
      <c r="F221" s="206"/>
      <c r="G221" s="206"/>
      <c r="H221" s="206"/>
      <c r="I221" s="206"/>
      <c r="J221" s="206"/>
      <c r="K221" s="206"/>
      <c r="L221" s="206"/>
      <c r="M221" s="206"/>
      <c r="N22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2" spans="2:14" s="202" customFormat="1" ht="40" customHeight="1">
      <c r="B222" s="196">
        <f>ProjectInput[[#This Row],[Project Index]]</f>
        <v>219</v>
      </c>
      <c r="C222" s="196" t="str">
        <f>IF(ProjectInput[[#This Row],[Location]]=0, "", ProjectInput[[#This Row],[Location]])</f>
        <v/>
      </c>
      <c r="D222" s="198" t="str">
        <f>IF(Table5[[#This Row],[Location]]="", "", INDEX(ProjectInput[Over-Ride Annual Hours], MATCH(Table5[[#This Row],[Project Index]], ProjectInput[Project Index], 0)))</f>
        <v/>
      </c>
      <c r="E222" s="205"/>
      <c r="F222" s="206"/>
      <c r="G222" s="206"/>
      <c r="H222" s="206"/>
      <c r="I222" s="206"/>
      <c r="J222" s="206"/>
      <c r="K222" s="206"/>
      <c r="L222" s="206"/>
      <c r="M222" s="206"/>
      <c r="N22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3" spans="2:14" s="202" customFormat="1" ht="40" customHeight="1">
      <c r="B223" s="196">
        <f>ProjectInput[[#This Row],[Project Index]]</f>
        <v>220</v>
      </c>
      <c r="C223" s="196" t="str">
        <f>IF(ProjectInput[[#This Row],[Location]]=0, "", ProjectInput[[#This Row],[Location]])</f>
        <v/>
      </c>
      <c r="D223" s="198" t="str">
        <f>IF(Table5[[#This Row],[Location]]="", "", INDEX(ProjectInput[Over-Ride Annual Hours], MATCH(Table5[[#This Row],[Project Index]], ProjectInput[Project Index], 0)))</f>
        <v/>
      </c>
      <c r="E223" s="205"/>
      <c r="F223" s="206"/>
      <c r="G223" s="206"/>
      <c r="H223" s="206"/>
      <c r="I223" s="206"/>
      <c r="J223" s="206"/>
      <c r="K223" s="206"/>
      <c r="L223" s="206"/>
      <c r="M223" s="206"/>
      <c r="N22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4" spans="2:14" s="202" customFormat="1" ht="40" customHeight="1">
      <c r="B224" s="196">
        <f>ProjectInput[[#This Row],[Project Index]]</f>
        <v>221</v>
      </c>
      <c r="C224" s="196" t="str">
        <f>IF(ProjectInput[[#This Row],[Location]]=0, "", ProjectInput[[#This Row],[Location]])</f>
        <v/>
      </c>
      <c r="D224" s="198" t="str">
        <f>IF(Table5[[#This Row],[Location]]="", "", INDEX(ProjectInput[Over-Ride Annual Hours], MATCH(Table5[[#This Row],[Project Index]], ProjectInput[Project Index], 0)))</f>
        <v/>
      </c>
      <c r="E224" s="205"/>
      <c r="F224" s="206"/>
      <c r="G224" s="206"/>
      <c r="H224" s="206"/>
      <c r="I224" s="206"/>
      <c r="J224" s="206"/>
      <c r="K224" s="206"/>
      <c r="L224" s="206"/>
      <c r="M224" s="206"/>
      <c r="N22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5" spans="2:14" s="202" customFormat="1" ht="40" customHeight="1">
      <c r="B225" s="196">
        <f>ProjectInput[[#This Row],[Project Index]]</f>
        <v>222</v>
      </c>
      <c r="C225" s="196" t="str">
        <f>IF(ProjectInput[[#This Row],[Location]]=0, "", ProjectInput[[#This Row],[Location]])</f>
        <v/>
      </c>
      <c r="D225" s="198" t="str">
        <f>IF(Table5[[#This Row],[Location]]="", "", INDEX(ProjectInput[Over-Ride Annual Hours], MATCH(Table5[[#This Row],[Project Index]], ProjectInput[Project Index], 0)))</f>
        <v/>
      </c>
      <c r="E225" s="205"/>
      <c r="F225" s="206"/>
      <c r="G225" s="206"/>
      <c r="H225" s="206"/>
      <c r="I225" s="206"/>
      <c r="J225" s="206"/>
      <c r="K225" s="206"/>
      <c r="L225" s="206"/>
      <c r="M225" s="206"/>
      <c r="N22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6" spans="2:14" s="202" customFormat="1" ht="40" customHeight="1">
      <c r="B226" s="196">
        <f>ProjectInput[[#This Row],[Project Index]]</f>
        <v>223</v>
      </c>
      <c r="C226" s="196" t="str">
        <f>IF(ProjectInput[[#This Row],[Location]]=0, "", ProjectInput[[#This Row],[Location]])</f>
        <v/>
      </c>
      <c r="D226" s="198" t="str">
        <f>IF(Table5[[#This Row],[Location]]="", "", INDEX(ProjectInput[Over-Ride Annual Hours], MATCH(Table5[[#This Row],[Project Index]], ProjectInput[Project Index], 0)))</f>
        <v/>
      </c>
      <c r="E226" s="205"/>
      <c r="F226" s="206"/>
      <c r="G226" s="206"/>
      <c r="H226" s="206"/>
      <c r="I226" s="206"/>
      <c r="J226" s="206"/>
      <c r="K226" s="206"/>
      <c r="L226" s="206"/>
      <c r="M226" s="206"/>
      <c r="N22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7" spans="2:14" s="202" customFormat="1" ht="40" customHeight="1">
      <c r="B227" s="196">
        <f>ProjectInput[[#This Row],[Project Index]]</f>
        <v>224</v>
      </c>
      <c r="C227" s="196" t="str">
        <f>IF(ProjectInput[[#This Row],[Location]]=0, "", ProjectInput[[#This Row],[Location]])</f>
        <v/>
      </c>
      <c r="D227" s="198" t="str">
        <f>IF(Table5[[#This Row],[Location]]="", "", INDEX(ProjectInput[Over-Ride Annual Hours], MATCH(Table5[[#This Row],[Project Index]], ProjectInput[Project Index], 0)))</f>
        <v/>
      </c>
      <c r="E227" s="205"/>
      <c r="F227" s="206"/>
      <c r="G227" s="206"/>
      <c r="H227" s="206"/>
      <c r="I227" s="206"/>
      <c r="J227" s="206"/>
      <c r="K227" s="206"/>
      <c r="L227" s="206"/>
      <c r="M227" s="206"/>
      <c r="N22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8" spans="2:14" s="202" customFormat="1" ht="40" customHeight="1">
      <c r="B228" s="196">
        <f>ProjectInput[[#This Row],[Project Index]]</f>
        <v>225</v>
      </c>
      <c r="C228" s="196" t="str">
        <f>IF(ProjectInput[[#This Row],[Location]]=0, "", ProjectInput[[#This Row],[Location]])</f>
        <v/>
      </c>
      <c r="D228" s="198" t="str">
        <f>IF(Table5[[#This Row],[Location]]="", "", INDEX(ProjectInput[Over-Ride Annual Hours], MATCH(Table5[[#This Row],[Project Index]], ProjectInput[Project Index], 0)))</f>
        <v/>
      </c>
      <c r="E228" s="205"/>
      <c r="F228" s="206"/>
      <c r="G228" s="206"/>
      <c r="H228" s="206"/>
      <c r="I228" s="206"/>
      <c r="J228" s="206"/>
      <c r="K228" s="206"/>
      <c r="L228" s="206"/>
      <c r="M228" s="206"/>
      <c r="N22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29" spans="2:14" s="202" customFormat="1" ht="40" customHeight="1">
      <c r="B229" s="196">
        <f>ProjectInput[[#This Row],[Project Index]]</f>
        <v>226</v>
      </c>
      <c r="C229" s="196" t="str">
        <f>IF(ProjectInput[[#This Row],[Location]]=0, "", ProjectInput[[#This Row],[Location]])</f>
        <v/>
      </c>
      <c r="D229" s="198" t="str">
        <f>IF(Table5[[#This Row],[Location]]="", "", INDEX(ProjectInput[Over-Ride Annual Hours], MATCH(Table5[[#This Row],[Project Index]], ProjectInput[Project Index], 0)))</f>
        <v/>
      </c>
      <c r="E229" s="205"/>
      <c r="F229" s="206"/>
      <c r="G229" s="206"/>
      <c r="H229" s="206"/>
      <c r="I229" s="206"/>
      <c r="J229" s="206"/>
      <c r="K229" s="206"/>
      <c r="L229" s="206"/>
      <c r="M229" s="206"/>
      <c r="N22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0" spans="2:14" s="202" customFormat="1" ht="40" customHeight="1">
      <c r="B230" s="196">
        <f>ProjectInput[[#This Row],[Project Index]]</f>
        <v>227</v>
      </c>
      <c r="C230" s="196" t="str">
        <f>IF(ProjectInput[[#This Row],[Location]]=0, "", ProjectInput[[#This Row],[Location]])</f>
        <v/>
      </c>
      <c r="D230" s="198" t="str">
        <f>IF(Table5[[#This Row],[Location]]="", "", INDEX(ProjectInput[Over-Ride Annual Hours], MATCH(Table5[[#This Row],[Project Index]], ProjectInput[Project Index], 0)))</f>
        <v/>
      </c>
      <c r="E230" s="205"/>
      <c r="F230" s="206"/>
      <c r="G230" s="206"/>
      <c r="H230" s="206"/>
      <c r="I230" s="206"/>
      <c r="J230" s="206"/>
      <c r="K230" s="206"/>
      <c r="L230" s="206"/>
      <c r="M230" s="206"/>
      <c r="N23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1" spans="2:14" s="202" customFormat="1" ht="40" customHeight="1">
      <c r="B231" s="196">
        <f>ProjectInput[[#This Row],[Project Index]]</f>
        <v>228</v>
      </c>
      <c r="C231" s="196" t="str">
        <f>IF(ProjectInput[[#This Row],[Location]]=0, "", ProjectInput[[#This Row],[Location]])</f>
        <v/>
      </c>
      <c r="D231" s="198" t="str">
        <f>IF(Table5[[#This Row],[Location]]="", "", INDEX(ProjectInput[Over-Ride Annual Hours], MATCH(Table5[[#This Row],[Project Index]], ProjectInput[Project Index], 0)))</f>
        <v/>
      </c>
      <c r="E231" s="205"/>
      <c r="F231" s="206"/>
      <c r="G231" s="206"/>
      <c r="H231" s="206"/>
      <c r="I231" s="206"/>
      <c r="J231" s="206"/>
      <c r="K231" s="206"/>
      <c r="L231" s="206"/>
      <c r="M231" s="206"/>
      <c r="N23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2" spans="2:14" s="202" customFormat="1" ht="40" customHeight="1">
      <c r="B232" s="196">
        <f>ProjectInput[[#This Row],[Project Index]]</f>
        <v>229</v>
      </c>
      <c r="C232" s="196" t="str">
        <f>IF(ProjectInput[[#This Row],[Location]]=0, "", ProjectInput[[#This Row],[Location]])</f>
        <v/>
      </c>
      <c r="D232" s="198" t="str">
        <f>IF(Table5[[#This Row],[Location]]="", "", INDEX(ProjectInput[Over-Ride Annual Hours], MATCH(Table5[[#This Row],[Project Index]], ProjectInput[Project Index], 0)))</f>
        <v/>
      </c>
      <c r="E232" s="205"/>
      <c r="F232" s="206"/>
      <c r="G232" s="206"/>
      <c r="H232" s="206"/>
      <c r="I232" s="206"/>
      <c r="J232" s="206"/>
      <c r="K232" s="206"/>
      <c r="L232" s="206"/>
      <c r="M232" s="206"/>
      <c r="N23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3" spans="2:14" s="202" customFormat="1" ht="40" customHeight="1">
      <c r="B233" s="196">
        <f>ProjectInput[[#This Row],[Project Index]]</f>
        <v>230</v>
      </c>
      <c r="C233" s="196" t="str">
        <f>IF(ProjectInput[[#This Row],[Location]]=0, "", ProjectInput[[#This Row],[Location]])</f>
        <v/>
      </c>
      <c r="D233" s="198" t="str">
        <f>IF(Table5[[#This Row],[Location]]="", "", INDEX(ProjectInput[Over-Ride Annual Hours], MATCH(Table5[[#This Row],[Project Index]], ProjectInput[Project Index], 0)))</f>
        <v/>
      </c>
      <c r="E233" s="205"/>
      <c r="F233" s="206"/>
      <c r="G233" s="206"/>
      <c r="H233" s="206"/>
      <c r="I233" s="206"/>
      <c r="J233" s="206"/>
      <c r="K233" s="206"/>
      <c r="L233" s="206"/>
      <c r="M233" s="206"/>
      <c r="N23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4" spans="2:14" s="202" customFormat="1" ht="40" customHeight="1">
      <c r="B234" s="196">
        <f>ProjectInput[[#This Row],[Project Index]]</f>
        <v>231</v>
      </c>
      <c r="C234" s="196" t="str">
        <f>IF(ProjectInput[[#This Row],[Location]]=0, "", ProjectInput[[#This Row],[Location]])</f>
        <v/>
      </c>
      <c r="D234" s="198" t="str">
        <f>IF(Table5[[#This Row],[Location]]="", "", INDEX(ProjectInput[Over-Ride Annual Hours], MATCH(Table5[[#This Row],[Project Index]], ProjectInput[Project Index], 0)))</f>
        <v/>
      </c>
      <c r="E234" s="205"/>
      <c r="F234" s="206"/>
      <c r="G234" s="206"/>
      <c r="H234" s="206"/>
      <c r="I234" s="206"/>
      <c r="J234" s="206"/>
      <c r="K234" s="206"/>
      <c r="L234" s="206"/>
      <c r="M234" s="206"/>
      <c r="N23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5" spans="2:14" s="202" customFormat="1" ht="40" customHeight="1">
      <c r="B235" s="196">
        <f>ProjectInput[[#This Row],[Project Index]]</f>
        <v>232</v>
      </c>
      <c r="C235" s="196" t="str">
        <f>IF(ProjectInput[[#This Row],[Location]]=0, "", ProjectInput[[#This Row],[Location]])</f>
        <v/>
      </c>
      <c r="D235" s="198" t="str">
        <f>IF(Table5[[#This Row],[Location]]="", "", INDEX(ProjectInput[Over-Ride Annual Hours], MATCH(Table5[[#This Row],[Project Index]], ProjectInput[Project Index], 0)))</f>
        <v/>
      </c>
      <c r="E235" s="205"/>
      <c r="F235" s="206"/>
      <c r="G235" s="206"/>
      <c r="H235" s="206"/>
      <c r="I235" s="206"/>
      <c r="J235" s="206"/>
      <c r="K235" s="206"/>
      <c r="L235" s="206"/>
      <c r="M235" s="206"/>
      <c r="N23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6" spans="2:14" s="202" customFormat="1" ht="40" customHeight="1">
      <c r="B236" s="196">
        <f>ProjectInput[[#This Row],[Project Index]]</f>
        <v>233</v>
      </c>
      <c r="C236" s="196" t="str">
        <f>IF(ProjectInput[[#This Row],[Location]]=0, "", ProjectInput[[#This Row],[Location]])</f>
        <v/>
      </c>
      <c r="D236" s="198" t="str">
        <f>IF(Table5[[#This Row],[Location]]="", "", INDEX(ProjectInput[Over-Ride Annual Hours], MATCH(Table5[[#This Row],[Project Index]], ProjectInput[Project Index], 0)))</f>
        <v/>
      </c>
      <c r="E236" s="205"/>
      <c r="F236" s="206"/>
      <c r="G236" s="206"/>
      <c r="H236" s="206"/>
      <c r="I236" s="206"/>
      <c r="J236" s="206"/>
      <c r="K236" s="206"/>
      <c r="L236" s="206"/>
      <c r="M236" s="206"/>
      <c r="N23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7" spans="2:14" s="202" customFormat="1" ht="40" customHeight="1">
      <c r="B237" s="196">
        <f>ProjectInput[[#This Row],[Project Index]]</f>
        <v>234</v>
      </c>
      <c r="C237" s="196" t="str">
        <f>IF(ProjectInput[[#This Row],[Location]]=0, "", ProjectInput[[#This Row],[Location]])</f>
        <v/>
      </c>
      <c r="D237" s="198" t="str">
        <f>IF(Table5[[#This Row],[Location]]="", "", INDEX(ProjectInput[Over-Ride Annual Hours], MATCH(Table5[[#This Row],[Project Index]], ProjectInput[Project Index], 0)))</f>
        <v/>
      </c>
      <c r="E237" s="205"/>
      <c r="F237" s="206"/>
      <c r="G237" s="206"/>
      <c r="H237" s="206"/>
      <c r="I237" s="206"/>
      <c r="J237" s="206"/>
      <c r="K237" s="206"/>
      <c r="L237" s="206"/>
      <c r="M237" s="206"/>
      <c r="N23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8" spans="2:14" s="202" customFormat="1" ht="40" customHeight="1">
      <c r="B238" s="196">
        <f>ProjectInput[[#This Row],[Project Index]]</f>
        <v>235</v>
      </c>
      <c r="C238" s="196" t="str">
        <f>IF(ProjectInput[[#This Row],[Location]]=0, "", ProjectInput[[#This Row],[Location]])</f>
        <v/>
      </c>
      <c r="D238" s="198" t="str">
        <f>IF(Table5[[#This Row],[Location]]="", "", INDEX(ProjectInput[Over-Ride Annual Hours], MATCH(Table5[[#This Row],[Project Index]], ProjectInput[Project Index], 0)))</f>
        <v/>
      </c>
      <c r="E238" s="205"/>
      <c r="F238" s="206"/>
      <c r="G238" s="206"/>
      <c r="H238" s="206"/>
      <c r="I238" s="206"/>
      <c r="J238" s="206"/>
      <c r="K238" s="206"/>
      <c r="L238" s="206"/>
      <c r="M238" s="206"/>
      <c r="N23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39" spans="2:14" s="202" customFormat="1" ht="40" customHeight="1">
      <c r="B239" s="196">
        <f>ProjectInput[[#This Row],[Project Index]]</f>
        <v>236</v>
      </c>
      <c r="C239" s="196" t="str">
        <f>IF(ProjectInput[[#This Row],[Location]]=0, "", ProjectInput[[#This Row],[Location]])</f>
        <v/>
      </c>
      <c r="D239" s="198" t="str">
        <f>IF(Table5[[#This Row],[Location]]="", "", INDEX(ProjectInput[Over-Ride Annual Hours], MATCH(Table5[[#This Row],[Project Index]], ProjectInput[Project Index], 0)))</f>
        <v/>
      </c>
      <c r="E239" s="205"/>
      <c r="F239" s="206"/>
      <c r="G239" s="206"/>
      <c r="H239" s="206"/>
      <c r="I239" s="206"/>
      <c r="J239" s="206"/>
      <c r="K239" s="206"/>
      <c r="L239" s="206"/>
      <c r="M239" s="206"/>
      <c r="N23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0" spans="2:14" s="202" customFormat="1" ht="40" customHeight="1">
      <c r="B240" s="196">
        <f>ProjectInput[[#This Row],[Project Index]]</f>
        <v>237</v>
      </c>
      <c r="C240" s="196" t="str">
        <f>IF(ProjectInput[[#This Row],[Location]]=0, "", ProjectInput[[#This Row],[Location]])</f>
        <v/>
      </c>
      <c r="D240" s="198" t="str">
        <f>IF(Table5[[#This Row],[Location]]="", "", INDEX(ProjectInput[Over-Ride Annual Hours], MATCH(Table5[[#This Row],[Project Index]], ProjectInput[Project Index], 0)))</f>
        <v/>
      </c>
      <c r="E240" s="205"/>
      <c r="F240" s="206"/>
      <c r="G240" s="206"/>
      <c r="H240" s="206"/>
      <c r="I240" s="206"/>
      <c r="J240" s="206"/>
      <c r="K240" s="206"/>
      <c r="L240" s="206"/>
      <c r="M240" s="206"/>
      <c r="N24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1" spans="2:14" s="202" customFormat="1" ht="40" customHeight="1">
      <c r="B241" s="196">
        <f>ProjectInput[[#This Row],[Project Index]]</f>
        <v>238</v>
      </c>
      <c r="C241" s="196" t="str">
        <f>IF(ProjectInput[[#This Row],[Location]]=0, "", ProjectInput[[#This Row],[Location]])</f>
        <v/>
      </c>
      <c r="D241" s="198" t="str">
        <f>IF(Table5[[#This Row],[Location]]="", "", INDEX(ProjectInput[Over-Ride Annual Hours], MATCH(Table5[[#This Row],[Project Index]], ProjectInput[Project Index], 0)))</f>
        <v/>
      </c>
      <c r="E241" s="205"/>
      <c r="F241" s="206"/>
      <c r="G241" s="206"/>
      <c r="H241" s="206"/>
      <c r="I241" s="206"/>
      <c r="J241" s="206"/>
      <c r="K241" s="206"/>
      <c r="L241" s="206"/>
      <c r="M241" s="206"/>
      <c r="N24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2" spans="2:14" s="202" customFormat="1" ht="40" customHeight="1">
      <c r="B242" s="196">
        <f>ProjectInput[[#This Row],[Project Index]]</f>
        <v>239</v>
      </c>
      <c r="C242" s="196" t="str">
        <f>IF(ProjectInput[[#This Row],[Location]]=0, "", ProjectInput[[#This Row],[Location]])</f>
        <v/>
      </c>
      <c r="D242" s="198" t="str">
        <f>IF(Table5[[#This Row],[Location]]="", "", INDEX(ProjectInput[Over-Ride Annual Hours], MATCH(Table5[[#This Row],[Project Index]], ProjectInput[Project Index], 0)))</f>
        <v/>
      </c>
      <c r="E242" s="205"/>
      <c r="F242" s="206"/>
      <c r="G242" s="206"/>
      <c r="H242" s="206"/>
      <c r="I242" s="206"/>
      <c r="J242" s="206"/>
      <c r="K242" s="206"/>
      <c r="L242" s="206"/>
      <c r="M242" s="206"/>
      <c r="N24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3" spans="2:14" s="202" customFormat="1" ht="40" customHeight="1">
      <c r="B243" s="196">
        <f>ProjectInput[[#This Row],[Project Index]]</f>
        <v>240</v>
      </c>
      <c r="C243" s="196" t="str">
        <f>IF(ProjectInput[[#This Row],[Location]]=0, "", ProjectInput[[#This Row],[Location]])</f>
        <v/>
      </c>
      <c r="D243" s="198" t="str">
        <f>IF(Table5[[#This Row],[Location]]="", "", INDEX(ProjectInput[Over-Ride Annual Hours], MATCH(Table5[[#This Row],[Project Index]], ProjectInput[Project Index], 0)))</f>
        <v/>
      </c>
      <c r="E243" s="205"/>
      <c r="F243" s="206"/>
      <c r="G243" s="206"/>
      <c r="H243" s="206"/>
      <c r="I243" s="206"/>
      <c r="J243" s="206"/>
      <c r="K243" s="206"/>
      <c r="L243" s="206"/>
      <c r="M243" s="206"/>
      <c r="N24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4" spans="2:14" s="202" customFormat="1" ht="40" customHeight="1">
      <c r="B244" s="196">
        <f>ProjectInput[[#This Row],[Project Index]]</f>
        <v>241</v>
      </c>
      <c r="C244" s="196" t="str">
        <f>IF(ProjectInput[[#This Row],[Location]]=0, "", ProjectInput[[#This Row],[Location]])</f>
        <v/>
      </c>
      <c r="D244" s="198" t="str">
        <f>IF(Table5[[#This Row],[Location]]="", "", INDEX(ProjectInput[Over-Ride Annual Hours], MATCH(Table5[[#This Row],[Project Index]], ProjectInput[Project Index], 0)))</f>
        <v/>
      </c>
      <c r="E244" s="205"/>
      <c r="F244" s="206"/>
      <c r="G244" s="206"/>
      <c r="H244" s="206"/>
      <c r="I244" s="206"/>
      <c r="J244" s="206"/>
      <c r="K244" s="206"/>
      <c r="L244" s="206"/>
      <c r="M244" s="206"/>
      <c r="N24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5" spans="2:14" s="202" customFormat="1" ht="40" customHeight="1">
      <c r="B245" s="196">
        <f>ProjectInput[[#This Row],[Project Index]]</f>
        <v>242</v>
      </c>
      <c r="C245" s="196" t="str">
        <f>IF(ProjectInput[[#This Row],[Location]]=0, "", ProjectInput[[#This Row],[Location]])</f>
        <v/>
      </c>
      <c r="D245" s="198" t="str">
        <f>IF(Table5[[#This Row],[Location]]="", "", INDEX(ProjectInput[Over-Ride Annual Hours], MATCH(Table5[[#This Row],[Project Index]], ProjectInput[Project Index], 0)))</f>
        <v/>
      </c>
      <c r="E245" s="205"/>
      <c r="F245" s="206"/>
      <c r="G245" s="206"/>
      <c r="H245" s="206"/>
      <c r="I245" s="206"/>
      <c r="J245" s="206"/>
      <c r="K245" s="206"/>
      <c r="L245" s="206"/>
      <c r="M245" s="206"/>
      <c r="N24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6" spans="2:14" s="202" customFormat="1" ht="40" customHeight="1">
      <c r="B246" s="196">
        <f>ProjectInput[[#This Row],[Project Index]]</f>
        <v>243</v>
      </c>
      <c r="C246" s="196" t="str">
        <f>IF(ProjectInput[[#This Row],[Location]]=0, "", ProjectInput[[#This Row],[Location]])</f>
        <v/>
      </c>
      <c r="D246" s="198" t="str">
        <f>IF(Table5[[#This Row],[Location]]="", "", INDEX(ProjectInput[Over-Ride Annual Hours], MATCH(Table5[[#This Row],[Project Index]], ProjectInput[Project Index], 0)))</f>
        <v/>
      </c>
      <c r="E246" s="205"/>
      <c r="F246" s="206"/>
      <c r="G246" s="206"/>
      <c r="H246" s="206"/>
      <c r="I246" s="206"/>
      <c r="J246" s="206"/>
      <c r="K246" s="206"/>
      <c r="L246" s="206"/>
      <c r="M246" s="206"/>
      <c r="N24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7" spans="2:14" s="202" customFormat="1" ht="40" customHeight="1">
      <c r="B247" s="196">
        <f>ProjectInput[[#This Row],[Project Index]]</f>
        <v>244</v>
      </c>
      <c r="C247" s="196" t="str">
        <f>IF(ProjectInput[[#This Row],[Location]]=0, "", ProjectInput[[#This Row],[Location]])</f>
        <v/>
      </c>
      <c r="D247" s="198" t="str">
        <f>IF(Table5[[#This Row],[Location]]="", "", INDEX(ProjectInput[Over-Ride Annual Hours], MATCH(Table5[[#This Row],[Project Index]], ProjectInput[Project Index], 0)))</f>
        <v/>
      </c>
      <c r="E247" s="205"/>
      <c r="F247" s="206"/>
      <c r="G247" s="206"/>
      <c r="H247" s="206"/>
      <c r="I247" s="206"/>
      <c r="J247" s="206"/>
      <c r="K247" s="206"/>
      <c r="L247" s="206"/>
      <c r="M247" s="206"/>
      <c r="N24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8" spans="2:14" s="202" customFormat="1" ht="40" customHeight="1">
      <c r="B248" s="196">
        <f>ProjectInput[[#This Row],[Project Index]]</f>
        <v>245</v>
      </c>
      <c r="C248" s="196" t="str">
        <f>IF(ProjectInput[[#This Row],[Location]]=0, "", ProjectInput[[#This Row],[Location]])</f>
        <v/>
      </c>
      <c r="D248" s="198" t="str">
        <f>IF(Table5[[#This Row],[Location]]="", "", INDEX(ProjectInput[Over-Ride Annual Hours], MATCH(Table5[[#This Row],[Project Index]], ProjectInput[Project Index], 0)))</f>
        <v/>
      </c>
      <c r="E248" s="205"/>
      <c r="F248" s="206"/>
      <c r="G248" s="206"/>
      <c r="H248" s="206"/>
      <c r="I248" s="206"/>
      <c r="J248" s="206"/>
      <c r="K248" s="206"/>
      <c r="L248" s="206"/>
      <c r="M248" s="206"/>
      <c r="N24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49" spans="2:14" s="202" customFormat="1" ht="40" customHeight="1">
      <c r="B249" s="196">
        <f>ProjectInput[[#This Row],[Project Index]]</f>
        <v>246</v>
      </c>
      <c r="C249" s="196" t="str">
        <f>IF(ProjectInput[[#This Row],[Location]]=0, "", ProjectInput[[#This Row],[Location]])</f>
        <v/>
      </c>
      <c r="D249" s="198" t="str">
        <f>IF(Table5[[#This Row],[Location]]="", "", INDEX(ProjectInput[Over-Ride Annual Hours], MATCH(Table5[[#This Row],[Project Index]], ProjectInput[Project Index], 0)))</f>
        <v/>
      </c>
      <c r="E249" s="205"/>
      <c r="F249" s="206"/>
      <c r="G249" s="206"/>
      <c r="H249" s="206"/>
      <c r="I249" s="206"/>
      <c r="J249" s="206"/>
      <c r="K249" s="206"/>
      <c r="L249" s="206"/>
      <c r="M249" s="206"/>
      <c r="N24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0" spans="2:14" s="202" customFormat="1" ht="40" customHeight="1">
      <c r="B250" s="196">
        <f>ProjectInput[[#This Row],[Project Index]]</f>
        <v>247</v>
      </c>
      <c r="C250" s="196" t="str">
        <f>IF(ProjectInput[[#This Row],[Location]]=0, "", ProjectInput[[#This Row],[Location]])</f>
        <v/>
      </c>
      <c r="D250" s="198" t="str">
        <f>IF(Table5[[#This Row],[Location]]="", "", INDEX(ProjectInput[Over-Ride Annual Hours], MATCH(Table5[[#This Row],[Project Index]], ProjectInput[Project Index], 0)))</f>
        <v/>
      </c>
      <c r="E250" s="205"/>
      <c r="F250" s="206"/>
      <c r="G250" s="206"/>
      <c r="H250" s="206"/>
      <c r="I250" s="206"/>
      <c r="J250" s="206"/>
      <c r="K250" s="206"/>
      <c r="L250" s="206"/>
      <c r="M250" s="206"/>
      <c r="N25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1" spans="2:14" s="202" customFormat="1" ht="40" customHeight="1">
      <c r="B251" s="196">
        <f>ProjectInput[[#This Row],[Project Index]]</f>
        <v>248</v>
      </c>
      <c r="C251" s="196" t="str">
        <f>IF(ProjectInput[[#This Row],[Location]]=0, "", ProjectInput[[#This Row],[Location]])</f>
        <v/>
      </c>
      <c r="D251" s="198" t="str">
        <f>IF(Table5[[#This Row],[Location]]="", "", INDEX(ProjectInput[Over-Ride Annual Hours], MATCH(Table5[[#This Row],[Project Index]], ProjectInput[Project Index], 0)))</f>
        <v/>
      </c>
      <c r="E251" s="205"/>
      <c r="F251" s="206"/>
      <c r="G251" s="206"/>
      <c r="H251" s="206"/>
      <c r="I251" s="206"/>
      <c r="J251" s="206"/>
      <c r="K251" s="206"/>
      <c r="L251" s="206"/>
      <c r="M251" s="206"/>
      <c r="N25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2" spans="2:14" s="202" customFormat="1" ht="40" customHeight="1">
      <c r="B252" s="196">
        <f>ProjectInput[[#This Row],[Project Index]]</f>
        <v>249</v>
      </c>
      <c r="C252" s="196" t="str">
        <f>IF(ProjectInput[[#This Row],[Location]]=0, "", ProjectInput[[#This Row],[Location]])</f>
        <v/>
      </c>
      <c r="D252" s="198" t="str">
        <f>IF(Table5[[#This Row],[Location]]="", "", INDEX(ProjectInput[Over-Ride Annual Hours], MATCH(Table5[[#This Row],[Project Index]], ProjectInput[Project Index], 0)))</f>
        <v/>
      </c>
      <c r="E252" s="205"/>
      <c r="F252" s="206"/>
      <c r="G252" s="206"/>
      <c r="H252" s="206"/>
      <c r="I252" s="206"/>
      <c r="J252" s="206"/>
      <c r="K252" s="206"/>
      <c r="L252" s="206"/>
      <c r="M252" s="206"/>
      <c r="N25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3" spans="2:14" s="202" customFormat="1" ht="40" customHeight="1">
      <c r="B253" s="196">
        <f>ProjectInput[[#This Row],[Project Index]]</f>
        <v>250</v>
      </c>
      <c r="C253" s="196" t="str">
        <f>IF(ProjectInput[[#This Row],[Location]]=0, "", ProjectInput[[#This Row],[Location]])</f>
        <v/>
      </c>
      <c r="D253" s="198" t="str">
        <f>IF(Table5[[#This Row],[Location]]="", "", INDEX(ProjectInput[Over-Ride Annual Hours], MATCH(Table5[[#This Row],[Project Index]], ProjectInput[Project Index], 0)))</f>
        <v/>
      </c>
      <c r="E253" s="205"/>
      <c r="F253" s="206"/>
      <c r="G253" s="206"/>
      <c r="H253" s="206"/>
      <c r="I253" s="206"/>
      <c r="J253" s="206"/>
      <c r="K253" s="206"/>
      <c r="L253" s="206"/>
      <c r="M253" s="206"/>
      <c r="N25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4" spans="2:14" s="202" customFormat="1" ht="40" customHeight="1">
      <c r="B254" s="196">
        <f>ProjectInput[[#This Row],[Project Index]]</f>
        <v>251</v>
      </c>
      <c r="C254" s="196" t="str">
        <f>IF(ProjectInput[[#This Row],[Location]]=0, "", ProjectInput[[#This Row],[Location]])</f>
        <v/>
      </c>
      <c r="D254" s="198" t="str">
        <f>IF(Table5[[#This Row],[Location]]="", "", INDEX(ProjectInput[Over-Ride Annual Hours], MATCH(Table5[[#This Row],[Project Index]], ProjectInput[Project Index], 0)))</f>
        <v/>
      </c>
      <c r="E254" s="205"/>
      <c r="F254" s="206"/>
      <c r="G254" s="206"/>
      <c r="H254" s="206"/>
      <c r="I254" s="206"/>
      <c r="J254" s="206"/>
      <c r="K254" s="206"/>
      <c r="L254" s="206"/>
      <c r="M254" s="206"/>
      <c r="N25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5" spans="2:14" s="202" customFormat="1" ht="40" customHeight="1">
      <c r="B255" s="196">
        <f>ProjectInput[[#This Row],[Project Index]]</f>
        <v>252</v>
      </c>
      <c r="C255" s="196" t="str">
        <f>IF(ProjectInput[[#This Row],[Location]]=0, "", ProjectInput[[#This Row],[Location]])</f>
        <v/>
      </c>
      <c r="D255" s="198" t="str">
        <f>IF(Table5[[#This Row],[Location]]="", "", INDEX(ProjectInput[Over-Ride Annual Hours], MATCH(Table5[[#This Row],[Project Index]], ProjectInput[Project Index], 0)))</f>
        <v/>
      </c>
      <c r="E255" s="205"/>
      <c r="F255" s="206"/>
      <c r="G255" s="206"/>
      <c r="H255" s="206"/>
      <c r="I255" s="206"/>
      <c r="J255" s="206"/>
      <c r="K255" s="206"/>
      <c r="L255" s="206"/>
      <c r="M255" s="206"/>
      <c r="N25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6" spans="2:14" s="202" customFormat="1" ht="40" customHeight="1">
      <c r="B256" s="196">
        <f>ProjectInput[[#This Row],[Project Index]]</f>
        <v>253</v>
      </c>
      <c r="C256" s="196" t="str">
        <f>IF(ProjectInput[[#This Row],[Location]]=0, "", ProjectInput[[#This Row],[Location]])</f>
        <v/>
      </c>
      <c r="D256" s="198" t="str">
        <f>IF(Table5[[#This Row],[Location]]="", "", INDEX(ProjectInput[Over-Ride Annual Hours], MATCH(Table5[[#This Row],[Project Index]], ProjectInput[Project Index], 0)))</f>
        <v/>
      </c>
      <c r="E256" s="205"/>
      <c r="F256" s="206"/>
      <c r="G256" s="206"/>
      <c r="H256" s="206"/>
      <c r="I256" s="206"/>
      <c r="J256" s="206"/>
      <c r="K256" s="206"/>
      <c r="L256" s="206"/>
      <c r="M256" s="206"/>
      <c r="N25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7" spans="2:14" s="202" customFormat="1" ht="40" customHeight="1">
      <c r="B257" s="196">
        <f>ProjectInput[[#This Row],[Project Index]]</f>
        <v>254</v>
      </c>
      <c r="C257" s="196" t="str">
        <f>IF(ProjectInput[[#This Row],[Location]]=0, "", ProjectInput[[#This Row],[Location]])</f>
        <v/>
      </c>
      <c r="D257" s="198" t="str">
        <f>IF(Table5[[#This Row],[Location]]="", "", INDEX(ProjectInput[Over-Ride Annual Hours], MATCH(Table5[[#This Row],[Project Index]], ProjectInput[Project Index], 0)))</f>
        <v/>
      </c>
      <c r="E257" s="205"/>
      <c r="F257" s="206"/>
      <c r="G257" s="206"/>
      <c r="H257" s="206"/>
      <c r="I257" s="206"/>
      <c r="J257" s="206"/>
      <c r="K257" s="206"/>
      <c r="L257" s="206"/>
      <c r="M257" s="206"/>
      <c r="N25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8" spans="2:14" s="202" customFormat="1" ht="40" customHeight="1">
      <c r="B258" s="196">
        <f>ProjectInput[[#This Row],[Project Index]]</f>
        <v>255</v>
      </c>
      <c r="C258" s="196" t="str">
        <f>IF(ProjectInput[[#This Row],[Location]]=0, "", ProjectInput[[#This Row],[Location]])</f>
        <v/>
      </c>
      <c r="D258" s="198" t="str">
        <f>IF(Table5[[#This Row],[Location]]="", "", INDEX(ProjectInput[Over-Ride Annual Hours], MATCH(Table5[[#This Row],[Project Index]], ProjectInput[Project Index], 0)))</f>
        <v/>
      </c>
      <c r="E258" s="205"/>
      <c r="F258" s="206"/>
      <c r="G258" s="206"/>
      <c r="H258" s="206"/>
      <c r="I258" s="206"/>
      <c r="J258" s="206"/>
      <c r="K258" s="206"/>
      <c r="L258" s="206"/>
      <c r="M258" s="206"/>
      <c r="N25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59" spans="2:14" s="202" customFormat="1" ht="40" customHeight="1">
      <c r="B259" s="196">
        <f>ProjectInput[[#This Row],[Project Index]]</f>
        <v>256</v>
      </c>
      <c r="C259" s="196" t="str">
        <f>IF(ProjectInput[[#This Row],[Location]]=0, "", ProjectInput[[#This Row],[Location]])</f>
        <v/>
      </c>
      <c r="D259" s="198" t="str">
        <f>IF(Table5[[#This Row],[Location]]="", "", INDEX(ProjectInput[Over-Ride Annual Hours], MATCH(Table5[[#This Row],[Project Index]], ProjectInput[Project Index], 0)))</f>
        <v/>
      </c>
      <c r="E259" s="205"/>
      <c r="F259" s="206"/>
      <c r="G259" s="206"/>
      <c r="H259" s="206"/>
      <c r="I259" s="206"/>
      <c r="J259" s="206"/>
      <c r="K259" s="206"/>
      <c r="L259" s="206"/>
      <c r="M259" s="206"/>
      <c r="N25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0" spans="2:14" s="202" customFormat="1" ht="40" customHeight="1">
      <c r="B260" s="196">
        <f>ProjectInput[[#This Row],[Project Index]]</f>
        <v>257</v>
      </c>
      <c r="C260" s="196" t="str">
        <f>IF(ProjectInput[[#This Row],[Location]]=0, "", ProjectInput[[#This Row],[Location]])</f>
        <v/>
      </c>
      <c r="D260" s="198" t="str">
        <f>IF(Table5[[#This Row],[Location]]="", "", INDEX(ProjectInput[Over-Ride Annual Hours], MATCH(Table5[[#This Row],[Project Index]], ProjectInput[Project Index], 0)))</f>
        <v/>
      </c>
      <c r="E260" s="205"/>
      <c r="F260" s="206"/>
      <c r="G260" s="206"/>
      <c r="H260" s="206"/>
      <c r="I260" s="206"/>
      <c r="J260" s="206"/>
      <c r="K260" s="206"/>
      <c r="L260" s="206"/>
      <c r="M260" s="206"/>
      <c r="N26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1" spans="2:14" s="202" customFormat="1" ht="40" customHeight="1">
      <c r="B261" s="196">
        <f>ProjectInput[[#This Row],[Project Index]]</f>
        <v>258</v>
      </c>
      <c r="C261" s="196" t="str">
        <f>IF(ProjectInput[[#This Row],[Location]]=0, "", ProjectInput[[#This Row],[Location]])</f>
        <v/>
      </c>
      <c r="D261" s="198" t="str">
        <f>IF(Table5[[#This Row],[Location]]="", "", INDEX(ProjectInput[Over-Ride Annual Hours], MATCH(Table5[[#This Row],[Project Index]], ProjectInput[Project Index], 0)))</f>
        <v/>
      </c>
      <c r="E261" s="205"/>
      <c r="F261" s="206"/>
      <c r="G261" s="206"/>
      <c r="H261" s="206"/>
      <c r="I261" s="206"/>
      <c r="J261" s="206"/>
      <c r="K261" s="206"/>
      <c r="L261" s="206"/>
      <c r="M261" s="206"/>
      <c r="N26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2" spans="2:14" s="202" customFormat="1" ht="40" customHeight="1">
      <c r="B262" s="196">
        <f>ProjectInput[[#This Row],[Project Index]]</f>
        <v>259</v>
      </c>
      <c r="C262" s="196" t="str">
        <f>IF(ProjectInput[[#This Row],[Location]]=0, "", ProjectInput[[#This Row],[Location]])</f>
        <v/>
      </c>
      <c r="D262" s="198" t="str">
        <f>IF(Table5[[#This Row],[Location]]="", "", INDEX(ProjectInput[Over-Ride Annual Hours], MATCH(Table5[[#This Row],[Project Index]], ProjectInput[Project Index], 0)))</f>
        <v/>
      </c>
      <c r="E262" s="205"/>
      <c r="F262" s="206"/>
      <c r="G262" s="206"/>
      <c r="H262" s="206"/>
      <c r="I262" s="206"/>
      <c r="J262" s="206"/>
      <c r="K262" s="206"/>
      <c r="L262" s="206"/>
      <c r="M262" s="206"/>
      <c r="N26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3" spans="2:14" s="202" customFormat="1" ht="40" customHeight="1">
      <c r="B263" s="196">
        <f>ProjectInput[[#This Row],[Project Index]]</f>
        <v>260</v>
      </c>
      <c r="C263" s="196" t="str">
        <f>IF(ProjectInput[[#This Row],[Location]]=0, "", ProjectInput[[#This Row],[Location]])</f>
        <v/>
      </c>
      <c r="D263" s="198" t="str">
        <f>IF(Table5[[#This Row],[Location]]="", "", INDEX(ProjectInput[Over-Ride Annual Hours], MATCH(Table5[[#This Row],[Project Index]], ProjectInput[Project Index], 0)))</f>
        <v/>
      </c>
      <c r="E263" s="205"/>
      <c r="F263" s="206"/>
      <c r="G263" s="206"/>
      <c r="H263" s="206"/>
      <c r="I263" s="206"/>
      <c r="J263" s="206"/>
      <c r="K263" s="206"/>
      <c r="L263" s="206"/>
      <c r="M263" s="206"/>
      <c r="N26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4" spans="2:14" s="202" customFormat="1" ht="40" customHeight="1">
      <c r="B264" s="196">
        <f>ProjectInput[[#This Row],[Project Index]]</f>
        <v>261</v>
      </c>
      <c r="C264" s="196" t="str">
        <f>IF(ProjectInput[[#This Row],[Location]]=0, "", ProjectInput[[#This Row],[Location]])</f>
        <v/>
      </c>
      <c r="D264" s="198" t="str">
        <f>IF(Table5[[#This Row],[Location]]="", "", INDEX(ProjectInput[Over-Ride Annual Hours], MATCH(Table5[[#This Row],[Project Index]], ProjectInput[Project Index], 0)))</f>
        <v/>
      </c>
      <c r="E264" s="205"/>
      <c r="F264" s="206"/>
      <c r="G264" s="206"/>
      <c r="H264" s="206"/>
      <c r="I264" s="206"/>
      <c r="J264" s="206"/>
      <c r="K264" s="206"/>
      <c r="L264" s="206"/>
      <c r="M264" s="206"/>
      <c r="N26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5" spans="2:14" s="202" customFormat="1" ht="40" customHeight="1">
      <c r="B265" s="196">
        <f>ProjectInput[[#This Row],[Project Index]]</f>
        <v>262</v>
      </c>
      <c r="C265" s="196" t="str">
        <f>IF(ProjectInput[[#This Row],[Location]]=0, "", ProjectInput[[#This Row],[Location]])</f>
        <v/>
      </c>
      <c r="D265" s="198" t="str">
        <f>IF(Table5[[#This Row],[Location]]="", "", INDEX(ProjectInput[Over-Ride Annual Hours], MATCH(Table5[[#This Row],[Project Index]], ProjectInput[Project Index], 0)))</f>
        <v/>
      </c>
      <c r="E265" s="205"/>
      <c r="F265" s="206"/>
      <c r="G265" s="206"/>
      <c r="H265" s="206"/>
      <c r="I265" s="206"/>
      <c r="J265" s="206"/>
      <c r="K265" s="206"/>
      <c r="L265" s="206"/>
      <c r="M265" s="206"/>
      <c r="N26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6" spans="2:14" s="202" customFormat="1" ht="40" customHeight="1">
      <c r="B266" s="196">
        <f>ProjectInput[[#This Row],[Project Index]]</f>
        <v>263</v>
      </c>
      <c r="C266" s="196" t="str">
        <f>IF(ProjectInput[[#This Row],[Location]]=0, "", ProjectInput[[#This Row],[Location]])</f>
        <v/>
      </c>
      <c r="D266" s="198" t="str">
        <f>IF(Table5[[#This Row],[Location]]="", "", INDEX(ProjectInput[Over-Ride Annual Hours], MATCH(Table5[[#This Row],[Project Index]], ProjectInput[Project Index], 0)))</f>
        <v/>
      </c>
      <c r="E266" s="205"/>
      <c r="F266" s="206"/>
      <c r="G266" s="206"/>
      <c r="H266" s="206"/>
      <c r="I266" s="206"/>
      <c r="J266" s="206"/>
      <c r="K266" s="206"/>
      <c r="L266" s="206"/>
      <c r="M266" s="206"/>
      <c r="N26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7" spans="2:14" s="202" customFormat="1" ht="40" customHeight="1">
      <c r="B267" s="196">
        <f>ProjectInput[[#This Row],[Project Index]]</f>
        <v>264</v>
      </c>
      <c r="C267" s="196" t="str">
        <f>IF(ProjectInput[[#This Row],[Location]]=0, "", ProjectInput[[#This Row],[Location]])</f>
        <v/>
      </c>
      <c r="D267" s="198" t="str">
        <f>IF(Table5[[#This Row],[Location]]="", "", INDEX(ProjectInput[Over-Ride Annual Hours], MATCH(Table5[[#This Row],[Project Index]], ProjectInput[Project Index], 0)))</f>
        <v/>
      </c>
      <c r="E267" s="205"/>
      <c r="F267" s="206"/>
      <c r="G267" s="206"/>
      <c r="H267" s="206"/>
      <c r="I267" s="206"/>
      <c r="J267" s="206"/>
      <c r="K267" s="206"/>
      <c r="L267" s="206"/>
      <c r="M267" s="206"/>
      <c r="N26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8" spans="2:14" s="202" customFormat="1" ht="40" customHeight="1">
      <c r="B268" s="196">
        <f>ProjectInput[[#This Row],[Project Index]]</f>
        <v>265</v>
      </c>
      <c r="C268" s="196" t="str">
        <f>IF(ProjectInput[[#This Row],[Location]]=0, "", ProjectInput[[#This Row],[Location]])</f>
        <v/>
      </c>
      <c r="D268" s="198" t="str">
        <f>IF(Table5[[#This Row],[Location]]="", "", INDEX(ProjectInput[Over-Ride Annual Hours], MATCH(Table5[[#This Row],[Project Index]], ProjectInput[Project Index], 0)))</f>
        <v/>
      </c>
      <c r="E268" s="205"/>
      <c r="F268" s="206"/>
      <c r="G268" s="206"/>
      <c r="H268" s="206"/>
      <c r="I268" s="206"/>
      <c r="J268" s="206"/>
      <c r="K268" s="206"/>
      <c r="L268" s="206"/>
      <c r="M268" s="206"/>
      <c r="N26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69" spans="2:14" s="202" customFormat="1" ht="40" customHeight="1">
      <c r="B269" s="196">
        <f>ProjectInput[[#This Row],[Project Index]]</f>
        <v>266</v>
      </c>
      <c r="C269" s="196" t="str">
        <f>IF(ProjectInput[[#This Row],[Location]]=0, "", ProjectInput[[#This Row],[Location]])</f>
        <v/>
      </c>
      <c r="D269" s="198" t="str">
        <f>IF(Table5[[#This Row],[Location]]="", "", INDEX(ProjectInput[Over-Ride Annual Hours], MATCH(Table5[[#This Row],[Project Index]], ProjectInput[Project Index], 0)))</f>
        <v/>
      </c>
      <c r="E269" s="205"/>
      <c r="F269" s="206"/>
      <c r="G269" s="206"/>
      <c r="H269" s="206"/>
      <c r="I269" s="206"/>
      <c r="J269" s="206"/>
      <c r="K269" s="206"/>
      <c r="L269" s="206"/>
      <c r="M269" s="206"/>
      <c r="N26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0" spans="2:14" s="202" customFormat="1" ht="40" customHeight="1">
      <c r="B270" s="196">
        <f>ProjectInput[[#This Row],[Project Index]]</f>
        <v>267</v>
      </c>
      <c r="C270" s="196" t="str">
        <f>IF(ProjectInput[[#This Row],[Location]]=0, "", ProjectInput[[#This Row],[Location]])</f>
        <v/>
      </c>
      <c r="D270" s="198" t="str">
        <f>IF(Table5[[#This Row],[Location]]="", "", INDEX(ProjectInput[Over-Ride Annual Hours], MATCH(Table5[[#This Row],[Project Index]], ProjectInput[Project Index], 0)))</f>
        <v/>
      </c>
      <c r="E270" s="205"/>
      <c r="F270" s="206"/>
      <c r="G270" s="206"/>
      <c r="H270" s="206"/>
      <c r="I270" s="206"/>
      <c r="J270" s="206"/>
      <c r="K270" s="206"/>
      <c r="L270" s="206"/>
      <c r="M270" s="206"/>
      <c r="N27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1" spans="2:14" s="202" customFormat="1" ht="40" customHeight="1">
      <c r="B271" s="196">
        <f>ProjectInput[[#This Row],[Project Index]]</f>
        <v>268</v>
      </c>
      <c r="C271" s="196" t="str">
        <f>IF(ProjectInput[[#This Row],[Location]]=0, "", ProjectInput[[#This Row],[Location]])</f>
        <v/>
      </c>
      <c r="D271" s="198" t="str">
        <f>IF(Table5[[#This Row],[Location]]="", "", INDEX(ProjectInput[Over-Ride Annual Hours], MATCH(Table5[[#This Row],[Project Index]], ProjectInput[Project Index], 0)))</f>
        <v/>
      </c>
      <c r="E271" s="205"/>
      <c r="F271" s="206"/>
      <c r="G271" s="206"/>
      <c r="H271" s="206"/>
      <c r="I271" s="206"/>
      <c r="J271" s="206"/>
      <c r="K271" s="206"/>
      <c r="L271" s="206"/>
      <c r="M271" s="206"/>
      <c r="N27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2" spans="2:14" s="202" customFormat="1" ht="40" customHeight="1">
      <c r="B272" s="196">
        <f>ProjectInput[[#This Row],[Project Index]]</f>
        <v>269</v>
      </c>
      <c r="C272" s="196" t="str">
        <f>IF(ProjectInput[[#This Row],[Location]]=0, "", ProjectInput[[#This Row],[Location]])</f>
        <v/>
      </c>
      <c r="D272" s="198" t="str">
        <f>IF(Table5[[#This Row],[Location]]="", "", INDEX(ProjectInput[Over-Ride Annual Hours], MATCH(Table5[[#This Row],[Project Index]], ProjectInput[Project Index], 0)))</f>
        <v/>
      </c>
      <c r="E272" s="205"/>
      <c r="F272" s="206"/>
      <c r="G272" s="206"/>
      <c r="H272" s="206"/>
      <c r="I272" s="206"/>
      <c r="J272" s="206"/>
      <c r="K272" s="206"/>
      <c r="L272" s="206"/>
      <c r="M272" s="206"/>
      <c r="N27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3" spans="2:14" s="202" customFormat="1" ht="40" customHeight="1">
      <c r="B273" s="196">
        <f>ProjectInput[[#This Row],[Project Index]]</f>
        <v>270</v>
      </c>
      <c r="C273" s="196" t="str">
        <f>IF(ProjectInput[[#This Row],[Location]]=0, "", ProjectInput[[#This Row],[Location]])</f>
        <v/>
      </c>
      <c r="D273" s="198" t="str">
        <f>IF(Table5[[#This Row],[Location]]="", "", INDEX(ProjectInput[Over-Ride Annual Hours], MATCH(Table5[[#This Row],[Project Index]], ProjectInput[Project Index], 0)))</f>
        <v/>
      </c>
      <c r="E273" s="205"/>
      <c r="F273" s="206"/>
      <c r="G273" s="206"/>
      <c r="H273" s="206"/>
      <c r="I273" s="206"/>
      <c r="J273" s="206"/>
      <c r="K273" s="206"/>
      <c r="L273" s="206"/>
      <c r="M273" s="206"/>
      <c r="N27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4" spans="2:14" s="202" customFormat="1" ht="40" customHeight="1">
      <c r="B274" s="196">
        <f>ProjectInput[[#This Row],[Project Index]]</f>
        <v>271</v>
      </c>
      <c r="C274" s="196" t="str">
        <f>IF(ProjectInput[[#This Row],[Location]]=0, "", ProjectInput[[#This Row],[Location]])</f>
        <v/>
      </c>
      <c r="D274" s="198" t="str">
        <f>IF(Table5[[#This Row],[Location]]="", "", INDEX(ProjectInput[Over-Ride Annual Hours], MATCH(Table5[[#This Row],[Project Index]], ProjectInput[Project Index], 0)))</f>
        <v/>
      </c>
      <c r="E274" s="205"/>
      <c r="F274" s="206"/>
      <c r="G274" s="206"/>
      <c r="H274" s="206"/>
      <c r="I274" s="206"/>
      <c r="J274" s="206"/>
      <c r="K274" s="206"/>
      <c r="L274" s="206"/>
      <c r="M274" s="206"/>
      <c r="N27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5" spans="2:14" s="202" customFormat="1" ht="40" customHeight="1">
      <c r="B275" s="196">
        <f>ProjectInput[[#This Row],[Project Index]]</f>
        <v>272</v>
      </c>
      <c r="C275" s="196" t="str">
        <f>IF(ProjectInput[[#This Row],[Location]]=0, "", ProjectInput[[#This Row],[Location]])</f>
        <v/>
      </c>
      <c r="D275" s="198" t="str">
        <f>IF(Table5[[#This Row],[Location]]="", "", INDEX(ProjectInput[Over-Ride Annual Hours], MATCH(Table5[[#This Row],[Project Index]], ProjectInput[Project Index], 0)))</f>
        <v/>
      </c>
      <c r="E275" s="205"/>
      <c r="F275" s="206"/>
      <c r="G275" s="206"/>
      <c r="H275" s="206"/>
      <c r="I275" s="206"/>
      <c r="J275" s="206"/>
      <c r="K275" s="206"/>
      <c r="L275" s="206"/>
      <c r="M275" s="206"/>
      <c r="N27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6" spans="2:14" s="202" customFormat="1" ht="40" customHeight="1">
      <c r="B276" s="196">
        <f>ProjectInput[[#This Row],[Project Index]]</f>
        <v>273</v>
      </c>
      <c r="C276" s="196" t="str">
        <f>IF(ProjectInput[[#This Row],[Location]]=0, "", ProjectInput[[#This Row],[Location]])</f>
        <v/>
      </c>
      <c r="D276" s="198" t="str">
        <f>IF(Table5[[#This Row],[Location]]="", "", INDEX(ProjectInput[Over-Ride Annual Hours], MATCH(Table5[[#This Row],[Project Index]], ProjectInput[Project Index], 0)))</f>
        <v/>
      </c>
      <c r="E276" s="205"/>
      <c r="F276" s="206"/>
      <c r="G276" s="206"/>
      <c r="H276" s="206"/>
      <c r="I276" s="206"/>
      <c r="J276" s="206"/>
      <c r="K276" s="206"/>
      <c r="L276" s="206"/>
      <c r="M276" s="206"/>
      <c r="N27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7" spans="2:14" s="202" customFormat="1" ht="40" customHeight="1">
      <c r="B277" s="196">
        <f>ProjectInput[[#This Row],[Project Index]]</f>
        <v>274</v>
      </c>
      <c r="C277" s="196" t="str">
        <f>IF(ProjectInput[[#This Row],[Location]]=0, "", ProjectInput[[#This Row],[Location]])</f>
        <v/>
      </c>
      <c r="D277" s="198" t="str">
        <f>IF(Table5[[#This Row],[Location]]="", "", INDEX(ProjectInput[Over-Ride Annual Hours], MATCH(Table5[[#This Row],[Project Index]], ProjectInput[Project Index], 0)))</f>
        <v/>
      </c>
      <c r="E277" s="205"/>
      <c r="F277" s="206"/>
      <c r="G277" s="206"/>
      <c r="H277" s="206"/>
      <c r="I277" s="206"/>
      <c r="J277" s="206"/>
      <c r="K277" s="206"/>
      <c r="L277" s="206"/>
      <c r="M277" s="206"/>
      <c r="N27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8" spans="2:14" s="202" customFormat="1" ht="40" customHeight="1">
      <c r="B278" s="196">
        <f>ProjectInput[[#This Row],[Project Index]]</f>
        <v>275</v>
      </c>
      <c r="C278" s="196" t="str">
        <f>IF(ProjectInput[[#This Row],[Location]]=0, "", ProjectInput[[#This Row],[Location]])</f>
        <v/>
      </c>
      <c r="D278" s="198" t="str">
        <f>IF(Table5[[#This Row],[Location]]="", "", INDEX(ProjectInput[Over-Ride Annual Hours], MATCH(Table5[[#This Row],[Project Index]], ProjectInput[Project Index], 0)))</f>
        <v/>
      </c>
      <c r="E278" s="205"/>
      <c r="F278" s="206"/>
      <c r="G278" s="206"/>
      <c r="H278" s="206"/>
      <c r="I278" s="206"/>
      <c r="J278" s="206"/>
      <c r="K278" s="206"/>
      <c r="L278" s="206"/>
      <c r="M278" s="206"/>
      <c r="N27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79" spans="2:14" s="202" customFormat="1" ht="40" customHeight="1">
      <c r="B279" s="196">
        <f>ProjectInput[[#This Row],[Project Index]]</f>
        <v>276</v>
      </c>
      <c r="C279" s="196" t="str">
        <f>IF(ProjectInput[[#This Row],[Location]]=0, "", ProjectInput[[#This Row],[Location]])</f>
        <v/>
      </c>
      <c r="D279" s="198" t="str">
        <f>IF(Table5[[#This Row],[Location]]="", "", INDEX(ProjectInput[Over-Ride Annual Hours], MATCH(Table5[[#This Row],[Project Index]], ProjectInput[Project Index], 0)))</f>
        <v/>
      </c>
      <c r="E279" s="205"/>
      <c r="F279" s="206"/>
      <c r="G279" s="206"/>
      <c r="H279" s="206"/>
      <c r="I279" s="206"/>
      <c r="J279" s="206"/>
      <c r="K279" s="206"/>
      <c r="L279" s="206"/>
      <c r="M279" s="206"/>
      <c r="N27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0" spans="2:14" s="202" customFormat="1" ht="40" customHeight="1">
      <c r="B280" s="196">
        <f>ProjectInput[[#This Row],[Project Index]]</f>
        <v>277</v>
      </c>
      <c r="C280" s="196" t="str">
        <f>IF(ProjectInput[[#This Row],[Location]]=0, "", ProjectInput[[#This Row],[Location]])</f>
        <v/>
      </c>
      <c r="D280" s="198" t="str">
        <f>IF(Table5[[#This Row],[Location]]="", "", INDEX(ProjectInput[Over-Ride Annual Hours], MATCH(Table5[[#This Row],[Project Index]], ProjectInput[Project Index], 0)))</f>
        <v/>
      </c>
      <c r="E280" s="205"/>
      <c r="F280" s="206"/>
      <c r="G280" s="206"/>
      <c r="H280" s="206"/>
      <c r="I280" s="206"/>
      <c r="J280" s="206"/>
      <c r="K280" s="206"/>
      <c r="L280" s="206"/>
      <c r="M280" s="206"/>
      <c r="N28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1" spans="2:14" s="202" customFormat="1" ht="40" customHeight="1">
      <c r="B281" s="196">
        <f>ProjectInput[[#This Row],[Project Index]]</f>
        <v>278</v>
      </c>
      <c r="C281" s="196" t="str">
        <f>IF(ProjectInput[[#This Row],[Location]]=0, "", ProjectInput[[#This Row],[Location]])</f>
        <v/>
      </c>
      <c r="D281" s="198" t="str">
        <f>IF(Table5[[#This Row],[Location]]="", "", INDEX(ProjectInput[Over-Ride Annual Hours], MATCH(Table5[[#This Row],[Project Index]], ProjectInput[Project Index], 0)))</f>
        <v/>
      </c>
      <c r="E281" s="205"/>
      <c r="F281" s="206"/>
      <c r="G281" s="206"/>
      <c r="H281" s="206"/>
      <c r="I281" s="206"/>
      <c r="J281" s="206"/>
      <c r="K281" s="206"/>
      <c r="L281" s="206"/>
      <c r="M281" s="206"/>
      <c r="N28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2" spans="2:14" s="202" customFormat="1" ht="40" customHeight="1">
      <c r="B282" s="196">
        <f>ProjectInput[[#This Row],[Project Index]]</f>
        <v>279</v>
      </c>
      <c r="C282" s="196" t="str">
        <f>IF(ProjectInput[[#This Row],[Location]]=0, "", ProjectInput[[#This Row],[Location]])</f>
        <v/>
      </c>
      <c r="D282" s="198" t="str">
        <f>IF(Table5[[#This Row],[Location]]="", "", INDEX(ProjectInput[Over-Ride Annual Hours], MATCH(Table5[[#This Row],[Project Index]], ProjectInput[Project Index], 0)))</f>
        <v/>
      </c>
      <c r="E282" s="205"/>
      <c r="F282" s="206"/>
      <c r="G282" s="206"/>
      <c r="H282" s="206"/>
      <c r="I282" s="206"/>
      <c r="J282" s="206"/>
      <c r="K282" s="206"/>
      <c r="L282" s="206"/>
      <c r="M282" s="206"/>
      <c r="N28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3" spans="2:14" s="202" customFormat="1" ht="40" customHeight="1">
      <c r="B283" s="196">
        <f>ProjectInput[[#This Row],[Project Index]]</f>
        <v>280</v>
      </c>
      <c r="C283" s="196" t="str">
        <f>IF(ProjectInput[[#This Row],[Location]]=0, "", ProjectInput[[#This Row],[Location]])</f>
        <v/>
      </c>
      <c r="D283" s="198" t="str">
        <f>IF(Table5[[#This Row],[Location]]="", "", INDEX(ProjectInput[Over-Ride Annual Hours], MATCH(Table5[[#This Row],[Project Index]], ProjectInput[Project Index], 0)))</f>
        <v/>
      </c>
      <c r="E283" s="205"/>
      <c r="F283" s="206"/>
      <c r="G283" s="206"/>
      <c r="H283" s="206"/>
      <c r="I283" s="206"/>
      <c r="J283" s="206"/>
      <c r="K283" s="206"/>
      <c r="L283" s="206"/>
      <c r="M283" s="206"/>
      <c r="N28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4" spans="2:14" s="202" customFormat="1" ht="40" customHeight="1">
      <c r="B284" s="196">
        <f>ProjectInput[[#This Row],[Project Index]]</f>
        <v>281</v>
      </c>
      <c r="C284" s="196" t="str">
        <f>IF(ProjectInput[[#This Row],[Location]]=0, "", ProjectInput[[#This Row],[Location]])</f>
        <v/>
      </c>
      <c r="D284" s="198" t="str">
        <f>IF(Table5[[#This Row],[Location]]="", "", INDEX(ProjectInput[Over-Ride Annual Hours], MATCH(Table5[[#This Row],[Project Index]], ProjectInput[Project Index], 0)))</f>
        <v/>
      </c>
      <c r="E284" s="205"/>
      <c r="F284" s="206"/>
      <c r="G284" s="206"/>
      <c r="H284" s="206"/>
      <c r="I284" s="206"/>
      <c r="J284" s="206"/>
      <c r="K284" s="206"/>
      <c r="L284" s="206"/>
      <c r="M284" s="206"/>
      <c r="N28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5" spans="2:14" s="202" customFormat="1" ht="40" customHeight="1">
      <c r="B285" s="196">
        <f>ProjectInput[[#This Row],[Project Index]]</f>
        <v>282</v>
      </c>
      <c r="C285" s="196" t="str">
        <f>IF(ProjectInput[[#This Row],[Location]]=0, "", ProjectInput[[#This Row],[Location]])</f>
        <v/>
      </c>
      <c r="D285" s="198" t="str">
        <f>IF(Table5[[#This Row],[Location]]="", "", INDEX(ProjectInput[Over-Ride Annual Hours], MATCH(Table5[[#This Row],[Project Index]], ProjectInput[Project Index], 0)))</f>
        <v/>
      </c>
      <c r="E285" s="205"/>
      <c r="F285" s="206"/>
      <c r="G285" s="206"/>
      <c r="H285" s="206"/>
      <c r="I285" s="206"/>
      <c r="J285" s="206"/>
      <c r="K285" s="206"/>
      <c r="L285" s="206"/>
      <c r="M285" s="206"/>
      <c r="N28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6" spans="2:14" s="202" customFormat="1" ht="40" customHeight="1">
      <c r="B286" s="196">
        <f>ProjectInput[[#This Row],[Project Index]]</f>
        <v>283</v>
      </c>
      <c r="C286" s="196" t="str">
        <f>IF(ProjectInput[[#This Row],[Location]]=0, "", ProjectInput[[#This Row],[Location]])</f>
        <v/>
      </c>
      <c r="D286" s="198" t="str">
        <f>IF(Table5[[#This Row],[Location]]="", "", INDEX(ProjectInput[Over-Ride Annual Hours], MATCH(Table5[[#This Row],[Project Index]], ProjectInput[Project Index], 0)))</f>
        <v/>
      </c>
      <c r="E286" s="205"/>
      <c r="F286" s="206"/>
      <c r="G286" s="206"/>
      <c r="H286" s="206"/>
      <c r="I286" s="206"/>
      <c r="J286" s="206"/>
      <c r="K286" s="206"/>
      <c r="L286" s="206"/>
      <c r="M286" s="206"/>
      <c r="N28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7" spans="2:14" s="202" customFormat="1" ht="40" customHeight="1">
      <c r="B287" s="196">
        <f>ProjectInput[[#This Row],[Project Index]]</f>
        <v>284</v>
      </c>
      <c r="C287" s="196" t="str">
        <f>IF(ProjectInput[[#This Row],[Location]]=0, "", ProjectInput[[#This Row],[Location]])</f>
        <v/>
      </c>
      <c r="D287" s="198" t="str">
        <f>IF(Table5[[#This Row],[Location]]="", "", INDEX(ProjectInput[Over-Ride Annual Hours], MATCH(Table5[[#This Row],[Project Index]], ProjectInput[Project Index], 0)))</f>
        <v/>
      </c>
      <c r="E287" s="205"/>
      <c r="F287" s="206"/>
      <c r="G287" s="206"/>
      <c r="H287" s="206"/>
      <c r="I287" s="206"/>
      <c r="J287" s="206"/>
      <c r="K287" s="206"/>
      <c r="L287" s="206"/>
      <c r="M287" s="206"/>
      <c r="N28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8" spans="2:14" s="202" customFormat="1" ht="40" customHeight="1">
      <c r="B288" s="196">
        <f>ProjectInput[[#This Row],[Project Index]]</f>
        <v>285</v>
      </c>
      <c r="C288" s="196" t="str">
        <f>IF(ProjectInput[[#This Row],[Location]]=0, "", ProjectInput[[#This Row],[Location]])</f>
        <v/>
      </c>
      <c r="D288" s="198" t="str">
        <f>IF(Table5[[#This Row],[Location]]="", "", INDEX(ProjectInput[Over-Ride Annual Hours], MATCH(Table5[[#This Row],[Project Index]], ProjectInput[Project Index], 0)))</f>
        <v/>
      </c>
      <c r="E288" s="205"/>
      <c r="F288" s="206"/>
      <c r="G288" s="206"/>
      <c r="H288" s="206"/>
      <c r="I288" s="206"/>
      <c r="J288" s="206"/>
      <c r="K288" s="206"/>
      <c r="L288" s="206"/>
      <c r="M288" s="206"/>
      <c r="N28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89" spans="2:14" s="202" customFormat="1" ht="40" customHeight="1">
      <c r="B289" s="196">
        <f>ProjectInput[[#This Row],[Project Index]]</f>
        <v>286</v>
      </c>
      <c r="C289" s="196" t="str">
        <f>IF(ProjectInput[[#This Row],[Location]]=0, "", ProjectInput[[#This Row],[Location]])</f>
        <v/>
      </c>
      <c r="D289" s="198" t="str">
        <f>IF(Table5[[#This Row],[Location]]="", "", INDEX(ProjectInput[Over-Ride Annual Hours], MATCH(Table5[[#This Row],[Project Index]], ProjectInput[Project Index], 0)))</f>
        <v/>
      </c>
      <c r="E289" s="205"/>
      <c r="F289" s="206"/>
      <c r="G289" s="206"/>
      <c r="H289" s="206"/>
      <c r="I289" s="206"/>
      <c r="J289" s="206"/>
      <c r="K289" s="206"/>
      <c r="L289" s="206"/>
      <c r="M289" s="206"/>
      <c r="N28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0" spans="2:14" s="202" customFormat="1" ht="40" customHeight="1">
      <c r="B290" s="196">
        <f>ProjectInput[[#This Row],[Project Index]]</f>
        <v>287</v>
      </c>
      <c r="C290" s="196" t="str">
        <f>IF(ProjectInput[[#This Row],[Location]]=0, "", ProjectInput[[#This Row],[Location]])</f>
        <v/>
      </c>
      <c r="D290" s="198" t="str">
        <f>IF(Table5[[#This Row],[Location]]="", "", INDEX(ProjectInput[Over-Ride Annual Hours], MATCH(Table5[[#This Row],[Project Index]], ProjectInput[Project Index], 0)))</f>
        <v/>
      </c>
      <c r="E290" s="205"/>
      <c r="F290" s="206"/>
      <c r="G290" s="206"/>
      <c r="H290" s="206"/>
      <c r="I290" s="206"/>
      <c r="J290" s="206"/>
      <c r="K290" s="206"/>
      <c r="L290" s="206"/>
      <c r="M290" s="206"/>
      <c r="N29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1" spans="2:14" s="202" customFormat="1" ht="40" customHeight="1">
      <c r="B291" s="196">
        <f>ProjectInput[[#This Row],[Project Index]]</f>
        <v>288</v>
      </c>
      <c r="C291" s="196" t="str">
        <f>IF(ProjectInput[[#This Row],[Location]]=0, "", ProjectInput[[#This Row],[Location]])</f>
        <v/>
      </c>
      <c r="D291" s="198" t="str">
        <f>IF(Table5[[#This Row],[Location]]="", "", INDEX(ProjectInput[Over-Ride Annual Hours], MATCH(Table5[[#This Row],[Project Index]], ProjectInput[Project Index], 0)))</f>
        <v/>
      </c>
      <c r="E291" s="205"/>
      <c r="F291" s="206"/>
      <c r="G291" s="206"/>
      <c r="H291" s="206"/>
      <c r="I291" s="206"/>
      <c r="J291" s="206"/>
      <c r="K291" s="206"/>
      <c r="L291" s="206"/>
      <c r="M291" s="206"/>
      <c r="N29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2" spans="2:14" s="202" customFormat="1" ht="40" customHeight="1">
      <c r="B292" s="196">
        <f>ProjectInput[[#This Row],[Project Index]]</f>
        <v>289</v>
      </c>
      <c r="C292" s="196" t="str">
        <f>IF(ProjectInput[[#This Row],[Location]]=0, "", ProjectInput[[#This Row],[Location]])</f>
        <v/>
      </c>
      <c r="D292" s="198" t="str">
        <f>IF(Table5[[#This Row],[Location]]="", "", INDEX(ProjectInput[Over-Ride Annual Hours], MATCH(Table5[[#This Row],[Project Index]], ProjectInput[Project Index], 0)))</f>
        <v/>
      </c>
      <c r="E292" s="205"/>
      <c r="F292" s="206"/>
      <c r="G292" s="206"/>
      <c r="H292" s="206"/>
      <c r="I292" s="206"/>
      <c r="J292" s="206"/>
      <c r="K292" s="206"/>
      <c r="L292" s="206"/>
      <c r="M292" s="206"/>
      <c r="N29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3" spans="2:14" s="202" customFormat="1" ht="40" customHeight="1">
      <c r="B293" s="196">
        <f>ProjectInput[[#This Row],[Project Index]]</f>
        <v>290</v>
      </c>
      <c r="C293" s="196" t="str">
        <f>IF(ProjectInput[[#This Row],[Location]]=0, "", ProjectInput[[#This Row],[Location]])</f>
        <v/>
      </c>
      <c r="D293" s="198" t="str">
        <f>IF(Table5[[#This Row],[Location]]="", "", INDEX(ProjectInput[Over-Ride Annual Hours], MATCH(Table5[[#This Row],[Project Index]], ProjectInput[Project Index], 0)))</f>
        <v/>
      </c>
      <c r="E293" s="205"/>
      <c r="F293" s="206"/>
      <c r="G293" s="206"/>
      <c r="H293" s="206"/>
      <c r="I293" s="206"/>
      <c r="J293" s="206"/>
      <c r="K293" s="206"/>
      <c r="L293" s="206"/>
      <c r="M293" s="206"/>
      <c r="N29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4" spans="2:14" s="202" customFormat="1" ht="40" customHeight="1">
      <c r="B294" s="196">
        <f>ProjectInput[[#This Row],[Project Index]]</f>
        <v>291</v>
      </c>
      <c r="C294" s="196" t="str">
        <f>IF(ProjectInput[[#This Row],[Location]]=0, "", ProjectInput[[#This Row],[Location]])</f>
        <v/>
      </c>
      <c r="D294" s="198" t="str">
        <f>IF(Table5[[#This Row],[Location]]="", "", INDEX(ProjectInput[Over-Ride Annual Hours], MATCH(Table5[[#This Row],[Project Index]], ProjectInput[Project Index], 0)))</f>
        <v/>
      </c>
      <c r="E294" s="205"/>
      <c r="F294" s="206"/>
      <c r="G294" s="206"/>
      <c r="H294" s="206"/>
      <c r="I294" s="206"/>
      <c r="J294" s="206"/>
      <c r="K294" s="206"/>
      <c r="L294" s="206"/>
      <c r="M294" s="206"/>
      <c r="N294"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5" spans="2:14" s="202" customFormat="1" ht="40" customHeight="1">
      <c r="B295" s="196">
        <f>ProjectInput[[#This Row],[Project Index]]</f>
        <v>292</v>
      </c>
      <c r="C295" s="196" t="str">
        <f>IF(ProjectInput[[#This Row],[Location]]=0, "", ProjectInput[[#This Row],[Location]])</f>
        <v/>
      </c>
      <c r="D295" s="198" t="str">
        <f>IF(Table5[[#This Row],[Location]]="", "", INDEX(ProjectInput[Over-Ride Annual Hours], MATCH(Table5[[#This Row],[Project Index]], ProjectInput[Project Index], 0)))</f>
        <v/>
      </c>
      <c r="E295" s="205"/>
      <c r="F295" s="206"/>
      <c r="G295" s="206"/>
      <c r="H295" s="206"/>
      <c r="I295" s="206"/>
      <c r="J295" s="206"/>
      <c r="K295" s="206"/>
      <c r="L295" s="206"/>
      <c r="M295" s="206"/>
      <c r="N295"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6" spans="2:14" s="202" customFormat="1" ht="40" customHeight="1">
      <c r="B296" s="196">
        <f>ProjectInput[[#This Row],[Project Index]]</f>
        <v>293</v>
      </c>
      <c r="C296" s="196" t="str">
        <f>IF(ProjectInput[[#This Row],[Location]]=0, "", ProjectInput[[#This Row],[Location]])</f>
        <v/>
      </c>
      <c r="D296" s="198" t="str">
        <f>IF(Table5[[#This Row],[Location]]="", "", INDEX(ProjectInput[Over-Ride Annual Hours], MATCH(Table5[[#This Row],[Project Index]], ProjectInput[Project Index], 0)))</f>
        <v/>
      </c>
      <c r="E296" s="205"/>
      <c r="F296" s="206"/>
      <c r="G296" s="206"/>
      <c r="H296" s="206"/>
      <c r="I296" s="206"/>
      <c r="J296" s="206"/>
      <c r="K296" s="206"/>
      <c r="L296" s="206"/>
      <c r="M296" s="206"/>
      <c r="N296"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7" spans="2:14" s="202" customFormat="1" ht="40" customHeight="1">
      <c r="B297" s="196">
        <f>ProjectInput[[#This Row],[Project Index]]</f>
        <v>294</v>
      </c>
      <c r="C297" s="196" t="str">
        <f>IF(ProjectInput[[#This Row],[Location]]=0, "", ProjectInput[[#This Row],[Location]])</f>
        <v/>
      </c>
      <c r="D297" s="198" t="str">
        <f>IF(Table5[[#This Row],[Location]]="", "", INDEX(ProjectInput[Over-Ride Annual Hours], MATCH(Table5[[#This Row],[Project Index]], ProjectInput[Project Index], 0)))</f>
        <v/>
      </c>
      <c r="E297" s="205"/>
      <c r="F297" s="206"/>
      <c r="G297" s="206"/>
      <c r="H297" s="206"/>
      <c r="I297" s="206"/>
      <c r="J297" s="206"/>
      <c r="K297" s="206"/>
      <c r="L297" s="206"/>
      <c r="M297" s="206"/>
      <c r="N297"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8" spans="2:14" s="202" customFormat="1" ht="40" customHeight="1">
      <c r="B298" s="196">
        <f>ProjectInput[[#This Row],[Project Index]]</f>
        <v>295</v>
      </c>
      <c r="C298" s="196" t="str">
        <f>IF(ProjectInput[[#This Row],[Location]]=0, "", ProjectInput[[#This Row],[Location]])</f>
        <v/>
      </c>
      <c r="D298" s="198" t="str">
        <f>IF(Table5[[#This Row],[Location]]="", "", INDEX(ProjectInput[Over-Ride Annual Hours], MATCH(Table5[[#This Row],[Project Index]], ProjectInput[Project Index], 0)))</f>
        <v/>
      </c>
      <c r="E298" s="205"/>
      <c r="F298" s="206"/>
      <c r="G298" s="206"/>
      <c r="H298" s="206"/>
      <c r="I298" s="206"/>
      <c r="J298" s="206"/>
      <c r="K298" s="206"/>
      <c r="L298" s="206"/>
      <c r="M298" s="206"/>
      <c r="N298"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299" spans="2:14" s="202" customFormat="1" ht="40" customHeight="1">
      <c r="B299" s="196">
        <f>ProjectInput[[#This Row],[Project Index]]</f>
        <v>296</v>
      </c>
      <c r="C299" s="196" t="str">
        <f>IF(ProjectInput[[#This Row],[Location]]=0, "", ProjectInput[[#This Row],[Location]])</f>
        <v/>
      </c>
      <c r="D299" s="198" t="str">
        <f>IF(Table5[[#This Row],[Location]]="", "", INDEX(ProjectInput[Over-Ride Annual Hours], MATCH(Table5[[#This Row],[Project Index]], ProjectInput[Project Index], 0)))</f>
        <v/>
      </c>
      <c r="E299" s="205"/>
      <c r="F299" s="206"/>
      <c r="G299" s="206"/>
      <c r="H299" s="206"/>
      <c r="I299" s="206"/>
      <c r="J299" s="206"/>
      <c r="K299" s="206"/>
      <c r="L299" s="206"/>
      <c r="M299" s="206"/>
      <c r="N299"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0" spans="2:14" s="202" customFormat="1" ht="40" customHeight="1">
      <c r="B300" s="196">
        <f>ProjectInput[[#This Row],[Project Index]]</f>
        <v>297</v>
      </c>
      <c r="C300" s="196" t="str">
        <f>IF(ProjectInput[[#This Row],[Location]]=0, "", ProjectInput[[#This Row],[Location]])</f>
        <v/>
      </c>
      <c r="D300" s="198" t="str">
        <f>IF(Table5[[#This Row],[Location]]="", "", INDEX(ProjectInput[Over-Ride Annual Hours], MATCH(Table5[[#This Row],[Project Index]], ProjectInput[Project Index], 0)))</f>
        <v/>
      </c>
      <c r="E300" s="205"/>
      <c r="F300" s="206"/>
      <c r="G300" s="206"/>
      <c r="H300" s="206"/>
      <c r="I300" s="206"/>
      <c r="J300" s="206"/>
      <c r="K300" s="206"/>
      <c r="L300" s="206"/>
      <c r="M300" s="206"/>
      <c r="N300"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1" spans="2:14" s="202" customFormat="1" ht="40" customHeight="1">
      <c r="B301" s="196">
        <f>ProjectInput[[#This Row],[Project Index]]</f>
        <v>298</v>
      </c>
      <c r="C301" s="196" t="str">
        <f>IF(ProjectInput[[#This Row],[Location]]=0, "", ProjectInput[[#This Row],[Location]])</f>
        <v/>
      </c>
      <c r="D301" s="198" t="str">
        <f>IF(Table5[[#This Row],[Location]]="", "", INDEX(ProjectInput[Over-Ride Annual Hours], MATCH(Table5[[#This Row],[Project Index]], ProjectInput[Project Index], 0)))</f>
        <v/>
      </c>
      <c r="E301" s="205"/>
      <c r="F301" s="206"/>
      <c r="G301" s="206"/>
      <c r="H301" s="206"/>
      <c r="I301" s="206"/>
      <c r="J301" s="206"/>
      <c r="K301" s="206"/>
      <c r="L301" s="206"/>
      <c r="M301" s="206"/>
      <c r="N301"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2" spans="2:14" s="202" customFormat="1" ht="40" customHeight="1">
      <c r="B302" s="196">
        <f>ProjectInput[[#This Row],[Project Index]]</f>
        <v>299</v>
      </c>
      <c r="C302" s="196" t="str">
        <f>IF(ProjectInput[[#This Row],[Location]]=0, "", ProjectInput[[#This Row],[Location]])</f>
        <v/>
      </c>
      <c r="D302" s="198" t="str">
        <f>IF(Table5[[#This Row],[Location]]="", "", INDEX(ProjectInput[Over-Ride Annual Hours], MATCH(Table5[[#This Row],[Project Index]], ProjectInput[Project Index], 0)))</f>
        <v/>
      </c>
      <c r="E302" s="205"/>
      <c r="F302" s="206"/>
      <c r="G302" s="206"/>
      <c r="H302" s="206"/>
      <c r="I302" s="206"/>
      <c r="J302" s="206"/>
      <c r="K302" s="206"/>
      <c r="L302" s="206"/>
      <c r="M302" s="206"/>
      <c r="N302"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row r="303" spans="2:14" s="202" customFormat="1" ht="40" customHeight="1">
      <c r="B303" s="196">
        <f>ProjectInput[[#This Row],[Project Index]]</f>
        <v>300</v>
      </c>
      <c r="C303" s="196" t="str">
        <f>IF(ProjectInput[[#This Row],[Location]]=0, "", ProjectInput[[#This Row],[Location]])</f>
        <v/>
      </c>
      <c r="D303" s="207" t="str">
        <f>IF(Table5[[#This Row],[Location]]="", "", INDEX(ProjectInput[Over-Ride Annual Hours], MATCH(Table5[[#This Row],[Project Index]], ProjectInput[Project Index], 0)))</f>
        <v/>
      </c>
      <c r="E303" s="205"/>
      <c r="F303" s="206"/>
      <c r="G303" s="206"/>
      <c r="H303" s="206"/>
      <c r="I303" s="206"/>
      <c r="J303" s="206"/>
      <c r="K303" s="206"/>
      <c r="L303" s="206"/>
      <c r="M303" s="206"/>
      <c r="N303" s="201" t="str">
        <f>IF(Table5[[#This Row],[Default Hours or Over-Ride]]="Default", "Default",
IF(Table5[[#This Row],[Default Hours or Over-Ride]]="Over-Ride",
IF(Table5[[#This Row],[24x7? (Y/N)]]="Y", 8760,  (Table5[[#This Row],[Weekday Operating Hours]]*Table5[[#This Row],[Weekdays Per Week]]+Table5[[#This Row],[Saturday Operating Hours]]+Table5[[#This Row],[Sunday Operating Hours]])*Table5[[#This Row],[Weeks Per Year]]),
""))</f>
        <v/>
      </c>
    </row>
  </sheetData>
  <sheetProtection algorithmName="SHA-512" hashValue="boIAlpk+Vvaf2SAOP8n7hPQHXw+5BS+2JImbVbsH4ffcWirM1NGixHnu/kRFQ3uHt49li014gXKmpKZG6Idmpw==" saltValue="v9lSJ9cC+wo6KGcNirfcGw==" spinCount="100000" sheet="1" objects="1" scenarios="1"/>
  <mergeCells count="1">
    <mergeCell ref="C2:N2"/>
  </mergeCells>
  <conditionalFormatting sqref="E4:M303">
    <cfRule type="expression" dxfId="160" priority="1">
      <formula>$D4&lt;&gt;"Over-ride"</formula>
    </cfRule>
  </conditionalFormatting>
  <conditionalFormatting sqref="A1:N303">
    <cfRule type="expression" priority="2" stopIfTrue="1">
      <formula>Cell_Protect=0</formula>
    </cfRule>
    <cfRule type="expression" dxfId="159" priority="3">
      <formula>CELL("PROTECT",A1)=1</formula>
    </cfRule>
  </conditionalFormatting>
  <pageMargins left="0.7" right="0.7" top="0.75" bottom="0.75" header="0.3" footer="0.3"/>
  <pageSetup scale="68" orientation="landscape" horizontalDpi="1200" verticalDpi="120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L1785"/>
  <sheetViews>
    <sheetView zoomScale="90" zoomScaleNormal="90" workbookViewId="0">
      <pane ySplit="2" topLeftCell="A3" activePane="bottomLeft" state="frozen"/>
      <selection activeCell="E244" sqref="E244"/>
      <selection pane="bottomLeft" activeCell="N6" sqref="N6"/>
    </sheetView>
  </sheetViews>
  <sheetFormatPr defaultColWidth="16.7265625" defaultRowHeight="12.5"/>
  <cols>
    <col min="1" max="1" width="1.81640625" style="39" customWidth="1"/>
    <col min="2" max="2" width="7.7265625" style="39" customWidth="1"/>
    <col min="3" max="3" width="16.7265625" style="39"/>
    <col min="4" max="4" width="33.81640625" style="39" bestFit="1" customWidth="1"/>
    <col min="5" max="5" width="56.453125" style="39" customWidth="1"/>
    <col min="6" max="8" width="8.54296875" style="43" customWidth="1"/>
    <col min="9" max="9" width="13.1796875" style="43" bestFit="1" customWidth="1"/>
    <col min="10" max="10" width="10.26953125" style="43" customWidth="1"/>
    <col min="11" max="11" width="17.81640625" style="43" hidden="1" customWidth="1"/>
    <col min="12" max="12" width="16.7265625" style="39" hidden="1" customWidth="1"/>
    <col min="13" max="16384" width="16.7265625" style="39"/>
  </cols>
  <sheetData>
    <row r="2" spans="2:12" ht="45.75" customHeight="1">
      <c r="B2" s="241" t="s">
        <v>3597</v>
      </c>
      <c r="C2" s="242" t="s">
        <v>135</v>
      </c>
      <c r="D2" s="242" t="s">
        <v>136</v>
      </c>
      <c r="E2" s="242" t="s">
        <v>137</v>
      </c>
      <c r="F2" s="241" t="s">
        <v>138</v>
      </c>
      <c r="G2" s="241" t="s">
        <v>139</v>
      </c>
      <c r="H2" s="241" t="s">
        <v>140</v>
      </c>
      <c r="I2" s="241" t="s">
        <v>141</v>
      </c>
      <c r="J2" s="241" t="s">
        <v>142</v>
      </c>
      <c r="K2" s="241" t="s">
        <v>3612</v>
      </c>
      <c r="L2" s="242" t="s">
        <v>4050</v>
      </c>
    </row>
    <row r="3" spans="2:12" ht="40" customHeight="1">
      <c r="B3" s="42">
        <v>569</v>
      </c>
      <c r="C3" s="102" t="s">
        <v>1285</v>
      </c>
      <c r="D3" s="102" t="s">
        <v>1268</v>
      </c>
      <c r="E3" s="92" t="s">
        <v>1286</v>
      </c>
      <c r="F3" s="42">
        <v>1</v>
      </c>
      <c r="G3" s="42">
        <v>10</v>
      </c>
      <c r="H3" s="42">
        <v>10</v>
      </c>
      <c r="I3" s="42" t="s">
        <v>1270</v>
      </c>
      <c r="J3" s="103" t="s">
        <v>3611</v>
      </c>
      <c r="K3" s="42" t="s">
        <v>4033</v>
      </c>
      <c r="L3" s="42" t="str">
        <f>VLOOKUP(Table7[[#This Row],[Baseline Fixture Code]], 'Tables &amp; Ranges'!$A$114:$B$132, 2, FALSE)</f>
        <v>N/A</v>
      </c>
    </row>
    <row r="4" spans="2:12" ht="40" customHeight="1">
      <c r="B4" s="42">
        <v>637</v>
      </c>
      <c r="C4" s="102" t="s">
        <v>1421</v>
      </c>
      <c r="D4" s="102" t="s">
        <v>1268</v>
      </c>
      <c r="E4" s="92" t="s">
        <v>1422</v>
      </c>
      <c r="F4" s="42">
        <v>1</v>
      </c>
      <c r="G4" s="42">
        <v>100</v>
      </c>
      <c r="H4" s="42">
        <v>100</v>
      </c>
      <c r="I4" s="42" t="s">
        <v>1270</v>
      </c>
      <c r="J4" s="103" t="s">
        <v>3611</v>
      </c>
      <c r="K4" s="42" t="s">
        <v>4033</v>
      </c>
      <c r="L4" s="42" t="str">
        <f>VLOOKUP(Table7[[#This Row],[Baseline Fixture Code]], 'Tables &amp; Ranges'!$A$114:$B$132, 2, FALSE)</f>
        <v>N/A</v>
      </c>
    </row>
    <row r="5" spans="2:12" ht="40" customHeight="1">
      <c r="B5" s="42">
        <v>570</v>
      </c>
      <c r="C5" s="102" t="s">
        <v>1287</v>
      </c>
      <c r="D5" s="102" t="s">
        <v>1268</v>
      </c>
      <c r="E5" s="92" t="s">
        <v>1288</v>
      </c>
      <c r="F5" s="42">
        <v>1</v>
      </c>
      <c r="G5" s="42">
        <v>11</v>
      </c>
      <c r="H5" s="42">
        <v>11</v>
      </c>
      <c r="I5" s="42" t="s">
        <v>1270</v>
      </c>
      <c r="J5" s="103" t="s">
        <v>3611</v>
      </c>
      <c r="K5" s="42" t="s">
        <v>4033</v>
      </c>
      <c r="L5" s="42" t="str">
        <f>VLOOKUP(Table7[[#This Row],[Baseline Fixture Code]], 'Tables &amp; Ranges'!$A$114:$B$132, 2, FALSE)</f>
        <v>N/A</v>
      </c>
    </row>
    <row r="6" spans="2:12" ht="40" customHeight="1">
      <c r="B6" s="42">
        <v>571</v>
      </c>
      <c r="C6" s="102" t="s">
        <v>1289</v>
      </c>
      <c r="D6" s="102" t="s">
        <v>1268</v>
      </c>
      <c r="E6" s="92" t="s">
        <v>1290</v>
      </c>
      <c r="F6" s="42">
        <v>1</v>
      </c>
      <c r="G6" s="42">
        <v>12</v>
      </c>
      <c r="H6" s="42">
        <v>12</v>
      </c>
      <c r="I6" s="42" t="s">
        <v>1270</v>
      </c>
      <c r="J6" s="103" t="s">
        <v>3611</v>
      </c>
      <c r="K6" s="42" t="s">
        <v>4033</v>
      </c>
      <c r="L6" s="42" t="str">
        <f>VLOOKUP(Table7[[#This Row],[Baseline Fixture Code]], 'Tables &amp; Ranges'!$A$114:$B$132, 2, FALSE)</f>
        <v>N/A</v>
      </c>
    </row>
    <row r="7" spans="2:12" ht="40" customHeight="1">
      <c r="B7" s="42">
        <v>638</v>
      </c>
      <c r="C7" s="102" t="s">
        <v>1423</v>
      </c>
      <c r="D7" s="102" t="s">
        <v>1268</v>
      </c>
      <c r="E7" s="92" t="s">
        <v>1424</v>
      </c>
      <c r="F7" s="42">
        <v>1</v>
      </c>
      <c r="G7" s="42">
        <v>125</v>
      </c>
      <c r="H7" s="42">
        <v>125</v>
      </c>
      <c r="I7" s="42" t="s">
        <v>1270</v>
      </c>
      <c r="J7" s="103" t="s">
        <v>3611</v>
      </c>
      <c r="K7" s="42" t="s">
        <v>4033</v>
      </c>
      <c r="L7" s="42" t="str">
        <f>VLOOKUP(Table7[[#This Row],[Baseline Fixture Code]], 'Tables &amp; Ranges'!$A$114:$B$132, 2, FALSE)</f>
        <v>N/A</v>
      </c>
    </row>
    <row r="8" spans="2:12" ht="40" customHeight="1">
      <c r="B8" s="42">
        <v>572</v>
      </c>
      <c r="C8" s="102" t="s">
        <v>1291</v>
      </c>
      <c r="D8" s="102" t="s">
        <v>1268</v>
      </c>
      <c r="E8" s="92" t="s">
        <v>1292</v>
      </c>
      <c r="F8" s="42">
        <v>1</v>
      </c>
      <c r="G8" s="42">
        <v>13</v>
      </c>
      <c r="H8" s="42">
        <v>13</v>
      </c>
      <c r="I8" s="42" t="s">
        <v>1270</v>
      </c>
      <c r="J8" s="103" t="s">
        <v>3611</v>
      </c>
      <c r="K8" s="42" t="s">
        <v>4033</v>
      </c>
      <c r="L8" s="42" t="str">
        <f>VLOOKUP(Table7[[#This Row],[Baseline Fixture Code]], 'Tables &amp; Ranges'!$A$114:$B$132, 2, FALSE)</f>
        <v>N/A</v>
      </c>
    </row>
    <row r="9" spans="2:12" ht="40" customHeight="1">
      <c r="B9" s="42">
        <v>573</v>
      </c>
      <c r="C9" s="102" t="s">
        <v>1293</v>
      </c>
      <c r="D9" s="102" t="s">
        <v>1268</v>
      </c>
      <c r="E9" s="92" t="s">
        <v>1294</v>
      </c>
      <c r="F9" s="42">
        <v>1</v>
      </c>
      <c r="G9" s="42">
        <v>14</v>
      </c>
      <c r="H9" s="42">
        <v>14</v>
      </c>
      <c r="I9" s="42" t="s">
        <v>1270</v>
      </c>
      <c r="J9" s="103" t="s">
        <v>3611</v>
      </c>
      <c r="K9" s="42" t="s">
        <v>4033</v>
      </c>
      <c r="L9" s="42" t="str">
        <f>VLOOKUP(Table7[[#This Row],[Baseline Fixture Code]], 'Tables &amp; Ranges'!$A$114:$B$132, 2, FALSE)</f>
        <v>N/A</v>
      </c>
    </row>
    <row r="10" spans="2:12" ht="40" customHeight="1">
      <c r="B10" s="42">
        <v>574</v>
      </c>
      <c r="C10" s="102" t="s">
        <v>1295</v>
      </c>
      <c r="D10" s="102" t="s">
        <v>1268</v>
      </c>
      <c r="E10" s="92" t="s">
        <v>1296</v>
      </c>
      <c r="F10" s="42">
        <v>1</v>
      </c>
      <c r="G10" s="42">
        <v>15</v>
      </c>
      <c r="H10" s="42">
        <v>15</v>
      </c>
      <c r="I10" s="42" t="s">
        <v>1270</v>
      </c>
      <c r="J10" s="103" t="s">
        <v>3611</v>
      </c>
      <c r="K10" s="42" t="s">
        <v>4033</v>
      </c>
      <c r="L10" s="42" t="str">
        <f>VLOOKUP(Table7[[#This Row],[Baseline Fixture Code]], 'Tables &amp; Ranges'!$A$114:$B$132, 2, FALSE)</f>
        <v>N/A</v>
      </c>
    </row>
    <row r="11" spans="2:12" ht="40" customHeight="1">
      <c r="B11" s="42">
        <v>639</v>
      </c>
      <c r="C11" s="102" t="s">
        <v>1425</v>
      </c>
      <c r="D11" s="102" t="s">
        <v>1268</v>
      </c>
      <c r="E11" s="92" t="s">
        <v>1426</v>
      </c>
      <c r="F11" s="42">
        <v>1</v>
      </c>
      <c r="G11" s="42">
        <v>150</v>
      </c>
      <c r="H11" s="42">
        <v>150</v>
      </c>
      <c r="I11" s="42" t="s">
        <v>1270</v>
      </c>
      <c r="J11" s="103" t="s">
        <v>3611</v>
      </c>
      <c r="K11" s="42" t="s">
        <v>4033</v>
      </c>
      <c r="L11" s="42" t="str">
        <f>VLOOKUP(Table7[[#This Row],[Baseline Fixture Code]], 'Tables &amp; Ranges'!$A$114:$B$132, 2, FALSE)</f>
        <v>N/A</v>
      </c>
    </row>
    <row r="12" spans="2:12" ht="40" customHeight="1">
      <c r="B12" s="42">
        <v>575</v>
      </c>
      <c r="C12" s="102" t="s">
        <v>1297</v>
      </c>
      <c r="D12" s="102" t="s">
        <v>1268</v>
      </c>
      <c r="E12" s="92" t="s">
        <v>1298</v>
      </c>
      <c r="F12" s="42">
        <v>1</v>
      </c>
      <c r="G12" s="42">
        <v>16</v>
      </c>
      <c r="H12" s="42">
        <v>16</v>
      </c>
      <c r="I12" s="42" t="s">
        <v>1270</v>
      </c>
      <c r="J12" s="103" t="s">
        <v>3611</v>
      </c>
      <c r="K12" s="42" t="s">
        <v>4033</v>
      </c>
      <c r="L12" s="42" t="str">
        <f>VLOOKUP(Table7[[#This Row],[Baseline Fixture Code]], 'Tables &amp; Ranges'!$A$114:$B$132, 2, FALSE)</f>
        <v>N/A</v>
      </c>
    </row>
    <row r="13" spans="2:12" ht="40" customHeight="1">
      <c r="B13" s="42">
        <v>576</v>
      </c>
      <c r="C13" s="102" t="s">
        <v>1299</v>
      </c>
      <c r="D13" s="102" t="s">
        <v>1268</v>
      </c>
      <c r="E13" s="92" t="s">
        <v>1300</v>
      </c>
      <c r="F13" s="42">
        <v>1</v>
      </c>
      <c r="G13" s="42">
        <v>17</v>
      </c>
      <c r="H13" s="42">
        <v>17</v>
      </c>
      <c r="I13" s="42" t="s">
        <v>1270</v>
      </c>
      <c r="J13" s="103" t="s">
        <v>3611</v>
      </c>
      <c r="K13" s="42" t="s">
        <v>4033</v>
      </c>
      <c r="L13" s="42" t="str">
        <f>VLOOKUP(Table7[[#This Row],[Baseline Fixture Code]], 'Tables &amp; Ranges'!$A$114:$B$132, 2, FALSE)</f>
        <v>N/A</v>
      </c>
    </row>
    <row r="14" spans="2:12" ht="40" customHeight="1">
      <c r="B14" s="42">
        <v>577</v>
      </c>
      <c r="C14" s="102" t="s">
        <v>1301</v>
      </c>
      <c r="D14" s="102" t="s">
        <v>1268</v>
      </c>
      <c r="E14" s="92" t="s">
        <v>1302</v>
      </c>
      <c r="F14" s="42">
        <v>1</v>
      </c>
      <c r="G14" s="42">
        <v>18</v>
      </c>
      <c r="H14" s="42">
        <v>18</v>
      </c>
      <c r="I14" s="42" t="s">
        <v>1270</v>
      </c>
      <c r="J14" s="103" t="s">
        <v>3611</v>
      </c>
      <c r="K14" s="42" t="s">
        <v>4033</v>
      </c>
      <c r="L14" s="42" t="str">
        <f>VLOOKUP(Table7[[#This Row],[Baseline Fixture Code]], 'Tables &amp; Ranges'!$A$114:$B$132, 2, FALSE)</f>
        <v>N/A</v>
      </c>
    </row>
    <row r="15" spans="2:12" ht="40" customHeight="1">
      <c r="B15" s="42">
        <v>578</v>
      </c>
      <c r="C15" s="102" t="s">
        <v>1303</v>
      </c>
      <c r="D15" s="102" t="s">
        <v>1268</v>
      </c>
      <c r="E15" s="92" t="s">
        <v>1304</v>
      </c>
      <c r="F15" s="42">
        <v>1</v>
      </c>
      <c r="G15" s="42">
        <v>19</v>
      </c>
      <c r="H15" s="42">
        <v>19</v>
      </c>
      <c r="I15" s="42" t="s">
        <v>1270</v>
      </c>
      <c r="J15" s="103" t="s">
        <v>3611</v>
      </c>
      <c r="K15" s="42" t="s">
        <v>4033</v>
      </c>
      <c r="L15" s="42" t="str">
        <f>VLOOKUP(Table7[[#This Row],[Baseline Fixture Code]], 'Tables &amp; Ranges'!$A$114:$B$132, 2, FALSE)</f>
        <v>N/A</v>
      </c>
    </row>
    <row r="16" spans="2:12" ht="40" customHeight="1">
      <c r="B16" s="42">
        <v>561</v>
      </c>
      <c r="C16" s="102" t="s">
        <v>1267</v>
      </c>
      <c r="D16" s="102" t="s">
        <v>1268</v>
      </c>
      <c r="E16" s="92" t="s">
        <v>1269</v>
      </c>
      <c r="F16" s="42">
        <v>1</v>
      </c>
      <c r="G16" s="42">
        <v>2</v>
      </c>
      <c r="H16" s="42">
        <v>2</v>
      </c>
      <c r="I16" s="42" t="s">
        <v>1270</v>
      </c>
      <c r="J16" s="103" t="s">
        <v>3611</v>
      </c>
      <c r="K16" s="42" t="s">
        <v>4033</v>
      </c>
      <c r="L16" s="42" t="str">
        <f>VLOOKUP(Table7[[#This Row],[Baseline Fixture Code]], 'Tables &amp; Ranges'!$A$114:$B$132, 2, FALSE)</f>
        <v>N/A</v>
      </c>
    </row>
    <row r="17" spans="2:12" ht="40" customHeight="1">
      <c r="B17" s="42">
        <v>579</v>
      </c>
      <c r="C17" s="102" t="s">
        <v>1305</v>
      </c>
      <c r="D17" s="102" t="s">
        <v>1268</v>
      </c>
      <c r="E17" s="92" t="s">
        <v>1306</v>
      </c>
      <c r="F17" s="42">
        <v>1</v>
      </c>
      <c r="G17" s="42">
        <v>20</v>
      </c>
      <c r="H17" s="42">
        <v>20</v>
      </c>
      <c r="I17" s="42" t="s">
        <v>1270</v>
      </c>
      <c r="J17" s="103" t="s">
        <v>3611</v>
      </c>
      <c r="K17" s="42" t="s">
        <v>4033</v>
      </c>
      <c r="L17" s="42" t="str">
        <f>VLOOKUP(Table7[[#This Row],[Baseline Fixture Code]], 'Tables &amp; Ranges'!$A$114:$B$132, 2, FALSE)</f>
        <v>N/A</v>
      </c>
    </row>
    <row r="18" spans="2:12" ht="40" customHeight="1">
      <c r="B18" s="42">
        <v>640</v>
      </c>
      <c r="C18" s="102" t="s">
        <v>1427</v>
      </c>
      <c r="D18" s="102" t="s">
        <v>1268</v>
      </c>
      <c r="E18" s="92" t="s">
        <v>1428</v>
      </c>
      <c r="F18" s="42">
        <v>1</v>
      </c>
      <c r="G18" s="42">
        <v>200</v>
      </c>
      <c r="H18" s="42">
        <v>200</v>
      </c>
      <c r="I18" s="42" t="s">
        <v>1270</v>
      </c>
      <c r="J18" s="103" t="s">
        <v>3611</v>
      </c>
      <c r="K18" s="42" t="s">
        <v>4033</v>
      </c>
      <c r="L18" s="42" t="str">
        <f>VLOOKUP(Table7[[#This Row],[Baseline Fixture Code]], 'Tables &amp; Ranges'!$A$114:$B$132, 2, FALSE)</f>
        <v>N/A</v>
      </c>
    </row>
    <row r="19" spans="2:12" ht="40" customHeight="1">
      <c r="B19" s="42">
        <v>580</v>
      </c>
      <c r="C19" s="102" t="s">
        <v>1307</v>
      </c>
      <c r="D19" s="102" t="s">
        <v>1268</v>
      </c>
      <c r="E19" s="92" t="s">
        <v>1308</v>
      </c>
      <c r="F19" s="42">
        <v>1</v>
      </c>
      <c r="G19" s="42">
        <v>21</v>
      </c>
      <c r="H19" s="42">
        <v>21</v>
      </c>
      <c r="I19" s="42" t="s">
        <v>1270</v>
      </c>
      <c r="J19" s="103" t="s">
        <v>3611</v>
      </c>
      <c r="K19" s="42" t="s">
        <v>4033</v>
      </c>
      <c r="L19" s="42" t="str">
        <f>VLOOKUP(Table7[[#This Row],[Baseline Fixture Code]], 'Tables &amp; Ranges'!$A$114:$B$132, 2, FALSE)</f>
        <v>N/A</v>
      </c>
    </row>
    <row r="20" spans="2:12" ht="40" customHeight="1">
      <c r="B20" s="42">
        <v>581</v>
      </c>
      <c r="C20" s="102" t="s">
        <v>1309</v>
      </c>
      <c r="D20" s="102" t="s">
        <v>1268</v>
      </c>
      <c r="E20" s="92" t="s">
        <v>1310</v>
      </c>
      <c r="F20" s="42">
        <v>1</v>
      </c>
      <c r="G20" s="42">
        <v>22</v>
      </c>
      <c r="H20" s="42">
        <v>22</v>
      </c>
      <c r="I20" s="42" t="s">
        <v>1270</v>
      </c>
      <c r="J20" s="103" t="s">
        <v>3611</v>
      </c>
      <c r="K20" s="42" t="s">
        <v>4033</v>
      </c>
      <c r="L20" s="42" t="str">
        <f>VLOOKUP(Table7[[#This Row],[Baseline Fixture Code]], 'Tables &amp; Ranges'!$A$114:$B$132, 2, FALSE)</f>
        <v>N/A</v>
      </c>
    </row>
    <row r="21" spans="2:12" ht="40" customHeight="1">
      <c r="B21" s="42">
        <v>582</v>
      </c>
      <c r="C21" s="102" t="s">
        <v>1311</v>
      </c>
      <c r="D21" s="102" t="s">
        <v>1268</v>
      </c>
      <c r="E21" s="92" t="s">
        <v>1312</v>
      </c>
      <c r="F21" s="42">
        <v>1</v>
      </c>
      <c r="G21" s="42">
        <v>23</v>
      </c>
      <c r="H21" s="42">
        <v>23</v>
      </c>
      <c r="I21" s="42" t="s">
        <v>1270</v>
      </c>
      <c r="J21" s="103" t="s">
        <v>3611</v>
      </c>
      <c r="K21" s="42" t="s">
        <v>4033</v>
      </c>
      <c r="L21" s="42" t="str">
        <f>VLOOKUP(Table7[[#This Row],[Baseline Fixture Code]], 'Tables &amp; Ranges'!$A$114:$B$132, 2, FALSE)</f>
        <v>N/A</v>
      </c>
    </row>
    <row r="22" spans="2:12" ht="40" customHeight="1">
      <c r="B22" s="42">
        <v>583</v>
      </c>
      <c r="C22" s="102" t="s">
        <v>1313</v>
      </c>
      <c r="D22" s="102" t="s">
        <v>1268</v>
      </c>
      <c r="E22" s="92" t="s">
        <v>1314</v>
      </c>
      <c r="F22" s="42">
        <v>1</v>
      </c>
      <c r="G22" s="42">
        <v>24</v>
      </c>
      <c r="H22" s="42">
        <v>24</v>
      </c>
      <c r="I22" s="42" t="s">
        <v>1270</v>
      </c>
      <c r="J22" s="103" t="s">
        <v>3611</v>
      </c>
      <c r="K22" s="42" t="s">
        <v>4033</v>
      </c>
      <c r="L22" s="42" t="str">
        <f>VLOOKUP(Table7[[#This Row],[Baseline Fixture Code]], 'Tables &amp; Ranges'!$A$114:$B$132, 2, FALSE)</f>
        <v>N/A</v>
      </c>
    </row>
    <row r="23" spans="2:12" ht="40" customHeight="1">
      <c r="B23" s="42">
        <v>584</v>
      </c>
      <c r="C23" s="102" t="s">
        <v>1315</v>
      </c>
      <c r="D23" s="102" t="s">
        <v>1268</v>
      </c>
      <c r="E23" s="92" t="s">
        <v>1316</v>
      </c>
      <c r="F23" s="42">
        <v>1</v>
      </c>
      <c r="G23" s="42">
        <v>25</v>
      </c>
      <c r="H23" s="42">
        <v>25</v>
      </c>
      <c r="I23" s="42" t="s">
        <v>1270</v>
      </c>
      <c r="J23" s="103" t="s">
        <v>3611</v>
      </c>
      <c r="K23" s="42" t="s">
        <v>4033</v>
      </c>
      <c r="L23" s="42" t="str">
        <f>VLOOKUP(Table7[[#This Row],[Baseline Fixture Code]], 'Tables &amp; Ranges'!$A$114:$B$132, 2, FALSE)</f>
        <v>N/A</v>
      </c>
    </row>
    <row r="24" spans="2:12" ht="40" customHeight="1">
      <c r="B24" s="42">
        <v>585</v>
      </c>
      <c r="C24" s="102" t="s">
        <v>1317</v>
      </c>
      <c r="D24" s="102" t="s">
        <v>1268</v>
      </c>
      <c r="E24" s="92" t="s">
        <v>1318</v>
      </c>
      <c r="F24" s="42">
        <v>1</v>
      </c>
      <c r="G24" s="42">
        <v>26</v>
      </c>
      <c r="H24" s="42">
        <v>26</v>
      </c>
      <c r="I24" s="42" t="s">
        <v>1270</v>
      </c>
      <c r="J24" s="103" t="s">
        <v>3611</v>
      </c>
      <c r="K24" s="42" t="s">
        <v>4033</v>
      </c>
      <c r="L24" s="42" t="str">
        <f>VLOOKUP(Table7[[#This Row],[Baseline Fixture Code]], 'Tables &amp; Ranges'!$A$114:$B$132, 2, FALSE)</f>
        <v>N/A</v>
      </c>
    </row>
    <row r="25" spans="2:12" ht="40" customHeight="1">
      <c r="B25" s="42">
        <v>586</v>
      </c>
      <c r="C25" s="102" t="s">
        <v>1319</v>
      </c>
      <c r="D25" s="102" t="s">
        <v>1268</v>
      </c>
      <c r="E25" s="92" t="s">
        <v>1320</v>
      </c>
      <c r="F25" s="42">
        <v>1</v>
      </c>
      <c r="G25" s="42">
        <v>27</v>
      </c>
      <c r="H25" s="42">
        <v>27</v>
      </c>
      <c r="I25" s="42" t="s">
        <v>1270</v>
      </c>
      <c r="J25" s="103" t="s">
        <v>3611</v>
      </c>
      <c r="K25" s="42" t="s">
        <v>4033</v>
      </c>
      <c r="L25" s="42" t="str">
        <f>VLOOKUP(Table7[[#This Row],[Baseline Fixture Code]], 'Tables &amp; Ranges'!$A$114:$B$132, 2, FALSE)</f>
        <v>N/A</v>
      </c>
    </row>
    <row r="26" spans="2:12" ht="40" customHeight="1">
      <c r="B26" s="42">
        <v>587</v>
      </c>
      <c r="C26" s="102" t="s">
        <v>1321</v>
      </c>
      <c r="D26" s="102" t="s">
        <v>1268</v>
      </c>
      <c r="E26" s="92" t="s">
        <v>1322</v>
      </c>
      <c r="F26" s="42">
        <v>1</v>
      </c>
      <c r="G26" s="42">
        <v>28</v>
      </c>
      <c r="H26" s="42">
        <v>28</v>
      </c>
      <c r="I26" s="42" t="s">
        <v>1270</v>
      </c>
      <c r="J26" s="103" t="s">
        <v>3611</v>
      </c>
      <c r="K26" s="42" t="s">
        <v>4033</v>
      </c>
      <c r="L26" s="42" t="str">
        <f>VLOOKUP(Table7[[#This Row],[Baseline Fixture Code]], 'Tables &amp; Ranges'!$A$114:$B$132, 2, FALSE)</f>
        <v>N/A</v>
      </c>
    </row>
    <row r="27" spans="2:12" ht="40" customHeight="1">
      <c r="B27" s="42">
        <v>588</v>
      </c>
      <c r="C27" s="102" t="s">
        <v>1323</v>
      </c>
      <c r="D27" s="102" t="s">
        <v>1268</v>
      </c>
      <c r="E27" s="92" t="s">
        <v>1324</v>
      </c>
      <c r="F27" s="42">
        <v>1</v>
      </c>
      <c r="G27" s="42">
        <v>29</v>
      </c>
      <c r="H27" s="42">
        <v>29</v>
      </c>
      <c r="I27" s="42" t="s">
        <v>1270</v>
      </c>
      <c r="J27" s="103" t="s">
        <v>3611</v>
      </c>
      <c r="K27" s="42" t="s">
        <v>4033</v>
      </c>
      <c r="L27" s="42" t="str">
        <f>VLOOKUP(Table7[[#This Row],[Baseline Fixture Code]], 'Tables &amp; Ranges'!$A$114:$B$132, 2, FALSE)</f>
        <v>N/A</v>
      </c>
    </row>
    <row r="28" spans="2:12" ht="40" customHeight="1">
      <c r="B28" s="42">
        <v>562</v>
      </c>
      <c r="C28" s="102" t="s">
        <v>1271</v>
      </c>
      <c r="D28" s="102" t="s">
        <v>1268</v>
      </c>
      <c r="E28" s="92" t="s">
        <v>1272</v>
      </c>
      <c r="F28" s="42">
        <v>1</v>
      </c>
      <c r="G28" s="42">
        <v>3</v>
      </c>
      <c r="H28" s="42">
        <v>3</v>
      </c>
      <c r="I28" s="42" t="s">
        <v>1270</v>
      </c>
      <c r="J28" s="103" t="s">
        <v>3611</v>
      </c>
      <c r="K28" s="42" t="s">
        <v>4033</v>
      </c>
      <c r="L28" s="42" t="str">
        <f>VLOOKUP(Table7[[#This Row],[Baseline Fixture Code]], 'Tables &amp; Ranges'!$A$114:$B$132, 2, FALSE)</f>
        <v>N/A</v>
      </c>
    </row>
    <row r="29" spans="2:12" ht="40" customHeight="1">
      <c r="B29" s="42">
        <v>589</v>
      </c>
      <c r="C29" s="102" t="s">
        <v>1325</v>
      </c>
      <c r="D29" s="102" t="s">
        <v>1268</v>
      </c>
      <c r="E29" s="92" t="s">
        <v>1326</v>
      </c>
      <c r="F29" s="42">
        <v>1</v>
      </c>
      <c r="G29" s="42">
        <v>30</v>
      </c>
      <c r="H29" s="42">
        <v>30</v>
      </c>
      <c r="I29" s="42" t="s">
        <v>1270</v>
      </c>
      <c r="J29" s="103" t="s">
        <v>3611</v>
      </c>
      <c r="K29" s="42" t="s">
        <v>4033</v>
      </c>
      <c r="L29" s="42" t="str">
        <f>VLOOKUP(Table7[[#This Row],[Baseline Fixture Code]], 'Tables &amp; Ranges'!$A$114:$B$132, 2, FALSE)</f>
        <v>N/A</v>
      </c>
    </row>
    <row r="30" spans="2:12" ht="40" customHeight="1">
      <c r="B30" s="42">
        <v>590</v>
      </c>
      <c r="C30" s="102" t="s">
        <v>1327</v>
      </c>
      <c r="D30" s="102" t="s">
        <v>1268</v>
      </c>
      <c r="E30" s="92" t="s">
        <v>1328</v>
      </c>
      <c r="F30" s="42">
        <v>1</v>
      </c>
      <c r="G30" s="42">
        <v>31</v>
      </c>
      <c r="H30" s="42">
        <v>31</v>
      </c>
      <c r="I30" s="42" t="s">
        <v>1270</v>
      </c>
      <c r="J30" s="103" t="s">
        <v>3611</v>
      </c>
      <c r="K30" s="42" t="s">
        <v>4033</v>
      </c>
      <c r="L30" s="42" t="str">
        <f>VLOOKUP(Table7[[#This Row],[Baseline Fixture Code]], 'Tables &amp; Ranges'!$A$114:$B$132, 2, FALSE)</f>
        <v>N/A</v>
      </c>
    </row>
    <row r="31" spans="2:12" ht="40" customHeight="1">
      <c r="B31" s="42">
        <v>591</v>
      </c>
      <c r="C31" s="102" t="s">
        <v>1329</v>
      </c>
      <c r="D31" s="102" t="s">
        <v>1268</v>
      </c>
      <c r="E31" s="92" t="s">
        <v>1330</v>
      </c>
      <c r="F31" s="42">
        <v>1</v>
      </c>
      <c r="G31" s="42">
        <v>32</v>
      </c>
      <c r="H31" s="42">
        <v>32</v>
      </c>
      <c r="I31" s="42" t="s">
        <v>1270</v>
      </c>
      <c r="J31" s="103" t="s">
        <v>3611</v>
      </c>
      <c r="K31" s="42" t="s">
        <v>4033</v>
      </c>
      <c r="L31" s="42" t="str">
        <f>VLOOKUP(Table7[[#This Row],[Baseline Fixture Code]], 'Tables &amp; Ranges'!$A$114:$B$132, 2, FALSE)</f>
        <v>N/A</v>
      </c>
    </row>
    <row r="32" spans="2:12" ht="40" customHeight="1">
      <c r="B32" s="42">
        <v>592</v>
      </c>
      <c r="C32" s="102" t="s">
        <v>1331</v>
      </c>
      <c r="D32" s="102" t="s">
        <v>1268</v>
      </c>
      <c r="E32" s="92" t="s">
        <v>1332</v>
      </c>
      <c r="F32" s="42">
        <v>1</v>
      </c>
      <c r="G32" s="42">
        <v>33</v>
      </c>
      <c r="H32" s="42">
        <v>33</v>
      </c>
      <c r="I32" s="42" t="s">
        <v>1270</v>
      </c>
      <c r="J32" s="103" t="s">
        <v>3611</v>
      </c>
      <c r="K32" s="42" t="s">
        <v>4033</v>
      </c>
      <c r="L32" s="42" t="str">
        <f>VLOOKUP(Table7[[#This Row],[Baseline Fixture Code]], 'Tables &amp; Ranges'!$A$114:$B$132, 2, FALSE)</f>
        <v>N/A</v>
      </c>
    </row>
    <row r="33" spans="2:12" ht="40" customHeight="1">
      <c r="B33" s="42">
        <v>593</v>
      </c>
      <c r="C33" s="102" t="s">
        <v>1333</v>
      </c>
      <c r="D33" s="102" t="s">
        <v>1268</v>
      </c>
      <c r="E33" s="92" t="s">
        <v>1334</v>
      </c>
      <c r="F33" s="42">
        <v>1</v>
      </c>
      <c r="G33" s="42">
        <v>34</v>
      </c>
      <c r="H33" s="42">
        <v>34</v>
      </c>
      <c r="I33" s="42" t="s">
        <v>1270</v>
      </c>
      <c r="J33" s="103" t="s">
        <v>3611</v>
      </c>
      <c r="K33" s="42" t="s">
        <v>4033</v>
      </c>
      <c r="L33" s="42" t="str">
        <f>VLOOKUP(Table7[[#This Row],[Baseline Fixture Code]], 'Tables &amp; Ranges'!$A$114:$B$132, 2, FALSE)</f>
        <v>N/A</v>
      </c>
    </row>
    <row r="34" spans="2:12" ht="40" customHeight="1">
      <c r="B34" s="42">
        <v>594</v>
      </c>
      <c r="C34" s="102" t="s">
        <v>1335</v>
      </c>
      <c r="D34" s="102" t="s">
        <v>1268</v>
      </c>
      <c r="E34" s="92" t="s">
        <v>1336</v>
      </c>
      <c r="F34" s="42">
        <v>1</v>
      </c>
      <c r="G34" s="42">
        <v>35</v>
      </c>
      <c r="H34" s="42">
        <v>35</v>
      </c>
      <c r="I34" s="42" t="s">
        <v>1270</v>
      </c>
      <c r="J34" s="103" t="s">
        <v>3611</v>
      </c>
      <c r="K34" s="42" t="s">
        <v>4033</v>
      </c>
      <c r="L34" s="42" t="str">
        <f>VLOOKUP(Table7[[#This Row],[Baseline Fixture Code]], 'Tables &amp; Ranges'!$A$114:$B$132, 2, FALSE)</f>
        <v>N/A</v>
      </c>
    </row>
    <row r="35" spans="2:12" ht="40" customHeight="1">
      <c r="B35" s="42">
        <v>595</v>
      </c>
      <c r="C35" s="102" t="s">
        <v>1337</v>
      </c>
      <c r="D35" s="102" t="s">
        <v>1268</v>
      </c>
      <c r="E35" s="92" t="s">
        <v>1338</v>
      </c>
      <c r="F35" s="42">
        <v>1</v>
      </c>
      <c r="G35" s="42">
        <v>36</v>
      </c>
      <c r="H35" s="42">
        <v>36</v>
      </c>
      <c r="I35" s="42" t="s">
        <v>1270</v>
      </c>
      <c r="J35" s="103" t="s">
        <v>3611</v>
      </c>
      <c r="K35" s="42" t="s">
        <v>4033</v>
      </c>
      <c r="L35" s="42" t="str">
        <f>VLOOKUP(Table7[[#This Row],[Baseline Fixture Code]], 'Tables &amp; Ranges'!$A$114:$B$132, 2, FALSE)</f>
        <v>N/A</v>
      </c>
    </row>
    <row r="36" spans="2:12" ht="40" customHeight="1">
      <c r="B36" s="42">
        <v>596</v>
      </c>
      <c r="C36" s="102" t="s">
        <v>1339</v>
      </c>
      <c r="D36" s="102" t="s">
        <v>1268</v>
      </c>
      <c r="E36" s="92" t="s">
        <v>1340</v>
      </c>
      <c r="F36" s="42">
        <v>1</v>
      </c>
      <c r="G36" s="42">
        <v>37</v>
      </c>
      <c r="H36" s="42">
        <v>37</v>
      </c>
      <c r="I36" s="42" t="s">
        <v>1270</v>
      </c>
      <c r="J36" s="103" t="s">
        <v>3611</v>
      </c>
      <c r="K36" s="42" t="s">
        <v>4033</v>
      </c>
      <c r="L36" s="42" t="str">
        <f>VLOOKUP(Table7[[#This Row],[Baseline Fixture Code]], 'Tables &amp; Ranges'!$A$114:$B$132, 2, FALSE)</f>
        <v>N/A</v>
      </c>
    </row>
    <row r="37" spans="2:12" ht="40" customHeight="1">
      <c r="B37" s="42">
        <v>597</v>
      </c>
      <c r="C37" s="102" t="s">
        <v>1341</v>
      </c>
      <c r="D37" s="102" t="s">
        <v>1268</v>
      </c>
      <c r="E37" s="92" t="s">
        <v>1342</v>
      </c>
      <c r="F37" s="42">
        <v>1</v>
      </c>
      <c r="G37" s="42">
        <v>38</v>
      </c>
      <c r="H37" s="42">
        <v>38</v>
      </c>
      <c r="I37" s="42" t="s">
        <v>1270</v>
      </c>
      <c r="J37" s="103" t="s">
        <v>3611</v>
      </c>
      <c r="K37" s="42" t="s">
        <v>4033</v>
      </c>
      <c r="L37" s="42" t="str">
        <f>VLOOKUP(Table7[[#This Row],[Baseline Fixture Code]], 'Tables &amp; Ranges'!$A$114:$B$132, 2, FALSE)</f>
        <v>N/A</v>
      </c>
    </row>
    <row r="38" spans="2:12" ht="40" customHeight="1">
      <c r="B38" s="42">
        <v>598</v>
      </c>
      <c r="C38" s="102" t="s">
        <v>1343</v>
      </c>
      <c r="D38" s="102" t="s">
        <v>1268</v>
      </c>
      <c r="E38" s="92" t="s">
        <v>1344</v>
      </c>
      <c r="F38" s="42">
        <v>1</v>
      </c>
      <c r="G38" s="42">
        <v>39</v>
      </c>
      <c r="H38" s="42">
        <v>39</v>
      </c>
      <c r="I38" s="42" t="s">
        <v>1270</v>
      </c>
      <c r="J38" s="103" t="s">
        <v>3611</v>
      </c>
      <c r="K38" s="42" t="s">
        <v>4033</v>
      </c>
      <c r="L38" s="42" t="str">
        <f>VLOOKUP(Table7[[#This Row],[Baseline Fixture Code]], 'Tables &amp; Ranges'!$A$114:$B$132, 2, FALSE)</f>
        <v>N/A</v>
      </c>
    </row>
    <row r="39" spans="2:12" ht="40" customHeight="1">
      <c r="B39" s="42">
        <v>563</v>
      </c>
      <c r="C39" s="102" t="s">
        <v>1273</v>
      </c>
      <c r="D39" s="102" t="s">
        <v>1268</v>
      </c>
      <c r="E39" s="92" t="s">
        <v>1274</v>
      </c>
      <c r="F39" s="42">
        <v>1</v>
      </c>
      <c r="G39" s="42">
        <v>4</v>
      </c>
      <c r="H39" s="42">
        <v>4</v>
      </c>
      <c r="I39" s="42" t="s">
        <v>1270</v>
      </c>
      <c r="J39" s="103" t="s">
        <v>3611</v>
      </c>
      <c r="K39" s="42" t="s">
        <v>4033</v>
      </c>
      <c r="L39" s="42" t="str">
        <f>VLOOKUP(Table7[[#This Row],[Baseline Fixture Code]], 'Tables &amp; Ranges'!$A$114:$B$132, 2, FALSE)</f>
        <v>N/A</v>
      </c>
    </row>
    <row r="40" spans="2:12" ht="40" customHeight="1">
      <c r="B40" s="42">
        <v>599</v>
      </c>
      <c r="C40" s="102" t="s">
        <v>1345</v>
      </c>
      <c r="D40" s="102" t="s">
        <v>1268</v>
      </c>
      <c r="E40" s="92" t="s">
        <v>1346</v>
      </c>
      <c r="F40" s="42">
        <v>1</v>
      </c>
      <c r="G40" s="42">
        <v>40</v>
      </c>
      <c r="H40" s="42">
        <v>40</v>
      </c>
      <c r="I40" s="42" t="s">
        <v>1270</v>
      </c>
      <c r="J40" s="103" t="s">
        <v>3611</v>
      </c>
      <c r="K40" s="42" t="s">
        <v>4033</v>
      </c>
      <c r="L40" s="42" t="str">
        <f>VLOOKUP(Table7[[#This Row],[Baseline Fixture Code]], 'Tables &amp; Ranges'!$A$114:$B$132, 2, FALSE)</f>
        <v>N/A</v>
      </c>
    </row>
    <row r="41" spans="2:12" ht="40" customHeight="1">
      <c r="B41" s="42">
        <v>600</v>
      </c>
      <c r="C41" s="102" t="s">
        <v>1347</v>
      </c>
      <c r="D41" s="102" t="s">
        <v>1268</v>
      </c>
      <c r="E41" s="92" t="s">
        <v>1348</v>
      </c>
      <c r="F41" s="42">
        <v>1</v>
      </c>
      <c r="G41" s="42">
        <v>41</v>
      </c>
      <c r="H41" s="42">
        <v>41</v>
      </c>
      <c r="I41" s="42" t="s">
        <v>1270</v>
      </c>
      <c r="J41" s="103" t="s">
        <v>3611</v>
      </c>
      <c r="K41" s="42" t="s">
        <v>4033</v>
      </c>
      <c r="L41" s="42" t="str">
        <f>VLOOKUP(Table7[[#This Row],[Baseline Fixture Code]], 'Tables &amp; Ranges'!$A$114:$B$132, 2, FALSE)</f>
        <v>N/A</v>
      </c>
    </row>
    <row r="42" spans="2:12" ht="40" customHeight="1">
      <c r="B42" s="42">
        <v>601</v>
      </c>
      <c r="C42" s="102" t="s">
        <v>1349</v>
      </c>
      <c r="D42" s="102" t="s">
        <v>1268</v>
      </c>
      <c r="E42" s="92" t="s">
        <v>1350</v>
      </c>
      <c r="F42" s="42">
        <v>1</v>
      </c>
      <c r="G42" s="42">
        <v>42</v>
      </c>
      <c r="H42" s="42">
        <v>42</v>
      </c>
      <c r="I42" s="42" t="s">
        <v>1270</v>
      </c>
      <c r="J42" s="103" t="s">
        <v>3611</v>
      </c>
      <c r="K42" s="42" t="s">
        <v>4033</v>
      </c>
      <c r="L42" s="42" t="str">
        <f>VLOOKUP(Table7[[#This Row],[Baseline Fixture Code]], 'Tables &amp; Ranges'!$A$114:$B$132, 2, FALSE)</f>
        <v>N/A</v>
      </c>
    </row>
    <row r="43" spans="2:12" ht="40" customHeight="1">
      <c r="B43" s="42">
        <v>602</v>
      </c>
      <c r="C43" s="102" t="s">
        <v>1351</v>
      </c>
      <c r="D43" s="102" t="s">
        <v>1268</v>
      </c>
      <c r="E43" s="92" t="s">
        <v>1352</v>
      </c>
      <c r="F43" s="42">
        <v>1</v>
      </c>
      <c r="G43" s="42">
        <v>43</v>
      </c>
      <c r="H43" s="42">
        <v>43</v>
      </c>
      <c r="I43" s="42" t="s">
        <v>1270</v>
      </c>
      <c r="J43" s="103" t="s">
        <v>3611</v>
      </c>
      <c r="K43" s="42" t="s">
        <v>4033</v>
      </c>
      <c r="L43" s="42" t="str">
        <f>VLOOKUP(Table7[[#This Row],[Baseline Fixture Code]], 'Tables &amp; Ranges'!$A$114:$B$132, 2, FALSE)</f>
        <v>N/A</v>
      </c>
    </row>
    <row r="44" spans="2:12" ht="40" customHeight="1">
      <c r="B44" s="42">
        <v>603</v>
      </c>
      <c r="C44" s="102" t="s">
        <v>1353</v>
      </c>
      <c r="D44" s="102" t="s">
        <v>1268</v>
      </c>
      <c r="E44" s="92" t="s">
        <v>1354</v>
      </c>
      <c r="F44" s="42">
        <v>1</v>
      </c>
      <c r="G44" s="42">
        <v>44</v>
      </c>
      <c r="H44" s="42">
        <v>44</v>
      </c>
      <c r="I44" s="42" t="s">
        <v>1270</v>
      </c>
      <c r="J44" s="103" t="s">
        <v>3611</v>
      </c>
      <c r="K44" s="42" t="s">
        <v>4033</v>
      </c>
      <c r="L44" s="42" t="str">
        <f>VLOOKUP(Table7[[#This Row],[Baseline Fixture Code]], 'Tables &amp; Ranges'!$A$114:$B$132, 2, FALSE)</f>
        <v>N/A</v>
      </c>
    </row>
    <row r="45" spans="2:12" ht="40" customHeight="1">
      <c r="B45" s="42">
        <v>604</v>
      </c>
      <c r="C45" s="102" t="s">
        <v>1355</v>
      </c>
      <c r="D45" s="102" t="s">
        <v>1268</v>
      </c>
      <c r="E45" s="92" t="s">
        <v>1356</v>
      </c>
      <c r="F45" s="42">
        <v>1</v>
      </c>
      <c r="G45" s="42">
        <v>45</v>
      </c>
      <c r="H45" s="42">
        <v>45</v>
      </c>
      <c r="I45" s="42" t="s">
        <v>1270</v>
      </c>
      <c r="J45" s="103" t="s">
        <v>3611</v>
      </c>
      <c r="K45" s="42" t="s">
        <v>4033</v>
      </c>
      <c r="L45" s="42" t="str">
        <f>VLOOKUP(Table7[[#This Row],[Baseline Fixture Code]], 'Tables &amp; Ranges'!$A$114:$B$132, 2, FALSE)</f>
        <v>N/A</v>
      </c>
    </row>
    <row r="46" spans="2:12" ht="40" customHeight="1">
      <c r="B46" s="42">
        <v>605</v>
      </c>
      <c r="C46" s="102" t="s">
        <v>1357</v>
      </c>
      <c r="D46" s="102" t="s">
        <v>1268</v>
      </c>
      <c r="E46" s="92" t="s">
        <v>1358</v>
      </c>
      <c r="F46" s="42">
        <v>1</v>
      </c>
      <c r="G46" s="42">
        <v>46</v>
      </c>
      <c r="H46" s="42">
        <v>46</v>
      </c>
      <c r="I46" s="42" t="s">
        <v>1270</v>
      </c>
      <c r="J46" s="103" t="s">
        <v>3611</v>
      </c>
      <c r="K46" s="42" t="s">
        <v>4033</v>
      </c>
      <c r="L46" s="42" t="str">
        <f>VLOOKUP(Table7[[#This Row],[Baseline Fixture Code]], 'Tables &amp; Ranges'!$A$114:$B$132, 2, FALSE)</f>
        <v>N/A</v>
      </c>
    </row>
    <row r="47" spans="2:12" ht="40" customHeight="1">
      <c r="B47" s="42">
        <v>606</v>
      </c>
      <c r="C47" s="102" t="s">
        <v>1359</v>
      </c>
      <c r="D47" s="102" t="s">
        <v>1268</v>
      </c>
      <c r="E47" s="92" t="s">
        <v>1360</v>
      </c>
      <c r="F47" s="42">
        <v>1</v>
      </c>
      <c r="G47" s="42">
        <v>47</v>
      </c>
      <c r="H47" s="42">
        <v>47</v>
      </c>
      <c r="I47" s="42" t="s">
        <v>1270</v>
      </c>
      <c r="J47" s="103" t="s">
        <v>3611</v>
      </c>
      <c r="K47" s="42" t="s">
        <v>4033</v>
      </c>
      <c r="L47" s="42" t="str">
        <f>VLOOKUP(Table7[[#This Row],[Baseline Fixture Code]], 'Tables &amp; Ranges'!$A$114:$B$132, 2, FALSE)</f>
        <v>N/A</v>
      </c>
    </row>
    <row r="48" spans="2:12" ht="40" customHeight="1">
      <c r="B48" s="42">
        <v>607</v>
      </c>
      <c r="C48" s="102" t="s">
        <v>1361</v>
      </c>
      <c r="D48" s="102" t="s">
        <v>1268</v>
      </c>
      <c r="E48" s="92" t="s">
        <v>1362</v>
      </c>
      <c r="F48" s="42">
        <v>1</v>
      </c>
      <c r="G48" s="42">
        <v>48</v>
      </c>
      <c r="H48" s="42">
        <v>48</v>
      </c>
      <c r="I48" s="42" t="s">
        <v>1270</v>
      </c>
      <c r="J48" s="103" t="s">
        <v>3611</v>
      </c>
      <c r="K48" s="42" t="s">
        <v>4033</v>
      </c>
      <c r="L48" s="42" t="str">
        <f>VLOOKUP(Table7[[#This Row],[Baseline Fixture Code]], 'Tables &amp; Ranges'!$A$114:$B$132, 2, FALSE)</f>
        <v>N/A</v>
      </c>
    </row>
    <row r="49" spans="2:12" ht="40" customHeight="1">
      <c r="B49" s="42">
        <v>608</v>
      </c>
      <c r="C49" s="102" t="s">
        <v>1363</v>
      </c>
      <c r="D49" s="102" t="s">
        <v>1268</v>
      </c>
      <c r="E49" s="92" t="s">
        <v>1364</v>
      </c>
      <c r="F49" s="42">
        <v>1</v>
      </c>
      <c r="G49" s="42">
        <v>49</v>
      </c>
      <c r="H49" s="42">
        <v>49</v>
      </c>
      <c r="I49" s="42" t="s">
        <v>1270</v>
      </c>
      <c r="J49" s="103" t="s">
        <v>3611</v>
      </c>
      <c r="K49" s="42" t="s">
        <v>4033</v>
      </c>
      <c r="L49" s="42" t="str">
        <f>VLOOKUP(Table7[[#This Row],[Baseline Fixture Code]], 'Tables &amp; Ranges'!$A$114:$B$132, 2, FALSE)</f>
        <v>N/A</v>
      </c>
    </row>
    <row r="50" spans="2:12" ht="40" customHeight="1">
      <c r="B50" s="42">
        <v>564</v>
      </c>
      <c r="C50" s="102" t="s">
        <v>1275</v>
      </c>
      <c r="D50" s="102" t="s">
        <v>1268</v>
      </c>
      <c r="E50" s="92" t="s">
        <v>1276</v>
      </c>
      <c r="F50" s="42">
        <v>1</v>
      </c>
      <c r="G50" s="42">
        <v>5</v>
      </c>
      <c r="H50" s="42">
        <v>5</v>
      </c>
      <c r="I50" s="42" t="s">
        <v>1270</v>
      </c>
      <c r="J50" s="103" t="s">
        <v>3611</v>
      </c>
      <c r="K50" s="42" t="s">
        <v>4033</v>
      </c>
      <c r="L50" s="42" t="str">
        <f>VLOOKUP(Table7[[#This Row],[Baseline Fixture Code]], 'Tables &amp; Ranges'!$A$114:$B$132, 2, FALSE)</f>
        <v>N/A</v>
      </c>
    </row>
    <row r="51" spans="2:12" ht="40" customHeight="1">
      <c r="B51" s="42">
        <v>609</v>
      </c>
      <c r="C51" s="102" t="s">
        <v>1365</v>
      </c>
      <c r="D51" s="102" t="s">
        <v>1268</v>
      </c>
      <c r="E51" s="92" t="s">
        <v>1366</v>
      </c>
      <c r="F51" s="42">
        <v>1</v>
      </c>
      <c r="G51" s="42">
        <v>50</v>
      </c>
      <c r="H51" s="42">
        <v>50</v>
      </c>
      <c r="I51" s="42" t="s">
        <v>1270</v>
      </c>
      <c r="J51" s="103" t="s">
        <v>3611</v>
      </c>
      <c r="K51" s="42" t="s">
        <v>4033</v>
      </c>
      <c r="L51" s="42" t="str">
        <f>VLOOKUP(Table7[[#This Row],[Baseline Fixture Code]], 'Tables &amp; Ranges'!$A$114:$B$132, 2, FALSE)</f>
        <v>N/A</v>
      </c>
    </row>
    <row r="52" spans="2:12" ht="40" customHeight="1">
      <c r="B52" s="42">
        <v>610</v>
      </c>
      <c r="C52" s="102" t="s">
        <v>1367</v>
      </c>
      <c r="D52" s="102" t="s">
        <v>1268</v>
      </c>
      <c r="E52" s="92" t="s">
        <v>1368</v>
      </c>
      <c r="F52" s="42">
        <v>1</v>
      </c>
      <c r="G52" s="42">
        <v>51</v>
      </c>
      <c r="H52" s="42">
        <v>51</v>
      </c>
      <c r="I52" s="42" t="s">
        <v>1270</v>
      </c>
      <c r="J52" s="103" t="s">
        <v>3611</v>
      </c>
      <c r="K52" s="42" t="s">
        <v>4033</v>
      </c>
      <c r="L52" s="42" t="str">
        <f>VLOOKUP(Table7[[#This Row],[Baseline Fixture Code]], 'Tables &amp; Ranges'!$A$114:$B$132, 2, FALSE)</f>
        <v>N/A</v>
      </c>
    </row>
    <row r="53" spans="2:12" ht="40" customHeight="1">
      <c r="B53" s="42">
        <v>611</v>
      </c>
      <c r="C53" s="102" t="s">
        <v>1369</v>
      </c>
      <c r="D53" s="102" t="s">
        <v>1268</v>
      </c>
      <c r="E53" s="92" t="s">
        <v>1370</v>
      </c>
      <c r="F53" s="42">
        <v>1</v>
      </c>
      <c r="G53" s="42">
        <v>52</v>
      </c>
      <c r="H53" s="42">
        <v>52</v>
      </c>
      <c r="I53" s="42" t="s">
        <v>1270</v>
      </c>
      <c r="J53" s="103" t="s">
        <v>3611</v>
      </c>
      <c r="K53" s="42" t="s">
        <v>4033</v>
      </c>
      <c r="L53" s="42" t="str">
        <f>VLOOKUP(Table7[[#This Row],[Baseline Fixture Code]], 'Tables &amp; Ranges'!$A$114:$B$132, 2, FALSE)</f>
        <v>N/A</v>
      </c>
    </row>
    <row r="54" spans="2:12" ht="40" customHeight="1">
      <c r="B54" s="42">
        <v>612</v>
      </c>
      <c r="C54" s="102" t="s">
        <v>1371</v>
      </c>
      <c r="D54" s="102" t="s">
        <v>1268</v>
      </c>
      <c r="E54" s="92" t="s">
        <v>1372</v>
      </c>
      <c r="F54" s="42">
        <v>1</v>
      </c>
      <c r="G54" s="42">
        <v>53</v>
      </c>
      <c r="H54" s="42">
        <v>53</v>
      </c>
      <c r="I54" s="42" t="s">
        <v>1270</v>
      </c>
      <c r="J54" s="103" t="s">
        <v>3611</v>
      </c>
      <c r="K54" s="42" t="s">
        <v>4033</v>
      </c>
      <c r="L54" s="42" t="str">
        <f>VLOOKUP(Table7[[#This Row],[Baseline Fixture Code]], 'Tables &amp; Ranges'!$A$114:$B$132, 2, FALSE)</f>
        <v>N/A</v>
      </c>
    </row>
    <row r="55" spans="2:12" ht="40" customHeight="1">
      <c r="B55" s="42">
        <v>613</v>
      </c>
      <c r="C55" s="102" t="s">
        <v>1373</v>
      </c>
      <c r="D55" s="102" t="s">
        <v>1268</v>
      </c>
      <c r="E55" s="92" t="s">
        <v>1374</v>
      </c>
      <c r="F55" s="42">
        <v>1</v>
      </c>
      <c r="G55" s="42">
        <v>54</v>
      </c>
      <c r="H55" s="42">
        <v>54</v>
      </c>
      <c r="I55" s="42" t="s">
        <v>1270</v>
      </c>
      <c r="J55" s="103" t="s">
        <v>3611</v>
      </c>
      <c r="K55" s="42" t="s">
        <v>4033</v>
      </c>
      <c r="L55" s="42" t="str">
        <f>VLOOKUP(Table7[[#This Row],[Baseline Fixture Code]], 'Tables &amp; Ranges'!$A$114:$B$132, 2, FALSE)</f>
        <v>N/A</v>
      </c>
    </row>
    <row r="56" spans="2:12" ht="40" customHeight="1">
      <c r="B56" s="42">
        <v>614</v>
      </c>
      <c r="C56" s="102" t="s">
        <v>1375</v>
      </c>
      <c r="D56" s="102" t="s">
        <v>1268</v>
      </c>
      <c r="E56" s="92" t="s">
        <v>1376</v>
      </c>
      <c r="F56" s="42">
        <v>1</v>
      </c>
      <c r="G56" s="42">
        <v>55</v>
      </c>
      <c r="H56" s="42">
        <v>55</v>
      </c>
      <c r="I56" s="42" t="s">
        <v>1270</v>
      </c>
      <c r="J56" s="103" t="s">
        <v>3611</v>
      </c>
      <c r="K56" s="42" t="s">
        <v>4033</v>
      </c>
      <c r="L56" s="42" t="str">
        <f>VLOOKUP(Table7[[#This Row],[Baseline Fixture Code]], 'Tables &amp; Ranges'!$A$114:$B$132, 2, FALSE)</f>
        <v>N/A</v>
      </c>
    </row>
    <row r="57" spans="2:12" ht="40" customHeight="1">
      <c r="B57" s="42">
        <v>615</v>
      </c>
      <c r="C57" s="102" t="s">
        <v>1377</v>
      </c>
      <c r="D57" s="102" t="s">
        <v>1268</v>
      </c>
      <c r="E57" s="92" t="s">
        <v>1378</v>
      </c>
      <c r="F57" s="42">
        <v>1</v>
      </c>
      <c r="G57" s="42">
        <v>56</v>
      </c>
      <c r="H57" s="42">
        <v>56</v>
      </c>
      <c r="I57" s="42" t="s">
        <v>1270</v>
      </c>
      <c r="J57" s="103" t="s">
        <v>3611</v>
      </c>
      <c r="K57" s="42" t="s">
        <v>4033</v>
      </c>
      <c r="L57" s="42" t="str">
        <f>VLOOKUP(Table7[[#This Row],[Baseline Fixture Code]], 'Tables &amp; Ranges'!$A$114:$B$132, 2, FALSE)</f>
        <v>N/A</v>
      </c>
    </row>
    <row r="58" spans="2:12" ht="40" customHeight="1">
      <c r="B58" s="42">
        <v>616</v>
      </c>
      <c r="C58" s="102" t="s">
        <v>1379</v>
      </c>
      <c r="D58" s="102" t="s">
        <v>1268</v>
      </c>
      <c r="E58" s="92" t="s">
        <v>1380</v>
      </c>
      <c r="F58" s="42">
        <v>1</v>
      </c>
      <c r="G58" s="42">
        <v>57</v>
      </c>
      <c r="H58" s="42">
        <v>57</v>
      </c>
      <c r="I58" s="42" t="s">
        <v>1270</v>
      </c>
      <c r="J58" s="103" t="s">
        <v>3611</v>
      </c>
      <c r="K58" s="42" t="s">
        <v>4033</v>
      </c>
      <c r="L58" s="42" t="str">
        <f>VLOOKUP(Table7[[#This Row],[Baseline Fixture Code]], 'Tables &amp; Ranges'!$A$114:$B$132, 2, FALSE)</f>
        <v>N/A</v>
      </c>
    </row>
    <row r="59" spans="2:12" ht="40" customHeight="1">
      <c r="B59" s="42">
        <v>617</v>
      </c>
      <c r="C59" s="102" t="s">
        <v>1381</v>
      </c>
      <c r="D59" s="102" t="s">
        <v>1268</v>
      </c>
      <c r="E59" s="92" t="s">
        <v>1382</v>
      </c>
      <c r="F59" s="42">
        <v>1</v>
      </c>
      <c r="G59" s="42">
        <v>58</v>
      </c>
      <c r="H59" s="42">
        <v>58</v>
      </c>
      <c r="I59" s="42" t="s">
        <v>1270</v>
      </c>
      <c r="J59" s="103" t="s">
        <v>3611</v>
      </c>
      <c r="K59" s="42" t="s">
        <v>4033</v>
      </c>
      <c r="L59" s="42" t="str">
        <f>VLOOKUP(Table7[[#This Row],[Baseline Fixture Code]], 'Tables &amp; Ranges'!$A$114:$B$132, 2, FALSE)</f>
        <v>N/A</v>
      </c>
    </row>
    <row r="60" spans="2:12" ht="40" customHeight="1">
      <c r="B60" s="42">
        <v>618</v>
      </c>
      <c r="C60" s="102" t="s">
        <v>1383</v>
      </c>
      <c r="D60" s="102" t="s">
        <v>1268</v>
      </c>
      <c r="E60" s="92" t="s">
        <v>1384</v>
      </c>
      <c r="F60" s="42">
        <v>1</v>
      </c>
      <c r="G60" s="42">
        <v>59</v>
      </c>
      <c r="H60" s="42">
        <v>59</v>
      </c>
      <c r="I60" s="42" t="s">
        <v>1270</v>
      </c>
      <c r="J60" s="103" t="s">
        <v>3611</v>
      </c>
      <c r="K60" s="42" t="s">
        <v>4033</v>
      </c>
      <c r="L60" s="42" t="str">
        <f>VLOOKUP(Table7[[#This Row],[Baseline Fixture Code]], 'Tables &amp; Ranges'!$A$114:$B$132, 2, FALSE)</f>
        <v>N/A</v>
      </c>
    </row>
    <row r="61" spans="2:12" ht="40" customHeight="1">
      <c r="B61" s="42">
        <v>565</v>
      </c>
      <c r="C61" s="102" t="s">
        <v>1277</v>
      </c>
      <c r="D61" s="102" t="s">
        <v>1268</v>
      </c>
      <c r="E61" s="92" t="s">
        <v>1278</v>
      </c>
      <c r="F61" s="42">
        <v>1</v>
      </c>
      <c r="G61" s="42">
        <v>6</v>
      </c>
      <c r="H61" s="42">
        <v>6</v>
      </c>
      <c r="I61" s="42" t="s">
        <v>1270</v>
      </c>
      <c r="J61" s="103" t="s">
        <v>3611</v>
      </c>
      <c r="K61" s="42" t="s">
        <v>4033</v>
      </c>
      <c r="L61" s="42" t="str">
        <f>VLOOKUP(Table7[[#This Row],[Baseline Fixture Code]], 'Tables &amp; Ranges'!$A$114:$B$132, 2, FALSE)</f>
        <v>N/A</v>
      </c>
    </row>
    <row r="62" spans="2:12" ht="40" customHeight="1">
      <c r="B62" s="42">
        <v>619</v>
      </c>
      <c r="C62" s="102" t="s">
        <v>1385</v>
      </c>
      <c r="D62" s="102" t="s">
        <v>1268</v>
      </c>
      <c r="E62" s="92" t="s">
        <v>1386</v>
      </c>
      <c r="F62" s="42">
        <v>1</v>
      </c>
      <c r="G62" s="42">
        <v>60</v>
      </c>
      <c r="H62" s="42">
        <v>60</v>
      </c>
      <c r="I62" s="42" t="s">
        <v>1270</v>
      </c>
      <c r="J62" s="103" t="s">
        <v>3611</v>
      </c>
      <c r="K62" s="42" t="s">
        <v>4033</v>
      </c>
      <c r="L62" s="42" t="str">
        <f>VLOOKUP(Table7[[#This Row],[Baseline Fixture Code]], 'Tables &amp; Ranges'!$A$114:$B$132, 2, FALSE)</f>
        <v>N/A</v>
      </c>
    </row>
    <row r="63" spans="2:12" ht="40" customHeight="1">
      <c r="B63" s="42">
        <v>620</v>
      </c>
      <c r="C63" s="102" t="s">
        <v>1387</v>
      </c>
      <c r="D63" s="102" t="s">
        <v>1268</v>
      </c>
      <c r="E63" s="92" t="s">
        <v>1388</v>
      </c>
      <c r="F63" s="42">
        <v>1</v>
      </c>
      <c r="G63" s="42">
        <v>61</v>
      </c>
      <c r="H63" s="42">
        <v>61</v>
      </c>
      <c r="I63" s="42" t="s">
        <v>1270</v>
      </c>
      <c r="J63" s="103" t="s">
        <v>3611</v>
      </c>
      <c r="K63" s="42" t="s">
        <v>4033</v>
      </c>
      <c r="L63" s="42" t="str">
        <f>VLOOKUP(Table7[[#This Row],[Baseline Fixture Code]], 'Tables &amp; Ranges'!$A$114:$B$132, 2, FALSE)</f>
        <v>N/A</v>
      </c>
    </row>
    <row r="64" spans="2:12" ht="40" customHeight="1">
      <c r="B64" s="42">
        <v>621</v>
      </c>
      <c r="C64" s="102" t="s">
        <v>1389</v>
      </c>
      <c r="D64" s="102" t="s">
        <v>1268</v>
      </c>
      <c r="E64" s="92" t="s">
        <v>1390</v>
      </c>
      <c r="F64" s="42">
        <v>1</v>
      </c>
      <c r="G64" s="42">
        <v>62</v>
      </c>
      <c r="H64" s="42">
        <v>62</v>
      </c>
      <c r="I64" s="42" t="s">
        <v>1270</v>
      </c>
      <c r="J64" s="103" t="s">
        <v>3611</v>
      </c>
      <c r="K64" s="42" t="s">
        <v>4033</v>
      </c>
      <c r="L64" s="42" t="str">
        <f>VLOOKUP(Table7[[#This Row],[Baseline Fixture Code]], 'Tables &amp; Ranges'!$A$114:$B$132, 2, FALSE)</f>
        <v>N/A</v>
      </c>
    </row>
    <row r="65" spans="2:12" ht="40" customHeight="1">
      <c r="B65" s="42">
        <v>622</v>
      </c>
      <c r="C65" s="102" t="s">
        <v>1391</v>
      </c>
      <c r="D65" s="102" t="s">
        <v>1268</v>
      </c>
      <c r="E65" s="92" t="s">
        <v>1392</v>
      </c>
      <c r="F65" s="42">
        <v>1</v>
      </c>
      <c r="G65" s="42">
        <v>63</v>
      </c>
      <c r="H65" s="42">
        <v>63</v>
      </c>
      <c r="I65" s="42" t="s">
        <v>1270</v>
      </c>
      <c r="J65" s="103" t="s">
        <v>3611</v>
      </c>
      <c r="K65" s="42" t="s">
        <v>4033</v>
      </c>
      <c r="L65" s="42" t="str">
        <f>VLOOKUP(Table7[[#This Row],[Baseline Fixture Code]], 'Tables &amp; Ranges'!$A$114:$B$132, 2, FALSE)</f>
        <v>N/A</v>
      </c>
    </row>
    <row r="66" spans="2:12" ht="40" customHeight="1">
      <c r="B66" s="42">
        <v>623</v>
      </c>
      <c r="C66" s="102" t="s">
        <v>1393</v>
      </c>
      <c r="D66" s="102" t="s">
        <v>1268</v>
      </c>
      <c r="E66" s="92" t="s">
        <v>1394</v>
      </c>
      <c r="F66" s="42">
        <v>1</v>
      </c>
      <c r="G66" s="42">
        <v>64</v>
      </c>
      <c r="H66" s="42">
        <v>64</v>
      </c>
      <c r="I66" s="42" t="s">
        <v>1270</v>
      </c>
      <c r="J66" s="103" t="s">
        <v>3611</v>
      </c>
      <c r="K66" s="42" t="s">
        <v>4033</v>
      </c>
      <c r="L66" s="42" t="str">
        <f>VLOOKUP(Table7[[#This Row],[Baseline Fixture Code]], 'Tables &amp; Ranges'!$A$114:$B$132, 2, FALSE)</f>
        <v>N/A</v>
      </c>
    </row>
    <row r="67" spans="2:12" ht="40" customHeight="1">
      <c r="B67" s="42">
        <v>624</v>
      </c>
      <c r="C67" s="102" t="s">
        <v>1395</v>
      </c>
      <c r="D67" s="102" t="s">
        <v>1268</v>
      </c>
      <c r="E67" s="92" t="s">
        <v>1396</v>
      </c>
      <c r="F67" s="42">
        <v>1</v>
      </c>
      <c r="G67" s="42">
        <v>65</v>
      </c>
      <c r="H67" s="42">
        <v>65</v>
      </c>
      <c r="I67" s="42" t="s">
        <v>1270</v>
      </c>
      <c r="J67" s="103" t="s">
        <v>3611</v>
      </c>
      <c r="K67" s="42" t="s">
        <v>4033</v>
      </c>
      <c r="L67" s="42" t="str">
        <f>VLOOKUP(Table7[[#This Row],[Baseline Fixture Code]], 'Tables &amp; Ranges'!$A$114:$B$132, 2, FALSE)</f>
        <v>N/A</v>
      </c>
    </row>
    <row r="68" spans="2:12" ht="40" customHeight="1">
      <c r="B68" s="42">
        <v>625</v>
      </c>
      <c r="C68" s="102" t="s">
        <v>1397</v>
      </c>
      <c r="D68" s="102" t="s">
        <v>1268</v>
      </c>
      <c r="E68" s="92" t="s">
        <v>1398</v>
      </c>
      <c r="F68" s="42">
        <v>1</v>
      </c>
      <c r="G68" s="42">
        <v>66</v>
      </c>
      <c r="H68" s="42">
        <v>66</v>
      </c>
      <c r="I68" s="42" t="s">
        <v>1270</v>
      </c>
      <c r="J68" s="103" t="s">
        <v>3611</v>
      </c>
      <c r="K68" s="42" t="s">
        <v>4033</v>
      </c>
      <c r="L68" s="42" t="str">
        <f>VLOOKUP(Table7[[#This Row],[Baseline Fixture Code]], 'Tables &amp; Ranges'!$A$114:$B$132, 2, FALSE)</f>
        <v>N/A</v>
      </c>
    </row>
    <row r="69" spans="2:12" ht="40" customHeight="1">
      <c r="B69" s="42">
        <v>626</v>
      </c>
      <c r="C69" s="102" t="s">
        <v>1399</v>
      </c>
      <c r="D69" s="102" t="s">
        <v>1268</v>
      </c>
      <c r="E69" s="92" t="s">
        <v>1400</v>
      </c>
      <c r="F69" s="42">
        <v>1</v>
      </c>
      <c r="G69" s="42">
        <v>67</v>
      </c>
      <c r="H69" s="42">
        <v>67</v>
      </c>
      <c r="I69" s="42" t="s">
        <v>1270</v>
      </c>
      <c r="J69" s="103" t="s">
        <v>3611</v>
      </c>
      <c r="K69" s="42" t="s">
        <v>4033</v>
      </c>
      <c r="L69" s="42" t="str">
        <f>VLOOKUP(Table7[[#This Row],[Baseline Fixture Code]], 'Tables &amp; Ranges'!$A$114:$B$132, 2, FALSE)</f>
        <v>N/A</v>
      </c>
    </row>
    <row r="70" spans="2:12" ht="40" customHeight="1">
      <c r="B70" s="42">
        <v>627</v>
      </c>
      <c r="C70" s="102" t="s">
        <v>1401</v>
      </c>
      <c r="D70" s="102" t="s">
        <v>1268</v>
      </c>
      <c r="E70" s="92" t="s">
        <v>1402</v>
      </c>
      <c r="F70" s="42">
        <v>1</v>
      </c>
      <c r="G70" s="42">
        <v>68</v>
      </c>
      <c r="H70" s="42">
        <v>68</v>
      </c>
      <c r="I70" s="42" t="s">
        <v>1270</v>
      </c>
      <c r="J70" s="103" t="s">
        <v>3611</v>
      </c>
      <c r="K70" s="42" t="s">
        <v>4033</v>
      </c>
      <c r="L70" s="42" t="str">
        <f>VLOOKUP(Table7[[#This Row],[Baseline Fixture Code]], 'Tables &amp; Ranges'!$A$114:$B$132, 2, FALSE)</f>
        <v>N/A</v>
      </c>
    </row>
    <row r="71" spans="2:12" ht="40" customHeight="1">
      <c r="B71" s="42">
        <v>628</v>
      </c>
      <c r="C71" s="102" t="s">
        <v>1403</v>
      </c>
      <c r="D71" s="102" t="s">
        <v>1268</v>
      </c>
      <c r="E71" s="92" t="s">
        <v>1404</v>
      </c>
      <c r="F71" s="42">
        <v>1</v>
      </c>
      <c r="G71" s="42">
        <v>69</v>
      </c>
      <c r="H71" s="42">
        <v>69</v>
      </c>
      <c r="I71" s="42" t="s">
        <v>1270</v>
      </c>
      <c r="J71" s="103" t="s">
        <v>3611</v>
      </c>
      <c r="K71" s="42" t="s">
        <v>4033</v>
      </c>
      <c r="L71" s="42" t="str">
        <f>VLOOKUP(Table7[[#This Row],[Baseline Fixture Code]], 'Tables &amp; Ranges'!$A$114:$B$132, 2, FALSE)</f>
        <v>N/A</v>
      </c>
    </row>
    <row r="72" spans="2:12" ht="40" customHeight="1">
      <c r="B72" s="42">
        <v>566</v>
      </c>
      <c r="C72" s="102" t="s">
        <v>1279</v>
      </c>
      <c r="D72" s="102" t="s">
        <v>1268</v>
      </c>
      <c r="E72" s="92" t="s">
        <v>1280</v>
      </c>
      <c r="F72" s="42">
        <v>1</v>
      </c>
      <c r="G72" s="42">
        <v>7</v>
      </c>
      <c r="H72" s="42">
        <v>7</v>
      </c>
      <c r="I72" s="42" t="s">
        <v>1270</v>
      </c>
      <c r="J72" s="103" t="s">
        <v>3611</v>
      </c>
      <c r="K72" s="42" t="s">
        <v>4033</v>
      </c>
      <c r="L72" s="42" t="str">
        <f>VLOOKUP(Table7[[#This Row],[Baseline Fixture Code]], 'Tables &amp; Ranges'!$A$114:$B$132, 2, FALSE)</f>
        <v>N/A</v>
      </c>
    </row>
    <row r="73" spans="2:12" ht="40" customHeight="1">
      <c r="B73" s="42">
        <v>629</v>
      </c>
      <c r="C73" s="102" t="s">
        <v>1405</v>
      </c>
      <c r="D73" s="102" t="s">
        <v>1268</v>
      </c>
      <c r="E73" s="92" t="s">
        <v>1406</v>
      </c>
      <c r="F73" s="42">
        <v>1</v>
      </c>
      <c r="G73" s="42">
        <v>70</v>
      </c>
      <c r="H73" s="42">
        <v>70</v>
      </c>
      <c r="I73" s="42" t="s">
        <v>1270</v>
      </c>
      <c r="J73" s="103" t="s">
        <v>3611</v>
      </c>
      <c r="K73" s="42" t="s">
        <v>4033</v>
      </c>
      <c r="L73" s="42" t="str">
        <f>VLOOKUP(Table7[[#This Row],[Baseline Fixture Code]], 'Tables &amp; Ranges'!$A$114:$B$132, 2, FALSE)</f>
        <v>N/A</v>
      </c>
    </row>
    <row r="74" spans="2:12" ht="40" customHeight="1">
      <c r="B74" s="42">
        <v>630</v>
      </c>
      <c r="C74" s="102" t="s">
        <v>1407</v>
      </c>
      <c r="D74" s="102" t="s">
        <v>1268</v>
      </c>
      <c r="E74" s="92" t="s">
        <v>1408</v>
      </c>
      <c r="F74" s="42">
        <v>1</v>
      </c>
      <c r="G74" s="42">
        <v>71</v>
      </c>
      <c r="H74" s="42">
        <v>71</v>
      </c>
      <c r="I74" s="42" t="s">
        <v>1270</v>
      </c>
      <c r="J74" s="103" t="s">
        <v>3611</v>
      </c>
      <c r="K74" s="42" t="s">
        <v>4033</v>
      </c>
      <c r="L74" s="42" t="str">
        <f>VLOOKUP(Table7[[#This Row],[Baseline Fixture Code]], 'Tables &amp; Ranges'!$A$114:$B$132, 2, FALSE)</f>
        <v>N/A</v>
      </c>
    </row>
    <row r="75" spans="2:12" ht="40" customHeight="1">
      <c r="B75" s="42">
        <v>631</v>
      </c>
      <c r="C75" s="102" t="s">
        <v>1409</v>
      </c>
      <c r="D75" s="102" t="s">
        <v>1268</v>
      </c>
      <c r="E75" s="92" t="s">
        <v>1410</v>
      </c>
      <c r="F75" s="42">
        <v>1</v>
      </c>
      <c r="G75" s="42">
        <v>72</v>
      </c>
      <c r="H75" s="42">
        <v>72</v>
      </c>
      <c r="I75" s="42" t="s">
        <v>1270</v>
      </c>
      <c r="J75" s="103" t="s">
        <v>3611</v>
      </c>
      <c r="K75" s="42" t="s">
        <v>4033</v>
      </c>
      <c r="L75" s="42" t="str">
        <f>VLOOKUP(Table7[[#This Row],[Baseline Fixture Code]], 'Tables &amp; Ranges'!$A$114:$B$132, 2, FALSE)</f>
        <v>N/A</v>
      </c>
    </row>
    <row r="76" spans="2:12" ht="40" customHeight="1">
      <c r="B76" s="42">
        <v>632</v>
      </c>
      <c r="C76" s="102" t="s">
        <v>1411</v>
      </c>
      <c r="D76" s="102" t="s">
        <v>1268</v>
      </c>
      <c r="E76" s="92" t="s">
        <v>1412</v>
      </c>
      <c r="F76" s="42">
        <v>1</v>
      </c>
      <c r="G76" s="42">
        <v>73</v>
      </c>
      <c r="H76" s="42">
        <v>73</v>
      </c>
      <c r="I76" s="42" t="s">
        <v>1270</v>
      </c>
      <c r="J76" s="103" t="s">
        <v>3611</v>
      </c>
      <c r="K76" s="42" t="s">
        <v>4033</v>
      </c>
      <c r="L76" s="42" t="str">
        <f>VLOOKUP(Table7[[#This Row],[Baseline Fixture Code]], 'Tables &amp; Ranges'!$A$114:$B$132, 2, FALSE)</f>
        <v>N/A</v>
      </c>
    </row>
    <row r="77" spans="2:12" ht="40" customHeight="1">
      <c r="B77" s="42">
        <v>633</v>
      </c>
      <c r="C77" s="102" t="s">
        <v>1413</v>
      </c>
      <c r="D77" s="102" t="s">
        <v>1268</v>
      </c>
      <c r="E77" s="92" t="s">
        <v>1414</v>
      </c>
      <c r="F77" s="42">
        <v>1</v>
      </c>
      <c r="G77" s="42">
        <v>74</v>
      </c>
      <c r="H77" s="42">
        <v>74</v>
      </c>
      <c r="I77" s="42" t="s">
        <v>1270</v>
      </c>
      <c r="J77" s="103" t="s">
        <v>3611</v>
      </c>
      <c r="K77" s="42" t="s">
        <v>4033</v>
      </c>
      <c r="L77" s="42" t="str">
        <f>VLOOKUP(Table7[[#This Row],[Baseline Fixture Code]], 'Tables &amp; Ranges'!$A$114:$B$132, 2, FALSE)</f>
        <v>N/A</v>
      </c>
    </row>
    <row r="78" spans="2:12" ht="40" customHeight="1">
      <c r="B78" s="42">
        <v>634</v>
      </c>
      <c r="C78" s="102" t="s">
        <v>1415</v>
      </c>
      <c r="D78" s="102" t="s">
        <v>1268</v>
      </c>
      <c r="E78" s="92" t="s">
        <v>1416</v>
      </c>
      <c r="F78" s="42">
        <v>1</v>
      </c>
      <c r="G78" s="42">
        <v>75</v>
      </c>
      <c r="H78" s="42">
        <v>75</v>
      </c>
      <c r="I78" s="42" t="s">
        <v>1270</v>
      </c>
      <c r="J78" s="103" t="s">
        <v>3611</v>
      </c>
      <c r="K78" s="42" t="s">
        <v>4033</v>
      </c>
      <c r="L78" s="42" t="str">
        <f>VLOOKUP(Table7[[#This Row],[Baseline Fixture Code]], 'Tables &amp; Ranges'!$A$114:$B$132, 2, FALSE)</f>
        <v>N/A</v>
      </c>
    </row>
    <row r="79" spans="2:12" ht="40" customHeight="1">
      <c r="B79" s="42">
        <v>567</v>
      </c>
      <c r="C79" s="102" t="s">
        <v>1281</v>
      </c>
      <c r="D79" s="102" t="s">
        <v>1268</v>
      </c>
      <c r="E79" s="92" t="s">
        <v>1282</v>
      </c>
      <c r="F79" s="42">
        <v>1</v>
      </c>
      <c r="G79" s="42">
        <v>8</v>
      </c>
      <c r="H79" s="42">
        <v>8</v>
      </c>
      <c r="I79" s="42" t="s">
        <v>1270</v>
      </c>
      <c r="J79" s="103" t="s">
        <v>3611</v>
      </c>
      <c r="K79" s="42" t="s">
        <v>4033</v>
      </c>
      <c r="L79" s="42" t="str">
        <f>VLOOKUP(Table7[[#This Row],[Baseline Fixture Code]], 'Tables &amp; Ranges'!$A$114:$B$132, 2, FALSE)</f>
        <v>N/A</v>
      </c>
    </row>
    <row r="80" spans="2:12" ht="40" customHeight="1">
      <c r="B80" s="42">
        <v>635</v>
      </c>
      <c r="C80" s="102" t="s">
        <v>1417</v>
      </c>
      <c r="D80" s="102" t="s">
        <v>1268</v>
      </c>
      <c r="E80" s="92" t="s">
        <v>1418</v>
      </c>
      <c r="F80" s="42">
        <v>1</v>
      </c>
      <c r="G80" s="42">
        <v>80</v>
      </c>
      <c r="H80" s="42">
        <v>80</v>
      </c>
      <c r="I80" s="42" t="s">
        <v>1270</v>
      </c>
      <c r="J80" s="103" t="s">
        <v>3611</v>
      </c>
      <c r="K80" s="42" t="s">
        <v>4033</v>
      </c>
      <c r="L80" s="42" t="str">
        <f>VLOOKUP(Table7[[#This Row],[Baseline Fixture Code]], 'Tables &amp; Ranges'!$A$114:$B$132, 2, FALSE)</f>
        <v>N/A</v>
      </c>
    </row>
    <row r="81" spans="2:12" ht="40" customHeight="1">
      <c r="B81" s="42">
        <v>636</v>
      </c>
      <c r="C81" s="102" t="s">
        <v>1419</v>
      </c>
      <c r="D81" s="102" t="s">
        <v>1268</v>
      </c>
      <c r="E81" s="92" t="s">
        <v>1420</v>
      </c>
      <c r="F81" s="42">
        <v>1</v>
      </c>
      <c r="G81" s="42">
        <v>85</v>
      </c>
      <c r="H81" s="42">
        <v>85</v>
      </c>
      <c r="I81" s="42" t="s">
        <v>1270</v>
      </c>
      <c r="J81" s="103" t="s">
        <v>3611</v>
      </c>
      <c r="K81" s="42" t="s">
        <v>4033</v>
      </c>
      <c r="L81" s="42" t="str">
        <f>VLOOKUP(Table7[[#This Row],[Baseline Fixture Code]], 'Tables &amp; Ranges'!$A$114:$B$132, 2, FALSE)</f>
        <v>N/A</v>
      </c>
    </row>
    <row r="82" spans="2:12" ht="40" customHeight="1">
      <c r="B82" s="42">
        <v>568</v>
      </c>
      <c r="C82" s="102" t="s">
        <v>1283</v>
      </c>
      <c r="D82" s="102" t="s">
        <v>1268</v>
      </c>
      <c r="E82" s="92" t="s">
        <v>1284</v>
      </c>
      <c r="F82" s="42">
        <v>1</v>
      </c>
      <c r="G82" s="42">
        <v>9</v>
      </c>
      <c r="H82" s="42">
        <v>9</v>
      </c>
      <c r="I82" s="42" t="s">
        <v>1270</v>
      </c>
      <c r="J82" s="103" t="s">
        <v>3611</v>
      </c>
      <c r="K82" s="42" t="s">
        <v>4033</v>
      </c>
      <c r="L82" s="42" t="str">
        <f>VLOOKUP(Table7[[#This Row],[Baseline Fixture Code]], 'Tables &amp; Ranges'!$A$114:$B$132, 2, FALSE)</f>
        <v>N/A</v>
      </c>
    </row>
    <row r="83" spans="2:12" ht="40" customHeight="1">
      <c r="B83" s="42">
        <v>651</v>
      </c>
      <c r="C83" s="102" t="s">
        <v>1450</v>
      </c>
      <c r="D83" s="102" t="s">
        <v>1430</v>
      </c>
      <c r="E83" s="92" t="s">
        <v>1451</v>
      </c>
      <c r="F83" s="42">
        <v>1</v>
      </c>
      <c r="G83" s="42">
        <v>13</v>
      </c>
      <c r="H83" s="42">
        <v>13</v>
      </c>
      <c r="I83" s="42" t="s">
        <v>147</v>
      </c>
      <c r="J83" s="103" t="s">
        <v>3611</v>
      </c>
      <c r="K83" s="42" t="s">
        <v>4033</v>
      </c>
      <c r="L83" s="42" t="str">
        <f>VLOOKUP(Table7[[#This Row],[Baseline Fixture Code]], 'Tables &amp; Ranges'!$A$114:$B$132, 2, FALSE)</f>
        <v>N/A</v>
      </c>
    </row>
    <row r="84" spans="2:12" ht="40" customHeight="1">
      <c r="B84" s="42">
        <v>652</v>
      </c>
      <c r="C84" s="102" t="s">
        <v>1452</v>
      </c>
      <c r="D84" s="102" t="s">
        <v>1430</v>
      </c>
      <c r="E84" s="92" t="s">
        <v>1453</v>
      </c>
      <c r="F84" s="42">
        <v>1</v>
      </c>
      <c r="G84" s="42">
        <v>18</v>
      </c>
      <c r="H84" s="42">
        <v>18</v>
      </c>
      <c r="I84" s="42" t="s">
        <v>147</v>
      </c>
      <c r="J84" s="103" t="s">
        <v>3611</v>
      </c>
      <c r="K84" s="42" t="s">
        <v>4033</v>
      </c>
      <c r="L84" s="42" t="str">
        <f>VLOOKUP(Table7[[#This Row],[Baseline Fixture Code]], 'Tables &amp; Ranges'!$A$114:$B$132, 2, FALSE)</f>
        <v>N/A</v>
      </c>
    </row>
    <row r="85" spans="2:12" ht="40" customHeight="1">
      <c r="B85" s="42">
        <v>641</v>
      </c>
      <c r="C85" s="102" t="s">
        <v>1429</v>
      </c>
      <c r="D85" s="102" t="s">
        <v>1430</v>
      </c>
      <c r="E85" s="92" t="s">
        <v>1431</v>
      </c>
      <c r="F85" s="42">
        <v>1</v>
      </c>
      <c r="G85" s="42">
        <v>2</v>
      </c>
      <c r="H85" s="42">
        <v>2</v>
      </c>
      <c r="I85" s="42" t="s">
        <v>147</v>
      </c>
      <c r="J85" s="103" t="s">
        <v>3611</v>
      </c>
      <c r="K85" s="42" t="s">
        <v>4033</v>
      </c>
      <c r="L85" s="42" t="str">
        <f>VLOOKUP(Table7[[#This Row],[Baseline Fixture Code]], 'Tables &amp; Ranges'!$A$114:$B$132, 2, FALSE)</f>
        <v>N/A</v>
      </c>
    </row>
    <row r="86" spans="2:12" ht="40" customHeight="1">
      <c r="B86" s="42">
        <v>642</v>
      </c>
      <c r="C86" s="102" t="s">
        <v>1432</v>
      </c>
      <c r="D86" s="102" t="s">
        <v>1430</v>
      </c>
      <c r="E86" s="92" t="s">
        <v>1433</v>
      </c>
      <c r="F86" s="42">
        <v>2</v>
      </c>
      <c r="G86" s="42">
        <v>2</v>
      </c>
      <c r="H86" s="42">
        <v>4</v>
      </c>
      <c r="I86" s="42" t="s">
        <v>147</v>
      </c>
      <c r="J86" s="103" t="s">
        <v>3611</v>
      </c>
      <c r="K86" s="42" t="s">
        <v>4033</v>
      </c>
      <c r="L86" s="42" t="str">
        <f>VLOOKUP(Table7[[#This Row],[Baseline Fixture Code]], 'Tables &amp; Ranges'!$A$114:$B$132, 2, FALSE)</f>
        <v>N/A</v>
      </c>
    </row>
    <row r="87" spans="2:12" ht="40" customHeight="1">
      <c r="B87" s="42">
        <v>643</v>
      </c>
      <c r="C87" s="102" t="s">
        <v>1434</v>
      </c>
      <c r="D87" s="102" t="s">
        <v>1430</v>
      </c>
      <c r="E87" s="92" t="s">
        <v>1435</v>
      </c>
      <c r="F87" s="42">
        <v>1</v>
      </c>
      <c r="G87" s="42">
        <v>3</v>
      </c>
      <c r="H87" s="42">
        <v>3</v>
      </c>
      <c r="I87" s="42" t="s">
        <v>147</v>
      </c>
      <c r="J87" s="103" t="s">
        <v>3611</v>
      </c>
      <c r="K87" s="42" t="s">
        <v>4033</v>
      </c>
      <c r="L87" s="42" t="str">
        <f>VLOOKUP(Table7[[#This Row],[Baseline Fixture Code]], 'Tables &amp; Ranges'!$A$114:$B$132, 2, FALSE)</f>
        <v>N/A</v>
      </c>
    </row>
    <row r="88" spans="2:12" ht="40" customHeight="1">
      <c r="B88" s="42">
        <v>644</v>
      </c>
      <c r="C88" s="102" t="s">
        <v>1436</v>
      </c>
      <c r="D88" s="102" t="s">
        <v>1430</v>
      </c>
      <c r="E88" s="92" t="s">
        <v>1437</v>
      </c>
      <c r="F88" s="42">
        <v>2</v>
      </c>
      <c r="G88" s="42">
        <v>3</v>
      </c>
      <c r="H88" s="42">
        <v>6</v>
      </c>
      <c r="I88" s="42" t="s">
        <v>147</v>
      </c>
      <c r="J88" s="103" t="s">
        <v>3611</v>
      </c>
      <c r="K88" s="42" t="s">
        <v>4033</v>
      </c>
      <c r="L88" s="42" t="str">
        <f>VLOOKUP(Table7[[#This Row],[Baseline Fixture Code]], 'Tables &amp; Ranges'!$A$114:$B$132, 2, FALSE)</f>
        <v>N/A</v>
      </c>
    </row>
    <row r="89" spans="2:12" ht="40" customHeight="1">
      <c r="B89" s="42">
        <v>645</v>
      </c>
      <c r="C89" s="102" t="s">
        <v>1438</v>
      </c>
      <c r="D89" s="102" t="s">
        <v>1430</v>
      </c>
      <c r="E89" s="92" t="s">
        <v>1439</v>
      </c>
      <c r="F89" s="42">
        <v>1</v>
      </c>
      <c r="G89" s="42">
        <v>4</v>
      </c>
      <c r="H89" s="42">
        <v>4</v>
      </c>
      <c r="I89" s="42" t="s">
        <v>147</v>
      </c>
      <c r="J89" s="103" t="s">
        <v>3611</v>
      </c>
      <c r="K89" s="42" t="s">
        <v>4033</v>
      </c>
      <c r="L89" s="42" t="str">
        <f>VLOOKUP(Table7[[#This Row],[Baseline Fixture Code]], 'Tables &amp; Ranges'!$A$114:$B$132, 2, FALSE)</f>
        <v>N/A</v>
      </c>
    </row>
    <row r="90" spans="2:12" ht="40" customHeight="1">
      <c r="B90" s="42">
        <v>646</v>
      </c>
      <c r="C90" s="102" t="s">
        <v>1440</v>
      </c>
      <c r="D90" s="102" t="s">
        <v>1430</v>
      </c>
      <c r="E90" s="92" t="s">
        <v>1441</v>
      </c>
      <c r="F90" s="42">
        <v>2</v>
      </c>
      <c r="G90" s="42">
        <v>4</v>
      </c>
      <c r="H90" s="42">
        <v>8</v>
      </c>
      <c r="I90" s="42" t="s">
        <v>147</v>
      </c>
      <c r="J90" s="103" t="s">
        <v>3611</v>
      </c>
      <c r="K90" s="42" t="s">
        <v>4033</v>
      </c>
      <c r="L90" s="42" t="str">
        <f>VLOOKUP(Table7[[#This Row],[Baseline Fixture Code]], 'Tables &amp; Ranges'!$A$114:$B$132, 2, FALSE)</f>
        <v>N/A</v>
      </c>
    </row>
    <row r="91" spans="2:12" ht="40" customHeight="1">
      <c r="B91" s="42">
        <v>647</v>
      </c>
      <c r="C91" s="102" t="s">
        <v>1442</v>
      </c>
      <c r="D91" s="102" t="s">
        <v>1430</v>
      </c>
      <c r="E91" s="92" t="s">
        <v>1443</v>
      </c>
      <c r="F91" s="42">
        <v>1</v>
      </c>
      <c r="G91" s="42">
        <v>5</v>
      </c>
      <c r="H91" s="42">
        <v>5</v>
      </c>
      <c r="I91" s="42" t="s">
        <v>147</v>
      </c>
      <c r="J91" s="103" t="s">
        <v>3611</v>
      </c>
      <c r="K91" s="42" t="s">
        <v>4033</v>
      </c>
      <c r="L91" s="42" t="str">
        <f>VLOOKUP(Table7[[#This Row],[Baseline Fixture Code]], 'Tables &amp; Ranges'!$A$114:$B$132, 2, FALSE)</f>
        <v>N/A</v>
      </c>
    </row>
    <row r="92" spans="2:12" ht="40" customHeight="1">
      <c r="B92" s="42">
        <v>648</v>
      </c>
      <c r="C92" s="102" t="s">
        <v>1444</v>
      </c>
      <c r="D92" s="102" t="s">
        <v>1430</v>
      </c>
      <c r="E92" s="92" t="s">
        <v>1445</v>
      </c>
      <c r="F92" s="42">
        <v>2</v>
      </c>
      <c r="G92" s="42">
        <v>5</v>
      </c>
      <c r="H92" s="42">
        <v>10</v>
      </c>
      <c r="I92" s="42" t="s">
        <v>147</v>
      </c>
      <c r="J92" s="103" t="s">
        <v>3611</v>
      </c>
      <c r="K92" s="42" t="s">
        <v>4033</v>
      </c>
      <c r="L92" s="42" t="str">
        <f>VLOOKUP(Table7[[#This Row],[Baseline Fixture Code]], 'Tables &amp; Ranges'!$A$114:$B$132, 2, FALSE)</f>
        <v>N/A</v>
      </c>
    </row>
    <row r="93" spans="2:12" ht="40" customHeight="1">
      <c r="B93" s="42">
        <v>649</v>
      </c>
      <c r="C93" s="102" t="s">
        <v>1446</v>
      </c>
      <c r="D93" s="102" t="s">
        <v>1430</v>
      </c>
      <c r="E93" s="92" t="s">
        <v>1447</v>
      </c>
      <c r="F93" s="42">
        <v>1</v>
      </c>
      <c r="G93" s="42">
        <v>8</v>
      </c>
      <c r="H93" s="42">
        <v>8</v>
      </c>
      <c r="I93" s="42" t="s">
        <v>147</v>
      </c>
      <c r="J93" s="103" t="s">
        <v>3611</v>
      </c>
      <c r="K93" s="42" t="s">
        <v>4033</v>
      </c>
      <c r="L93" s="42" t="str">
        <f>VLOOKUP(Table7[[#This Row],[Baseline Fixture Code]], 'Tables &amp; Ranges'!$A$114:$B$132, 2, FALSE)</f>
        <v>N/A</v>
      </c>
    </row>
    <row r="94" spans="2:12" ht="40" customHeight="1">
      <c r="B94" s="42">
        <v>650</v>
      </c>
      <c r="C94" s="102" t="s">
        <v>1448</v>
      </c>
      <c r="D94" s="102" t="s">
        <v>1430</v>
      </c>
      <c r="E94" s="92" t="s">
        <v>1449</v>
      </c>
      <c r="F94" s="42">
        <v>2</v>
      </c>
      <c r="G94" s="42">
        <v>8</v>
      </c>
      <c r="H94" s="42">
        <v>16</v>
      </c>
      <c r="I94" s="42" t="s">
        <v>147</v>
      </c>
      <c r="J94" s="103" t="s">
        <v>3611</v>
      </c>
      <c r="K94" s="42" t="s">
        <v>4033</v>
      </c>
      <c r="L94" s="42" t="str">
        <f>VLOOKUP(Table7[[#This Row],[Baseline Fixture Code]], 'Tables &amp; Ranges'!$A$114:$B$132, 2, FALSE)</f>
        <v>N/A</v>
      </c>
    </row>
    <row r="95" spans="2:12" ht="40" customHeight="1">
      <c r="B95" s="42">
        <v>653</v>
      </c>
      <c r="C95" s="102" t="s">
        <v>1454</v>
      </c>
      <c r="D95" s="102" t="s">
        <v>1455</v>
      </c>
      <c r="E95" s="92" t="s">
        <v>1456</v>
      </c>
      <c r="F95" s="42">
        <v>1</v>
      </c>
      <c r="G95" s="42">
        <v>10</v>
      </c>
      <c r="H95" s="42">
        <v>16</v>
      </c>
      <c r="I95" s="42" t="s">
        <v>1457</v>
      </c>
      <c r="J95" s="103" t="s">
        <v>3611</v>
      </c>
      <c r="K95" s="42" t="s">
        <v>4053</v>
      </c>
      <c r="L95" s="42">
        <f>VLOOKUP(Table7[[#This Row],[Baseline Fixture Code]], 'Tables &amp; Ranges'!$A$114:$B$132, 2, FALSE)</f>
        <v>101137</v>
      </c>
    </row>
    <row r="96" spans="2:12" ht="40" customHeight="1">
      <c r="B96" s="42">
        <v>654</v>
      </c>
      <c r="C96" s="102" t="s">
        <v>1458</v>
      </c>
      <c r="D96" s="102" t="s">
        <v>1455</v>
      </c>
      <c r="E96" s="92" t="s">
        <v>1456</v>
      </c>
      <c r="F96" s="42">
        <v>1</v>
      </c>
      <c r="G96" s="42">
        <v>10</v>
      </c>
      <c r="H96" s="42">
        <v>14</v>
      </c>
      <c r="I96" s="42" t="s">
        <v>147</v>
      </c>
      <c r="J96" s="103" t="s">
        <v>3611</v>
      </c>
      <c r="K96" s="42" t="s">
        <v>4054</v>
      </c>
      <c r="L96" s="42">
        <f>VLOOKUP(Table7[[#This Row],[Baseline Fixture Code]], 'Tables &amp; Ranges'!$A$114:$B$132, 2, FALSE)</f>
        <v>101137</v>
      </c>
    </row>
    <row r="97" spans="2:12" ht="40" customHeight="1">
      <c r="B97" s="42">
        <v>655</v>
      </c>
      <c r="C97" s="102" t="s">
        <v>1459</v>
      </c>
      <c r="D97" s="102" t="s">
        <v>1455</v>
      </c>
      <c r="E97" s="92" t="s">
        <v>1460</v>
      </c>
      <c r="F97" s="42">
        <v>1</v>
      </c>
      <c r="G97" s="42">
        <v>16</v>
      </c>
      <c r="H97" s="42">
        <v>26</v>
      </c>
      <c r="I97" s="42" t="s">
        <v>1457</v>
      </c>
      <c r="J97" s="103" t="s">
        <v>3611</v>
      </c>
      <c r="K97" s="42" t="s">
        <v>4053</v>
      </c>
      <c r="L97" s="42">
        <f>VLOOKUP(Table7[[#This Row],[Baseline Fixture Code]], 'Tables &amp; Ranges'!$A$114:$B$132, 2, FALSE)</f>
        <v>101137</v>
      </c>
    </row>
    <row r="98" spans="2:12" ht="40" customHeight="1">
      <c r="B98" s="42">
        <v>656</v>
      </c>
      <c r="C98" s="102" t="s">
        <v>1461</v>
      </c>
      <c r="D98" s="102" t="s">
        <v>1455</v>
      </c>
      <c r="E98" s="92" t="s">
        <v>1460</v>
      </c>
      <c r="F98" s="42">
        <v>1</v>
      </c>
      <c r="G98" s="42">
        <v>16</v>
      </c>
      <c r="H98" s="42">
        <v>18</v>
      </c>
      <c r="I98" s="42" t="s">
        <v>147</v>
      </c>
      <c r="J98" s="103" t="s">
        <v>3611</v>
      </c>
      <c r="K98" s="42" t="s">
        <v>4054</v>
      </c>
      <c r="L98" s="42">
        <f>VLOOKUP(Table7[[#This Row],[Baseline Fixture Code]], 'Tables &amp; Ranges'!$A$114:$B$132, 2, FALSE)</f>
        <v>101137</v>
      </c>
    </row>
    <row r="99" spans="2:12" ht="40" customHeight="1">
      <c r="B99" s="42">
        <v>657</v>
      </c>
      <c r="C99" s="102" t="s">
        <v>1462</v>
      </c>
      <c r="D99" s="102" t="s">
        <v>1455</v>
      </c>
      <c r="E99" s="92" t="s">
        <v>1463</v>
      </c>
      <c r="F99" s="42">
        <v>1</v>
      </c>
      <c r="G99" s="42">
        <v>21</v>
      </c>
      <c r="H99" s="42">
        <v>26</v>
      </c>
      <c r="I99" s="42" t="s">
        <v>1457</v>
      </c>
      <c r="J99" s="103" t="s">
        <v>3611</v>
      </c>
      <c r="K99" s="42" t="s">
        <v>4053</v>
      </c>
      <c r="L99" s="42">
        <f>VLOOKUP(Table7[[#This Row],[Baseline Fixture Code]], 'Tables &amp; Ranges'!$A$114:$B$132, 2, FALSE)</f>
        <v>101137</v>
      </c>
    </row>
    <row r="100" spans="2:12" ht="40" customHeight="1">
      <c r="B100" s="42">
        <v>658</v>
      </c>
      <c r="C100" s="102" t="s">
        <v>1464</v>
      </c>
      <c r="D100" s="102" t="s">
        <v>1455</v>
      </c>
      <c r="E100" s="92" t="s">
        <v>1463</v>
      </c>
      <c r="F100" s="42">
        <v>1</v>
      </c>
      <c r="G100" s="42">
        <v>21</v>
      </c>
      <c r="H100" s="42">
        <v>22</v>
      </c>
      <c r="I100" s="42" t="s">
        <v>147</v>
      </c>
      <c r="J100" s="103" t="s">
        <v>3611</v>
      </c>
      <c r="K100" s="42" t="s">
        <v>4054</v>
      </c>
      <c r="L100" s="42">
        <f>VLOOKUP(Table7[[#This Row],[Baseline Fixture Code]], 'Tables &amp; Ranges'!$A$114:$B$132, 2, FALSE)</f>
        <v>101137</v>
      </c>
    </row>
    <row r="101" spans="2:12" ht="40" customHeight="1">
      <c r="B101" s="42">
        <v>659</v>
      </c>
      <c r="C101" s="102" t="s">
        <v>1465</v>
      </c>
      <c r="D101" s="102" t="s">
        <v>1455</v>
      </c>
      <c r="E101" s="92" t="s">
        <v>1466</v>
      </c>
      <c r="F101" s="42">
        <v>1</v>
      </c>
      <c r="G101" s="42">
        <v>28</v>
      </c>
      <c r="H101" s="42">
        <v>35</v>
      </c>
      <c r="I101" s="42" t="s">
        <v>1457</v>
      </c>
      <c r="J101" s="103" t="s">
        <v>3611</v>
      </c>
      <c r="K101" s="42" t="s">
        <v>4053</v>
      </c>
      <c r="L101" s="42">
        <f>VLOOKUP(Table7[[#This Row],[Baseline Fixture Code]], 'Tables &amp; Ranges'!$A$114:$B$132, 2, FALSE)</f>
        <v>101137</v>
      </c>
    </row>
    <row r="102" spans="2:12" ht="40" customHeight="1">
      <c r="B102" s="42">
        <v>660</v>
      </c>
      <c r="C102" s="102" t="s">
        <v>1467</v>
      </c>
      <c r="D102" s="102" t="s">
        <v>1455</v>
      </c>
      <c r="E102" s="92" t="s">
        <v>1466</v>
      </c>
      <c r="F102" s="42">
        <v>1</v>
      </c>
      <c r="G102" s="42">
        <v>28</v>
      </c>
      <c r="H102" s="42">
        <v>29</v>
      </c>
      <c r="I102" s="42" t="s">
        <v>147</v>
      </c>
      <c r="J102" s="103" t="s">
        <v>3611</v>
      </c>
      <c r="K102" s="42" t="s">
        <v>4054</v>
      </c>
      <c r="L102" s="42">
        <f>VLOOKUP(Table7[[#This Row],[Baseline Fixture Code]], 'Tables &amp; Ranges'!$A$114:$B$132, 2, FALSE)</f>
        <v>101137</v>
      </c>
    </row>
    <row r="103" spans="2:12" ht="40" customHeight="1">
      <c r="B103" s="42">
        <v>661</v>
      </c>
      <c r="C103" s="102" t="s">
        <v>1468</v>
      </c>
      <c r="D103" s="102" t="s">
        <v>1455</v>
      </c>
      <c r="E103" s="92" t="s">
        <v>1469</v>
      </c>
      <c r="F103" s="42">
        <v>1</v>
      </c>
      <c r="G103" s="42">
        <v>38</v>
      </c>
      <c r="H103" s="42">
        <v>46</v>
      </c>
      <c r="I103" s="42" t="s">
        <v>1457</v>
      </c>
      <c r="J103" s="103" t="s">
        <v>3611</v>
      </c>
      <c r="K103" s="42" t="s">
        <v>4053</v>
      </c>
      <c r="L103" s="42">
        <f>VLOOKUP(Table7[[#This Row],[Baseline Fixture Code]], 'Tables &amp; Ranges'!$A$114:$B$132, 2, FALSE)</f>
        <v>101137</v>
      </c>
    </row>
    <row r="104" spans="2:12" ht="40" customHeight="1">
      <c r="B104" s="42">
        <v>662</v>
      </c>
      <c r="C104" s="102" t="s">
        <v>1470</v>
      </c>
      <c r="D104" s="102" t="s">
        <v>1455</v>
      </c>
      <c r="E104" s="92" t="s">
        <v>1469</v>
      </c>
      <c r="F104" s="42">
        <v>1</v>
      </c>
      <c r="G104" s="42">
        <v>38</v>
      </c>
      <c r="H104" s="42">
        <v>32</v>
      </c>
      <c r="I104" s="42" t="s">
        <v>147</v>
      </c>
      <c r="J104" s="103" t="s">
        <v>3611</v>
      </c>
      <c r="K104" s="42" t="s">
        <v>4054</v>
      </c>
      <c r="L104" s="42">
        <f>VLOOKUP(Table7[[#This Row],[Baseline Fixture Code]], 'Tables &amp; Ranges'!$A$114:$B$132, 2, FALSE)</f>
        <v>101137</v>
      </c>
    </row>
    <row r="105" spans="2:12" ht="40" customHeight="1">
      <c r="B105" s="42">
        <v>663</v>
      </c>
      <c r="C105" s="102" t="s">
        <v>1471</v>
      </c>
      <c r="D105" s="102" t="s">
        <v>1455</v>
      </c>
      <c r="E105" s="92" t="s">
        <v>1472</v>
      </c>
      <c r="F105" s="42">
        <v>1</v>
      </c>
      <c r="G105" s="42">
        <v>13</v>
      </c>
      <c r="H105" s="42">
        <v>13</v>
      </c>
      <c r="I105" s="42" t="s">
        <v>147</v>
      </c>
      <c r="J105" s="103" t="s">
        <v>3611</v>
      </c>
      <c r="K105" s="42" t="s">
        <v>4053</v>
      </c>
      <c r="L105" s="42">
        <f>VLOOKUP(Table7[[#This Row],[Baseline Fixture Code]], 'Tables &amp; Ranges'!$A$114:$B$132, 2, FALSE)</f>
        <v>101137</v>
      </c>
    </row>
    <row r="106" spans="2:12" ht="40" customHeight="1">
      <c r="B106" s="42">
        <v>664</v>
      </c>
      <c r="C106" s="102" t="s">
        <v>1473</v>
      </c>
      <c r="D106" s="102" t="s">
        <v>1455</v>
      </c>
      <c r="E106" s="92" t="s">
        <v>1474</v>
      </c>
      <c r="F106" s="42">
        <v>1</v>
      </c>
      <c r="G106" s="42">
        <v>18</v>
      </c>
      <c r="H106" s="42">
        <v>18</v>
      </c>
      <c r="I106" s="42" t="s">
        <v>147</v>
      </c>
      <c r="J106" s="103" t="s">
        <v>3611</v>
      </c>
      <c r="K106" s="42" t="s">
        <v>4054</v>
      </c>
      <c r="L106" s="42">
        <f>VLOOKUP(Table7[[#This Row],[Baseline Fixture Code]], 'Tables &amp; Ranges'!$A$114:$B$132, 2, FALSE)</f>
        <v>101137</v>
      </c>
    </row>
    <row r="107" spans="2:12" ht="40" customHeight="1">
      <c r="B107" s="42">
        <v>665</v>
      </c>
      <c r="C107" s="102" t="s">
        <v>1475</v>
      </c>
      <c r="D107" s="102" t="s">
        <v>1455</v>
      </c>
      <c r="E107" s="92" t="s">
        <v>1476</v>
      </c>
      <c r="F107" s="42">
        <v>1</v>
      </c>
      <c r="G107" s="42">
        <v>23</v>
      </c>
      <c r="H107" s="42">
        <v>23</v>
      </c>
      <c r="I107" s="42" t="s">
        <v>147</v>
      </c>
      <c r="J107" s="103" t="s">
        <v>3611</v>
      </c>
      <c r="K107" s="42" t="s">
        <v>4053</v>
      </c>
      <c r="L107" s="42">
        <f>VLOOKUP(Table7[[#This Row],[Baseline Fixture Code]], 'Tables &amp; Ranges'!$A$114:$B$132, 2, FALSE)</f>
        <v>101137</v>
      </c>
    </row>
    <row r="108" spans="2:12" ht="40" customHeight="1">
      <c r="B108" s="42">
        <v>666</v>
      </c>
      <c r="C108" s="102" t="s">
        <v>1477</v>
      </c>
      <c r="D108" s="102" t="s">
        <v>1455</v>
      </c>
      <c r="E108" s="92" t="s">
        <v>1478</v>
      </c>
      <c r="F108" s="42">
        <v>1</v>
      </c>
      <c r="G108" s="42">
        <v>26</v>
      </c>
      <c r="H108" s="42">
        <v>26</v>
      </c>
      <c r="I108" s="42" t="s">
        <v>147</v>
      </c>
      <c r="J108" s="103" t="s">
        <v>3611</v>
      </c>
      <c r="K108" s="42" t="s">
        <v>4054</v>
      </c>
      <c r="L108" s="42">
        <f>VLOOKUP(Table7[[#This Row],[Baseline Fixture Code]], 'Tables &amp; Ranges'!$A$114:$B$132, 2, FALSE)</f>
        <v>101137</v>
      </c>
    </row>
    <row r="109" spans="2:12" ht="40" customHeight="1">
      <c r="B109" s="42">
        <v>667</v>
      </c>
      <c r="C109" s="102" t="s">
        <v>1479</v>
      </c>
      <c r="D109" s="102" t="s">
        <v>1455</v>
      </c>
      <c r="E109" s="92" t="s">
        <v>1480</v>
      </c>
      <c r="F109" s="42">
        <v>1</v>
      </c>
      <c r="G109" s="42">
        <v>32</v>
      </c>
      <c r="H109" s="42">
        <v>32</v>
      </c>
      <c r="I109" s="42" t="s">
        <v>147</v>
      </c>
      <c r="J109" s="103" t="s">
        <v>3611</v>
      </c>
      <c r="K109" s="42" t="s">
        <v>4053</v>
      </c>
      <c r="L109" s="42">
        <f>VLOOKUP(Table7[[#This Row],[Baseline Fixture Code]], 'Tables &amp; Ranges'!$A$114:$B$132, 2, FALSE)</f>
        <v>101137</v>
      </c>
    </row>
    <row r="110" spans="2:12" ht="40" customHeight="1">
      <c r="B110" s="42">
        <v>668</v>
      </c>
      <c r="C110" s="102" t="s">
        <v>1481</v>
      </c>
      <c r="D110" s="102" t="s">
        <v>1455</v>
      </c>
      <c r="E110" s="92" t="s">
        <v>1482</v>
      </c>
      <c r="F110" s="42">
        <v>1</v>
      </c>
      <c r="G110" s="42">
        <v>42</v>
      </c>
      <c r="H110" s="42">
        <v>42</v>
      </c>
      <c r="I110" s="42" t="s">
        <v>147</v>
      </c>
      <c r="J110" s="103" t="s">
        <v>3611</v>
      </c>
      <c r="K110" s="42" t="s">
        <v>4054</v>
      </c>
      <c r="L110" s="42">
        <f>VLOOKUP(Table7[[#This Row],[Baseline Fixture Code]], 'Tables &amp; Ranges'!$A$114:$B$132, 2, FALSE)</f>
        <v>101137</v>
      </c>
    </row>
    <row r="111" spans="2:12" ht="40" customHeight="1">
      <c r="B111" s="42">
        <v>686</v>
      </c>
      <c r="C111" s="102" t="s">
        <v>1517</v>
      </c>
      <c r="D111" s="102" t="s">
        <v>1455</v>
      </c>
      <c r="E111" s="92" t="s">
        <v>1518</v>
      </c>
      <c r="F111" s="42">
        <v>1</v>
      </c>
      <c r="G111" s="42">
        <v>120</v>
      </c>
      <c r="H111" s="42">
        <v>135</v>
      </c>
      <c r="I111" s="42" t="s">
        <v>147</v>
      </c>
      <c r="J111" s="103" t="s">
        <v>3611</v>
      </c>
      <c r="K111" s="42" t="s">
        <v>4053</v>
      </c>
      <c r="L111" s="42">
        <f>VLOOKUP(Table7[[#This Row],[Baseline Fixture Code]], 'Tables &amp; Ranges'!$A$114:$B$132, 2, FALSE)</f>
        <v>101137</v>
      </c>
    </row>
    <row r="112" spans="2:12" ht="40" customHeight="1">
      <c r="B112" s="42">
        <v>669</v>
      </c>
      <c r="C112" s="102" t="s">
        <v>1483</v>
      </c>
      <c r="D112" s="102" t="s">
        <v>1455</v>
      </c>
      <c r="E112" s="92" t="s">
        <v>1484</v>
      </c>
      <c r="F112" s="42">
        <v>1</v>
      </c>
      <c r="G112" s="42">
        <v>13</v>
      </c>
      <c r="H112" s="42">
        <v>16</v>
      </c>
      <c r="I112" s="42" t="s">
        <v>147</v>
      </c>
      <c r="J112" s="103" t="s">
        <v>3611</v>
      </c>
      <c r="K112" s="42" t="s">
        <v>4054</v>
      </c>
      <c r="L112" s="42">
        <f>VLOOKUP(Table7[[#This Row],[Baseline Fixture Code]], 'Tables &amp; Ranges'!$A$114:$B$132, 2, FALSE)</f>
        <v>101137</v>
      </c>
    </row>
    <row r="113" spans="2:12" ht="40" customHeight="1">
      <c r="B113" s="42">
        <v>670</v>
      </c>
      <c r="C113" s="102" t="s">
        <v>1485</v>
      </c>
      <c r="D113" s="102" t="s">
        <v>1455</v>
      </c>
      <c r="E113" s="92" t="s">
        <v>1486</v>
      </c>
      <c r="F113" s="42">
        <v>2</v>
      </c>
      <c r="G113" s="42">
        <v>13</v>
      </c>
      <c r="H113" s="42">
        <v>30</v>
      </c>
      <c r="I113" s="42" t="s">
        <v>147</v>
      </c>
      <c r="J113" s="103" t="s">
        <v>3611</v>
      </c>
      <c r="K113" s="42" t="s">
        <v>4053</v>
      </c>
      <c r="L113" s="42">
        <f>VLOOKUP(Table7[[#This Row],[Baseline Fixture Code]], 'Tables &amp; Ranges'!$A$114:$B$132, 2, FALSE)</f>
        <v>101137</v>
      </c>
    </row>
    <row r="114" spans="2:12" ht="40" customHeight="1">
      <c r="B114" s="42">
        <v>671</v>
      </c>
      <c r="C114" s="102" t="s">
        <v>1487</v>
      </c>
      <c r="D114" s="102" t="s">
        <v>1455</v>
      </c>
      <c r="E114" s="92" t="s">
        <v>1488</v>
      </c>
      <c r="F114" s="42">
        <v>1</v>
      </c>
      <c r="G114" s="42">
        <v>15</v>
      </c>
      <c r="H114" s="42">
        <v>18</v>
      </c>
      <c r="I114" s="42" t="s">
        <v>147</v>
      </c>
      <c r="J114" s="103" t="s">
        <v>3611</v>
      </c>
      <c r="K114" s="42" t="s">
        <v>4054</v>
      </c>
      <c r="L114" s="42">
        <f>VLOOKUP(Table7[[#This Row],[Baseline Fixture Code]], 'Tables &amp; Ranges'!$A$114:$B$132, 2, FALSE)</f>
        <v>101137</v>
      </c>
    </row>
    <row r="115" spans="2:12" ht="40" customHeight="1">
      <c r="B115" s="42">
        <v>672</v>
      </c>
      <c r="C115" s="102" t="s">
        <v>1489</v>
      </c>
      <c r="D115" s="102" t="s">
        <v>1455</v>
      </c>
      <c r="E115" s="92" t="s">
        <v>1490</v>
      </c>
      <c r="F115" s="42">
        <v>1</v>
      </c>
      <c r="G115" s="42">
        <v>18</v>
      </c>
      <c r="H115" s="42">
        <v>20</v>
      </c>
      <c r="I115" s="42" t="s">
        <v>147</v>
      </c>
      <c r="J115" s="103" t="s">
        <v>3611</v>
      </c>
      <c r="K115" s="42" t="s">
        <v>4053</v>
      </c>
      <c r="L115" s="42">
        <f>VLOOKUP(Table7[[#This Row],[Baseline Fixture Code]], 'Tables &amp; Ranges'!$A$114:$B$132, 2, FALSE)</f>
        <v>101137</v>
      </c>
    </row>
    <row r="116" spans="2:12" ht="40" customHeight="1">
      <c r="B116" s="42">
        <v>673</v>
      </c>
      <c r="C116" s="102" t="s">
        <v>1491</v>
      </c>
      <c r="D116" s="102" t="s">
        <v>1455</v>
      </c>
      <c r="E116" s="92" t="s">
        <v>1492</v>
      </c>
      <c r="F116" s="42">
        <v>2</v>
      </c>
      <c r="G116" s="42">
        <v>18</v>
      </c>
      <c r="H116" s="42">
        <v>40</v>
      </c>
      <c r="I116" s="42" t="s">
        <v>147</v>
      </c>
      <c r="J116" s="103" t="s">
        <v>3611</v>
      </c>
      <c r="K116" s="42" t="s">
        <v>4054</v>
      </c>
      <c r="L116" s="42">
        <f>VLOOKUP(Table7[[#This Row],[Baseline Fixture Code]], 'Tables &amp; Ranges'!$A$114:$B$132, 2, FALSE)</f>
        <v>101137</v>
      </c>
    </row>
    <row r="117" spans="2:12" ht="40" customHeight="1">
      <c r="B117" s="42">
        <v>674</v>
      </c>
      <c r="C117" s="102" t="s">
        <v>1493</v>
      </c>
      <c r="D117" s="102" t="s">
        <v>1455</v>
      </c>
      <c r="E117" s="92" t="s">
        <v>1494</v>
      </c>
      <c r="F117" s="42">
        <v>1</v>
      </c>
      <c r="G117" s="42">
        <v>21</v>
      </c>
      <c r="H117" s="42">
        <v>23</v>
      </c>
      <c r="I117" s="42" t="s">
        <v>147</v>
      </c>
      <c r="J117" s="103" t="s">
        <v>3611</v>
      </c>
      <c r="K117" s="42" t="s">
        <v>4053</v>
      </c>
      <c r="L117" s="42">
        <f>VLOOKUP(Table7[[#This Row],[Baseline Fixture Code]], 'Tables &amp; Ranges'!$A$114:$B$132, 2, FALSE)</f>
        <v>101137</v>
      </c>
    </row>
    <row r="118" spans="2:12" ht="40" customHeight="1">
      <c r="B118" s="42">
        <v>675</v>
      </c>
      <c r="C118" s="102" t="s">
        <v>1495</v>
      </c>
      <c r="D118" s="102" t="s">
        <v>1455</v>
      </c>
      <c r="E118" s="92" t="s">
        <v>1496</v>
      </c>
      <c r="F118" s="42">
        <v>1</v>
      </c>
      <c r="G118" s="42">
        <v>26</v>
      </c>
      <c r="H118" s="42">
        <v>29</v>
      </c>
      <c r="I118" s="42" t="s">
        <v>147</v>
      </c>
      <c r="J118" s="103" t="s">
        <v>3611</v>
      </c>
      <c r="K118" s="42" t="s">
        <v>4054</v>
      </c>
      <c r="L118" s="42">
        <f>VLOOKUP(Table7[[#This Row],[Baseline Fixture Code]], 'Tables &amp; Ranges'!$A$114:$B$132, 2, FALSE)</f>
        <v>101137</v>
      </c>
    </row>
    <row r="119" spans="2:12" ht="40" customHeight="1">
      <c r="B119" s="42">
        <v>676</v>
      </c>
      <c r="C119" s="102" t="s">
        <v>1497</v>
      </c>
      <c r="D119" s="102" t="s">
        <v>1455</v>
      </c>
      <c r="E119" s="92" t="s">
        <v>1498</v>
      </c>
      <c r="F119" s="42">
        <v>2</v>
      </c>
      <c r="G119" s="42">
        <v>26</v>
      </c>
      <c r="H119" s="42">
        <v>51</v>
      </c>
      <c r="I119" s="42" t="s">
        <v>147</v>
      </c>
      <c r="J119" s="103" t="s">
        <v>3611</v>
      </c>
      <c r="K119" s="42" t="s">
        <v>4053</v>
      </c>
      <c r="L119" s="42">
        <f>VLOOKUP(Table7[[#This Row],[Baseline Fixture Code]], 'Tables &amp; Ranges'!$A$114:$B$132, 2, FALSE)</f>
        <v>101137</v>
      </c>
    </row>
    <row r="120" spans="2:12" ht="40" customHeight="1">
      <c r="B120" s="42">
        <v>677</v>
      </c>
      <c r="C120" s="102" t="s">
        <v>1499</v>
      </c>
      <c r="D120" s="102" t="s">
        <v>1455</v>
      </c>
      <c r="E120" s="92" t="s">
        <v>1500</v>
      </c>
      <c r="F120" s="42">
        <v>1</v>
      </c>
      <c r="G120" s="42">
        <v>28</v>
      </c>
      <c r="H120" s="42">
        <v>31</v>
      </c>
      <c r="I120" s="42" t="s">
        <v>147</v>
      </c>
      <c r="J120" s="103" t="s">
        <v>3611</v>
      </c>
      <c r="K120" s="42" t="s">
        <v>4054</v>
      </c>
      <c r="L120" s="42">
        <f>VLOOKUP(Table7[[#This Row],[Baseline Fixture Code]], 'Tables &amp; Ranges'!$A$114:$B$132, 2, FALSE)</f>
        <v>101137</v>
      </c>
    </row>
    <row r="121" spans="2:12" ht="40" customHeight="1">
      <c r="B121" s="42">
        <v>678</v>
      </c>
      <c r="C121" s="102" t="s">
        <v>1501</v>
      </c>
      <c r="D121" s="102" t="s">
        <v>1455</v>
      </c>
      <c r="E121" s="92" t="s">
        <v>1502</v>
      </c>
      <c r="F121" s="42">
        <v>1</v>
      </c>
      <c r="G121" s="42">
        <v>32</v>
      </c>
      <c r="H121" s="42">
        <v>35</v>
      </c>
      <c r="I121" s="42" t="s">
        <v>147</v>
      </c>
      <c r="J121" s="103" t="s">
        <v>3611</v>
      </c>
      <c r="K121" s="42" t="s">
        <v>4053</v>
      </c>
      <c r="L121" s="42">
        <f>VLOOKUP(Table7[[#This Row],[Baseline Fixture Code]], 'Tables &amp; Ranges'!$A$114:$B$132, 2, FALSE)</f>
        <v>101137</v>
      </c>
    </row>
    <row r="122" spans="2:12" ht="40" customHeight="1">
      <c r="B122" s="42">
        <v>679</v>
      </c>
      <c r="C122" s="102" t="s">
        <v>1503</v>
      </c>
      <c r="D122" s="102" t="s">
        <v>1455</v>
      </c>
      <c r="E122" s="92" t="s">
        <v>1504</v>
      </c>
      <c r="F122" s="42">
        <v>1</v>
      </c>
      <c r="G122" s="42">
        <v>42</v>
      </c>
      <c r="H122" s="42">
        <v>46</v>
      </c>
      <c r="I122" s="42" t="s">
        <v>147</v>
      </c>
      <c r="J122" s="103" t="s">
        <v>3611</v>
      </c>
      <c r="K122" s="42" t="s">
        <v>4054</v>
      </c>
      <c r="L122" s="42">
        <f>VLOOKUP(Table7[[#This Row],[Baseline Fixture Code]], 'Tables &amp; Ranges'!$A$114:$B$132, 2, FALSE)</f>
        <v>101137</v>
      </c>
    </row>
    <row r="123" spans="2:12" ht="40" customHeight="1">
      <c r="B123" s="42">
        <v>680</v>
      </c>
      <c r="C123" s="102" t="s">
        <v>1505</v>
      </c>
      <c r="D123" s="102" t="s">
        <v>1455</v>
      </c>
      <c r="E123" s="92" t="s">
        <v>1506</v>
      </c>
      <c r="F123" s="42">
        <v>2</v>
      </c>
      <c r="G123" s="42">
        <v>42</v>
      </c>
      <c r="H123" s="42">
        <v>93</v>
      </c>
      <c r="I123" s="42" t="s">
        <v>147</v>
      </c>
      <c r="J123" s="103" t="s">
        <v>3611</v>
      </c>
      <c r="K123" s="42" t="s">
        <v>4053</v>
      </c>
      <c r="L123" s="42">
        <f>VLOOKUP(Table7[[#This Row],[Baseline Fixture Code]], 'Tables &amp; Ranges'!$A$114:$B$132, 2, FALSE)</f>
        <v>101137</v>
      </c>
    </row>
    <row r="124" spans="2:12" ht="40" customHeight="1">
      <c r="B124" s="42">
        <v>681</v>
      </c>
      <c r="C124" s="102" t="s">
        <v>1507</v>
      </c>
      <c r="D124" s="102" t="s">
        <v>1455</v>
      </c>
      <c r="E124" s="92" t="s">
        <v>1508</v>
      </c>
      <c r="F124" s="42">
        <v>8</v>
      </c>
      <c r="G124" s="42">
        <v>42</v>
      </c>
      <c r="H124" s="42">
        <v>372</v>
      </c>
      <c r="I124" s="42" t="s">
        <v>147</v>
      </c>
      <c r="J124" s="103" t="s">
        <v>3611</v>
      </c>
      <c r="K124" s="42" t="s">
        <v>4054</v>
      </c>
      <c r="L124" s="42">
        <f>VLOOKUP(Table7[[#This Row],[Baseline Fixture Code]], 'Tables &amp; Ranges'!$A$114:$B$132, 2, FALSE)</f>
        <v>101137</v>
      </c>
    </row>
    <row r="125" spans="2:12" ht="40" customHeight="1">
      <c r="B125" s="42">
        <v>682</v>
      </c>
      <c r="C125" s="102" t="s">
        <v>1509</v>
      </c>
      <c r="D125" s="102" t="s">
        <v>1455</v>
      </c>
      <c r="E125" s="92" t="s">
        <v>1510</v>
      </c>
      <c r="F125" s="42">
        <v>1</v>
      </c>
      <c r="G125" s="42">
        <v>57</v>
      </c>
      <c r="H125" s="42">
        <v>59</v>
      </c>
      <c r="I125" s="42" t="s">
        <v>147</v>
      </c>
      <c r="J125" s="103" t="s">
        <v>3611</v>
      </c>
      <c r="K125" s="42" t="s">
        <v>4053</v>
      </c>
      <c r="L125" s="42">
        <f>VLOOKUP(Table7[[#This Row],[Baseline Fixture Code]], 'Tables &amp; Ranges'!$A$114:$B$132, 2, FALSE)</f>
        <v>101137</v>
      </c>
    </row>
    <row r="126" spans="2:12" ht="40" customHeight="1">
      <c r="B126" s="42">
        <v>683</v>
      </c>
      <c r="C126" s="102" t="s">
        <v>1511</v>
      </c>
      <c r="D126" s="102" t="s">
        <v>1455</v>
      </c>
      <c r="E126" s="92" t="s">
        <v>1512</v>
      </c>
      <c r="F126" s="42">
        <v>1</v>
      </c>
      <c r="G126" s="42">
        <v>60</v>
      </c>
      <c r="H126" s="42">
        <v>70</v>
      </c>
      <c r="I126" s="42" t="s">
        <v>147</v>
      </c>
      <c r="J126" s="103" t="s">
        <v>3611</v>
      </c>
      <c r="K126" s="42" t="s">
        <v>4054</v>
      </c>
      <c r="L126" s="42">
        <f>VLOOKUP(Table7[[#This Row],[Baseline Fixture Code]], 'Tables &amp; Ranges'!$A$114:$B$132, 2, FALSE)</f>
        <v>101137</v>
      </c>
    </row>
    <row r="127" spans="2:12" ht="40" customHeight="1">
      <c r="B127" s="42">
        <v>684</v>
      </c>
      <c r="C127" s="102" t="s">
        <v>1513</v>
      </c>
      <c r="D127" s="102" t="s">
        <v>1455</v>
      </c>
      <c r="E127" s="92" t="s">
        <v>1514</v>
      </c>
      <c r="F127" s="42">
        <v>1</v>
      </c>
      <c r="G127" s="42">
        <v>70</v>
      </c>
      <c r="H127" s="42">
        <v>73</v>
      </c>
      <c r="I127" s="42" t="s">
        <v>147</v>
      </c>
      <c r="J127" s="103" t="s">
        <v>3611</v>
      </c>
      <c r="K127" s="42" t="s">
        <v>4053</v>
      </c>
      <c r="L127" s="42">
        <f>VLOOKUP(Table7[[#This Row],[Baseline Fixture Code]], 'Tables &amp; Ranges'!$A$114:$B$132, 2, FALSE)</f>
        <v>101137</v>
      </c>
    </row>
    <row r="128" spans="2:12" ht="40" customHeight="1">
      <c r="B128" s="42">
        <v>685</v>
      </c>
      <c r="C128" s="102" t="s">
        <v>1515</v>
      </c>
      <c r="D128" s="102" t="s">
        <v>1455</v>
      </c>
      <c r="E128" s="92" t="s">
        <v>1516</v>
      </c>
      <c r="F128" s="42">
        <v>1</v>
      </c>
      <c r="G128" s="42">
        <v>85</v>
      </c>
      <c r="H128" s="42">
        <v>96</v>
      </c>
      <c r="I128" s="42" t="s">
        <v>147</v>
      </c>
      <c r="J128" s="103" t="s">
        <v>3611</v>
      </c>
      <c r="K128" s="42" t="s">
        <v>4054</v>
      </c>
      <c r="L128" s="42">
        <f>VLOOKUP(Table7[[#This Row],[Baseline Fixture Code]], 'Tables &amp; Ranges'!$A$114:$B$132, 2, FALSE)</f>
        <v>101137</v>
      </c>
    </row>
    <row r="129" spans="2:12" ht="40" customHeight="1">
      <c r="B129" s="42">
        <v>689</v>
      </c>
      <c r="C129" s="102" t="s">
        <v>1523</v>
      </c>
      <c r="D129" s="102" t="s">
        <v>1455</v>
      </c>
      <c r="E129" s="92" t="s">
        <v>1524</v>
      </c>
      <c r="F129" s="42">
        <v>1</v>
      </c>
      <c r="G129" s="42">
        <v>10</v>
      </c>
      <c r="H129" s="42">
        <v>15</v>
      </c>
      <c r="I129" s="42" t="s">
        <v>1457</v>
      </c>
      <c r="J129" s="103" t="s">
        <v>3611</v>
      </c>
      <c r="K129" s="42" t="s">
        <v>4053</v>
      </c>
      <c r="L129" s="42">
        <f>VLOOKUP(Table7[[#This Row],[Baseline Fixture Code]], 'Tables &amp; Ranges'!$A$114:$B$132, 2, FALSE)</f>
        <v>101137</v>
      </c>
    </row>
    <row r="130" spans="2:12" ht="40" customHeight="1">
      <c r="B130" s="42">
        <v>690</v>
      </c>
      <c r="C130" s="102" t="s">
        <v>1525</v>
      </c>
      <c r="D130" s="102" t="s">
        <v>1455</v>
      </c>
      <c r="E130" s="92" t="s">
        <v>1526</v>
      </c>
      <c r="F130" s="42">
        <v>1</v>
      </c>
      <c r="G130" s="42">
        <v>13</v>
      </c>
      <c r="H130" s="42">
        <v>17</v>
      </c>
      <c r="I130" s="42" t="s">
        <v>1457</v>
      </c>
      <c r="J130" s="103" t="s">
        <v>3611</v>
      </c>
      <c r="K130" s="42" t="s">
        <v>4054</v>
      </c>
      <c r="L130" s="42">
        <f>VLOOKUP(Table7[[#This Row],[Baseline Fixture Code]], 'Tables &amp; Ranges'!$A$114:$B$132, 2, FALSE)</f>
        <v>101137</v>
      </c>
    </row>
    <row r="131" spans="2:12" ht="40" customHeight="1">
      <c r="B131" s="42">
        <v>691</v>
      </c>
      <c r="C131" s="102" t="s">
        <v>1527</v>
      </c>
      <c r="D131" s="102" t="s">
        <v>1455</v>
      </c>
      <c r="E131" s="92" t="s">
        <v>1528</v>
      </c>
      <c r="F131" s="42">
        <v>1</v>
      </c>
      <c r="G131" s="42">
        <v>13</v>
      </c>
      <c r="H131" s="42">
        <v>15</v>
      </c>
      <c r="I131" s="42" t="s">
        <v>147</v>
      </c>
      <c r="J131" s="103" t="s">
        <v>3611</v>
      </c>
      <c r="K131" s="42" t="s">
        <v>4053</v>
      </c>
      <c r="L131" s="42">
        <f>VLOOKUP(Table7[[#This Row],[Baseline Fixture Code]], 'Tables &amp; Ranges'!$A$114:$B$132, 2, FALSE)</f>
        <v>101137</v>
      </c>
    </row>
    <row r="132" spans="2:12" ht="40" customHeight="1">
      <c r="B132" s="42">
        <v>692</v>
      </c>
      <c r="C132" s="102" t="s">
        <v>1529</v>
      </c>
      <c r="D132" s="102" t="s">
        <v>1455</v>
      </c>
      <c r="E132" s="92" t="s">
        <v>1530</v>
      </c>
      <c r="F132" s="42">
        <v>2</v>
      </c>
      <c r="G132" s="42">
        <v>13</v>
      </c>
      <c r="H132" s="42">
        <v>31</v>
      </c>
      <c r="I132" s="42" t="s">
        <v>1457</v>
      </c>
      <c r="J132" s="103" t="s">
        <v>3611</v>
      </c>
      <c r="K132" s="42" t="s">
        <v>4054</v>
      </c>
      <c r="L132" s="42">
        <f>VLOOKUP(Table7[[#This Row],[Baseline Fixture Code]], 'Tables &amp; Ranges'!$A$114:$B$132, 2, FALSE)</f>
        <v>101137</v>
      </c>
    </row>
    <row r="133" spans="2:12" ht="40" customHeight="1">
      <c r="B133" s="42">
        <v>693</v>
      </c>
      <c r="C133" s="102" t="s">
        <v>1531</v>
      </c>
      <c r="D133" s="102" t="s">
        <v>1455</v>
      </c>
      <c r="E133" s="92" t="s">
        <v>1532</v>
      </c>
      <c r="F133" s="42">
        <v>2</v>
      </c>
      <c r="G133" s="42">
        <v>13</v>
      </c>
      <c r="H133" s="42">
        <v>28</v>
      </c>
      <c r="I133" s="42" t="s">
        <v>147</v>
      </c>
      <c r="J133" s="103" t="s">
        <v>3611</v>
      </c>
      <c r="K133" s="42" t="s">
        <v>4053</v>
      </c>
      <c r="L133" s="42">
        <f>VLOOKUP(Table7[[#This Row],[Baseline Fixture Code]], 'Tables &amp; Ranges'!$A$114:$B$132, 2, FALSE)</f>
        <v>101137</v>
      </c>
    </row>
    <row r="134" spans="2:12" ht="40" customHeight="1">
      <c r="B134" s="42">
        <v>694</v>
      </c>
      <c r="C134" s="102" t="s">
        <v>1533</v>
      </c>
      <c r="D134" s="102" t="s">
        <v>1455</v>
      </c>
      <c r="E134" s="92" t="s">
        <v>1534</v>
      </c>
      <c r="F134" s="42">
        <v>3</v>
      </c>
      <c r="G134" s="42">
        <v>13</v>
      </c>
      <c r="H134" s="42">
        <v>48</v>
      </c>
      <c r="I134" s="42" t="s">
        <v>1457</v>
      </c>
      <c r="J134" s="103" t="s">
        <v>3611</v>
      </c>
      <c r="K134" s="42" t="s">
        <v>4054</v>
      </c>
      <c r="L134" s="42">
        <f>VLOOKUP(Table7[[#This Row],[Baseline Fixture Code]], 'Tables &amp; Ranges'!$A$114:$B$132, 2, FALSE)</f>
        <v>101137</v>
      </c>
    </row>
    <row r="135" spans="2:12" ht="40" customHeight="1">
      <c r="B135" s="42">
        <v>695</v>
      </c>
      <c r="C135" s="102" t="s">
        <v>1535</v>
      </c>
      <c r="D135" s="102" t="s">
        <v>1455</v>
      </c>
      <c r="E135" s="92" t="s">
        <v>1536</v>
      </c>
      <c r="F135" s="42">
        <v>1</v>
      </c>
      <c r="G135" s="42">
        <v>15</v>
      </c>
      <c r="H135" s="42">
        <v>20</v>
      </c>
      <c r="I135" s="42" t="s">
        <v>1457</v>
      </c>
      <c r="J135" s="103" t="s">
        <v>3611</v>
      </c>
      <c r="K135" s="42" t="s">
        <v>4053</v>
      </c>
      <c r="L135" s="42">
        <f>VLOOKUP(Table7[[#This Row],[Baseline Fixture Code]], 'Tables &amp; Ranges'!$A$114:$B$132, 2, FALSE)</f>
        <v>101137</v>
      </c>
    </row>
    <row r="136" spans="2:12" ht="40" customHeight="1">
      <c r="B136" s="42">
        <v>696</v>
      </c>
      <c r="C136" s="102" t="s">
        <v>1537</v>
      </c>
      <c r="D136" s="102" t="s">
        <v>1455</v>
      </c>
      <c r="E136" s="92" t="s">
        <v>1538</v>
      </c>
      <c r="F136" s="42">
        <v>1</v>
      </c>
      <c r="G136" s="42">
        <v>17</v>
      </c>
      <c r="H136" s="42">
        <v>24</v>
      </c>
      <c r="I136" s="42" t="s">
        <v>1457</v>
      </c>
      <c r="J136" s="103" t="s">
        <v>3611</v>
      </c>
      <c r="K136" s="42" t="s">
        <v>4054</v>
      </c>
      <c r="L136" s="42">
        <f>VLOOKUP(Table7[[#This Row],[Baseline Fixture Code]], 'Tables &amp; Ranges'!$A$114:$B$132, 2, FALSE)</f>
        <v>101137</v>
      </c>
    </row>
    <row r="137" spans="2:12" ht="40" customHeight="1">
      <c r="B137" s="42">
        <v>697</v>
      </c>
      <c r="C137" s="102" t="s">
        <v>1539</v>
      </c>
      <c r="D137" s="102" t="s">
        <v>1455</v>
      </c>
      <c r="E137" s="92" t="s">
        <v>1540</v>
      </c>
      <c r="F137" s="42">
        <v>2</v>
      </c>
      <c r="G137" s="42">
        <v>17</v>
      </c>
      <c r="H137" s="42">
        <v>48</v>
      </c>
      <c r="I137" s="42" t="s">
        <v>1457</v>
      </c>
      <c r="J137" s="103" t="s">
        <v>3611</v>
      </c>
      <c r="K137" s="42" t="s">
        <v>4053</v>
      </c>
      <c r="L137" s="42">
        <f>VLOOKUP(Table7[[#This Row],[Baseline Fixture Code]], 'Tables &amp; Ranges'!$A$114:$B$132, 2, FALSE)</f>
        <v>101137</v>
      </c>
    </row>
    <row r="138" spans="2:12" ht="40" customHeight="1">
      <c r="B138" s="42">
        <v>698</v>
      </c>
      <c r="C138" s="102" t="s">
        <v>1541</v>
      </c>
      <c r="D138" s="102" t="s">
        <v>1455</v>
      </c>
      <c r="E138" s="92" t="s">
        <v>1542</v>
      </c>
      <c r="F138" s="42">
        <v>1</v>
      </c>
      <c r="G138" s="42">
        <v>18</v>
      </c>
      <c r="H138" s="42">
        <v>26</v>
      </c>
      <c r="I138" s="42" t="s">
        <v>1457</v>
      </c>
      <c r="J138" s="103" t="s">
        <v>3611</v>
      </c>
      <c r="K138" s="42" t="s">
        <v>4054</v>
      </c>
      <c r="L138" s="42">
        <f>VLOOKUP(Table7[[#This Row],[Baseline Fixture Code]], 'Tables &amp; Ranges'!$A$114:$B$132, 2, FALSE)</f>
        <v>101137</v>
      </c>
    </row>
    <row r="139" spans="2:12" ht="40" customHeight="1">
      <c r="B139" s="42">
        <v>699</v>
      </c>
      <c r="C139" s="102" t="s">
        <v>1543</v>
      </c>
      <c r="D139" s="102" t="s">
        <v>1455</v>
      </c>
      <c r="E139" s="92" t="s">
        <v>1544</v>
      </c>
      <c r="F139" s="42">
        <v>1</v>
      </c>
      <c r="G139" s="42">
        <v>18</v>
      </c>
      <c r="H139" s="42">
        <v>20</v>
      </c>
      <c r="I139" s="42" t="s">
        <v>147</v>
      </c>
      <c r="J139" s="103" t="s">
        <v>3611</v>
      </c>
      <c r="K139" s="42" t="s">
        <v>4053</v>
      </c>
      <c r="L139" s="42">
        <f>VLOOKUP(Table7[[#This Row],[Baseline Fixture Code]], 'Tables &amp; Ranges'!$A$114:$B$132, 2, FALSE)</f>
        <v>101137</v>
      </c>
    </row>
    <row r="140" spans="2:12" ht="40" customHeight="1">
      <c r="B140" s="42">
        <v>700</v>
      </c>
      <c r="C140" s="102" t="s">
        <v>1545</v>
      </c>
      <c r="D140" s="102" t="s">
        <v>1455</v>
      </c>
      <c r="E140" s="92" t="s">
        <v>1546</v>
      </c>
      <c r="F140" s="42">
        <v>2</v>
      </c>
      <c r="G140" s="42">
        <v>18</v>
      </c>
      <c r="H140" s="42">
        <v>45</v>
      </c>
      <c r="I140" s="42" t="s">
        <v>1457</v>
      </c>
      <c r="J140" s="103" t="s">
        <v>3611</v>
      </c>
      <c r="K140" s="42" t="s">
        <v>4054</v>
      </c>
      <c r="L140" s="42">
        <f>VLOOKUP(Table7[[#This Row],[Baseline Fixture Code]], 'Tables &amp; Ranges'!$A$114:$B$132, 2, FALSE)</f>
        <v>101137</v>
      </c>
    </row>
    <row r="141" spans="2:12" ht="40" customHeight="1">
      <c r="B141" s="42">
        <v>701</v>
      </c>
      <c r="C141" s="102" t="s">
        <v>1547</v>
      </c>
      <c r="D141" s="102" t="s">
        <v>1455</v>
      </c>
      <c r="E141" s="92" t="s">
        <v>1548</v>
      </c>
      <c r="F141" s="42">
        <v>2</v>
      </c>
      <c r="G141" s="42">
        <v>18</v>
      </c>
      <c r="H141" s="42">
        <v>38</v>
      </c>
      <c r="I141" s="42" t="s">
        <v>147</v>
      </c>
      <c r="J141" s="103" t="s">
        <v>3611</v>
      </c>
      <c r="K141" s="42" t="s">
        <v>4053</v>
      </c>
      <c r="L141" s="42">
        <f>VLOOKUP(Table7[[#This Row],[Baseline Fixture Code]], 'Tables &amp; Ranges'!$A$114:$B$132, 2, FALSE)</f>
        <v>101137</v>
      </c>
    </row>
    <row r="142" spans="2:12" ht="40" customHeight="1">
      <c r="B142" s="42">
        <v>702</v>
      </c>
      <c r="C142" s="102" t="s">
        <v>1549</v>
      </c>
      <c r="D142" s="102" t="s">
        <v>1455</v>
      </c>
      <c r="E142" s="92" t="s">
        <v>1550</v>
      </c>
      <c r="F142" s="42">
        <v>2</v>
      </c>
      <c r="G142" s="42">
        <v>18</v>
      </c>
      <c r="H142" s="42">
        <v>90</v>
      </c>
      <c r="I142" s="42" t="s">
        <v>1457</v>
      </c>
      <c r="J142" s="103" t="s">
        <v>3611</v>
      </c>
      <c r="K142" s="42" t="s">
        <v>4054</v>
      </c>
      <c r="L142" s="42">
        <f>VLOOKUP(Table7[[#This Row],[Baseline Fixture Code]], 'Tables &amp; Ranges'!$A$114:$B$132, 2, FALSE)</f>
        <v>101137</v>
      </c>
    </row>
    <row r="143" spans="2:12" ht="40" customHeight="1">
      <c r="B143" s="42">
        <v>703</v>
      </c>
      <c r="C143" s="102" t="s">
        <v>1551</v>
      </c>
      <c r="D143" s="102" t="s">
        <v>1455</v>
      </c>
      <c r="E143" s="92" t="s">
        <v>1552</v>
      </c>
      <c r="F143" s="42">
        <v>1</v>
      </c>
      <c r="G143" s="42">
        <v>20</v>
      </c>
      <c r="H143" s="42">
        <v>23</v>
      </c>
      <c r="I143" s="42" t="s">
        <v>1457</v>
      </c>
      <c r="J143" s="103" t="s">
        <v>3611</v>
      </c>
      <c r="K143" s="42" t="s">
        <v>4053</v>
      </c>
      <c r="L143" s="42">
        <f>VLOOKUP(Table7[[#This Row],[Baseline Fixture Code]], 'Tables &amp; Ranges'!$A$114:$B$132, 2, FALSE)</f>
        <v>101137</v>
      </c>
    </row>
    <row r="144" spans="2:12" ht="40" customHeight="1">
      <c r="B144" s="42">
        <v>704</v>
      </c>
      <c r="C144" s="102" t="s">
        <v>1553</v>
      </c>
      <c r="D144" s="102" t="s">
        <v>1455</v>
      </c>
      <c r="E144" s="92" t="s">
        <v>1554</v>
      </c>
      <c r="F144" s="42">
        <v>2</v>
      </c>
      <c r="G144" s="42">
        <v>20</v>
      </c>
      <c r="H144" s="42">
        <v>46</v>
      </c>
      <c r="I144" s="42" t="s">
        <v>1457</v>
      </c>
      <c r="J144" s="103" t="s">
        <v>3611</v>
      </c>
      <c r="K144" s="42" t="s">
        <v>4054</v>
      </c>
      <c r="L144" s="42">
        <f>VLOOKUP(Table7[[#This Row],[Baseline Fixture Code]], 'Tables &amp; Ranges'!$A$114:$B$132, 2, FALSE)</f>
        <v>101137</v>
      </c>
    </row>
    <row r="145" spans="2:12" ht="40" customHeight="1">
      <c r="B145" s="42">
        <v>705</v>
      </c>
      <c r="C145" s="102" t="s">
        <v>1555</v>
      </c>
      <c r="D145" s="102" t="s">
        <v>1455</v>
      </c>
      <c r="E145" s="92" t="s">
        <v>1556</v>
      </c>
      <c r="F145" s="42">
        <v>1</v>
      </c>
      <c r="G145" s="42">
        <v>22</v>
      </c>
      <c r="H145" s="42">
        <v>24</v>
      </c>
      <c r="I145" s="42" t="s">
        <v>1457</v>
      </c>
      <c r="J145" s="103" t="s">
        <v>3611</v>
      </c>
      <c r="K145" s="42" t="s">
        <v>4053</v>
      </c>
      <c r="L145" s="42">
        <f>VLOOKUP(Table7[[#This Row],[Baseline Fixture Code]], 'Tables &amp; Ranges'!$A$114:$B$132, 2, FALSE)</f>
        <v>101137</v>
      </c>
    </row>
    <row r="146" spans="2:12" ht="40" customHeight="1">
      <c r="B146" s="42">
        <v>706</v>
      </c>
      <c r="C146" s="102" t="s">
        <v>1557</v>
      </c>
      <c r="D146" s="102" t="s">
        <v>1455</v>
      </c>
      <c r="E146" s="92" t="s">
        <v>1558</v>
      </c>
      <c r="F146" s="42">
        <v>2</v>
      </c>
      <c r="G146" s="42">
        <v>22</v>
      </c>
      <c r="H146" s="42">
        <v>48</v>
      </c>
      <c r="I146" s="42" t="s">
        <v>1457</v>
      </c>
      <c r="J146" s="103" t="s">
        <v>3611</v>
      </c>
      <c r="K146" s="42" t="s">
        <v>4054</v>
      </c>
      <c r="L146" s="42">
        <f>VLOOKUP(Table7[[#This Row],[Baseline Fixture Code]], 'Tables &amp; Ranges'!$A$114:$B$132, 2, FALSE)</f>
        <v>101137</v>
      </c>
    </row>
    <row r="147" spans="2:12" ht="40" customHeight="1">
      <c r="B147" s="42">
        <v>707</v>
      </c>
      <c r="C147" s="102" t="s">
        <v>1559</v>
      </c>
      <c r="D147" s="102" t="s">
        <v>1455</v>
      </c>
      <c r="E147" s="92" t="s">
        <v>1560</v>
      </c>
      <c r="F147" s="42">
        <v>3</v>
      </c>
      <c r="G147" s="42">
        <v>22</v>
      </c>
      <c r="H147" s="42">
        <v>72</v>
      </c>
      <c r="I147" s="42" t="s">
        <v>1457</v>
      </c>
      <c r="J147" s="103" t="s">
        <v>3611</v>
      </c>
      <c r="K147" s="42" t="s">
        <v>4053</v>
      </c>
      <c r="L147" s="42">
        <f>VLOOKUP(Table7[[#This Row],[Baseline Fixture Code]], 'Tables &amp; Ranges'!$A$114:$B$132, 2, FALSE)</f>
        <v>101137</v>
      </c>
    </row>
    <row r="148" spans="2:12" ht="40" customHeight="1">
      <c r="B148" s="42">
        <v>708</v>
      </c>
      <c r="C148" s="102" t="s">
        <v>1561</v>
      </c>
      <c r="D148" s="102" t="s">
        <v>1455</v>
      </c>
      <c r="E148" s="92" t="s">
        <v>1562</v>
      </c>
      <c r="F148" s="42">
        <v>1</v>
      </c>
      <c r="G148" s="42">
        <v>23</v>
      </c>
      <c r="H148" s="42">
        <v>27</v>
      </c>
      <c r="I148" s="42" t="s">
        <v>1457</v>
      </c>
      <c r="J148" s="103" t="s">
        <v>3611</v>
      </c>
      <c r="K148" s="42" t="s">
        <v>4054</v>
      </c>
      <c r="L148" s="42">
        <f>VLOOKUP(Table7[[#This Row],[Baseline Fixture Code]], 'Tables &amp; Ranges'!$A$114:$B$132, 2, FALSE)</f>
        <v>101137</v>
      </c>
    </row>
    <row r="149" spans="2:12" ht="40" customHeight="1">
      <c r="B149" s="42">
        <v>709</v>
      </c>
      <c r="C149" s="102" t="s">
        <v>1563</v>
      </c>
      <c r="D149" s="102" t="s">
        <v>1455</v>
      </c>
      <c r="E149" s="92" t="s">
        <v>1564</v>
      </c>
      <c r="F149" s="42">
        <v>1</v>
      </c>
      <c r="G149" s="42">
        <v>25</v>
      </c>
      <c r="H149" s="42">
        <v>33</v>
      </c>
      <c r="I149" s="42" t="s">
        <v>1457</v>
      </c>
      <c r="J149" s="103" t="s">
        <v>3611</v>
      </c>
      <c r="K149" s="42" t="s">
        <v>4053</v>
      </c>
      <c r="L149" s="42">
        <f>VLOOKUP(Table7[[#This Row],[Baseline Fixture Code]], 'Tables &amp; Ranges'!$A$114:$B$132, 2, FALSE)</f>
        <v>101137</v>
      </c>
    </row>
    <row r="150" spans="2:12" ht="40" customHeight="1">
      <c r="B150" s="42">
        <v>710</v>
      </c>
      <c r="C150" s="102" t="s">
        <v>1565</v>
      </c>
      <c r="D150" s="102" t="s">
        <v>1455</v>
      </c>
      <c r="E150" s="92" t="s">
        <v>1566</v>
      </c>
      <c r="F150" s="42">
        <v>2</v>
      </c>
      <c r="G150" s="42">
        <v>25</v>
      </c>
      <c r="H150" s="42">
        <v>66</v>
      </c>
      <c r="I150" s="42" t="s">
        <v>1457</v>
      </c>
      <c r="J150" s="103" t="s">
        <v>3611</v>
      </c>
      <c r="K150" s="42" t="s">
        <v>4054</v>
      </c>
      <c r="L150" s="42">
        <f>VLOOKUP(Table7[[#This Row],[Baseline Fixture Code]], 'Tables &amp; Ranges'!$A$114:$B$132, 2, FALSE)</f>
        <v>101137</v>
      </c>
    </row>
    <row r="151" spans="2:12" ht="40" customHeight="1">
      <c r="B151" s="42">
        <v>711</v>
      </c>
      <c r="C151" s="102" t="s">
        <v>1567</v>
      </c>
      <c r="D151" s="102" t="s">
        <v>1455</v>
      </c>
      <c r="E151" s="92" t="s">
        <v>1568</v>
      </c>
      <c r="F151" s="42">
        <v>1</v>
      </c>
      <c r="G151" s="42">
        <v>26</v>
      </c>
      <c r="H151" s="42">
        <v>33</v>
      </c>
      <c r="I151" s="42" t="s">
        <v>1457</v>
      </c>
      <c r="J151" s="103" t="s">
        <v>3611</v>
      </c>
      <c r="K151" s="42" t="s">
        <v>4053</v>
      </c>
      <c r="L151" s="42">
        <f>VLOOKUP(Table7[[#This Row],[Baseline Fixture Code]], 'Tables &amp; Ranges'!$A$114:$B$132, 2, FALSE)</f>
        <v>101137</v>
      </c>
    </row>
    <row r="152" spans="2:12" ht="40" customHeight="1">
      <c r="B152" s="42">
        <v>712</v>
      </c>
      <c r="C152" s="102" t="s">
        <v>1569</v>
      </c>
      <c r="D152" s="102" t="s">
        <v>1455</v>
      </c>
      <c r="E152" s="92" t="s">
        <v>1570</v>
      </c>
      <c r="F152" s="42">
        <v>1</v>
      </c>
      <c r="G152" s="42">
        <v>26</v>
      </c>
      <c r="H152" s="42">
        <v>27</v>
      </c>
      <c r="I152" s="42" t="s">
        <v>147</v>
      </c>
      <c r="J152" s="103" t="s">
        <v>3611</v>
      </c>
      <c r="K152" s="42" t="s">
        <v>4054</v>
      </c>
      <c r="L152" s="42">
        <f>VLOOKUP(Table7[[#This Row],[Baseline Fixture Code]], 'Tables &amp; Ranges'!$A$114:$B$132, 2, FALSE)</f>
        <v>101137</v>
      </c>
    </row>
    <row r="153" spans="2:12" ht="40" customHeight="1">
      <c r="B153" s="42">
        <v>713</v>
      </c>
      <c r="C153" s="102" t="s">
        <v>1571</v>
      </c>
      <c r="D153" s="102" t="s">
        <v>1455</v>
      </c>
      <c r="E153" s="92" t="s">
        <v>1572</v>
      </c>
      <c r="F153" s="42">
        <v>2</v>
      </c>
      <c r="G153" s="42">
        <v>26</v>
      </c>
      <c r="H153" s="42">
        <v>66</v>
      </c>
      <c r="I153" s="42" t="s">
        <v>1457</v>
      </c>
      <c r="J153" s="103" t="s">
        <v>3611</v>
      </c>
      <c r="K153" s="42" t="s">
        <v>4053</v>
      </c>
      <c r="L153" s="42">
        <f>VLOOKUP(Table7[[#This Row],[Baseline Fixture Code]], 'Tables &amp; Ranges'!$A$114:$B$132, 2, FALSE)</f>
        <v>101137</v>
      </c>
    </row>
    <row r="154" spans="2:12" ht="40" customHeight="1">
      <c r="B154" s="42">
        <v>714</v>
      </c>
      <c r="C154" s="102" t="s">
        <v>1573</v>
      </c>
      <c r="D154" s="102" t="s">
        <v>1455</v>
      </c>
      <c r="E154" s="92" t="s">
        <v>1574</v>
      </c>
      <c r="F154" s="42">
        <v>2</v>
      </c>
      <c r="G154" s="42">
        <v>26</v>
      </c>
      <c r="H154" s="42">
        <v>50</v>
      </c>
      <c r="I154" s="42" t="s">
        <v>147</v>
      </c>
      <c r="J154" s="103" t="s">
        <v>3611</v>
      </c>
      <c r="K154" s="42" t="s">
        <v>4054</v>
      </c>
      <c r="L154" s="42">
        <f>VLOOKUP(Table7[[#This Row],[Baseline Fixture Code]], 'Tables &amp; Ranges'!$A$114:$B$132, 2, FALSE)</f>
        <v>101137</v>
      </c>
    </row>
    <row r="155" spans="2:12" ht="40" customHeight="1">
      <c r="B155" s="42">
        <v>715</v>
      </c>
      <c r="C155" s="102" t="s">
        <v>1575</v>
      </c>
      <c r="D155" s="102" t="s">
        <v>1455</v>
      </c>
      <c r="E155" s="92" t="s">
        <v>1576</v>
      </c>
      <c r="F155" s="42">
        <v>3</v>
      </c>
      <c r="G155" s="42">
        <v>26</v>
      </c>
      <c r="H155" s="42">
        <v>99</v>
      </c>
      <c r="I155" s="42" t="s">
        <v>1457</v>
      </c>
      <c r="J155" s="103" t="s">
        <v>3611</v>
      </c>
      <c r="K155" s="42" t="s">
        <v>4053</v>
      </c>
      <c r="L155" s="42">
        <f>VLOOKUP(Table7[[#This Row],[Baseline Fixture Code]], 'Tables &amp; Ranges'!$A$114:$B$132, 2, FALSE)</f>
        <v>101137</v>
      </c>
    </row>
    <row r="156" spans="2:12" ht="40" customHeight="1">
      <c r="B156" s="42">
        <v>716</v>
      </c>
      <c r="C156" s="102" t="s">
        <v>1577</v>
      </c>
      <c r="D156" s="102" t="s">
        <v>1455</v>
      </c>
      <c r="E156" s="92" t="s">
        <v>1578</v>
      </c>
      <c r="F156" s="42">
        <v>6</v>
      </c>
      <c r="G156" s="42">
        <v>26</v>
      </c>
      <c r="H156" s="42">
        <v>150</v>
      </c>
      <c r="I156" s="42" t="s">
        <v>147</v>
      </c>
      <c r="J156" s="103" t="s">
        <v>3611</v>
      </c>
      <c r="K156" s="42" t="s">
        <v>4054</v>
      </c>
      <c r="L156" s="42">
        <f>VLOOKUP(Table7[[#This Row],[Baseline Fixture Code]], 'Tables &amp; Ranges'!$A$114:$B$132, 2, FALSE)</f>
        <v>101137</v>
      </c>
    </row>
    <row r="157" spans="2:12" ht="40" customHeight="1">
      <c r="B157" s="42">
        <v>717</v>
      </c>
      <c r="C157" s="102" t="s">
        <v>1579</v>
      </c>
      <c r="D157" s="102" t="s">
        <v>1455</v>
      </c>
      <c r="E157" s="92" t="s">
        <v>1580</v>
      </c>
      <c r="F157" s="42">
        <v>1</v>
      </c>
      <c r="G157" s="42">
        <v>28</v>
      </c>
      <c r="H157" s="42">
        <v>33</v>
      </c>
      <c r="I157" s="42" t="s">
        <v>1457</v>
      </c>
      <c r="J157" s="103" t="s">
        <v>3611</v>
      </c>
      <c r="K157" s="42" t="s">
        <v>4053</v>
      </c>
      <c r="L157" s="42">
        <f>VLOOKUP(Table7[[#This Row],[Baseline Fixture Code]], 'Tables &amp; Ranges'!$A$114:$B$132, 2, FALSE)</f>
        <v>101137</v>
      </c>
    </row>
    <row r="158" spans="2:12" ht="40" customHeight="1">
      <c r="B158" s="42">
        <v>718</v>
      </c>
      <c r="C158" s="102" t="s">
        <v>1581</v>
      </c>
      <c r="D158" s="102" t="s">
        <v>1455</v>
      </c>
      <c r="E158" s="92" t="s">
        <v>1580</v>
      </c>
      <c r="F158" s="42">
        <v>1</v>
      </c>
      <c r="G158" s="42">
        <v>28</v>
      </c>
      <c r="H158" s="42">
        <v>31</v>
      </c>
      <c r="I158" s="42" t="s">
        <v>147</v>
      </c>
      <c r="J158" s="103" t="s">
        <v>3611</v>
      </c>
      <c r="K158" s="42" t="s">
        <v>4054</v>
      </c>
      <c r="L158" s="42">
        <f>VLOOKUP(Table7[[#This Row],[Baseline Fixture Code]], 'Tables &amp; Ranges'!$A$114:$B$132, 2, FALSE)</f>
        <v>101137</v>
      </c>
    </row>
    <row r="159" spans="2:12" ht="40" customHeight="1">
      <c r="B159" s="42">
        <v>719</v>
      </c>
      <c r="C159" s="102" t="s">
        <v>1582</v>
      </c>
      <c r="D159" s="102" t="s">
        <v>1455</v>
      </c>
      <c r="E159" s="92" t="s">
        <v>1583</v>
      </c>
      <c r="F159" s="42">
        <v>2</v>
      </c>
      <c r="G159" s="42">
        <v>28</v>
      </c>
      <c r="H159" s="42">
        <v>60</v>
      </c>
      <c r="I159" s="42" t="s">
        <v>147</v>
      </c>
      <c r="J159" s="103" t="s">
        <v>3611</v>
      </c>
      <c r="K159" s="42" t="s">
        <v>4053</v>
      </c>
      <c r="L159" s="42">
        <f>VLOOKUP(Table7[[#This Row],[Baseline Fixture Code]], 'Tables &amp; Ranges'!$A$114:$B$132, 2, FALSE)</f>
        <v>101137</v>
      </c>
    </row>
    <row r="160" spans="2:12" ht="40" customHeight="1">
      <c r="B160" s="42">
        <v>687</v>
      </c>
      <c r="C160" s="102" t="s">
        <v>1519</v>
      </c>
      <c r="D160" s="102" t="s">
        <v>1455</v>
      </c>
      <c r="E160" s="92" t="s">
        <v>1520</v>
      </c>
      <c r="F160" s="42">
        <v>1</v>
      </c>
      <c r="G160" s="42">
        <v>9</v>
      </c>
      <c r="H160" s="42">
        <v>14</v>
      </c>
      <c r="I160" s="42" t="s">
        <v>1457</v>
      </c>
      <c r="J160" s="103" t="s">
        <v>3611</v>
      </c>
      <c r="K160" s="42" t="s">
        <v>4054</v>
      </c>
      <c r="L160" s="42">
        <f>VLOOKUP(Table7[[#This Row],[Baseline Fixture Code]], 'Tables &amp; Ranges'!$A$114:$B$132, 2, FALSE)</f>
        <v>101137</v>
      </c>
    </row>
    <row r="161" spans="2:12" ht="40" customHeight="1">
      <c r="B161" s="42">
        <v>688</v>
      </c>
      <c r="C161" s="102" t="s">
        <v>1521</v>
      </c>
      <c r="D161" s="102" t="s">
        <v>1455</v>
      </c>
      <c r="E161" s="92" t="s">
        <v>1522</v>
      </c>
      <c r="F161" s="42">
        <v>2</v>
      </c>
      <c r="G161" s="42">
        <v>9</v>
      </c>
      <c r="H161" s="42">
        <v>23</v>
      </c>
      <c r="I161" s="42" t="s">
        <v>1457</v>
      </c>
      <c r="J161" s="103" t="s">
        <v>3611</v>
      </c>
      <c r="K161" s="42" t="s">
        <v>4053</v>
      </c>
      <c r="L161" s="42">
        <f>VLOOKUP(Table7[[#This Row],[Baseline Fixture Code]], 'Tables &amp; Ranges'!$A$114:$B$132, 2, FALSE)</f>
        <v>101137</v>
      </c>
    </row>
    <row r="162" spans="2:12" ht="40" customHeight="1">
      <c r="B162" s="42">
        <v>727</v>
      </c>
      <c r="C162" s="102" t="s">
        <v>1598</v>
      </c>
      <c r="D162" s="102" t="s">
        <v>1455</v>
      </c>
      <c r="E162" s="92" t="s">
        <v>1599</v>
      </c>
      <c r="F162" s="42">
        <v>1</v>
      </c>
      <c r="G162" s="42">
        <v>13</v>
      </c>
      <c r="H162" s="42">
        <v>17</v>
      </c>
      <c r="I162" s="42" t="s">
        <v>1457</v>
      </c>
      <c r="J162" s="103" t="s">
        <v>3611</v>
      </c>
      <c r="K162" s="42" t="s">
        <v>4054</v>
      </c>
      <c r="L162" s="42">
        <f>VLOOKUP(Table7[[#This Row],[Baseline Fixture Code]], 'Tables &amp; Ranges'!$A$114:$B$132, 2, FALSE)</f>
        <v>101137</v>
      </c>
    </row>
    <row r="163" spans="2:12" ht="40" customHeight="1">
      <c r="B163" s="42">
        <v>728</v>
      </c>
      <c r="C163" s="102" t="s">
        <v>1600</v>
      </c>
      <c r="D163" s="102" t="s">
        <v>1455</v>
      </c>
      <c r="E163" s="92" t="s">
        <v>1599</v>
      </c>
      <c r="F163" s="42">
        <v>1</v>
      </c>
      <c r="G163" s="42">
        <v>13</v>
      </c>
      <c r="H163" s="42">
        <v>15</v>
      </c>
      <c r="I163" s="42" t="s">
        <v>147</v>
      </c>
      <c r="J163" s="103" t="s">
        <v>3611</v>
      </c>
      <c r="K163" s="42" t="s">
        <v>4053</v>
      </c>
      <c r="L163" s="42">
        <f>VLOOKUP(Table7[[#This Row],[Baseline Fixture Code]], 'Tables &amp; Ranges'!$A$114:$B$132, 2, FALSE)</f>
        <v>101137</v>
      </c>
    </row>
    <row r="164" spans="2:12" ht="40" customHeight="1">
      <c r="B164" s="42">
        <v>729</v>
      </c>
      <c r="C164" s="102" t="s">
        <v>1601</v>
      </c>
      <c r="D164" s="102" t="s">
        <v>1455</v>
      </c>
      <c r="E164" s="92" t="s">
        <v>1602</v>
      </c>
      <c r="F164" s="42">
        <v>2</v>
      </c>
      <c r="G164" s="42">
        <v>13</v>
      </c>
      <c r="H164" s="42">
        <v>31</v>
      </c>
      <c r="I164" s="42" t="s">
        <v>1457</v>
      </c>
      <c r="J164" s="103" t="s">
        <v>3611</v>
      </c>
      <c r="K164" s="42" t="s">
        <v>4054</v>
      </c>
      <c r="L164" s="42">
        <f>VLOOKUP(Table7[[#This Row],[Baseline Fixture Code]], 'Tables &amp; Ranges'!$A$114:$B$132, 2, FALSE)</f>
        <v>101137</v>
      </c>
    </row>
    <row r="165" spans="2:12" ht="40" customHeight="1">
      <c r="B165" s="42">
        <v>730</v>
      </c>
      <c r="C165" s="102" t="s">
        <v>1603</v>
      </c>
      <c r="D165" s="102" t="s">
        <v>1455</v>
      </c>
      <c r="E165" s="92" t="s">
        <v>1602</v>
      </c>
      <c r="F165" s="42">
        <v>2</v>
      </c>
      <c r="G165" s="42">
        <v>13</v>
      </c>
      <c r="H165" s="42">
        <v>28</v>
      </c>
      <c r="I165" s="42" t="s">
        <v>147</v>
      </c>
      <c r="J165" s="103" t="s">
        <v>3611</v>
      </c>
      <c r="K165" s="42" t="s">
        <v>4053</v>
      </c>
      <c r="L165" s="42">
        <f>VLOOKUP(Table7[[#This Row],[Baseline Fixture Code]], 'Tables &amp; Ranges'!$A$114:$B$132, 2, FALSE)</f>
        <v>101137</v>
      </c>
    </row>
    <row r="166" spans="2:12" ht="40" customHeight="1">
      <c r="B166" s="42">
        <v>731</v>
      </c>
      <c r="C166" s="102" t="s">
        <v>1604</v>
      </c>
      <c r="D166" s="102" t="s">
        <v>1455</v>
      </c>
      <c r="E166" s="92" t="s">
        <v>1605</v>
      </c>
      <c r="F166" s="42">
        <v>3</v>
      </c>
      <c r="G166" s="42">
        <v>13</v>
      </c>
      <c r="H166" s="42">
        <v>48</v>
      </c>
      <c r="I166" s="42" t="s">
        <v>1457</v>
      </c>
      <c r="J166" s="103" t="s">
        <v>3611</v>
      </c>
      <c r="K166" s="42" t="s">
        <v>4054</v>
      </c>
      <c r="L166" s="42">
        <f>VLOOKUP(Table7[[#This Row],[Baseline Fixture Code]], 'Tables &amp; Ranges'!$A$114:$B$132, 2, FALSE)</f>
        <v>101137</v>
      </c>
    </row>
    <row r="167" spans="2:12" ht="40" customHeight="1">
      <c r="B167" s="42">
        <v>732</v>
      </c>
      <c r="C167" s="102" t="s">
        <v>1606</v>
      </c>
      <c r="D167" s="102" t="s">
        <v>1455</v>
      </c>
      <c r="E167" s="92" t="s">
        <v>1607</v>
      </c>
      <c r="F167" s="42">
        <v>1</v>
      </c>
      <c r="G167" s="42">
        <v>18</v>
      </c>
      <c r="H167" s="42">
        <v>24</v>
      </c>
      <c r="I167" s="42" t="s">
        <v>1457</v>
      </c>
      <c r="J167" s="103" t="s">
        <v>3611</v>
      </c>
      <c r="K167" s="42" t="s">
        <v>4053</v>
      </c>
      <c r="L167" s="42">
        <f>VLOOKUP(Table7[[#This Row],[Baseline Fixture Code]], 'Tables &amp; Ranges'!$A$114:$B$132, 2, FALSE)</f>
        <v>101137</v>
      </c>
    </row>
    <row r="168" spans="2:12" ht="40" customHeight="1">
      <c r="B168" s="42">
        <v>733</v>
      </c>
      <c r="C168" s="102" t="s">
        <v>1608</v>
      </c>
      <c r="D168" s="102" t="s">
        <v>1455</v>
      </c>
      <c r="E168" s="92" t="s">
        <v>1609</v>
      </c>
      <c r="F168" s="42">
        <v>1</v>
      </c>
      <c r="G168" s="42">
        <v>18</v>
      </c>
      <c r="H168" s="42">
        <v>20</v>
      </c>
      <c r="I168" s="42" t="s">
        <v>147</v>
      </c>
      <c r="J168" s="103" t="s">
        <v>3611</v>
      </c>
      <c r="K168" s="42" t="s">
        <v>4054</v>
      </c>
      <c r="L168" s="42">
        <f>VLOOKUP(Table7[[#This Row],[Baseline Fixture Code]], 'Tables &amp; Ranges'!$A$114:$B$132, 2, FALSE)</f>
        <v>101137</v>
      </c>
    </row>
    <row r="169" spans="2:12" ht="40" customHeight="1">
      <c r="B169" s="42">
        <v>734</v>
      </c>
      <c r="C169" s="102" t="s">
        <v>1610</v>
      </c>
      <c r="D169" s="102" t="s">
        <v>1455</v>
      </c>
      <c r="E169" s="92" t="s">
        <v>1611</v>
      </c>
      <c r="F169" s="42">
        <v>2</v>
      </c>
      <c r="G169" s="42">
        <v>18</v>
      </c>
      <c r="H169" s="42">
        <v>38</v>
      </c>
      <c r="I169" s="42" t="s">
        <v>1457</v>
      </c>
      <c r="J169" s="103" t="s">
        <v>3611</v>
      </c>
      <c r="K169" s="42" t="s">
        <v>4053</v>
      </c>
      <c r="L169" s="42">
        <f>VLOOKUP(Table7[[#This Row],[Baseline Fixture Code]], 'Tables &amp; Ranges'!$A$114:$B$132, 2, FALSE)</f>
        <v>101137</v>
      </c>
    </row>
    <row r="170" spans="2:12" ht="40" customHeight="1">
      <c r="B170" s="42">
        <v>735</v>
      </c>
      <c r="C170" s="102" t="s">
        <v>1612</v>
      </c>
      <c r="D170" s="102" t="s">
        <v>1455</v>
      </c>
      <c r="E170" s="92" t="s">
        <v>1613</v>
      </c>
      <c r="F170" s="42">
        <v>1</v>
      </c>
      <c r="G170" s="42">
        <v>22</v>
      </c>
      <c r="H170" s="42">
        <v>27</v>
      </c>
      <c r="I170" s="42" t="s">
        <v>1457</v>
      </c>
      <c r="J170" s="103" t="s">
        <v>3611</v>
      </c>
      <c r="K170" s="42" t="s">
        <v>4054</v>
      </c>
      <c r="L170" s="42">
        <f>VLOOKUP(Table7[[#This Row],[Baseline Fixture Code]], 'Tables &amp; Ranges'!$A$114:$B$132, 2, FALSE)</f>
        <v>101137</v>
      </c>
    </row>
    <row r="171" spans="2:12" ht="40" customHeight="1">
      <c r="B171" s="42">
        <v>736</v>
      </c>
      <c r="C171" s="102" t="s">
        <v>1614</v>
      </c>
      <c r="D171" s="102" t="s">
        <v>1455</v>
      </c>
      <c r="E171" s="92" t="s">
        <v>1615</v>
      </c>
      <c r="F171" s="42">
        <v>2</v>
      </c>
      <c r="G171" s="42">
        <v>22</v>
      </c>
      <c r="H171" s="42">
        <v>54</v>
      </c>
      <c r="I171" s="42" t="s">
        <v>1457</v>
      </c>
      <c r="J171" s="103" t="s">
        <v>3611</v>
      </c>
      <c r="K171" s="42" t="s">
        <v>4053</v>
      </c>
      <c r="L171" s="42">
        <f>VLOOKUP(Table7[[#This Row],[Baseline Fixture Code]], 'Tables &amp; Ranges'!$A$114:$B$132, 2, FALSE)</f>
        <v>101137</v>
      </c>
    </row>
    <row r="172" spans="2:12" ht="40" customHeight="1">
      <c r="B172" s="42">
        <v>737</v>
      </c>
      <c r="C172" s="102" t="s">
        <v>1616</v>
      </c>
      <c r="D172" s="102" t="s">
        <v>1455</v>
      </c>
      <c r="E172" s="92" t="s">
        <v>1617</v>
      </c>
      <c r="F172" s="42">
        <v>4</v>
      </c>
      <c r="G172" s="42">
        <v>22</v>
      </c>
      <c r="H172" s="42">
        <v>108</v>
      </c>
      <c r="I172" s="42" t="s">
        <v>1457</v>
      </c>
      <c r="J172" s="103" t="s">
        <v>3611</v>
      </c>
      <c r="K172" s="42" t="s">
        <v>4054</v>
      </c>
      <c r="L172" s="42">
        <f>VLOOKUP(Table7[[#This Row],[Baseline Fixture Code]], 'Tables &amp; Ranges'!$A$114:$B$132, 2, FALSE)</f>
        <v>101137</v>
      </c>
    </row>
    <row r="173" spans="2:12" ht="40" customHeight="1">
      <c r="B173" s="42">
        <v>738</v>
      </c>
      <c r="C173" s="102" t="s">
        <v>1618</v>
      </c>
      <c r="D173" s="102" t="s">
        <v>1455</v>
      </c>
      <c r="E173" s="92" t="s">
        <v>1619</v>
      </c>
      <c r="F173" s="42">
        <v>1</v>
      </c>
      <c r="G173" s="42">
        <v>24</v>
      </c>
      <c r="H173" s="42">
        <v>32</v>
      </c>
      <c r="I173" s="42" t="s">
        <v>1457</v>
      </c>
      <c r="J173" s="103" t="s">
        <v>3611</v>
      </c>
      <c r="K173" s="42" t="s">
        <v>4053</v>
      </c>
      <c r="L173" s="42">
        <f>VLOOKUP(Table7[[#This Row],[Baseline Fixture Code]], 'Tables &amp; Ranges'!$A$114:$B$132, 2, FALSE)</f>
        <v>101137</v>
      </c>
    </row>
    <row r="174" spans="2:12" ht="40" customHeight="1">
      <c r="B174" s="42">
        <v>739</v>
      </c>
      <c r="C174" s="102" t="s">
        <v>1620</v>
      </c>
      <c r="D174" s="102" t="s">
        <v>1455</v>
      </c>
      <c r="E174" s="92" t="s">
        <v>1621</v>
      </c>
      <c r="F174" s="42">
        <v>1</v>
      </c>
      <c r="G174" s="42">
        <v>26</v>
      </c>
      <c r="H174" s="42">
        <v>32</v>
      </c>
      <c r="I174" s="42" t="s">
        <v>1457</v>
      </c>
      <c r="J174" s="103" t="s">
        <v>3611</v>
      </c>
      <c r="K174" s="42" t="s">
        <v>4054</v>
      </c>
      <c r="L174" s="42">
        <f>VLOOKUP(Table7[[#This Row],[Baseline Fixture Code]], 'Tables &amp; Ranges'!$A$114:$B$132, 2, FALSE)</f>
        <v>101137</v>
      </c>
    </row>
    <row r="175" spans="2:12" ht="40" customHeight="1">
      <c r="B175" s="42">
        <v>740</v>
      </c>
      <c r="C175" s="102" t="s">
        <v>1622</v>
      </c>
      <c r="D175" s="102" t="s">
        <v>1455</v>
      </c>
      <c r="E175" s="92" t="s">
        <v>1621</v>
      </c>
      <c r="F175" s="42">
        <v>1</v>
      </c>
      <c r="G175" s="42">
        <v>26</v>
      </c>
      <c r="H175" s="42">
        <v>27</v>
      </c>
      <c r="I175" s="42" t="s">
        <v>147</v>
      </c>
      <c r="J175" s="103" t="s">
        <v>3611</v>
      </c>
      <c r="K175" s="42" t="s">
        <v>4053</v>
      </c>
      <c r="L175" s="42">
        <f>VLOOKUP(Table7[[#This Row],[Baseline Fixture Code]], 'Tables &amp; Ranges'!$A$114:$B$132, 2, FALSE)</f>
        <v>101137</v>
      </c>
    </row>
    <row r="176" spans="2:12" ht="40" customHeight="1">
      <c r="B176" s="42">
        <v>741</v>
      </c>
      <c r="C176" s="102" t="s">
        <v>1623</v>
      </c>
      <c r="D176" s="102" t="s">
        <v>1455</v>
      </c>
      <c r="E176" s="92" t="s">
        <v>1624</v>
      </c>
      <c r="F176" s="42">
        <v>2</v>
      </c>
      <c r="G176" s="42">
        <v>26</v>
      </c>
      <c r="H176" s="42">
        <v>51</v>
      </c>
      <c r="I176" s="42" t="s">
        <v>147</v>
      </c>
      <c r="J176" s="103" t="s">
        <v>3611</v>
      </c>
      <c r="K176" s="42" t="s">
        <v>4054</v>
      </c>
      <c r="L176" s="42">
        <f>VLOOKUP(Table7[[#This Row],[Baseline Fixture Code]], 'Tables &amp; Ranges'!$A$114:$B$132, 2, FALSE)</f>
        <v>101137</v>
      </c>
    </row>
    <row r="177" spans="2:12" ht="40" customHeight="1">
      <c r="B177" s="42">
        <v>742</v>
      </c>
      <c r="C177" s="102" t="s">
        <v>1625</v>
      </c>
      <c r="D177" s="102" t="s">
        <v>1455</v>
      </c>
      <c r="E177" s="92" t="s">
        <v>1626</v>
      </c>
      <c r="F177" s="42">
        <v>1</v>
      </c>
      <c r="G177" s="42">
        <v>28</v>
      </c>
      <c r="H177" s="42">
        <v>33</v>
      </c>
      <c r="I177" s="42" t="s">
        <v>1457</v>
      </c>
      <c r="J177" s="103" t="s">
        <v>3611</v>
      </c>
      <c r="K177" s="42" t="s">
        <v>4053</v>
      </c>
      <c r="L177" s="42">
        <f>VLOOKUP(Table7[[#This Row],[Baseline Fixture Code]], 'Tables &amp; Ranges'!$A$114:$B$132, 2, FALSE)</f>
        <v>101137</v>
      </c>
    </row>
    <row r="178" spans="2:12" ht="40" customHeight="1">
      <c r="B178" s="42">
        <v>743</v>
      </c>
      <c r="C178" s="102" t="s">
        <v>1627</v>
      </c>
      <c r="D178" s="102" t="s">
        <v>1455</v>
      </c>
      <c r="E178" s="92" t="s">
        <v>1628</v>
      </c>
      <c r="F178" s="42">
        <v>2</v>
      </c>
      <c r="G178" s="42">
        <v>28</v>
      </c>
      <c r="H178" s="42">
        <v>66</v>
      </c>
      <c r="I178" s="42" t="s">
        <v>1457</v>
      </c>
      <c r="J178" s="103" t="s">
        <v>3611</v>
      </c>
      <c r="K178" s="42" t="s">
        <v>4054</v>
      </c>
      <c r="L178" s="42">
        <f>VLOOKUP(Table7[[#This Row],[Baseline Fixture Code]], 'Tables &amp; Ranges'!$A$114:$B$132, 2, FALSE)</f>
        <v>101137</v>
      </c>
    </row>
    <row r="179" spans="2:12" ht="40" customHeight="1">
      <c r="B179" s="42">
        <v>744</v>
      </c>
      <c r="C179" s="102" t="s">
        <v>1629</v>
      </c>
      <c r="D179" s="102" t="s">
        <v>1455</v>
      </c>
      <c r="E179" s="92" t="s">
        <v>1630</v>
      </c>
      <c r="F179" s="42">
        <v>1</v>
      </c>
      <c r="G179" s="42">
        <v>32</v>
      </c>
      <c r="H179" s="42">
        <v>34</v>
      </c>
      <c r="I179" s="42" t="s">
        <v>147</v>
      </c>
      <c r="J179" s="103" t="s">
        <v>3611</v>
      </c>
      <c r="K179" s="42" t="s">
        <v>4053</v>
      </c>
      <c r="L179" s="42">
        <f>VLOOKUP(Table7[[#This Row],[Baseline Fixture Code]], 'Tables &amp; Ranges'!$A$114:$B$132, 2, FALSE)</f>
        <v>101137</v>
      </c>
    </row>
    <row r="180" spans="2:12" ht="40" customHeight="1">
      <c r="B180" s="42">
        <v>745</v>
      </c>
      <c r="C180" s="102" t="s">
        <v>1631</v>
      </c>
      <c r="D180" s="102" t="s">
        <v>1455</v>
      </c>
      <c r="E180" s="92" t="s">
        <v>1632</v>
      </c>
      <c r="F180" s="42">
        <v>2</v>
      </c>
      <c r="G180" s="42">
        <v>32</v>
      </c>
      <c r="H180" s="42">
        <v>62</v>
      </c>
      <c r="I180" s="42" t="s">
        <v>147</v>
      </c>
      <c r="J180" s="103" t="s">
        <v>3611</v>
      </c>
      <c r="K180" s="42" t="s">
        <v>4054</v>
      </c>
      <c r="L180" s="42">
        <f>VLOOKUP(Table7[[#This Row],[Baseline Fixture Code]], 'Tables &amp; Ranges'!$A$114:$B$132, 2, FALSE)</f>
        <v>101137</v>
      </c>
    </row>
    <row r="181" spans="2:12" ht="40" customHeight="1">
      <c r="B181" s="42">
        <v>746</v>
      </c>
      <c r="C181" s="102" t="s">
        <v>1633</v>
      </c>
      <c r="D181" s="102" t="s">
        <v>1455</v>
      </c>
      <c r="E181" s="92" t="s">
        <v>1634</v>
      </c>
      <c r="F181" s="42">
        <v>6</v>
      </c>
      <c r="G181" s="42">
        <v>32</v>
      </c>
      <c r="H181" s="42">
        <v>186</v>
      </c>
      <c r="I181" s="42" t="s">
        <v>147</v>
      </c>
      <c r="J181" s="103" t="s">
        <v>3611</v>
      </c>
      <c r="K181" s="42" t="s">
        <v>4053</v>
      </c>
      <c r="L181" s="42">
        <f>VLOOKUP(Table7[[#This Row],[Baseline Fixture Code]], 'Tables &amp; Ranges'!$A$114:$B$132, 2, FALSE)</f>
        <v>101137</v>
      </c>
    </row>
    <row r="182" spans="2:12" ht="40" customHeight="1">
      <c r="B182" s="42">
        <v>747</v>
      </c>
      <c r="C182" s="102" t="s">
        <v>1635</v>
      </c>
      <c r="D182" s="102" t="s">
        <v>1455</v>
      </c>
      <c r="E182" s="92" t="s">
        <v>1636</v>
      </c>
      <c r="F182" s="42">
        <v>1</v>
      </c>
      <c r="G182" s="42">
        <v>36</v>
      </c>
      <c r="H182" s="42">
        <v>51</v>
      </c>
      <c r="I182" s="42" t="s">
        <v>1457</v>
      </c>
      <c r="J182" s="103" t="s">
        <v>3611</v>
      </c>
      <c r="K182" s="42" t="s">
        <v>4054</v>
      </c>
      <c r="L182" s="42">
        <f>VLOOKUP(Table7[[#This Row],[Baseline Fixture Code]], 'Tables &amp; Ranges'!$A$114:$B$132, 2, FALSE)</f>
        <v>101137</v>
      </c>
    </row>
    <row r="183" spans="2:12" ht="40" customHeight="1">
      <c r="B183" s="42">
        <v>748</v>
      </c>
      <c r="C183" s="102" t="s">
        <v>1637</v>
      </c>
      <c r="D183" s="102" t="s">
        <v>1455</v>
      </c>
      <c r="E183" s="92" t="s">
        <v>1638</v>
      </c>
      <c r="F183" s="42">
        <v>1</v>
      </c>
      <c r="G183" s="42">
        <v>40</v>
      </c>
      <c r="H183" s="42">
        <v>46</v>
      </c>
      <c r="I183" s="42" t="s">
        <v>1457</v>
      </c>
      <c r="J183" s="103" t="s">
        <v>3611</v>
      </c>
      <c r="K183" s="42" t="s">
        <v>4053</v>
      </c>
      <c r="L183" s="42">
        <f>VLOOKUP(Table7[[#This Row],[Baseline Fixture Code]], 'Tables &amp; Ranges'!$A$114:$B$132, 2, FALSE)</f>
        <v>101137</v>
      </c>
    </row>
    <row r="184" spans="2:12" ht="40" customHeight="1">
      <c r="B184" s="42">
        <v>749</v>
      </c>
      <c r="C184" s="102" t="s">
        <v>1639</v>
      </c>
      <c r="D184" s="102" t="s">
        <v>1455</v>
      </c>
      <c r="E184" s="92" t="s">
        <v>1638</v>
      </c>
      <c r="F184" s="42">
        <v>1</v>
      </c>
      <c r="G184" s="42">
        <v>40</v>
      </c>
      <c r="H184" s="42">
        <v>43</v>
      </c>
      <c r="I184" s="42" t="s">
        <v>147</v>
      </c>
      <c r="J184" s="103" t="s">
        <v>3611</v>
      </c>
      <c r="K184" s="42" t="s">
        <v>4054</v>
      </c>
      <c r="L184" s="42">
        <f>VLOOKUP(Table7[[#This Row],[Baseline Fixture Code]], 'Tables &amp; Ranges'!$A$114:$B$132, 2, FALSE)</f>
        <v>101137</v>
      </c>
    </row>
    <row r="185" spans="2:12" ht="40" customHeight="1">
      <c r="B185" s="42">
        <v>750</v>
      </c>
      <c r="C185" s="102" t="s">
        <v>1640</v>
      </c>
      <c r="D185" s="102" t="s">
        <v>1455</v>
      </c>
      <c r="E185" s="92" t="s">
        <v>1641</v>
      </c>
      <c r="F185" s="42">
        <v>2</v>
      </c>
      <c r="G185" s="42">
        <v>40</v>
      </c>
      <c r="H185" s="42">
        <v>85</v>
      </c>
      <c r="I185" s="42" t="s">
        <v>1457</v>
      </c>
      <c r="J185" s="103" t="s">
        <v>3611</v>
      </c>
      <c r="K185" s="42" t="s">
        <v>4053</v>
      </c>
      <c r="L185" s="42">
        <f>VLOOKUP(Table7[[#This Row],[Baseline Fixture Code]], 'Tables &amp; Ranges'!$A$114:$B$132, 2, FALSE)</f>
        <v>101137</v>
      </c>
    </row>
    <row r="186" spans="2:12" ht="40" customHeight="1">
      <c r="B186" s="42">
        <v>751</v>
      </c>
      <c r="C186" s="102" t="s">
        <v>1642</v>
      </c>
      <c r="D186" s="102" t="s">
        <v>1455</v>
      </c>
      <c r="E186" s="92" t="s">
        <v>1641</v>
      </c>
      <c r="F186" s="42">
        <v>2</v>
      </c>
      <c r="G186" s="42">
        <v>40</v>
      </c>
      <c r="H186" s="42">
        <v>72</v>
      </c>
      <c r="I186" s="42" t="s">
        <v>147</v>
      </c>
      <c r="J186" s="103" t="s">
        <v>3611</v>
      </c>
      <c r="K186" s="42" t="s">
        <v>4054</v>
      </c>
      <c r="L186" s="42">
        <f>VLOOKUP(Table7[[#This Row],[Baseline Fixture Code]], 'Tables &amp; Ranges'!$A$114:$B$132, 2, FALSE)</f>
        <v>101137</v>
      </c>
    </row>
    <row r="187" spans="2:12" ht="40" customHeight="1">
      <c r="B187" s="42">
        <v>752</v>
      </c>
      <c r="C187" s="102" t="s">
        <v>1643</v>
      </c>
      <c r="D187" s="102" t="s">
        <v>1455</v>
      </c>
      <c r="E187" s="92" t="s">
        <v>1644</v>
      </c>
      <c r="F187" s="42">
        <v>3</v>
      </c>
      <c r="G187" s="42">
        <v>40</v>
      </c>
      <c r="H187" s="42">
        <v>133</v>
      </c>
      <c r="I187" s="42" t="s">
        <v>1457</v>
      </c>
      <c r="J187" s="103" t="s">
        <v>3611</v>
      </c>
      <c r="K187" s="42" t="s">
        <v>4053</v>
      </c>
      <c r="L187" s="42">
        <f>VLOOKUP(Table7[[#This Row],[Baseline Fixture Code]], 'Tables &amp; Ranges'!$A$114:$B$132, 2, FALSE)</f>
        <v>101137</v>
      </c>
    </row>
    <row r="188" spans="2:12" ht="40" customHeight="1">
      <c r="B188" s="42">
        <v>753</v>
      </c>
      <c r="C188" s="102" t="s">
        <v>1645</v>
      </c>
      <c r="D188" s="102" t="s">
        <v>1455</v>
      </c>
      <c r="E188" s="92" t="s">
        <v>1646</v>
      </c>
      <c r="F188" s="42">
        <v>3</v>
      </c>
      <c r="G188" s="42">
        <v>40</v>
      </c>
      <c r="H188" s="42">
        <v>105</v>
      </c>
      <c r="I188" s="42" t="s">
        <v>147</v>
      </c>
      <c r="J188" s="103" t="s">
        <v>3611</v>
      </c>
      <c r="K188" s="42" t="s">
        <v>4054</v>
      </c>
      <c r="L188" s="42">
        <f>VLOOKUP(Table7[[#This Row],[Baseline Fixture Code]], 'Tables &amp; Ranges'!$A$114:$B$132, 2, FALSE)</f>
        <v>101137</v>
      </c>
    </row>
    <row r="189" spans="2:12" ht="40" customHeight="1">
      <c r="B189" s="42">
        <v>754</v>
      </c>
      <c r="C189" s="102" t="s">
        <v>1647</v>
      </c>
      <c r="D189" s="102" t="s">
        <v>1455</v>
      </c>
      <c r="E189" s="92" t="s">
        <v>1648</v>
      </c>
      <c r="F189" s="42">
        <v>5</v>
      </c>
      <c r="G189" s="42">
        <v>40</v>
      </c>
      <c r="H189" s="42">
        <v>177</v>
      </c>
      <c r="I189" s="42" t="s">
        <v>147</v>
      </c>
      <c r="J189" s="103" t="s">
        <v>3611</v>
      </c>
      <c r="K189" s="42" t="s">
        <v>4053</v>
      </c>
      <c r="L189" s="42">
        <f>VLOOKUP(Table7[[#This Row],[Baseline Fixture Code]], 'Tables &amp; Ranges'!$A$114:$B$132, 2, FALSE)</f>
        <v>101137</v>
      </c>
    </row>
    <row r="190" spans="2:12" ht="40" customHeight="1">
      <c r="B190" s="42">
        <v>720</v>
      </c>
      <c r="C190" s="102" t="s">
        <v>1584</v>
      </c>
      <c r="D190" s="102" t="s">
        <v>1455</v>
      </c>
      <c r="E190" s="92" t="s">
        <v>1585</v>
      </c>
      <c r="F190" s="42">
        <v>1</v>
      </c>
      <c r="G190" s="42">
        <v>5</v>
      </c>
      <c r="H190" s="42">
        <v>9</v>
      </c>
      <c r="I190" s="42" t="s">
        <v>1457</v>
      </c>
      <c r="J190" s="103" t="s">
        <v>3611</v>
      </c>
      <c r="K190" s="42" t="s">
        <v>4054</v>
      </c>
      <c r="L190" s="42">
        <f>VLOOKUP(Table7[[#This Row],[Baseline Fixture Code]], 'Tables &amp; Ranges'!$A$114:$B$132, 2, FALSE)</f>
        <v>101137</v>
      </c>
    </row>
    <row r="191" spans="2:12" ht="40" customHeight="1">
      <c r="B191" s="42">
        <v>721</v>
      </c>
      <c r="C191" s="102" t="s">
        <v>1586</v>
      </c>
      <c r="D191" s="102" t="s">
        <v>1455</v>
      </c>
      <c r="E191" s="92" t="s">
        <v>1587</v>
      </c>
      <c r="F191" s="42">
        <v>2</v>
      </c>
      <c r="G191" s="42">
        <v>5</v>
      </c>
      <c r="H191" s="42">
        <v>18</v>
      </c>
      <c r="I191" s="42" t="s">
        <v>1457</v>
      </c>
      <c r="J191" s="103" t="s">
        <v>3611</v>
      </c>
      <c r="K191" s="42" t="s">
        <v>4053</v>
      </c>
      <c r="L191" s="42">
        <f>VLOOKUP(Table7[[#This Row],[Baseline Fixture Code]], 'Tables &amp; Ranges'!$A$114:$B$132, 2, FALSE)</f>
        <v>101137</v>
      </c>
    </row>
    <row r="192" spans="2:12" ht="40" customHeight="1">
      <c r="B192" s="42">
        <v>755</v>
      </c>
      <c r="C192" s="102" t="s">
        <v>1649</v>
      </c>
      <c r="D192" s="102" t="s">
        <v>1455</v>
      </c>
      <c r="E192" s="92" t="s">
        <v>1650</v>
      </c>
      <c r="F192" s="42">
        <v>1</v>
      </c>
      <c r="G192" s="42">
        <v>50</v>
      </c>
      <c r="H192" s="42">
        <v>54</v>
      </c>
      <c r="I192" s="42" t="s">
        <v>147</v>
      </c>
      <c r="J192" s="103" t="s">
        <v>3611</v>
      </c>
      <c r="K192" s="42" t="s">
        <v>4054</v>
      </c>
      <c r="L192" s="42">
        <f>VLOOKUP(Table7[[#This Row],[Baseline Fixture Code]], 'Tables &amp; Ranges'!$A$114:$B$132, 2, FALSE)</f>
        <v>101137</v>
      </c>
    </row>
    <row r="193" spans="2:12" ht="40" customHeight="1">
      <c r="B193" s="42">
        <v>756</v>
      </c>
      <c r="C193" s="102" t="s">
        <v>1651</v>
      </c>
      <c r="D193" s="102" t="s">
        <v>1455</v>
      </c>
      <c r="E193" s="92" t="s">
        <v>1652</v>
      </c>
      <c r="F193" s="42">
        <v>1</v>
      </c>
      <c r="G193" s="42">
        <v>50</v>
      </c>
      <c r="H193" s="42">
        <v>108</v>
      </c>
      <c r="I193" s="42" t="s">
        <v>147</v>
      </c>
      <c r="J193" s="103" t="s">
        <v>3611</v>
      </c>
      <c r="K193" s="42" t="s">
        <v>4053</v>
      </c>
      <c r="L193" s="42">
        <f>VLOOKUP(Table7[[#This Row],[Baseline Fixture Code]], 'Tables &amp; Ranges'!$A$114:$B$132, 2, FALSE)</f>
        <v>101137</v>
      </c>
    </row>
    <row r="194" spans="2:12" ht="40" customHeight="1">
      <c r="B194" s="42">
        <v>757</v>
      </c>
      <c r="C194" s="102" t="s">
        <v>1653</v>
      </c>
      <c r="D194" s="102" t="s">
        <v>1455</v>
      </c>
      <c r="E194" s="92" t="s">
        <v>1654</v>
      </c>
      <c r="F194" s="42">
        <v>1</v>
      </c>
      <c r="G194" s="42">
        <v>55</v>
      </c>
      <c r="H194" s="42">
        <v>58</v>
      </c>
      <c r="I194" s="42" t="s">
        <v>147</v>
      </c>
      <c r="J194" s="103" t="s">
        <v>3611</v>
      </c>
      <c r="K194" s="42" t="s">
        <v>4054</v>
      </c>
      <c r="L194" s="42">
        <f>VLOOKUP(Table7[[#This Row],[Baseline Fixture Code]], 'Tables &amp; Ranges'!$A$114:$B$132, 2, FALSE)</f>
        <v>101137</v>
      </c>
    </row>
    <row r="195" spans="2:12" ht="40" customHeight="1">
      <c r="B195" s="42">
        <v>758</v>
      </c>
      <c r="C195" s="102" t="s">
        <v>1655</v>
      </c>
      <c r="D195" s="102" t="s">
        <v>1455</v>
      </c>
      <c r="E195" s="92" t="s">
        <v>1656</v>
      </c>
      <c r="F195" s="42">
        <v>2</v>
      </c>
      <c r="G195" s="42">
        <v>55</v>
      </c>
      <c r="H195" s="42">
        <v>108</v>
      </c>
      <c r="I195" s="42" t="s">
        <v>147</v>
      </c>
      <c r="J195" s="103" t="s">
        <v>3611</v>
      </c>
      <c r="K195" s="42" t="s">
        <v>4053</v>
      </c>
      <c r="L195" s="42">
        <f>VLOOKUP(Table7[[#This Row],[Baseline Fixture Code]], 'Tables &amp; Ranges'!$A$114:$B$132, 2, FALSE)</f>
        <v>101137</v>
      </c>
    </row>
    <row r="196" spans="2:12" ht="40" customHeight="1">
      <c r="B196" s="42">
        <v>759</v>
      </c>
      <c r="C196" s="102" t="s">
        <v>1657</v>
      </c>
      <c r="D196" s="102" t="s">
        <v>1455</v>
      </c>
      <c r="E196" s="92" t="s">
        <v>1658</v>
      </c>
      <c r="F196" s="42">
        <v>3</v>
      </c>
      <c r="G196" s="42">
        <v>55</v>
      </c>
      <c r="H196" s="42">
        <v>168</v>
      </c>
      <c r="I196" s="42" t="s">
        <v>147</v>
      </c>
      <c r="J196" s="103" t="s">
        <v>3611</v>
      </c>
      <c r="K196" s="42" t="s">
        <v>4054</v>
      </c>
      <c r="L196" s="42">
        <f>VLOOKUP(Table7[[#This Row],[Baseline Fixture Code]], 'Tables &amp; Ranges'!$A$114:$B$132, 2, FALSE)</f>
        <v>101137</v>
      </c>
    </row>
    <row r="197" spans="2:12" ht="40" customHeight="1">
      <c r="B197" s="42">
        <v>760</v>
      </c>
      <c r="C197" s="102" t="s">
        <v>1659</v>
      </c>
      <c r="D197" s="102" t="s">
        <v>1455</v>
      </c>
      <c r="E197" s="92" t="s">
        <v>1660</v>
      </c>
      <c r="F197" s="42">
        <v>4</v>
      </c>
      <c r="G197" s="42">
        <v>55</v>
      </c>
      <c r="H197" s="42">
        <v>220</v>
      </c>
      <c r="I197" s="42" t="s">
        <v>147</v>
      </c>
      <c r="J197" s="103" t="s">
        <v>3611</v>
      </c>
      <c r="K197" s="42" t="s">
        <v>4053</v>
      </c>
      <c r="L197" s="42">
        <f>VLOOKUP(Table7[[#This Row],[Baseline Fixture Code]], 'Tables &amp; Ranges'!$A$114:$B$132, 2, FALSE)</f>
        <v>101137</v>
      </c>
    </row>
    <row r="198" spans="2:12" ht="40" customHeight="1">
      <c r="B198" s="42">
        <v>722</v>
      </c>
      <c r="C198" s="102" t="s">
        <v>1588</v>
      </c>
      <c r="D198" s="102" t="s">
        <v>1455</v>
      </c>
      <c r="E198" s="92" t="s">
        <v>1589</v>
      </c>
      <c r="F198" s="42">
        <v>1</v>
      </c>
      <c r="G198" s="42">
        <v>7</v>
      </c>
      <c r="H198" s="42">
        <v>10</v>
      </c>
      <c r="I198" s="42" t="s">
        <v>1457</v>
      </c>
      <c r="J198" s="103" t="s">
        <v>3611</v>
      </c>
      <c r="K198" s="42" t="s">
        <v>4054</v>
      </c>
      <c r="L198" s="42">
        <f>VLOOKUP(Table7[[#This Row],[Baseline Fixture Code]], 'Tables &amp; Ranges'!$A$114:$B$132, 2, FALSE)</f>
        <v>101137</v>
      </c>
    </row>
    <row r="199" spans="2:12" ht="40" customHeight="1">
      <c r="B199" s="42">
        <v>723</v>
      </c>
      <c r="C199" s="102" t="s">
        <v>1590</v>
      </c>
      <c r="D199" s="102" t="s">
        <v>1455</v>
      </c>
      <c r="E199" s="92" t="s">
        <v>1591</v>
      </c>
      <c r="F199" s="42">
        <v>2</v>
      </c>
      <c r="G199" s="42">
        <v>7</v>
      </c>
      <c r="H199" s="42">
        <v>21</v>
      </c>
      <c r="I199" s="42" t="s">
        <v>1457</v>
      </c>
      <c r="J199" s="103" t="s">
        <v>3611</v>
      </c>
      <c r="K199" s="42" t="s">
        <v>4053</v>
      </c>
      <c r="L199" s="42">
        <f>VLOOKUP(Table7[[#This Row],[Baseline Fixture Code]], 'Tables &amp; Ranges'!$A$114:$B$132, 2, FALSE)</f>
        <v>101137</v>
      </c>
    </row>
    <row r="200" spans="2:12" ht="40" customHeight="1">
      <c r="B200" s="42">
        <v>761</v>
      </c>
      <c r="C200" s="102" t="s">
        <v>1661</v>
      </c>
      <c r="D200" s="102" t="s">
        <v>1455</v>
      </c>
      <c r="E200" s="92" t="s">
        <v>1662</v>
      </c>
      <c r="F200" s="42">
        <v>1</v>
      </c>
      <c r="G200" s="42">
        <v>80</v>
      </c>
      <c r="H200" s="42">
        <v>90</v>
      </c>
      <c r="I200" s="42" t="s">
        <v>147</v>
      </c>
      <c r="J200" s="103" t="s">
        <v>3611</v>
      </c>
      <c r="K200" s="42" t="s">
        <v>4054</v>
      </c>
      <c r="L200" s="42">
        <f>VLOOKUP(Table7[[#This Row],[Baseline Fixture Code]], 'Tables &amp; Ranges'!$A$114:$B$132, 2, FALSE)</f>
        <v>101137</v>
      </c>
    </row>
    <row r="201" spans="2:12" ht="40" customHeight="1">
      <c r="B201" s="42">
        <v>724</v>
      </c>
      <c r="C201" s="102" t="s">
        <v>1592</v>
      </c>
      <c r="D201" s="102" t="s">
        <v>1455</v>
      </c>
      <c r="E201" s="92" t="s">
        <v>1593</v>
      </c>
      <c r="F201" s="42">
        <v>1</v>
      </c>
      <c r="G201" s="42">
        <v>9</v>
      </c>
      <c r="H201" s="42">
        <v>12</v>
      </c>
      <c r="I201" s="42" t="s">
        <v>1457</v>
      </c>
      <c r="J201" s="103" t="s">
        <v>3611</v>
      </c>
      <c r="K201" s="42" t="s">
        <v>4053</v>
      </c>
      <c r="L201" s="42">
        <f>VLOOKUP(Table7[[#This Row],[Baseline Fixture Code]], 'Tables &amp; Ranges'!$A$114:$B$132, 2, FALSE)</f>
        <v>101137</v>
      </c>
    </row>
    <row r="202" spans="2:12" ht="40" customHeight="1">
      <c r="B202" s="42">
        <v>725</v>
      </c>
      <c r="C202" s="102" t="s">
        <v>1594</v>
      </c>
      <c r="D202" s="102" t="s">
        <v>1455</v>
      </c>
      <c r="E202" s="92" t="s">
        <v>1595</v>
      </c>
      <c r="F202" s="42">
        <v>2</v>
      </c>
      <c r="G202" s="42">
        <v>9</v>
      </c>
      <c r="H202" s="42">
        <v>23</v>
      </c>
      <c r="I202" s="42" t="s">
        <v>1457</v>
      </c>
      <c r="J202" s="103" t="s">
        <v>3611</v>
      </c>
      <c r="K202" s="42" t="s">
        <v>4054</v>
      </c>
      <c r="L202" s="42">
        <f>VLOOKUP(Table7[[#This Row],[Baseline Fixture Code]], 'Tables &amp; Ranges'!$A$114:$B$132, 2, FALSE)</f>
        <v>101137</v>
      </c>
    </row>
    <row r="203" spans="2:12" ht="40" customHeight="1">
      <c r="B203" s="42">
        <v>726</v>
      </c>
      <c r="C203" s="102" t="s">
        <v>1596</v>
      </c>
      <c r="D203" s="102" t="s">
        <v>1455</v>
      </c>
      <c r="E203" s="92" t="s">
        <v>1597</v>
      </c>
      <c r="F203" s="42">
        <v>3</v>
      </c>
      <c r="G203" s="42">
        <v>9</v>
      </c>
      <c r="H203" s="42">
        <v>34</v>
      </c>
      <c r="I203" s="42" t="s">
        <v>1457</v>
      </c>
      <c r="J203" s="103" t="s">
        <v>3611</v>
      </c>
      <c r="K203" s="42" t="s">
        <v>4053</v>
      </c>
      <c r="L203" s="42">
        <f>VLOOKUP(Table7[[#This Row],[Baseline Fixture Code]], 'Tables &amp; Ranges'!$A$114:$B$132, 2, FALSE)</f>
        <v>101137</v>
      </c>
    </row>
    <row r="204" spans="2:12" ht="40" customHeight="1">
      <c r="B204" s="42">
        <v>762</v>
      </c>
      <c r="C204" s="102" t="s">
        <v>1663</v>
      </c>
      <c r="D204" s="102" t="s">
        <v>1664</v>
      </c>
      <c r="E204" s="92" t="s">
        <v>1665</v>
      </c>
      <c r="F204" s="42">
        <v>1</v>
      </c>
      <c r="G204" s="42">
        <v>5</v>
      </c>
      <c r="H204" s="42">
        <v>9</v>
      </c>
      <c r="I204" s="42" t="s">
        <v>1457</v>
      </c>
      <c r="J204" s="103" t="s">
        <v>3611</v>
      </c>
      <c r="K204" s="95" t="s">
        <v>4034</v>
      </c>
      <c r="L204" s="42">
        <f>VLOOKUP(Table7[[#This Row],[Baseline Fixture Code]], 'Tables &amp; Ranges'!$A$114:$B$132, 2, FALSE)</f>
        <v>123817</v>
      </c>
    </row>
    <row r="205" spans="2:12" ht="40" customHeight="1">
      <c r="B205" s="42">
        <v>763</v>
      </c>
      <c r="C205" s="102" t="s">
        <v>1666</v>
      </c>
      <c r="D205" s="102" t="s">
        <v>1664</v>
      </c>
      <c r="E205" s="92" t="s">
        <v>1667</v>
      </c>
      <c r="F205" s="42">
        <v>2</v>
      </c>
      <c r="G205" s="42">
        <v>5</v>
      </c>
      <c r="H205" s="42">
        <v>20</v>
      </c>
      <c r="I205" s="42" t="s">
        <v>1457</v>
      </c>
      <c r="J205" s="103" t="s">
        <v>3611</v>
      </c>
      <c r="K205" s="95" t="s">
        <v>4034</v>
      </c>
      <c r="L205" s="42">
        <f>VLOOKUP(Table7[[#This Row],[Baseline Fixture Code]], 'Tables &amp; Ranges'!$A$114:$B$132, 2, FALSE)</f>
        <v>123817</v>
      </c>
    </row>
    <row r="206" spans="2:12" ht="40" customHeight="1">
      <c r="B206" s="42">
        <v>764</v>
      </c>
      <c r="C206" s="102" t="s">
        <v>1668</v>
      </c>
      <c r="D206" s="102" t="s">
        <v>1664</v>
      </c>
      <c r="E206" s="92" t="s">
        <v>1669</v>
      </c>
      <c r="F206" s="42">
        <v>1</v>
      </c>
      <c r="G206" s="42">
        <v>6</v>
      </c>
      <c r="H206" s="42">
        <v>13</v>
      </c>
      <c r="I206" s="42" t="s">
        <v>1457</v>
      </c>
      <c r="J206" s="103" t="s">
        <v>3611</v>
      </c>
      <c r="K206" s="95" t="s">
        <v>4034</v>
      </c>
      <c r="L206" s="42">
        <f>VLOOKUP(Table7[[#This Row],[Baseline Fixture Code]], 'Tables &amp; Ranges'!$A$114:$B$132, 2, FALSE)</f>
        <v>123817</v>
      </c>
    </row>
    <row r="207" spans="2:12" ht="40" customHeight="1">
      <c r="B207" s="42">
        <v>765</v>
      </c>
      <c r="C207" s="102" t="s">
        <v>1670</v>
      </c>
      <c r="D207" s="102" t="s">
        <v>1664</v>
      </c>
      <c r="E207" s="92" t="s">
        <v>1671</v>
      </c>
      <c r="F207" s="42">
        <v>2</v>
      </c>
      <c r="G207" s="42">
        <v>6</v>
      </c>
      <c r="H207" s="42">
        <v>26</v>
      </c>
      <c r="I207" s="42" t="s">
        <v>1457</v>
      </c>
      <c r="J207" s="103" t="s">
        <v>3611</v>
      </c>
      <c r="K207" s="95" t="s">
        <v>4034</v>
      </c>
      <c r="L207" s="42">
        <f>VLOOKUP(Table7[[#This Row],[Baseline Fixture Code]], 'Tables &amp; Ranges'!$A$114:$B$132, 2, FALSE)</f>
        <v>123817</v>
      </c>
    </row>
    <row r="208" spans="2:12" ht="40" customHeight="1">
      <c r="B208" s="42">
        <v>766</v>
      </c>
      <c r="C208" s="102" t="s">
        <v>1672</v>
      </c>
      <c r="D208" s="102" t="s">
        <v>1664</v>
      </c>
      <c r="E208" s="92" t="s">
        <v>1673</v>
      </c>
      <c r="F208" s="42">
        <v>1</v>
      </c>
      <c r="G208" s="42">
        <v>7</v>
      </c>
      <c r="H208" s="42">
        <v>10</v>
      </c>
      <c r="I208" s="42" t="s">
        <v>1457</v>
      </c>
      <c r="J208" s="103" t="s">
        <v>3611</v>
      </c>
      <c r="K208" s="95" t="s">
        <v>4034</v>
      </c>
      <c r="L208" s="42">
        <f>VLOOKUP(Table7[[#This Row],[Baseline Fixture Code]], 'Tables &amp; Ranges'!$A$114:$B$132, 2, FALSE)</f>
        <v>123817</v>
      </c>
    </row>
    <row r="209" spans="2:12" ht="40" customHeight="1">
      <c r="B209" s="42">
        <v>767</v>
      </c>
      <c r="C209" s="102" t="s">
        <v>1674</v>
      </c>
      <c r="D209" s="102" t="s">
        <v>1664</v>
      </c>
      <c r="E209" s="92" t="s">
        <v>1675</v>
      </c>
      <c r="F209" s="42">
        <v>2</v>
      </c>
      <c r="G209" s="42">
        <v>7</v>
      </c>
      <c r="H209" s="42">
        <v>21</v>
      </c>
      <c r="I209" s="42" t="s">
        <v>1457</v>
      </c>
      <c r="J209" s="103" t="s">
        <v>3611</v>
      </c>
      <c r="K209" s="95" t="s">
        <v>4034</v>
      </c>
      <c r="L209" s="42">
        <f>VLOOKUP(Table7[[#This Row],[Baseline Fixture Code]], 'Tables &amp; Ranges'!$A$114:$B$132, 2, FALSE)</f>
        <v>123817</v>
      </c>
    </row>
    <row r="210" spans="2:12" ht="40" customHeight="1">
      <c r="B210" s="42">
        <v>768</v>
      </c>
      <c r="C210" s="102" t="s">
        <v>1676</v>
      </c>
      <c r="D210" s="102" t="s">
        <v>1664</v>
      </c>
      <c r="E210" s="92" t="s">
        <v>1677</v>
      </c>
      <c r="F210" s="42">
        <v>1</v>
      </c>
      <c r="G210" s="42">
        <v>9</v>
      </c>
      <c r="H210" s="42">
        <v>12</v>
      </c>
      <c r="I210" s="42" t="s">
        <v>1457</v>
      </c>
      <c r="J210" s="103" t="s">
        <v>3611</v>
      </c>
      <c r="K210" s="95" t="s">
        <v>4034</v>
      </c>
      <c r="L210" s="42">
        <f>VLOOKUP(Table7[[#This Row],[Baseline Fixture Code]], 'Tables &amp; Ranges'!$A$114:$B$132, 2, FALSE)</f>
        <v>123817</v>
      </c>
    </row>
    <row r="211" spans="2:12" ht="40" customHeight="1">
      <c r="B211" s="42">
        <v>769</v>
      </c>
      <c r="C211" s="102" t="s">
        <v>1678</v>
      </c>
      <c r="D211" s="102" t="s">
        <v>1664</v>
      </c>
      <c r="E211" s="92" t="s">
        <v>1679</v>
      </c>
      <c r="F211" s="42">
        <v>2</v>
      </c>
      <c r="G211" s="42">
        <v>9</v>
      </c>
      <c r="H211" s="42">
        <v>20</v>
      </c>
      <c r="I211" s="42" t="s">
        <v>1457</v>
      </c>
      <c r="J211" s="103" t="s">
        <v>3611</v>
      </c>
      <c r="K211" s="95" t="s">
        <v>4034</v>
      </c>
      <c r="L211" s="42">
        <f>VLOOKUP(Table7[[#This Row],[Baseline Fixture Code]], 'Tables &amp; Ranges'!$A$114:$B$132, 2, FALSE)</f>
        <v>123817</v>
      </c>
    </row>
    <row r="212" spans="2:12" ht="40" customHeight="1">
      <c r="B212" s="42">
        <v>770</v>
      </c>
      <c r="C212" s="102" t="s">
        <v>1680</v>
      </c>
      <c r="D212" s="102" t="s">
        <v>1664</v>
      </c>
      <c r="E212" s="92" t="s">
        <v>1681</v>
      </c>
      <c r="F212" s="42">
        <v>2</v>
      </c>
      <c r="G212" s="42">
        <v>2</v>
      </c>
      <c r="H212" s="42">
        <v>5</v>
      </c>
      <c r="I212" s="42" t="s">
        <v>147</v>
      </c>
      <c r="J212" s="103" t="s">
        <v>3611</v>
      </c>
      <c r="K212" s="95" t="s">
        <v>4034</v>
      </c>
      <c r="L212" s="42">
        <f>VLOOKUP(Table7[[#This Row],[Baseline Fixture Code]], 'Tables &amp; Ranges'!$A$114:$B$132, 2, FALSE)</f>
        <v>123817</v>
      </c>
    </row>
    <row r="213" spans="2:12" ht="40" customHeight="1">
      <c r="B213" s="42">
        <v>771</v>
      </c>
      <c r="C213" s="102" t="s">
        <v>1682</v>
      </c>
      <c r="D213" s="102" t="s">
        <v>1664</v>
      </c>
      <c r="E213" s="92" t="s">
        <v>1683</v>
      </c>
      <c r="F213" s="42">
        <v>1</v>
      </c>
      <c r="G213" s="42">
        <v>6</v>
      </c>
      <c r="H213" s="42">
        <v>9</v>
      </c>
      <c r="I213" s="42" t="s">
        <v>1457</v>
      </c>
      <c r="J213" s="103" t="s">
        <v>3611</v>
      </c>
      <c r="K213" s="95" t="s">
        <v>4034</v>
      </c>
      <c r="L213" s="42">
        <f>VLOOKUP(Table7[[#This Row],[Baseline Fixture Code]], 'Tables &amp; Ranges'!$A$114:$B$132, 2, FALSE)</f>
        <v>123817</v>
      </c>
    </row>
    <row r="214" spans="2:12" ht="40" customHeight="1">
      <c r="B214" s="42">
        <v>772</v>
      </c>
      <c r="C214" s="102" t="s">
        <v>1684</v>
      </c>
      <c r="D214" s="102" t="s">
        <v>1664</v>
      </c>
      <c r="E214" s="92" t="s">
        <v>1685</v>
      </c>
      <c r="F214" s="42">
        <v>2</v>
      </c>
      <c r="G214" s="42">
        <v>6</v>
      </c>
      <c r="H214" s="42">
        <v>18</v>
      </c>
      <c r="I214" s="42" t="s">
        <v>1457</v>
      </c>
      <c r="J214" s="103" t="s">
        <v>3611</v>
      </c>
      <c r="K214" s="95" t="s">
        <v>4034</v>
      </c>
      <c r="L214" s="42">
        <f>VLOOKUP(Table7[[#This Row],[Baseline Fixture Code]], 'Tables &amp; Ranges'!$A$114:$B$132, 2, FALSE)</f>
        <v>123817</v>
      </c>
    </row>
    <row r="215" spans="2:12" ht="40" customHeight="1">
      <c r="B215" s="42">
        <v>773</v>
      </c>
      <c r="C215" s="102" t="s">
        <v>1686</v>
      </c>
      <c r="D215" s="102" t="s">
        <v>1664</v>
      </c>
      <c r="E215" s="92" t="s">
        <v>1687</v>
      </c>
      <c r="F215" s="42">
        <v>1</v>
      </c>
      <c r="G215" s="42">
        <v>8</v>
      </c>
      <c r="H215" s="42">
        <v>12</v>
      </c>
      <c r="I215" s="42" t="s">
        <v>1457</v>
      </c>
      <c r="J215" s="103" t="s">
        <v>3611</v>
      </c>
      <c r="K215" s="95" t="s">
        <v>4034</v>
      </c>
      <c r="L215" s="42">
        <f>VLOOKUP(Table7[[#This Row],[Baseline Fixture Code]], 'Tables &amp; Ranges'!$A$114:$B$132, 2, FALSE)</f>
        <v>123817</v>
      </c>
    </row>
    <row r="216" spans="2:12" ht="40" customHeight="1">
      <c r="B216" s="42">
        <v>774</v>
      </c>
      <c r="C216" s="102" t="s">
        <v>1688</v>
      </c>
      <c r="D216" s="102" t="s">
        <v>1664</v>
      </c>
      <c r="E216" s="92" t="s">
        <v>1689</v>
      </c>
      <c r="F216" s="42">
        <v>2</v>
      </c>
      <c r="G216" s="42">
        <v>8</v>
      </c>
      <c r="H216" s="42">
        <v>24</v>
      </c>
      <c r="I216" s="42" t="s">
        <v>1457</v>
      </c>
      <c r="J216" s="103" t="s">
        <v>3611</v>
      </c>
      <c r="K216" s="95" t="s">
        <v>4034</v>
      </c>
      <c r="L216" s="42">
        <f>VLOOKUP(Table7[[#This Row],[Baseline Fixture Code]], 'Tables &amp; Ranges'!$A$114:$B$132, 2, FALSE)</f>
        <v>123817</v>
      </c>
    </row>
    <row r="217" spans="2:12" ht="40" customHeight="1">
      <c r="B217" s="42">
        <v>779</v>
      </c>
      <c r="C217" s="102" t="s">
        <v>1699</v>
      </c>
      <c r="D217" s="102" t="s">
        <v>1691</v>
      </c>
      <c r="E217" s="92" t="s">
        <v>1700</v>
      </c>
      <c r="F217" s="42">
        <v>2</v>
      </c>
      <c r="G217" s="42">
        <v>10</v>
      </c>
      <c r="H217" s="42">
        <v>20</v>
      </c>
      <c r="I217" s="42" t="s">
        <v>146</v>
      </c>
      <c r="J217" s="103" t="s">
        <v>3611</v>
      </c>
      <c r="K217" s="95" t="s">
        <v>4034</v>
      </c>
      <c r="L217" s="42">
        <f>VLOOKUP(Table7[[#This Row],[Baseline Fixture Code]], 'Tables &amp; Ranges'!$A$114:$B$132, 2, FALSE)</f>
        <v>123817</v>
      </c>
    </row>
    <row r="218" spans="2:12" ht="40" customHeight="1">
      <c r="B218" s="42">
        <v>780</v>
      </c>
      <c r="C218" s="102" t="s">
        <v>1701</v>
      </c>
      <c r="D218" s="102" t="s">
        <v>1691</v>
      </c>
      <c r="E218" s="92" t="s">
        <v>1702</v>
      </c>
      <c r="F218" s="42">
        <v>1</v>
      </c>
      <c r="G218" s="42">
        <v>15</v>
      </c>
      <c r="H218" s="42">
        <v>15</v>
      </c>
      <c r="I218" s="42" t="s">
        <v>146</v>
      </c>
      <c r="J218" s="103" t="s">
        <v>3611</v>
      </c>
      <c r="K218" s="95" t="s">
        <v>4034</v>
      </c>
      <c r="L218" s="42">
        <f>VLOOKUP(Table7[[#This Row],[Baseline Fixture Code]], 'Tables &amp; Ranges'!$A$114:$B$132, 2, FALSE)</f>
        <v>123817</v>
      </c>
    </row>
    <row r="219" spans="2:12" ht="40" customHeight="1">
      <c r="B219" s="42">
        <v>781</v>
      </c>
      <c r="C219" s="102" t="s">
        <v>1703</v>
      </c>
      <c r="D219" s="102" t="s">
        <v>1691</v>
      </c>
      <c r="E219" s="92" t="s">
        <v>1704</v>
      </c>
      <c r="F219" s="42">
        <v>2</v>
      </c>
      <c r="G219" s="42">
        <v>15</v>
      </c>
      <c r="H219" s="42">
        <v>30</v>
      </c>
      <c r="I219" s="42" t="s">
        <v>146</v>
      </c>
      <c r="J219" s="103" t="s">
        <v>3611</v>
      </c>
      <c r="K219" s="95" t="s">
        <v>4034</v>
      </c>
      <c r="L219" s="42">
        <f>VLOOKUP(Table7[[#This Row],[Baseline Fixture Code]], 'Tables &amp; Ranges'!$A$114:$B$132, 2, FALSE)</f>
        <v>123817</v>
      </c>
    </row>
    <row r="220" spans="2:12" ht="40" customHeight="1">
      <c r="B220" s="42">
        <v>782</v>
      </c>
      <c r="C220" s="102" t="s">
        <v>1705</v>
      </c>
      <c r="D220" s="102" t="s">
        <v>1691</v>
      </c>
      <c r="E220" s="92" t="s">
        <v>1706</v>
      </c>
      <c r="F220" s="42">
        <v>1</v>
      </c>
      <c r="G220" s="42">
        <v>20</v>
      </c>
      <c r="H220" s="42">
        <v>20</v>
      </c>
      <c r="I220" s="42" t="s">
        <v>146</v>
      </c>
      <c r="J220" s="103" t="s">
        <v>3611</v>
      </c>
      <c r="K220" s="95" t="s">
        <v>4034</v>
      </c>
      <c r="L220" s="42">
        <f>VLOOKUP(Table7[[#This Row],[Baseline Fixture Code]], 'Tables &amp; Ranges'!$A$114:$B$132, 2, FALSE)</f>
        <v>123817</v>
      </c>
    </row>
    <row r="221" spans="2:12" ht="40" customHeight="1">
      <c r="B221" s="42">
        <v>783</v>
      </c>
      <c r="C221" s="102" t="s">
        <v>1707</v>
      </c>
      <c r="D221" s="102" t="s">
        <v>1691</v>
      </c>
      <c r="E221" s="92" t="s">
        <v>1708</v>
      </c>
      <c r="F221" s="42">
        <v>2</v>
      </c>
      <c r="G221" s="42">
        <v>20</v>
      </c>
      <c r="H221" s="42">
        <v>40</v>
      </c>
      <c r="I221" s="42" t="s">
        <v>146</v>
      </c>
      <c r="J221" s="103" t="s">
        <v>3611</v>
      </c>
      <c r="K221" s="95" t="s">
        <v>4034</v>
      </c>
      <c r="L221" s="42">
        <f>VLOOKUP(Table7[[#This Row],[Baseline Fixture Code]], 'Tables &amp; Ranges'!$A$114:$B$132, 2, FALSE)</f>
        <v>123817</v>
      </c>
    </row>
    <row r="222" spans="2:12" ht="40" customHeight="1">
      <c r="B222" s="42">
        <v>784</v>
      </c>
      <c r="C222" s="102" t="s">
        <v>1709</v>
      </c>
      <c r="D222" s="102" t="s">
        <v>1691</v>
      </c>
      <c r="E222" s="92" t="s">
        <v>1710</v>
      </c>
      <c r="F222" s="42">
        <v>1</v>
      </c>
      <c r="G222" s="42">
        <v>25</v>
      </c>
      <c r="H222" s="42">
        <v>25</v>
      </c>
      <c r="I222" s="42" t="s">
        <v>146</v>
      </c>
      <c r="J222" s="103" t="s">
        <v>3611</v>
      </c>
      <c r="K222" s="95" t="s">
        <v>4034</v>
      </c>
      <c r="L222" s="42">
        <f>VLOOKUP(Table7[[#This Row],[Baseline Fixture Code]], 'Tables &amp; Ranges'!$A$114:$B$132, 2, FALSE)</f>
        <v>123817</v>
      </c>
    </row>
    <row r="223" spans="2:12" ht="40" customHeight="1">
      <c r="B223" s="42">
        <v>785</v>
      </c>
      <c r="C223" s="102" t="s">
        <v>1711</v>
      </c>
      <c r="D223" s="102" t="s">
        <v>1691</v>
      </c>
      <c r="E223" s="92" t="s">
        <v>1712</v>
      </c>
      <c r="F223" s="42">
        <v>2</v>
      </c>
      <c r="G223" s="42">
        <v>25</v>
      </c>
      <c r="H223" s="42">
        <v>50</v>
      </c>
      <c r="I223" s="42" t="s">
        <v>146</v>
      </c>
      <c r="J223" s="103" t="s">
        <v>3611</v>
      </c>
      <c r="K223" s="95" t="s">
        <v>4034</v>
      </c>
      <c r="L223" s="42">
        <f>VLOOKUP(Table7[[#This Row],[Baseline Fixture Code]], 'Tables &amp; Ranges'!$A$114:$B$132, 2, FALSE)</f>
        <v>123817</v>
      </c>
    </row>
    <row r="224" spans="2:12" ht="40" customHeight="1">
      <c r="B224" s="42">
        <v>786</v>
      </c>
      <c r="C224" s="102" t="s">
        <v>1713</v>
      </c>
      <c r="D224" s="102" t="s">
        <v>1691</v>
      </c>
      <c r="E224" s="92" t="s">
        <v>1714</v>
      </c>
      <c r="F224" s="42">
        <v>1</v>
      </c>
      <c r="G224" s="42">
        <v>34</v>
      </c>
      <c r="H224" s="42">
        <v>34</v>
      </c>
      <c r="I224" s="42" t="s">
        <v>146</v>
      </c>
      <c r="J224" s="103" t="s">
        <v>3611</v>
      </c>
      <c r="K224" s="95" t="s">
        <v>4034</v>
      </c>
      <c r="L224" s="42">
        <f>VLOOKUP(Table7[[#This Row],[Baseline Fixture Code]], 'Tables &amp; Ranges'!$A$114:$B$132, 2, FALSE)</f>
        <v>123817</v>
      </c>
    </row>
    <row r="225" spans="2:12" ht="40" customHeight="1">
      <c r="B225" s="42">
        <v>787</v>
      </c>
      <c r="C225" s="102" t="s">
        <v>1715</v>
      </c>
      <c r="D225" s="102" t="s">
        <v>1691</v>
      </c>
      <c r="E225" s="92" t="s">
        <v>1716</v>
      </c>
      <c r="F225" s="42">
        <v>2</v>
      </c>
      <c r="G225" s="42">
        <v>34</v>
      </c>
      <c r="H225" s="42">
        <v>68</v>
      </c>
      <c r="I225" s="42" t="s">
        <v>146</v>
      </c>
      <c r="J225" s="103" t="s">
        <v>3611</v>
      </c>
      <c r="K225" s="95" t="s">
        <v>4034</v>
      </c>
      <c r="L225" s="42">
        <f>VLOOKUP(Table7[[#This Row],[Baseline Fixture Code]], 'Tables &amp; Ranges'!$A$114:$B$132, 2, FALSE)</f>
        <v>123817</v>
      </c>
    </row>
    <row r="226" spans="2:12" ht="40" customHeight="1">
      <c r="B226" s="42">
        <v>788</v>
      </c>
      <c r="C226" s="102" t="s">
        <v>1717</v>
      </c>
      <c r="D226" s="102" t="s">
        <v>1691</v>
      </c>
      <c r="E226" s="92" t="s">
        <v>1718</v>
      </c>
      <c r="F226" s="42">
        <v>1</v>
      </c>
      <c r="G226" s="42">
        <v>40</v>
      </c>
      <c r="H226" s="42">
        <v>40</v>
      </c>
      <c r="I226" s="42" t="s">
        <v>146</v>
      </c>
      <c r="J226" s="103" t="s">
        <v>3611</v>
      </c>
      <c r="K226" s="95" t="s">
        <v>4034</v>
      </c>
      <c r="L226" s="42">
        <f>VLOOKUP(Table7[[#This Row],[Baseline Fixture Code]], 'Tables &amp; Ranges'!$A$114:$B$132, 2, FALSE)</f>
        <v>123817</v>
      </c>
    </row>
    <row r="227" spans="2:12" ht="40" customHeight="1">
      <c r="B227" s="42">
        <v>789</v>
      </c>
      <c r="C227" s="102" t="s">
        <v>1719</v>
      </c>
      <c r="D227" s="102" t="s">
        <v>1691</v>
      </c>
      <c r="E227" s="92" t="s">
        <v>1720</v>
      </c>
      <c r="F227" s="42">
        <v>2</v>
      </c>
      <c r="G227" s="42">
        <v>40</v>
      </c>
      <c r="H227" s="42">
        <v>80</v>
      </c>
      <c r="I227" s="42" t="s">
        <v>146</v>
      </c>
      <c r="J227" s="103" t="s">
        <v>3611</v>
      </c>
      <c r="K227" s="95" t="s">
        <v>4034</v>
      </c>
      <c r="L227" s="42">
        <f>VLOOKUP(Table7[[#This Row],[Baseline Fixture Code]], 'Tables &amp; Ranges'!$A$114:$B$132, 2, FALSE)</f>
        <v>123817</v>
      </c>
    </row>
    <row r="228" spans="2:12" ht="40" customHeight="1">
      <c r="B228" s="42">
        <v>775</v>
      </c>
      <c r="C228" s="102" t="s">
        <v>1690</v>
      </c>
      <c r="D228" s="102" t="s">
        <v>1691</v>
      </c>
      <c r="E228" s="92" t="s">
        <v>1692</v>
      </c>
      <c r="F228" s="42">
        <v>1</v>
      </c>
      <c r="G228" s="42">
        <v>5</v>
      </c>
      <c r="H228" s="42">
        <v>5</v>
      </c>
      <c r="I228" s="42" t="s">
        <v>146</v>
      </c>
      <c r="J228" s="103" t="s">
        <v>3611</v>
      </c>
      <c r="K228" s="95" t="s">
        <v>4034</v>
      </c>
      <c r="L228" s="42">
        <f>VLOOKUP(Table7[[#This Row],[Baseline Fixture Code]], 'Tables &amp; Ranges'!$A$114:$B$132, 2, FALSE)</f>
        <v>123817</v>
      </c>
    </row>
    <row r="229" spans="2:12" ht="40" customHeight="1">
      <c r="B229" s="42">
        <v>776</v>
      </c>
      <c r="C229" s="102" t="s">
        <v>1693</v>
      </c>
      <c r="D229" s="102" t="s">
        <v>1691</v>
      </c>
      <c r="E229" s="92" t="s">
        <v>1694</v>
      </c>
      <c r="F229" s="42">
        <v>2</v>
      </c>
      <c r="G229" s="42">
        <v>5</v>
      </c>
      <c r="H229" s="42">
        <v>10</v>
      </c>
      <c r="I229" s="42" t="s">
        <v>146</v>
      </c>
      <c r="J229" s="103" t="s">
        <v>3611</v>
      </c>
      <c r="K229" s="95" t="s">
        <v>4034</v>
      </c>
      <c r="L229" s="42">
        <f>VLOOKUP(Table7[[#This Row],[Baseline Fixture Code]], 'Tables &amp; Ranges'!$A$114:$B$132, 2, FALSE)</f>
        <v>123817</v>
      </c>
    </row>
    <row r="230" spans="2:12" ht="40" customHeight="1">
      <c r="B230" s="42">
        <v>790</v>
      </c>
      <c r="C230" s="102" t="s">
        <v>1721</v>
      </c>
      <c r="D230" s="102" t="s">
        <v>1691</v>
      </c>
      <c r="E230" s="92" t="s">
        <v>1722</v>
      </c>
      <c r="F230" s="42">
        <v>2</v>
      </c>
      <c r="G230" s="42">
        <v>50</v>
      </c>
      <c r="H230" s="42">
        <v>100</v>
      </c>
      <c r="I230" s="42" t="s">
        <v>146</v>
      </c>
      <c r="J230" s="103" t="s">
        <v>3611</v>
      </c>
      <c r="K230" s="95" t="s">
        <v>4034</v>
      </c>
      <c r="L230" s="42">
        <f>VLOOKUP(Table7[[#This Row],[Baseline Fixture Code]], 'Tables &amp; Ranges'!$A$114:$B$132, 2, FALSE)</f>
        <v>123817</v>
      </c>
    </row>
    <row r="231" spans="2:12" ht="40" customHeight="1">
      <c r="B231" s="42">
        <v>791</v>
      </c>
      <c r="C231" s="102" t="s">
        <v>1723</v>
      </c>
      <c r="D231" s="102" t="s">
        <v>1691</v>
      </c>
      <c r="E231" s="92" t="s">
        <v>1724</v>
      </c>
      <c r="F231" s="42">
        <v>1</v>
      </c>
      <c r="G231" s="42">
        <v>6</v>
      </c>
      <c r="H231" s="42">
        <v>6</v>
      </c>
      <c r="I231" s="42" t="s">
        <v>146</v>
      </c>
      <c r="J231" s="103" t="s">
        <v>3611</v>
      </c>
      <c r="K231" s="95" t="s">
        <v>4034</v>
      </c>
      <c r="L231" s="42">
        <f>VLOOKUP(Table7[[#This Row],[Baseline Fixture Code]], 'Tables &amp; Ranges'!$A$114:$B$132, 2, FALSE)</f>
        <v>123817</v>
      </c>
    </row>
    <row r="232" spans="2:12" ht="40" customHeight="1">
      <c r="B232" s="42">
        <v>792</v>
      </c>
      <c r="C232" s="102" t="s">
        <v>1725</v>
      </c>
      <c r="D232" s="102" t="s">
        <v>1691</v>
      </c>
      <c r="E232" s="92" t="s">
        <v>1726</v>
      </c>
      <c r="F232" s="42">
        <v>2</v>
      </c>
      <c r="G232" s="42">
        <v>6</v>
      </c>
      <c r="H232" s="42">
        <v>12</v>
      </c>
      <c r="I232" s="42" t="s">
        <v>146</v>
      </c>
      <c r="J232" s="103" t="s">
        <v>3611</v>
      </c>
      <c r="K232" s="95" t="s">
        <v>4034</v>
      </c>
      <c r="L232" s="42">
        <f>VLOOKUP(Table7[[#This Row],[Baseline Fixture Code]], 'Tables &amp; Ranges'!$A$114:$B$132, 2, FALSE)</f>
        <v>123817</v>
      </c>
    </row>
    <row r="233" spans="2:12" ht="40" customHeight="1">
      <c r="B233" s="42">
        <v>777</v>
      </c>
      <c r="C233" s="102" t="s">
        <v>1695</v>
      </c>
      <c r="D233" s="102" t="s">
        <v>1691</v>
      </c>
      <c r="E233" s="92" t="s">
        <v>1696</v>
      </c>
      <c r="F233" s="42">
        <v>1</v>
      </c>
      <c r="G233" s="42">
        <v>7.5</v>
      </c>
      <c r="H233" s="42">
        <v>8</v>
      </c>
      <c r="I233" s="42" t="s">
        <v>146</v>
      </c>
      <c r="J233" s="103" t="s">
        <v>3611</v>
      </c>
      <c r="K233" s="95" t="s">
        <v>4034</v>
      </c>
      <c r="L233" s="42">
        <f>VLOOKUP(Table7[[#This Row],[Baseline Fixture Code]], 'Tables &amp; Ranges'!$A$114:$B$132, 2, FALSE)</f>
        <v>123817</v>
      </c>
    </row>
    <row r="234" spans="2:12" ht="40" customHeight="1">
      <c r="B234" s="42">
        <v>778</v>
      </c>
      <c r="C234" s="102" t="s">
        <v>1697</v>
      </c>
      <c r="D234" s="102" t="s">
        <v>1691</v>
      </c>
      <c r="E234" s="92" t="s">
        <v>1698</v>
      </c>
      <c r="F234" s="42">
        <v>2</v>
      </c>
      <c r="G234" s="42">
        <v>7.5</v>
      </c>
      <c r="H234" s="42">
        <v>15</v>
      </c>
      <c r="I234" s="42" t="s">
        <v>146</v>
      </c>
      <c r="J234" s="103" t="s">
        <v>3611</v>
      </c>
      <c r="K234" s="95" t="s">
        <v>4034</v>
      </c>
      <c r="L234" s="42">
        <f>VLOOKUP(Table7[[#This Row],[Baseline Fixture Code]], 'Tables &amp; Ranges'!$A$114:$B$132, 2, FALSE)</f>
        <v>123817</v>
      </c>
    </row>
    <row r="235" spans="2:12" ht="40" customHeight="1">
      <c r="B235" s="42">
        <v>793</v>
      </c>
      <c r="C235" s="102" t="s">
        <v>1727</v>
      </c>
      <c r="D235" s="102" t="s">
        <v>1728</v>
      </c>
      <c r="E235" s="92" t="s">
        <v>1729</v>
      </c>
      <c r="F235" s="42">
        <v>1</v>
      </c>
      <c r="G235" s="42">
        <v>2</v>
      </c>
      <c r="H235" s="42">
        <v>6</v>
      </c>
      <c r="I235" s="42" t="s">
        <v>146</v>
      </c>
      <c r="J235" s="103" t="s">
        <v>3611</v>
      </c>
      <c r="K235" s="95" t="s">
        <v>4029</v>
      </c>
      <c r="L235" s="42" t="str">
        <f>VLOOKUP(Table7[[#This Row],[Baseline Fixture Code]], 'Tables &amp; Ranges'!$A$114:$B$132, 2, FALSE)</f>
        <v>N/A</v>
      </c>
    </row>
    <row r="236" spans="2:12" ht="40" customHeight="1">
      <c r="B236" s="42">
        <v>794</v>
      </c>
      <c r="C236" s="102" t="s">
        <v>1730</v>
      </c>
      <c r="D236" s="102" t="s">
        <v>1728</v>
      </c>
      <c r="E236" s="92" t="s">
        <v>1731</v>
      </c>
      <c r="F236" s="42">
        <v>2</v>
      </c>
      <c r="G236" s="42">
        <v>2</v>
      </c>
      <c r="H236" s="42">
        <v>9</v>
      </c>
      <c r="I236" s="42" t="s">
        <v>146</v>
      </c>
      <c r="J236" s="103" t="s">
        <v>3611</v>
      </c>
      <c r="K236" s="95" t="s">
        <v>4029</v>
      </c>
      <c r="L236" s="42" t="str">
        <f>VLOOKUP(Table7[[#This Row],[Baseline Fixture Code]], 'Tables &amp; Ranges'!$A$114:$B$132, 2, FALSE)</f>
        <v>N/A</v>
      </c>
    </row>
    <row r="237" spans="2:12" ht="40" customHeight="1">
      <c r="B237" s="42">
        <v>795</v>
      </c>
      <c r="C237" s="102" t="s">
        <v>1732</v>
      </c>
      <c r="D237" s="102" t="s">
        <v>1728</v>
      </c>
      <c r="E237" s="92" t="s">
        <v>1733</v>
      </c>
      <c r="F237" s="42">
        <v>1</v>
      </c>
      <c r="G237" s="42">
        <v>3</v>
      </c>
      <c r="H237" s="42">
        <v>3</v>
      </c>
      <c r="I237" s="42" t="s">
        <v>146</v>
      </c>
      <c r="J237" s="103" t="s">
        <v>3611</v>
      </c>
      <c r="K237" s="95" t="s">
        <v>4029</v>
      </c>
      <c r="L237" s="42" t="str">
        <f>VLOOKUP(Table7[[#This Row],[Baseline Fixture Code]], 'Tables &amp; Ranges'!$A$114:$B$132, 2, FALSE)</f>
        <v>N/A</v>
      </c>
    </row>
    <row r="238" spans="2:12" ht="40" customHeight="1">
      <c r="B238" s="42">
        <v>796</v>
      </c>
      <c r="C238" s="102" t="s">
        <v>1734</v>
      </c>
      <c r="D238" s="102" t="s">
        <v>1728</v>
      </c>
      <c r="E238" s="92" t="s">
        <v>1735</v>
      </c>
      <c r="F238" s="42">
        <v>0</v>
      </c>
      <c r="G238" s="42">
        <v>0</v>
      </c>
      <c r="H238" s="42">
        <v>0</v>
      </c>
      <c r="I238" s="42" t="s">
        <v>146</v>
      </c>
      <c r="J238" s="103" t="s">
        <v>3611</v>
      </c>
      <c r="K238" s="95" t="s">
        <v>4029</v>
      </c>
      <c r="L238" s="42" t="str">
        <f>VLOOKUP(Table7[[#This Row],[Baseline Fixture Code]], 'Tables &amp; Ranges'!$A$114:$B$132, 2, FALSE)</f>
        <v>N/A</v>
      </c>
    </row>
    <row r="239" spans="2:12" ht="40" customHeight="1">
      <c r="B239" s="42">
        <v>1464</v>
      </c>
      <c r="C239" s="102" t="s">
        <v>2920</v>
      </c>
      <c r="D239" s="102" t="s">
        <v>2921</v>
      </c>
      <c r="E239" s="92" t="s">
        <v>2922</v>
      </c>
      <c r="F239" s="42">
        <v>1</v>
      </c>
      <c r="G239" s="42">
        <v>0</v>
      </c>
      <c r="H239" s="42">
        <v>4</v>
      </c>
      <c r="I239" s="42" t="s">
        <v>2077</v>
      </c>
      <c r="J239" s="103" t="s">
        <v>3611</v>
      </c>
      <c r="K239" s="42" t="s">
        <v>4035</v>
      </c>
      <c r="L239" s="42">
        <f>VLOOKUP(Table7[[#This Row],[Baseline Fixture Code]], 'Tables &amp; Ranges'!$A$114:$B$132, 2, FALSE)</f>
        <v>101014</v>
      </c>
    </row>
    <row r="240" spans="2:12" ht="40" customHeight="1">
      <c r="B240" s="42">
        <v>1465</v>
      </c>
      <c r="C240" s="102" t="s">
        <v>2923</v>
      </c>
      <c r="D240" s="102" t="s">
        <v>2921</v>
      </c>
      <c r="E240" s="92" t="s">
        <v>2924</v>
      </c>
      <c r="F240" s="42">
        <v>1</v>
      </c>
      <c r="G240" s="42">
        <v>0</v>
      </c>
      <c r="H240" s="42">
        <v>8</v>
      </c>
      <c r="I240" s="42" t="s">
        <v>2077</v>
      </c>
      <c r="J240" s="103" t="s">
        <v>3611</v>
      </c>
      <c r="K240" s="42" t="s">
        <v>4035</v>
      </c>
      <c r="L240" s="42">
        <f>VLOOKUP(Table7[[#This Row],[Baseline Fixture Code]], 'Tables &amp; Ranges'!$A$114:$B$132, 2, FALSE)</f>
        <v>101014</v>
      </c>
    </row>
    <row r="241" spans="2:12" ht="40" customHeight="1">
      <c r="B241" s="42">
        <v>797</v>
      </c>
      <c r="C241" s="102" t="s">
        <v>1736</v>
      </c>
      <c r="D241" s="102" t="s">
        <v>1737</v>
      </c>
      <c r="E241" s="92" t="s">
        <v>1738</v>
      </c>
      <c r="F241" s="42">
        <v>2</v>
      </c>
      <c r="G241" s="42">
        <v>13</v>
      </c>
      <c r="H241" s="42">
        <v>26</v>
      </c>
      <c r="I241" s="42" t="s">
        <v>1457</v>
      </c>
      <c r="J241" s="103" t="s">
        <v>3611</v>
      </c>
      <c r="K241" s="42" t="s">
        <v>4036</v>
      </c>
      <c r="L241" s="42">
        <f>VLOOKUP(Table7[[#This Row],[Baseline Fixture Code]], 'Tables &amp; Ranges'!$A$114:$B$132, 2, FALSE)</f>
        <v>101003</v>
      </c>
    </row>
    <row r="242" spans="2:12" ht="40" customHeight="1">
      <c r="B242" s="42">
        <v>798</v>
      </c>
      <c r="C242" s="102" t="s">
        <v>1739</v>
      </c>
      <c r="D242" s="102" t="s">
        <v>1737</v>
      </c>
      <c r="E242" s="92" t="s">
        <v>1740</v>
      </c>
      <c r="F242" s="42">
        <v>4</v>
      </c>
      <c r="G242" s="42">
        <v>13</v>
      </c>
      <c r="H242" s="42">
        <v>53</v>
      </c>
      <c r="I242" s="42" t="s">
        <v>1457</v>
      </c>
      <c r="J242" s="103" t="s">
        <v>3611</v>
      </c>
      <c r="K242" s="42" t="s">
        <v>4036</v>
      </c>
      <c r="L242" s="42">
        <f>VLOOKUP(Table7[[#This Row],[Baseline Fixture Code]], 'Tables &amp; Ranges'!$A$114:$B$132, 2, FALSE)</f>
        <v>101003</v>
      </c>
    </row>
    <row r="243" spans="2:12" ht="40" customHeight="1">
      <c r="B243" s="42">
        <v>799</v>
      </c>
      <c r="C243" s="102" t="s">
        <v>1741</v>
      </c>
      <c r="D243" s="102" t="s">
        <v>1737</v>
      </c>
      <c r="E243" s="92" t="s">
        <v>1742</v>
      </c>
      <c r="F243" s="42">
        <v>1</v>
      </c>
      <c r="G243" s="42">
        <v>14</v>
      </c>
      <c r="H243" s="42">
        <v>18</v>
      </c>
      <c r="I243" s="42" t="s">
        <v>1743</v>
      </c>
      <c r="J243" s="103" t="s">
        <v>3611</v>
      </c>
      <c r="K243" s="42" t="s">
        <v>4036</v>
      </c>
      <c r="L243" s="42">
        <f>VLOOKUP(Table7[[#This Row],[Baseline Fixture Code]], 'Tables &amp; Ranges'!$A$114:$B$132, 2, FALSE)</f>
        <v>101003</v>
      </c>
    </row>
    <row r="244" spans="2:12" ht="40" customHeight="1">
      <c r="B244" s="42">
        <v>800</v>
      </c>
      <c r="C244" s="102" t="s">
        <v>1744</v>
      </c>
      <c r="D244" s="102" t="s">
        <v>1737</v>
      </c>
      <c r="E244" s="92" t="s">
        <v>1745</v>
      </c>
      <c r="F244" s="42">
        <v>2</v>
      </c>
      <c r="G244" s="42">
        <v>14</v>
      </c>
      <c r="H244" s="42">
        <v>33</v>
      </c>
      <c r="I244" s="42" t="s">
        <v>1743</v>
      </c>
      <c r="J244" s="103" t="s">
        <v>3611</v>
      </c>
      <c r="K244" s="42" t="s">
        <v>4036</v>
      </c>
      <c r="L244" s="42">
        <f>VLOOKUP(Table7[[#This Row],[Baseline Fixture Code]], 'Tables &amp; Ranges'!$A$114:$B$132, 2, FALSE)</f>
        <v>101003</v>
      </c>
    </row>
    <row r="245" spans="2:12" ht="40" customHeight="1">
      <c r="B245" s="42">
        <v>802</v>
      </c>
      <c r="C245" s="102" t="s">
        <v>1748</v>
      </c>
      <c r="D245" s="102" t="s">
        <v>1737</v>
      </c>
      <c r="E245" s="92" t="s">
        <v>1749</v>
      </c>
      <c r="F245" s="42">
        <v>3</v>
      </c>
      <c r="G245" s="42">
        <v>14</v>
      </c>
      <c r="H245" s="42">
        <v>51</v>
      </c>
      <c r="I245" s="42" t="s">
        <v>1743</v>
      </c>
      <c r="J245" s="103" t="s">
        <v>3611</v>
      </c>
      <c r="K245" s="42" t="s">
        <v>4036</v>
      </c>
      <c r="L245" s="42">
        <f>VLOOKUP(Table7[[#This Row],[Baseline Fixture Code]], 'Tables &amp; Ranges'!$A$114:$B$132, 2, FALSE)</f>
        <v>101003</v>
      </c>
    </row>
    <row r="246" spans="2:12" ht="40" customHeight="1">
      <c r="B246" s="42">
        <v>801</v>
      </c>
      <c r="C246" s="102" t="s">
        <v>1746</v>
      </c>
      <c r="D246" s="102" t="s">
        <v>1737</v>
      </c>
      <c r="E246" s="92" t="s">
        <v>1747</v>
      </c>
      <c r="F246" s="42">
        <v>3</v>
      </c>
      <c r="G246" s="42">
        <v>14</v>
      </c>
      <c r="H246" s="42">
        <v>50</v>
      </c>
      <c r="I246" s="42" t="s">
        <v>1743</v>
      </c>
      <c r="J246" s="103" t="s">
        <v>3611</v>
      </c>
      <c r="K246" s="42" t="s">
        <v>4036</v>
      </c>
      <c r="L246" s="42">
        <f>VLOOKUP(Table7[[#This Row],[Baseline Fixture Code]], 'Tables &amp; Ranges'!$A$114:$B$132, 2, FALSE)</f>
        <v>101003</v>
      </c>
    </row>
    <row r="247" spans="2:12" ht="40" customHeight="1">
      <c r="B247" s="42">
        <v>803</v>
      </c>
      <c r="C247" s="102" t="s">
        <v>1750</v>
      </c>
      <c r="D247" s="102" t="s">
        <v>1737</v>
      </c>
      <c r="E247" s="92" t="s">
        <v>1751</v>
      </c>
      <c r="F247" s="42">
        <v>4</v>
      </c>
      <c r="G247" s="42">
        <v>14</v>
      </c>
      <c r="H247" s="42">
        <v>66</v>
      </c>
      <c r="I247" s="42" t="s">
        <v>1743</v>
      </c>
      <c r="J247" s="103" t="s">
        <v>3611</v>
      </c>
      <c r="K247" s="42" t="s">
        <v>4036</v>
      </c>
      <c r="L247" s="42">
        <f>VLOOKUP(Table7[[#This Row],[Baseline Fixture Code]], 'Tables &amp; Ranges'!$A$114:$B$132, 2, FALSE)</f>
        <v>101003</v>
      </c>
    </row>
    <row r="248" spans="2:12" ht="40" customHeight="1">
      <c r="B248" s="42">
        <v>856</v>
      </c>
      <c r="C248" s="102" t="s">
        <v>1857</v>
      </c>
      <c r="D248" s="102" t="s">
        <v>1858</v>
      </c>
      <c r="E248" s="92" t="s">
        <v>1859</v>
      </c>
      <c r="F248" s="42">
        <v>1</v>
      </c>
      <c r="G248" s="42">
        <v>15</v>
      </c>
      <c r="H248" s="42">
        <v>19</v>
      </c>
      <c r="I248" s="42" t="s">
        <v>1457</v>
      </c>
      <c r="J248" s="103" t="s">
        <v>3611</v>
      </c>
      <c r="K248" s="42" t="s">
        <v>4037</v>
      </c>
      <c r="L248" s="42">
        <f>VLOOKUP(Table7[[#This Row],[Baseline Fixture Code]], 'Tables &amp; Ranges'!$A$114:$B$132, 2, FALSE)</f>
        <v>101002</v>
      </c>
    </row>
    <row r="249" spans="2:12" ht="40" customHeight="1">
      <c r="B249" s="42">
        <v>1298</v>
      </c>
      <c r="C249" s="102" t="s">
        <v>2622</v>
      </c>
      <c r="D249" s="102" t="s">
        <v>2623</v>
      </c>
      <c r="E249" s="92" t="s">
        <v>2624</v>
      </c>
      <c r="F249" s="42">
        <v>1</v>
      </c>
      <c r="G249" s="42">
        <v>15</v>
      </c>
      <c r="H249" s="42">
        <v>19</v>
      </c>
      <c r="I249" s="42" t="s">
        <v>1457</v>
      </c>
      <c r="J249" s="103" t="s">
        <v>3611</v>
      </c>
      <c r="K249" s="42" t="s">
        <v>3712</v>
      </c>
      <c r="L249" s="42">
        <f>VLOOKUP(Table7[[#This Row],[Baseline Fixture Code]], 'Tables &amp; Ranges'!$A$114:$B$132, 2, FALSE)</f>
        <v>101001</v>
      </c>
    </row>
    <row r="250" spans="2:12" ht="40" customHeight="1">
      <c r="B250" s="42">
        <v>857</v>
      </c>
      <c r="C250" s="102" t="s">
        <v>1860</v>
      </c>
      <c r="D250" s="102" t="s">
        <v>1858</v>
      </c>
      <c r="E250" s="92" t="s">
        <v>1861</v>
      </c>
      <c r="F250" s="42">
        <v>2</v>
      </c>
      <c r="G250" s="42">
        <v>15</v>
      </c>
      <c r="H250" s="42">
        <v>36</v>
      </c>
      <c r="I250" s="42" t="s">
        <v>1457</v>
      </c>
      <c r="J250" s="103" t="s">
        <v>3611</v>
      </c>
      <c r="K250" s="42" t="s">
        <v>4037</v>
      </c>
      <c r="L250" s="42">
        <f>VLOOKUP(Table7[[#This Row],[Baseline Fixture Code]], 'Tables &amp; Ranges'!$A$114:$B$132, 2, FALSE)</f>
        <v>101002</v>
      </c>
    </row>
    <row r="251" spans="2:12" ht="40" customHeight="1">
      <c r="B251" s="42">
        <v>1299</v>
      </c>
      <c r="C251" s="102" t="s">
        <v>2625</v>
      </c>
      <c r="D251" s="102" t="s">
        <v>2623</v>
      </c>
      <c r="E251" s="92" t="s">
        <v>2626</v>
      </c>
      <c r="F251" s="42">
        <v>2</v>
      </c>
      <c r="G251" s="42">
        <v>15</v>
      </c>
      <c r="H251" s="42">
        <v>36</v>
      </c>
      <c r="I251" s="42" t="s">
        <v>1457</v>
      </c>
      <c r="J251" s="103" t="s">
        <v>3611</v>
      </c>
      <c r="K251" s="42" t="s">
        <v>3712</v>
      </c>
      <c r="L251" s="42">
        <f>VLOOKUP(Table7[[#This Row],[Baseline Fixture Code]], 'Tables &amp; Ranges'!$A$114:$B$132, 2, FALSE)</f>
        <v>101001</v>
      </c>
    </row>
    <row r="252" spans="2:12" ht="40" customHeight="1">
      <c r="B252" s="42">
        <v>858</v>
      </c>
      <c r="C252" s="102" t="s">
        <v>1862</v>
      </c>
      <c r="D252" s="102" t="s">
        <v>1858</v>
      </c>
      <c r="E252" s="92" t="s">
        <v>1863</v>
      </c>
      <c r="F252" s="42">
        <v>1</v>
      </c>
      <c r="G252" s="42">
        <v>17</v>
      </c>
      <c r="H252" s="42">
        <v>18</v>
      </c>
      <c r="I252" s="42" t="s">
        <v>1743</v>
      </c>
      <c r="J252" s="103" t="s">
        <v>3611</v>
      </c>
      <c r="K252" s="42" t="s">
        <v>4037</v>
      </c>
      <c r="L252" s="42">
        <f>VLOOKUP(Table7[[#This Row],[Baseline Fixture Code]], 'Tables &amp; Ranges'!$A$114:$B$132, 2, FALSE)</f>
        <v>101002</v>
      </c>
    </row>
    <row r="253" spans="2:12" ht="40" customHeight="1">
      <c r="B253" s="42">
        <v>859</v>
      </c>
      <c r="C253" s="102" t="s">
        <v>1864</v>
      </c>
      <c r="D253" s="102" t="s">
        <v>1858</v>
      </c>
      <c r="E253" s="92" t="s">
        <v>1865</v>
      </c>
      <c r="F253" s="42">
        <v>1</v>
      </c>
      <c r="G253" s="42">
        <v>17</v>
      </c>
      <c r="H253" s="42">
        <v>18</v>
      </c>
      <c r="I253" s="42" t="s">
        <v>147</v>
      </c>
      <c r="J253" s="103" t="s">
        <v>3611</v>
      </c>
      <c r="K253" s="42" t="s">
        <v>4037</v>
      </c>
      <c r="L253" s="42">
        <f>VLOOKUP(Table7[[#This Row],[Baseline Fixture Code]], 'Tables &amp; Ranges'!$A$114:$B$132, 2, FALSE)</f>
        <v>101002</v>
      </c>
    </row>
    <row r="254" spans="2:12" ht="40" customHeight="1">
      <c r="B254" s="42">
        <v>861</v>
      </c>
      <c r="C254" s="102" t="s">
        <v>1868</v>
      </c>
      <c r="D254" s="102" t="s">
        <v>1858</v>
      </c>
      <c r="E254" s="92" t="s">
        <v>1869</v>
      </c>
      <c r="F254" s="42">
        <v>1</v>
      </c>
      <c r="G254" s="42">
        <v>17</v>
      </c>
      <c r="H254" s="42">
        <v>17</v>
      </c>
      <c r="I254" s="42" t="s">
        <v>147</v>
      </c>
      <c r="J254" s="103" t="s">
        <v>3611</v>
      </c>
      <c r="K254" s="42" t="s">
        <v>4037</v>
      </c>
      <c r="L254" s="42">
        <f>VLOOKUP(Table7[[#This Row],[Baseline Fixture Code]], 'Tables &amp; Ranges'!$A$114:$B$132, 2, FALSE)</f>
        <v>101002</v>
      </c>
    </row>
    <row r="255" spans="2:12" ht="40" customHeight="1">
      <c r="B255" s="42">
        <v>862</v>
      </c>
      <c r="C255" s="102" t="s">
        <v>1870</v>
      </c>
      <c r="D255" s="102" t="s">
        <v>1858</v>
      </c>
      <c r="E255" s="92" t="s">
        <v>1871</v>
      </c>
      <c r="F255" s="42">
        <v>1</v>
      </c>
      <c r="G255" s="42">
        <v>17</v>
      </c>
      <c r="H255" s="42">
        <v>15</v>
      </c>
      <c r="I255" s="42" t="s">
        <v>147</v>
      </c>
      <c r="J255" s="103" t="s">
        <v>3611</v>
      </c>
      <c r="K255" s="42" t="s">
        <v>4037</v>
      </c>
      <c r="L255" s="42">
        <f>VLOOKUP(Table7[[#This Row],[Baseline Fixture Code]], 'Tables &amp; Ranges'!$A$114:$B$132, 2, FALSE)</f>
        <v>101002</v>
      </c>
    </row>
    <row r="256" spans="2:12" ht="40" customHeight="1">
      <c r="B256" s="42">
        <v>863</v>
      </c>
      <c r="C256" s="102" t="s">
        <v>1872</v>
      </c>
      <c r="D256" s="102" t="s">
        <v>1858</v>
      </c>
      <c r="E256" s="92" t="s">
        <v>1873</v>
      </c>
      <c r="F256" s="42">
        <v>1</v>
      </c>
      <c r="G256" s="42">
        <v>17</v>
      </c>
      <c r="H256" s="42">
        <v>16</v>
      </c>
      <c r="I256" s="42" t="s">
        <v>147</v>
      </c>
      <c r="J256" s="103" t="s">
        <v>3611</v>
      </c>
      <c r="K256" s="42" t="s">
        <v>4037</v>
      </c>
      <c r="L256" s="42">
        <f>VLOOKUP(Table7[[#This Row],[Baseline Fixture Code]], 'Tables &amp; Ranges'!$A$114:$B$132, 2, FALSE)</f>
        <v>101002</v>
      </c>
    </row>
    <row r="257" spans="2:12" ht="40" customHeight="1">
      <c r="B257" s="42">
        <v>864</v>
      </c>
      <c r="C257" s="102" t="s">
        <v>1874</v>
      </c>
      <c r="D257" s="102" t="s">
        <v>1858</v>
      </c>
      <c r="E257" s="92" t="s">
        <v>1875</v>
      </c>
      <c r="F257" s="42">
        <v>1</v>
      </c>
      <c r="G257" s="42">
        <v>17</v>
      </c>
      <c r="H257" s="42">
        <v>14</v>
      </c>
      <c r="I257" s="42" t="s">
        <v>147</v>
      </c>
      <c r="J257" s="103" t="s">
        <v>3611</v>
      </c>
      <c r="K257" s="42" t="s">
        <v>4037</v>
      </c>
      <c r="L257" s="42">
        <f>VLOOKUP(Table7[[#This Row],[Baseline Fixture Code]], 'Tables &amp; Ranges'!$A$114:$B$132, 2, FALSE)</f>
        <v>101002</v>
      </c>
    </row>
    <row r="258" spans="2:12" ht="40" customHeight="1">
      <c r="B258" s="42">
        <v>865</v>
      </c>
      <c r="C258" s="102" t="s">
        <v>1876</v>
      </c>
      <c r="D258" s="102" t="s">
        <v>1858</v>
      </c>
      <c r="E258" s="92" t="s">
        <v>1877</v>
      </c>
      <c r="F258" s="42">
        <v>1</v>
      </c>
      <c r="G258" s="42">
        <v>17</v>
      </c>
      <c r="H258" s="42">
        <v>15</v>
      </c>
      <c r="I258" s="42" t="s">
        <v>147</v>
      </c>
      <c r="J258" s="103" t="s">
        <v>3611</v>
      </c>
      <c r="K258" s="42" t="s">
        <v>4037</v>
      </c>
      <c r="L258" s="42">
        <f>VLOOKUP(Table7[[#This Row],[Baseline Fixture Code]], 'Tables &amp; Ranges'!$A$114:$B$132, 2, FALSE)</f>
        <v>101002</v>
      </c>
    </row>
    <row r="259" spans="2:12" ht="40" customHeight="1">
      <c r="B259" s="42">
        <v>866</v>
      </c>
      <c r="C259" s="102" t="s">
        <v>1878</v>
      </c>
      <c r="D259" s="102" t="s">
        <v>1858</v>
      </c>
      <c r="E259" s="92" t="s">
        <v>1879</v>
      </c>
      <c r="F259" s="42">
        <v>1</v>
      </c>
      <c r="G259" s="42">
        <v>17</v>
      </c>
      <c r="H259" s="42">
        <v>13</v>
      </c>
      <c r="I259" s="42" t="s">
        <v>147</v>
      </c>
      <c r="J259" s="103" t="s">
        <v>3611</v>
      </c>
      <c r="K259" s="42" t="s">
        <v>4037</v>
      </c>
      <c r="L259" s="42">
        <f>VLOOKUP(Table7[[#This Row],[Baseline Fixture Code]], 'Tables &amp; Ranges'!$A$114:$B$132, 2, FALSE)</f>
        <v>101002</v>
      </c>
    </row>
    <row r="260" spans="2:12" ht="40" customHeight="1">
      <c r="B260" s="42">
        <v>860</v>
      </c>
      <c r="C260" s="102" t="s">
        <v>1866</v>
      </c>
      <c r="D260" s="102" t="s">
        <v>1858</v>
      </c>
      <c r="E260" s="92" t="s">
        <v>1867</v>
      </c>
      <c r="F260" s="42">
        <v>1</v>
      </c>
      <c r="G260" s="42">
        <v>17</v>
      </c>
      <c r="H260" s="42">
        <v>17</v>
      </c>
      <c r="I260" s="42" t="s">
        <v>147</v>
      </c>
      <c r="J260" s="103" t="s">
        <v>3611</v>
      </c>
      <c r="K260" s="42" t="s">
        <v>4037</v>
      </c>
      <c r="L260" s="42">
        <f>VLOOKUP(Table7[[#This Row],[Baseline Fixture Code]], 'Tables &amp; Ranges'!$A$114:$B$132, 2, FALSE)</f>
        <v>101002</v>
      </c>
    </row>
    <row r="261" spans="2:12" ht="40" customHeight="1">
      <c r="B261" s="42">
        <v>867</v>
      </c>
      <c r="C261" s="102" t="s">
        <v>1880</v>
      </c>
      <c r="D261" s="102" t="s">
        <v>1858</v>
      </c>
      <c r="E261" s="92" t="s">
        <v>1865</v>
      </c>
      <c r="F261" s="42">
        <v>1</v>
      </c>
      <c r="G261" s="42">
        <v>17</v>
      </c>
      <c r="H261" s="42">
        <v>17</v>
      </c>
      <c r="I261" s="42" t="s">
        <v>1881</v>
      </c>
      <c r="J261" s="103" t="s">
        <v>3611</v>
      </c>
      <c r="K261" s="42" t="s">
        <v>4037</v>
      </c>
      <c r="L261" s="42">
        <f>VLOOKUP(Table7[[#This Row],[Baseline Fixture Code]], 'Tables &amp; Ranges'!$A$114:$B$132, 2, FALSE)</f>
        <v>101002</v>
      </c>
    </row>
    <row r="262" spans="2:12" ht="40" customHeight="1">
      <c r="B262" s="42">
        <v>868</v>
      </c>
      <c r="C262" s="102" t="s">
        <v>1882</v>
      </c>
      <c r="D262" s="102" t="s">
        <v>1858</v>
      </c>
      <c r="E262" s="92" t="s">
        <v>1867</v>
      </c>
      <c r="F262" s="42">
        <v>1</v>
      </c>
      <c r="G262" s="42">
        <v>17</v>
      </c>
      <c r="H262" s="42">
        <v>15</v>
      </c>
      <c r="I262" s="42" t="s">
        <v>1881</v>
      </c>
      <c r="J262" s="103" t="s">
        <v>3611</v>
      </c>
      <c r="K262" s="42" t="s">
        <v>4037</v>
      </c>
      <c r="L262" s="42">
        <f>VLOOKUP(Table7[[#This Row],[Baseline Fixture Code]], 'Tables &amp; Ranges'!$A$114:$B$132, 2, FALSE)</f>
        <v>101002</v>
      </c>
    </row>
    <row r="263" spans="2:12" ht="40" customHeight="1">
      <c r="B263" s="42">
        <v>869</v>
      </c>
      <c r="C263" s="102" t="s">
        <v>1883</v>
      </c>
      <c r="D263" s="102" t="s">
        <v>1858</v>
      </c>
      <c r="E263" s="92" t="s">
        <v>1884</v>
      </c>
      <c r="F263" s="42">
        <v>1</v>
      </c>
      <c r="G263" s="42">
        <v>17</v>
      </c>
      <c r="H263" s="42">
        <v>22</v>
      </c>
      <c r="I263" s="42" t="s">
        <v>1881</v>
      </c>
      <c r="J263" s="103" t="s">
        <v>3611</v>
      </c>
      <c r="K263" s="42" t="s">
        <v>4037</v>
      </c>
      <c r="L263" s="42">
        <f>VLOOKUP(Table7[[#This Row],[Baseline Fixture Code]], 'Tables &amp; Ranges'!$A$114:$B$132, 2, FALSE)</f>
        <v>101002</v>
      </c>
    </row>
    <row r="264" spans="2:12" ht="40" customHeight="1">
      <c r="B264" s="42">
        <v>870</v>
      </c>
      <c r="C264" s="102" t="s">
        <v>1885</v>
      </c>
      <c r="D264" s="102" t="s">
        <v>1858</v>
      </c>
      <c r="E264" s="92" t="s">
        <v>1886</v>
      </c>
      <c r="F264" s="42">
        <v>1</v>
      </c>
      <c r="G264" s="42">
        <v>17</v>
      </c>
      <c r="H264" s="42">
        <v>16</v>
      </c>
      <c r="I264" s="42" t="s">
        <v>147</v>
      </c>
      <c r="J264" s="103" t="s">
        <v>3611</v>
      </c>
      <c r="K264" s="42" t="s">
        <v>4037</v>
      </c>
      <c r="L264" s="42">
        <f>VLOOKUP(Table7[[#This Row],[Baseline Fixture Code]], 'Tables &amp; Ranges'!$A$114:$B$132, 2, FALSE)</f>
        <v>101002</v>
      </c>
    </row>
    <row r="265" spans="2:12" ht="40" customHeight="1">
      <c r="B265" s="42">
        <v>872</v>
      </c>
      <c r="C265" s="102" t="s">
        <v>1889</v>
      </c>
      <c r="D265" s="102" t="s">
        <v>1858</v>
      </c>
      <c r="E265" s="92" t="s">
        <v>1890</v>
      </c>
      <c r="F265" s="42">
        <v>1</v>
      </c>
      <c r="G265" s="42">
        <v>17</v>
      </c>
      <c r="H265" s="42">
        <v>16</v>
      </c>
      <c r="I265" s="42" t="s">
        <v>147</v>
      </c>
      <c r="J265" s="103" t="s">
        <v>3611</v>
      </c>
      <c r="K265" s="42" t="s">
        <v>4037</v>
      </c>
      <c r="L265" s="42">
        <f>VLOOKUP(Table7[[#This Row],[Baseline Fixture Code]], 'Tables &amp; Ranges'!$A$114:$B$132, 2, FALSE)</f>
        <v>101002</v>
      </c>
    </row>
    <row r="266" spans="2:12" ht="40" customHeight="1">
      <c r="B266" s="42">
        <v>873</v>
      </c>
      <c r="C266" s="102" t="s">
        <v>1891</v>
      </c>
      <c r="D266" s="102" t="s">
        <v>1858</v>
      </c>
      <c r="E266" s="92" t="s">
        <v>1892</v>
      </c>
      <c r="F266" s="42">
        <v>1</v>
      </c>
      <c r="G266" s="42">
        <v>17</v>
      </c>
      <c r="H266" s="42">
        <v>17</v>
      </c>
      <c r="I266" s="42" t="s">
        <v>147</v>
      </c>
      <c r="J266" s="103" t="s">
        <v>3611</v>
      </c>
      <c r="K266" s="42" t="s">
        <v>4037</v>
      </c>
      <c r="L266" s="42">
        <f>VLOOKUP(Table7[[#This Row],[Baseline Fixture Code]], 'Tables &amp; Ranges'!$A$114:$B$132, 2, FALSE)</f>
        <v>101002</v>
      </c>
    </row>
    <row r="267" spans="2:12" ht="40" customHeight="1">
      <c r="B267" s="42">
        <v>874</v>
      </c>
      <c r="C267" s="102" t="s">
        <v>1893</v>
      </c>
      <c r="D267" s="102" t="s">
        <v>1858</v>
      </c>
      <c r="E267" s="92" t="s">
        <v>1894</v>
      </c>
      <c r="F267" s="42">
        <v>1</v>
      </c>
      <c r="G267" s="42">
        <v>17</v>
      </c>
      <c r="H267" s="42">
        <v>17</v>
      </c>
      <c r="I267" s="42" t="s">
        <v>147</v>
      </c>
      <c r="J267" s="103" t="s">
        <v>3611</v>
      </c>
      <c r="K267" s="42" t="s">
        <v>4037</v>
      </c>
      <c r="L267" s="42">
        <f>VLOOKUP(Table7[[#This Row],[Baseline Fixture Code]], 'Tables &amp; Ranges'!$A$114:$B$132, 2, FALSE)</f>
        <v>101002</v>
      </c>
    </row>
    <row r="268" spans="2:12" ht="40" customHeight="1">
      <c r="B268" s="42">
        <v>871</v>
      </c>
      <c r="C268" s="102" t="s">
        <v>1887</v>
      </c>
      <c r="D268" s="102" t="s">
        <v>1858</v>
      </c>
      <c r="E268" s="92" t="s">
        <v>1888</v>
      </c>
      <c r="F268" s="42">
        <v>1</v>
      </c>
      <c r="G268" s="42">
        <v>17</v>
      </c>
      <c r="H268" s="42">
        <v>15</v>
      </c>
      <c r="I268" s="42" t="s">
        <v>147</v>
      </c>
      <c r="J268" s="103" t="s">
        <v>3611</v>
      </c>
      <c r="K268" s="42" t="s">
        <v>4037</v>
      </c>
      <c r="L268" s="42">
        <f>VLOOKUP(Table7[[#This Row],[Baseline Fixture Code]], 'Tables &amp; Ranges'!$A$114:$B$132, 2, FALSE)</f>
        <v>101002</v>
      </c>
    </row>
    <row r="269" spans="2:12" ht="40" customHeight="1">
      <c r="B269" s="42">
        <v>875</v>
      </c>
      <c r="C269" s="102" t="s">
        <v>1895</v>
      </c>
      <c r="D269" s="102" t="s">
        <v>1858</v>
      </c>
      <c r="E269" s="92" t="s">
        <v>1896</v>
      </c>
      <c r="F269" s="42">
        <v>1</v>
      </c>
      <c r="G269" s="42">
        <v>17</v>
      </c>
      <c r="H269" s="42">
        <v>24</v>
      </c>
      <c r="I269" s="42" t="s">
        <v>1457</v>
      </c>
      <c r="J269" s="103" t="s">
        <v>3611</v>
      </c>
      <c r="K269" s="42" t="s">
        <v>4037</v>
      </c>
      <c r="L269" s="42">
        <f>VLOOKUP(Table7[[#This Row],[Baseline Fixture Code]], 'Tables &amp; Ranges'!$A$114:$B$132, 2, FALSE)</f>
        <v>101002</v>
      </c>
    </row>
    <row r="270" spans="2:12" ht="40" customHeight="1">
      <c r="B270" s="42">
        <v>876</v>
      </c>
      <c r="C270" s="102" t="s">
        <v>1897</v>
      </c>
      <c r="D270" s="102" t="s">
        <v>1858</v>
      </c>
      <c r="E270" s="92" t="s">
        <v>1898</v>
      </c>
      <c r="F270" s="42">
        <v>2</v>
      </c>
      <c r="G270" s="42">
        <v>17</v>
      </c>
      <c r="H270" s="42">
        <v>31</v>
      </c>
      <c r="I270" s="42" t="s">
        <v>1743</v>
      </c>
      <c r="J270" s="103" t="s">
        <v>3611</v>
      </c>
      <c r="K270" s="42" t="s">
        <v>4037</v>
      </c>
      <c r="L270" s="42">
        <f>VLOOKUP(Table7[[#This Row],[Baseline Fixture Code]], 'Tables &amp; Ranges'!$A$114:$B$132, 2, FALSE)</f>
        <v>101002</v>
      </c>
    </row>
    <row r="271" spans="2:12" ht="40" customHeight="1">
      <c r="B271" s="42">
        <v>877</v>
      </c>
      <c r="C271" s="102" t="s">
        <v>1899</v>
      </c>
      <c r="D271" s="102" t="s">
        <v>1858</v>
      </c>
      <c r="E271" s="92" t="s">
        <v>1900</v>
      </c>
      <c r="F271" s="42">
        <v>2</v>
      </c>
      <c r="G271" s="42">
        <v>17</v>
      </c>
      <c r="H271" s="42">
        <v>33</v>
      </c>
      <c r="I271" s="42" t="s">
        <v>147</v>
      </c>
      <c r="J271" s="103" t="s">
        <v>3611</v>
      </c>
      <c r="K271" s="42" t="s">
        <v>4037</v>
      </c>
      <c r="L271" s="42">
        <f>VLOOKUP(Table7[[#This Row],[Baseline Fixture Code]], 'Tables &amp; Ranges'!$A$114:$B$132, 2, FALSE)</f>
        <v>101002</v>
      </c>
    </row>
    <row r="272" spans="2:12" ht="40" customHeight="1">
      <c r="B272" s="42">
        <v>879</v>
      </c>
      <c r="C272" s="102" t="s">
        <v>1903</v>
      </c>
      <c r="D272" s="102" t="s">
        <v>1858</v>
      </c>
      <c r="E272" s="92" t="s">
        <v>1904</v>
      </c>
      <c r="F272" s="42">
        <v>2</v>
      </c>
      <c r="G272" s="42">
        <v>17</v>
      </c>
      <c r="H272" s="42">
        <v>30</v>
      </c>
      <c r="I272" s="42" t="s">
        <v>147</v>
      </c>
      <c r="J272" s="103" t="s">
        <v>3611</v>
      </c>
      <c r="K272" s="42" t="s">
        <v>4037</v>
      </c>
      <c r="L272" s="42">
        <f>VLOOKUP(Table7[[#This Row],[Baseline Fixture Code]], 'Tables &amp; Ranges'!$A$114:$B$132, 2, FALSE)</f>
        <v>101002</v>
      </c>
    </row>
    <row r="273" spans="2:12" ht="40" customHeight="1">
      <c r="B273" s="42">
        <v>880</v>
      </c>
      <c r="C273" s="102" t="s">
        <v>1905</v>
      </c>
      <c r="D273" s="102" t="s">
        <v>1858</v>
      </c>
      <c r="E273" s="92" t="s">
        <v>1906</v>
      </c>
      <c r="F273" s="42">
        <v>2</v>
      </c>
      <c r="G273" s="42">
        <v>17</v>
      </c>
      <c r="H273" s="42">
        <v>27</v>
      </c>
      <c r="I273" s="42" t="s">
        <v>147</v>
      </c>
      <c r="J273" s="103" t="s">
        <v>3611</v>
      </c>
      <c r="K273" s="42" t="s">
        <v>4037</v>
      </c>
      <c r="L273" s="42">
        <f>VLOOKUP(Table7[[#This Row],[Baseline Fixture Code]], 'Tables &amp; Ranges'!$A$114:$B$132, 2, FALSE)</f>
        <v>101002</v>
      </c>
    </row>
    <row r="274" spans="2:12" ht="40" customHeight="1">
      <c r="B274" s="42">
        <v>878</v>
      </c>
      <c r="C274" s="102" t="s">
        <v>1901</v>
      </c>
      <c r="D274" s="102" t="s">
        <v>1858</v>
      </c>
      <c r="E274" s="92" t="s">
        <v>1902</v>
      </c>
      <c r="F274" s="42">
        <v>2</v>
      </c>
      <c r="G274" s="42">
        <v>17</v>
      </c>
      <c r="H274" s="42">
        <v>30</v>
      </c>
      <c r="I274" s="42" t="s">
        <v>147</v>
      </c>
      <c r="J274" s="103" t="s">
        <v>3611</v>
      </c>
      <c r="K274" s="42" t="s">
        <v>4037</v>
      </c>
      <c r="L274" s="42">
        <f>VLOOKUP(Table7[[#This Row],[Baseline Fixture Code]], 'Tables &amp; Ranges'!$A$114:$B$132, 2, FALSE)</f>
        <v>101002</v>
      </c>
    </row>
    <row r="275" spans="2:12" ht="40" customHeight="1">
      <c r="B275" s="42">
        <v>881</v>
      </c>
      <c r="C275" s="102" t="s">
        <v>1907</v>
      </c>
      <c r="D275" s="102" t="s">
        <v>1858</v>
      </c>
      <c r="E275" s="92" t="s">
        <v>1900</v>
      </c>
      <c r="F275" s="42">
        <v>2</v>
      </c>
      <c r="G275" s="42">
        <v>17</v>
      </c>
      <c r="H275" s="42">
        <v>30</v>
      </c>
      <c r="I275" s="42" t="s">
        <v>1881</v>
      </c>
      <c r="J275" s="103" t="s">
        <v>3611</v>
      </c>
      <c r="K275" s="42" t="s">
        <v>4037</v>
      </c>
      <c r="L275" s="42">
        <f>VLOOKUP(Table7[[#This Row],[Baseline Fixture Code]], 'Tables &amp; Ranges'!$A$114:$B$132, 2, FALSE)</f>
        <v>101002</v>
      </c>
    </row>
    <row r="276" spans="2:12" ht="40" customHeight="1">
      <c r="B276" s="42">
        <v>884</v>
      </c>
      <c r="C276" s="102" t="s">
        <v>1911</v>
      </c>
      <c r="D276" s="102" t="s">
        <v>1858</v>
      </c>
      <c r="E276" s="92" t="s">
        <v>1912</v>
      </c>
      <c r="F276" s="42">
        <v>2</v>
      </c>
      <c r="G276" s="42">
        <v>17</v>
      </c>
      <c r="H276" s="42">
        <v>26</v>
      </c>
      <c r="I276" s="42" t="s">
        <v>1881</v>
      </c>
      <c r="J276" s="103" t="s">
        <v>3611</v>
      </c>
      <c r="K276" s="42" t="s">
        <v>4037</v>
      </c>
      <c r="L276" s="42">
        <f>VLOOKUP(Table7[[#This Row],[Baseline Fixture Code]], 'Tables &amp; Ranges'!$A$114:$B$132, 2, FALSE)</f>
        <v>101002</v>
      </c>
    </row>
    <row r="277" spans="2:12" ht="40" customHeight="1">
      <c r="B277" s="42">
        <v>896</v>
      </c>
      <c r="C277" s="102" t="s">
        <v>1911</v>
      </c>
      <c r="D277" s="102" t="s">
        <v>1858</v>
      </c>
      <c r="E277" s="92" t="s">
        <v>1912</v>
      </c>
      <c r="F277" s="42">
        <v>2</v>
      </c>
      <c r="G277" s="42">
        <v>17</v>
      </c>
      <c r="H277" s="42">
        <v>26</v>
      </c>
      <c r="I277" s="42" t="s">
        <v>1881</v>
      </c>
      <c r="J277" s="103" t="s">
        <v>3611</v>
      </c>
      <c r="K277" s="42" t="s">
        <v>4037</v>
      </c>
      <c r="L277" s="42">
        <f>VLOOKUP(Table7[[#This Row],[Baseline Fixture Code]], 'Tables &amp; Ranges'!$A$114:$B$132, 2, FALSE)</f>
        <v>101002</v>
      </c>
    </row>
    <row r="278" spans="2:12" ht="40" customHeight="1">
      <c r="B278" s="42">
        <v>882</v>
      </c>
      <c r="C278" s="102" t="s">
        <v>1908</v>
      </c>
      <c r="D278" s="102" t="s">
        <v>1858</v>
      </c>
      <c r="E278" s="92" t="s">
        <v>1902</v>
      </c>
      <c r="F278" s="42">
        <v>2</v>
      </c>
      <c r="G278" s="42">
        <v>17</v>
      </c>
      <c r="H278" s="42">
        <v>27</v>
      </c>
      <c r="I278" s="42" t="s">
        <v>1881</v>
      </c>
      <c r="J278" s="103" t="s">
        <v>3611</v>
      </c>
      <c r="K278" s="42" t="s">
        <v>4037</v>
      </c>
      <c r="L278" s="42">
        <f>VLOOKUP(Table7[[#This Row],[Baseline Fixture Code]], 'Tables &amp; Ranges'!$A$114:$B$132, 2, FALSE)</f>
        <v>101002</v>
      </c>
    </row>
    <row r="279" spans="2:12" ht="40" customHeight="1">
      <c r="B279" s="42">
        <v>883</v>
      </c>
      <c r="C279" s="102" t="s">
        <v>1909</v>
      </c>
      <c r="D279" s="102" t="s">
        <v>1858</v>
      </c>
      <c r="E279" s="92" t="s">
        <v>1910</v>
      </c>
      <c r="F279" s="42">
        <v>2</v>
      </c>
      <c r="G279" s="42">
        <v>17</v>
      </c>
      <c r="H279" s="42">
        <v>41</v>
      </c>
      <c r="I279" s="42" t="s">
        <v>1881</v>
      </c>
      <c r="J279" s="103" t="s">
        <v>3611</v>
      </c>
      <c r="K279" s="42" t="s">
        <v>4037</v>
      </c>
      <c r="L279" s="42">
        <f>VLOOKUP(Table7[[#This Row],[Baseline Fixture Code]], 'Tables &amp; Ranges'!$A$114:$B$132, 2, FALSE)</f>
        <v>101002</v>
      </c>
    </row>
    <row r="280" spans="2:12" ht="40" customHeight="1">
      <c r="B280" s="42">
        <v>895</v>
      </c>
      <c r="C280" s="102" t="s">
        <v>1909</v>
      </c>
      <c r="D280" s="102" t="s">
        <v>1858</v>
      </c>
      <c r="E280" s="92" t="s">
        <v>1910</v>
      </c>
      <c r="F280" s="42">
        <v>2</v>
      </c>
      <c r="G280" s="42">
        <v>17</v>
      </c>
      <c r="H280" s="42">
        <v>41</v>
      </c>
      <c r="I280" s="42" t="s">
        <v>1881</v>
      </c>
      <c r="J280" s="103" t="s">
        <v>3611</v>
      </c>
      <c r="K280" s="42" t="s">
        <v>4037</v>
      </c>
      <c r="L280" s="42">
        <f>VLOOKUP(Table7[[#This Row],[Baseline Fixture Code]], 'Tables &amp; Ranges'!$A$114:$B$132, 2, FALSE)</f>
        <v>101002</v>
      </c>
    </row>
    <row r="281" spans="2:12" ht="40" customHeight="1">
      <c r="B281" s="42">
        <v>885</v>
      </c>
      <c r="C281" s="102" t="s">
        <v>1913</v>
      </c>
      <c r="D281" s="102" t="s">
        <v>1858</v>
      </c>
      <c r="E281" s="92" t="s">
        <v>1914</v>
      </c>
      <c r="F281" s="42">
        <v>2</v>
      </c>
      <c r="G281" s="42">
        <v>17</v>
      </c>
      <c r="H281" s="42">
        <v>31</v>
      </c>
      <c r="I281" s="42" t="s">
        <v>147</v>
      </c>
      <c r="J281" s="103" t="s">
        <v>3611</v>
      </c>
      <c r="K281" s="42" t="s">
        <v>4037</v>
      </c>
      <c r="L281" s="42">
        <f>VLOOKUP(Table7[[#This Row],[Baseline Fixture Code]], 'Tables &amp; Ranges'!$A$114:$B$132, 2, FALSE)</f>
        <v>101002</v>
      </c>
    </row>
    <row r="282" spans="2:12" ht="40" customHeight="1">
      <c r="B282" s="42">
        <v>897</v>
      </c>
      <c r="C282" s="102" t="s">
        <v>1913</v>
      </c>
      <c r="D282" s="102" t="s">
        <v>1858</v>
      </c>
      <c r="E282" s="92" t="s">
        <v>1914</v>
      </c>
      <c r="F282" s="42">
        <v>2</v>
      </c>
      <c r="G282" s="42">
        <v>17</v>
      </c>
      <c r="H282" s="42">
        <v>31</v>
      </c>
      <c r="I282" s="42" t="s">
        <v>147</v>
      </c>
      <c r="J282" s="103" t="s">
        <v>3611</v>
      </c>
      <c r="K282" s="42" t="s">
        <v>4037</v>
      </c>
      <c r="L282" s="42">
        <f>VLOOKUP(Table7[[#This Row],[Baseline Fixture Code]], 'Tables &amp; Ranges'!$A$114:$B$132, 2, FALSE)</f>
        <v>101002</v>
      </c>
    </row>
    <row r="283" spans="2:12" ht="40" customHeight="1">
      <c r="B283" s="42">
        <v>887</v>
      </c>
      <c r="C283" s="102" t="s">
        <v>1917</v>
      </c>
      <c r="D283" s="102" t="s">
        <v>1858</v>
      </c>
      <c r="E283" s="92" t="s">
        <v>1918</v>
      </c>
      <c r="F283" s="42">
        <v>2</v>
      </c>
      <c r="G283" s="42">
        <v>17</v>
      </c>
      <c r="H283" s="42">
        <v>34</v>
      </c>
      <c r="I283" s="42" t="s">
        <v>147</v>
      </c>
      <c r="J283" s="103" t="s">
        <v>3611</v>
      </c>
      <c r="K283" s="42" t="s">
        <v>4037</v>
      </c>
      <c r="L283" s="42">
        <f>VLOOKUP(Table7[[#This Row],[Baseline Fixture Code]], 'Tables &amp; Ranges'!$A$114:$B$132, 2, FALSE)</f>
        <v>101002</v>
      </c>
    </row>
    <row r="284" spans="2:12" ht="40" customHeight="1">
      <c r="B284" s="42">
        <v>899</v>
      </c>
      <c r="C284" s="102" t="s">
        <v>1917</v>
      </c>
      <c r="D284" s="102" t="s">
        <v>1858</v>
      </c>
      <c r="E284" s="92" t="s">
        <v>1918</v>
      </c>
      <c r="F284" s="42">
        <v>2</v>
      </c>
      <c r="G284" s="42">
        <v>17</v>
      </c>
      <c r="H284" s="42">
        <v>34</v>
      </c>
      <c r="I284" s="42" t="s">
        <v>147</v>
      </c>
      <c r="J284" s="103" t="s">
        <v>3611</v>
      </c>
      <c r="K284" s="42" t="s">
        <v>4037</v>
      </c>
      <c r="L284" s="42">
        <f>VLOOKUP(Table7[[#This Row],[Baseline Fixture Code]], 'Tables &amp; Ranges'!$A$114:$B$132, 2, FALSE)</f>
        <v>101002</v>
      </c>
    </row>
    <row r="285" spans="2:12" ht="40" customHeight="1">
      <c r="B285" s="42">
        <v>886</v>
      </c>
      <c r="C285" s="102" t="s">
        <v>1915</v>
      </c>
      <c r="D285" s="102" t="s">
        <v>1858</v>
      </c>
      <c r="E285" s="92" t="s">
        <v>1916</v>
      </c>
      <c r="F285" s="42">
        <v>2</v>
      </c>
      <c r="G285" s="42">
        <v>17</v>
      </c>
      <c r="H285" s="42">
        <v>28</v>
      </c>
      <c r="I285" s="42" t="s">
        <v>147</v>
      </c>
      <c r="J285" s="103" t="s">
        <v>3611</v>
      </c>
      <c r="K285" s="42" t="s">
        <v>4037</v>
      </c>
      <c r="L285" s="42">
        <f>VLOOKUP(Table7[[#This Row],[Baseline Fixture Code]], 'Tables &amp; Ranges'!$A$114:$B$132, 2, FALSE)</f>
        <v>101002</v>
      </c>
    </row>
    <row r="286" spans="2:12" ht="40" customHeight="1">
      <c r="B286" s="42">
        <v>898</v>
      </c>
      <c r="C286" s="102" t="s">
        <v>1915</v>
      </c>
      <c r="D286" s="102" t="s">
        <v>1858</v>
      </c>
      <c r="E286" s="92" t="s">
        <v>1916</v>
      </c>
      <c r="F286" s="42">
        <v>2</v>
      </c>
      <c r="G286" s="42">
        <v>17</v>
      </c>
      <c r="H286" s="42">
        <v>28</v>
      </c>
      <c r="I286" s="42" t="s">
        <v>147</v>
      </c>
      <c r="J286" s="103" t="s">
        <v>3611</v>
      </c>
      <c r="K286" s="42" t="s">
        <v>4037</v>
      </c>
      <c r="L286" s="42">
        <f>VLOOKUP(Table7[[#This Row],[Baseline Fixture Code]], 'Tables &amp; Ranges'!$A$114:$B$132, 2, FALSE)</f>
        <v>101002</v>
      </c>
    </row>
    <row r="287" spans="2:12" ht="40" customHeight="1">
      <c r="B287" s="42">
        <v>888</v>
      </c>
      <c r="C287" s="102" t="s">
        <v>1919</v>
      </c>
      <c r="D287" s="102" t="s">
        <v>1858</v>
      </c>
      <c r="E287" s="92" t="s">
        <v>1920</v>
      </c>
      <c r="F287" s="42">
        <v>3</v>
      </c>
      <c r="G287" s="42">
        <v>17</v>
      </c>
      <c r="H287" s="42">
        <v>47</v>
      </c>
      <c r="I287" s="42" t="s">
        <v>1743</v>
      </c>
      <c r="J287" s="103" t="s">
        <v>3611</v>
      </c>
      <c r="K287" s="42" t="s">
        <v>4037</v>
      </c>
      <c r="L287" s="42">
        <f>VLOOKUP(Table7[[#This Row],[Baseline Fixture Code]], 'Tables &amp; Ranges'!$A$114:$B$132, 2, FALSE)</f>
        <v>101002</v>
      </c>
    </row>
    <row r="288" spans="2:12" ht="40" customHeight="1">
      <c r="B288" s="42">
        <v>900</v>
      </c>
      <c r="C288" s="102" t="s">
        <v>1919</v>
      </c>
      <c r="D288" s="102" t="s">
        <v>1858</v>
      </c>
      <c r="E288" s="92" t="s">
        <v>1920</v>
      </c>
      <c r="F288" s="42">
        <v>3</v>
      </c>
      <c r="G288" s="42">
        <v>17</v>
      </c>
      <c r="H288" s="42">
        <v>47</v>
      </c>
      <c r="I288" s="42" t="s">
        <v>1743</v>
      </c>
      <c r="J288" s="103" t="s">
        <v>3611</v>
      </c>
      <c r="K288" s="42" t="s">
        <v>4037</v>
      </c>
      <c r="L288" s="42">
        <f>VLOOKUP(Table7[[#This Row],[Baseline Fixture Code]], 'Tables &amp; Ranges'!$A$114:$B$132, 2, FALSE)</f>
        <v>101002</v>
      </c>
    </row>
    <row r="289" spans="2:12" ht="40" customHeight="1">
      <c r="B289" s="42">
        <v>889</v>
      </c>
      <c r="C289" s="102" t="s">
        <v>1921</v>
      </c>
      <c r="D289" s="102" t="s">
        <v>1858</v>
      </c>
      <c r="E289" s="92" t="s">
        <v>1922</v>
      </c>
      <c r="F289" s="42">
        <v>3</v>
      </c>
      <c r="G289" s="42">
        <v>17</v>
      </c>
      <c r="H289" s="42">
        <v>47</v>
      </c>
      <c r="I289" s="42" t="s">
        <v>147</v>
      </c>
      <c r="J289" s="103" t="s">
        <v>3611</v>
      </c>
      <c r="K289" s="42" t="s">
        <v>4037</v>
      </c>
      <c r="L289" s="42">
        <f>VLOOKUP(Table7[[#This Row],[Baseline Fixture Code]], 'Tables &amp; Ranges'!$A$114:$B$132, 2, FALSE)</f>
        <v>101002</v>
      </c>
    </row>
    <row r="290" spans="2:12" ht="40" customHeight="1">
      <c r="B290" s="42">
        <v>901</v>
      </c>
      <c r="C290" s="102" t="s">
        <v>1921</v>
      </c>
      <c r="D290" s="102" t="s">
        <v>1858</v>
      </c>
      <c r="E290" s="92" t="s">
        <v>1922</v>
      </c>
      <c r="F290" s="42">
        <v>3</v>
      </c>
      <c r="G290" s="42">
        <v>17</v>
      </c>
      <c r="H290" s="42">
        <v>47</v>
      </c>
      <c r="I290" s="42" t="s">
        <v>147</v>
      </c>
      <c r="J290" s="103" t="s">
        <v>3611</v>
      </c>
      <c r="K290" s="42" t="s">
        <v>4037</v>
      </c>
      <c r="L290" s="42">
        <f>VLOOKUP(Table7[[#This Row],[Baseline Fixture Code]], 'Tables &amp; Ranges'!$A$114:$B$132, 2, FALSE)</f>
        <v>101002</v>
      </c>
    </row>
    <row r="291" spans="2:12" ht="40" customHeight="1">
      <c r="B291" s="42">
        <v>890</v>
      </c>
      <c r="C291" s="102" t="s">
        <v>1923</v>
      </c>
      <c r="D291" s="102" t="s">
        <v>1858</v>
      </c>
      <c r="E291" s="92" t="s">
        <v>1924</v>
      </c>
      <c r="F291" s="42">
        <v>3</v>
      </c>
      <c r="G291" s="42">
        <v>17</v>
      </c>
      <c r="H291" s="42">
        <v>51</v>
      </c>
      <c r="I291" s="42" t="s">
        <v>147</v>
      </c>
      <c r="J291" s="103" t="s">
        <v>3611</v>
      </c>
      <c r="K291" s="42" t="s">
        <v>4037</v>
      </c>
      <c r="L291" s="42">
        <f>VLOOKUP(Table7[[#This Row],[Baseline Fixture Code]], 'Tables &amp; Ranges'!$A$114:$B$132, 2, FALSE)</f>
        <v>101002</v>
      </c>
    </row>
    <row r="292" spans="2:12" ht="40" customHeight="1">
      <c r="B292" s="42">
        <v>902</v>
      </c>
      <c r="C292" s="102" t="s">
        <v>1923</v>
      </c>
      <c r="D292" s="102" t="s">
        <v>1858</v>
      </c>
      <c r="E292" s="92" t="s">
        <v>1924</v>
      </c>
      <c r="F292" s="42">
        <v>3</v>
      </c>
      <c r="G292" s="42">
        <v>17</v>
      </c>
      <c r="H292" s="42">
        <v>51</v>
      </c>
      <c r="I292" s="42" t="s">
        <v>147</v>
      </c>
      <c r="J292" s="103" t="s">
        <v>3611</v>
      </c>
      <c r="K292" s="42" t="s">
        <v>4037</v>
      </c>
      <c r="L292" s="42">
        <f>VLOOKUP(Table7[[#This Row],[Baseline Fixture Code]], 'Tables &amp; Ranges'!$A$114:$B$132, 2, FALSE)</f>
        <v>101002</v>
      </c>
    </row>
    <row r="293" spans="2:12" ht="40" customHeight="1">
      <c r="B293" s="42">
        <v>891</v>
      </c>
      <c r="C293" s="102" t="s">
        <v>1925</v>
      </c>
      <c r="D293" s="102" t="s">
        <v>1858</v>
      </c>
      <c r="E293" s="92" t="s">
        <v>1926</v>
      </c>
      <c r="F293" s="42">
        <v>3</v>
      </c>
      <c r="G293" s="42">
        <v>17</v>
      </c>
      <c r="H293" s="42">
        <v>41</v>
      </c>
      <c r="I293" s="42" t="s">
        <v>147</v>
      </c>
      <c r="J293" s="103" t="s">
        <v>3611</v>
      </c>
      <c r="K293" s="42" t="s">
        <v>4037</v>
      </c>
      <c r="L293" s="42">
        <f>VLOOKUP(Table7[[#This Row],[Baseline Fixture Code]], 'Tables &amp; Ranges'!$A$114:$B$132, 2, FALSE)</f>
        <v>101002</v>
      </c>
    </row>
    <row r="294" spans="2:12" ht="40" customHeight="1">
      <c r="B294" s="42">
        <v>903</v>
      </c>
      <c r="C294" s="102" t="s">
        <v>1925</v>
      </c>
      <c r="D294" s="102" t="s">
        <v>1858</v>
      </c>
      <c r="E294" s="92" t="s">
        <v>1926</v>
      </c>
      <c r="F294" s="42">
        <v>3</v>
      </c>
      <c r="G294" s="42">
        <v>17</v>
      </c>
      <c r="H294" s="42">
        <v>41</v>
      </c>
      <c r="I294" s="42" t="s">
        <v>147</v>
      </c>
      <c r="J294" s="103" t="s">
        <v>3611</v>
      </c>
      <c r="K294" s="42" t="s">
        <v>4037</v>
      </c>
      <c r="L294" s="42">
        <f>VLOOKUP(Table7[[#This Row],[Baseline Fixture Code]], 'Tables &amp; Ranges'!$A$114:$B$132, 2, FALSE)</f>
        <v>101002</v>
      </c>
    </row>
    <row r="295" spans="2:12" ht="40" customHeight="1">
      <c r="B295" s="42">
        <v>892</v>
      </c>
      <c r="C295" s="102" t="s">
        <v>1927</v>
      </c>
      <c r="D295" s="102" t="s">
        <v>1858</v>
      </c>
      <c r="E295" s="92" t="s">
        <v>1922</v>
      </c>
      <c r="F295" s="42">
        <v>3</v>
      </c>
      <c r="G295" s="42">
        <v>17</v>
      </c>
      <c r="H295" s="42">
        <v>45</v>
      </c>
      <c r="I295" s="42" t="s">
        <v>1881</v>
      </c>
      <c r="J295" s="103" t="s">
        <v>3611</v>
      </c>
      <c r="K295" s="42" t="s">
        <v>4037</v>
      </c>
      <c r="L295" s="42">
        <f>VLOOKUP(Table7[[#This Row],[Baseline Fixture Code]], 'Tables &amp; Ranges'!$A$114:$B$132, 2, FALSE)</f>
        <v>101002</v>
      </c>
    </row>
    <row r="296" spans="2:12" ht="40" customHeight="1">
      <c r="B296" s="42">
        <v>904</v>
      </c>
      <c r="C296" s="102" t="s">
        <v>1927</v>
      </c>
      <c r="D296" s="102" t="s">
        <v>1858</v>
      </c>
      <c r="E296" s="92" t="s">
        <v>1922</v>
      </c>
      <c r="F296" s="42">
        <v>3</v>
      </c>
      <c r="G296" s="42">
        <v>17</v>
      </c>
      <c r="H296" s="42">
        <v>45</v>
      </c>
      <c r="I296" s="42" t="s">
        <v>1881</v>
      </c>
      <c r="J296" s="103" t="s">
        <v>3611</v>
      </c>
      <c r="K296" s="42" t="s">
        <v>4037</v>
      </c>
      <c r="L296" s="42">
        <f>VLOOKUP(Table7[[#This Row],[Baseline Fixture Code]], 'Tables &amp; Ranges'!$A$114:$B$132, 2, FALSE)</f>
        <v>101002</v>
      </c>
    </row>
    <row r="297" spans="2:12" ht="40" customHeight="1">
      <c r="B297" s="42">
        <v>893</v>
      </c>
      <c r="C297" s="102" t="s">
        <v>1928</v>
      </c>
      <c r="D297" s="102" t="s">
        <v>1858</v>
      </c>
      <c r="E297" s="92" t="s">
        <v>1926</v>
      </c>
      <c r="F297" s="42">
        <v>3</v>
      </c>
      <c r="G297" s="42">
        <v>17</v>
      </c>
      <c r="H297" s="42">
        <v>40</v>
      </c>
      <c r="I297" s="42" t="s">
        <v>1881</v>
      </c>
      <c r="J297" s="103" t="s">
        <v>3611</v>
      </c>
      <c r="K297" s="42" t="s">
        <v>4037</v>
      </c>
      <c r="L297" s="42">
        <f>VLOOKUP(Table7[[#This Row],[Baseline Fixture Code]], 'Tables &amp; Ranges'!$A$114:$B$132, 2, FALSE)</f>
        <v>101002</v>
      </c>
    </row>
    <row r="298" spans="2:12" ht="40" customHeight="1">
      <c r="B298" s="42">
        <v>905</v>
      </c>
      <c r="C298" s="102" t="s">
        <v>1928</v>
      </c>
      <c r="D298" s="102" t="s">
        <v>1858</v>
      </c>
      <c r="E298" s="92" t="s">
        <v>1926</v>
      </c>
      <c r="F298" s="42">
        <v>3</v>
      </c>
      <c r="G298" s="42">
        <v>17</v>
      </c>
      <c r="H298" s="42">
        <v>40</v>
      </c>
      <c r="I298" s="42" t="s">
        <v>1881</v>
      </c>
      <c r="J298" s="103" t="s">
        <v>3611</v>
      </c>
      <c r="K298" s="42" t="s">
        <v>4037</v>
      </c>
      <c r="L298" s="42">
        <f>VLOOKUP(Table7[[#This Row],[Baseline Fixture Code]], 'Tables &amp; Ranges'!$A$114:$B$132, 2, FALSE)</f>
        <v>101002</v>
      </c>
    </row>
    <row r="299" spans="2:12" ht="40" customHeight="1">
      <c r="B299" s="42">
        <v>894</v>
      </c>
      <c r="C299" s="102" t="s">
        <v>1929</v>
      </c>
      <c r="D299" s="102" t="s">
        <v>1858</v>
      </c>
      <c r="E299" s="92" t="s">
        <v>1930</v>
      </c>
      <c r="F299" s="42">
        <v>3</v>
      </c>
      <c r="G299" s="42">
        <v>17</v>
      </c>
      <c r="H299" s="42">
        <v>59</v>
      </c>
      <c r="I299" s="42" t="s">
        <v>1881</v>
      </c>
      <c r="J299" s="103" t="s">
        <v>3611</v>
      </c>
      <c r="K299" s="42" t="s">
        <v>4037</v>
      </c>
      <c r="L299" s="42">
        <f>VLOOKUP(Table7[[#This Row],[Baseline Fixture Code]], 'Tables &amp; Ranges'!$A$114:$B$132, 2, FALSE)</f>
        <v>101002</v>
      </c>
    </row>
    <row r="300" spans="2:12" ht="40" customHeight="1">
      <c r="B300" s="42">
        <v>906</v>
      </c>
      <c r="C300" s="102" t="s">
        <v>1929</v>
      </c>
      <c r="D300" s="102" t="s">
        <v>1858</v>
      </c>
      <c r="E300" s="92" t="s">
        <v>1930</v>
      </c>
      <c r="F300" s="42">
        <v>3</v>
      </c>
      <c r="G300" s="42">
        <v>17</v>
      </c>
      <c r="H300" s="42">
        <v>59</v>
      </c>
      <c r="I300" s="42" t="s">
        <v>1881</v>
      </c>
      <c r="J300" s="103" t="s">
        <v>3611</v>
      </c>
      <c r="K300" s="42" t="s">
        <v>4037</v>
      </c>
      <c r="L300" s="42">
        <f>VLOOKUP(Table7[[#This Row],[Baseline Fixture Code]], 'Tables &amp; Ranges'!$A$114:$B$132, 2, FALSE)</f>
        <v>101002</v>
      </c>
    </row>
    <row r="301" spans="2:12" ht="40" customHeight="1">
      <c r="B301" s="42">
        <v>907</v>
      </c>
      <c r="C301" s="102" t="s">
        <v>1931</v>
      </c>
      <c r="D301" s="102" t="s">
        <v>1858</v>
      </c>
      <c r="E301" s="92" t="s">
        <v>1932</v>
      </c>
      <c r="F301" s="42">
        <v>3</v>
      </c>
      <c r="G301" s="42">
        <v>17</v>
      </c>
      <c r="H301" s="42">
        <v>52</v>
      </c>
      <c r="I301" s="42" t="s">
        <v>147</v>
      </c>
      <c r="J301" s="103" t="s">
        <v>3611</v>
      </c>
      <c r="K301" s="42" t="s">
        <v>4037</v>
      </c>
      <c r="L301" s="42">
        <f>VLOOKUP(Table7[[#This Row],[Baseline Fixture Code]], 'Tables &amp; Ranges'!$A$114:$B$132, 2, FALSE)</f>
        <v>101002</v>
      </c>
    </row>
    <row r="302" spans="2:12" ht="40" customHeight="1">
      <c r="B302" s="42">
        <v>908</v>
      </c>
      <c r="C302" s="102" t="s">
        <v>1933</v>
      </c>
      <c r="D302" s="102" t="s">
        <v>1858</v>
      </c>
      <c r="E302" s="92" t="s">
        <v>1934</v>
      </c>
      <c r="F302" s="42">
        <v>3</v>
      </c>
      <c r="G302" s="42">
        <v>17</v>
      </c>
      <c r="H302" s="42">
        <v>41</v>
      </c>
      <c r="I302" s="42" t="s">
        <v>147</v>
      </c>
      <c r="J302" s="103" t="s">
        <v>3611</v>
      </c>
      <c r="K302" s="42" t="s">
        <v>4037</v>
      </c>
      <c r="L302" s="42">
        <f>VLOOKUP(Table7[[#This Row],[Baseline Fixture Code]], 'Tables &amp; Ranges'!$A$114:$B$132, 2, FALSE)</f>
        <v>101002</v>
      </c>
    </row>
    <row r="303" spans="2:12" ht="40" customHeight="1">
      <c r="B303" s="42">
        <v>909</v>
      </c>
      <c r="C303" s="102" t="s">
        <v>1935</v>
      </c>
      <c r="D303" s="102" t="s">
        <v>1858</v>
      </c>
      <c r="E303" s="92" t="s">
        <v>1936</v>
      </c>
      <c r="F303" s="42">
        <v>4</v>
      </c>
      <c r="G303" s="42">
        <v>17</v>
      </c>
      <c r="H303" s="42">
        <v>59</v>
      </c>
      <c r="I303" s="42" t="s">
        <v>1743</v>
      </c>
      <c r="J303" s="103" t="s">
        <v>3611</v>
      </c>
      <c r="K303" s="42" t="s">
        <v>4037</v>
      </c>
      <c r="L303" s="42">
        <f>VLOOKUP(Table7[[#This Row],[Baseline Fixture Code]], 'Tables &amp; Ranges'!$A$114:$B$132, 2, FALSE)</f>
        <v>101002</v>
      </c>
    </row>
    <row r="304" spans="2:12" ht="40" customHeight="1">
      <c r="B304" s="42">
        <v>910</v>
      </c>
      <c r="C304" s="102" t="s">
        <v>1937</v>
      </c>
      <c r="D304" s="102" t="s">
        <v>1858</v>
      </c>
      <c r="E304" s="92" t="s">
        <v>1938</v>
      </c>
      <c r="F304" s="42">
        <v>4</v>
      </c>
      <c r="G304" s="42">
        <v>17</v>
      </c>
      <c r="H304" s="42">
        <v>59</v>
      </c>
      <c r="I304" s="42" t="s">
        <v>147</v>
      </c>
      <c r="J304" s="103" t="s">
        <v>3611</v>
      </c>
      <c r="K304" s="42" t="s">
        <v>4037</v>
      </c>
      <c r="L304" s="42">
        <f>VLOOKUP(Table7[[#This Row],[Baseline Fixture Code]], 'Tables &amp; Ranges'!$A$114:$B$132, 2, FALSE)</f>
        <v>101002</v>
      </c>
    </row>
    <row r="305" spans="2:12" ht="40" customHeight="1">
      <c r="B305" s="42">
        <v>911</v>
      </c>
      <c r="C305" s="102" t="s">
        <v>1939</v>
      </c>
      <c r="D305" s="102" t="s">
        <v>1858</v>
      </c>
      <c r="E305" s="92" t="s">
        <v>1940</v>
      </c>
      <c r="F305" s="42">
        <v>4</v>
      </c>
      <c r="G305" s="42">
        <v>17</v>
      </c>
      <c r="H305" s="42">
        <v>53</v>
      </c>
      <c r="I305" s="42" t="s">
        <v>147</v>
      </c>
      <c r="J305" s="103" t="s">
        <v>3611</v>
      </c>
      <c r="K305" s="42" t="s">
        <v>4037</v>
      </c>
      <c r="L305" s="42">
        <f>VLOOKUP(Table7[[#This Row],[Baseline Fixture Code]], 'Tables &amp; Ranges'!$A$114:$B$132, 2, FALSE)</f>
        <v>101002</v>
      </c>
    </row>
    <row r="306" spans="2:12" ht="40" customHeight="1">
      <c r="B306" s="42">
        <v>912</v>
      </c>
      <c r="C306" s="102" t="s">
        <v>1941</v>
      </c>
      <c r="D306" s="102" t="s">
        <v>1858</v>
      </c>
      <c r="E306" s="92" t="s">
        <v>1938</v>
      </c>
      <c r="F306" s="42">
        <v>4</v>
      </c>
      <c r="G306" s="42">
        <v>17</v>
      </c>
      <c r="H306" s="42">
        <v>57</v>
      </c>
      <c r="I306" s="42" t="s">
        <v>1881</v>
      </c>
      <c r="J306" s="103" t="s">
        <v>3611</v>
      </c>
      <c r="K306" s="42" t="s">
        <v>4037</v>
      </c>
      <c r="L306" s="42">
        <f>VLOOKUP(Table7[[#This Row],[Baseline Fixture Code]], 'Tables &amp; Ranges'!$A$114:$B$132, 2, FALSE)</f>
        <v>101002</v>
      </c>
    </row>
    <row r="307" spans="2:12" ht="40" customHeight="1">
      <c r="B307" s="42">
        <v>913</v>
      </c>
      <c r="C307" s="102" t="s">
        <v>1942</v>
      </c>
      <c r="D307" s="102" t="s">
        <v>1858</v>
      </c>
      <c r="E307" s="92" t="s">
        <v>1940</v>
      </c>
      <c r="F307" s="42">
        <v>4</v>
      </c>
      <c r="G307" s="42">
        <v>17</v>
      </c>
      <c r="H307" s="42">
        <v>52</v>
      </c>
      <c r="I307" s="42" t="s">
        <v>1881</v>
      </c>
      <c r="J307" s="103" t="s">
        <v>3611</v>
      </c>
      <c r="K307" s="42" t="s">
        <v>4037</v>
      </c>
      <c r="L307" s="42">
        <f>VLOOKUP(Table7[[#This Row],[Baseline Fixture Code]], 'Tables &amp; Ranges'!$A$114:$B$132, 2, FALSE)</f>
        <v>101002</v>
      </c>
    </row>
    <row r="308" spans="2:12" ht="40" customHeight="1">
      <c r="B308" s="42">
        <v>914</v>
      </c>
      <c r="C308" s="102" t="s">
        <v>1943</v>
      </c>
      <c r="D308" s="102" t="s">
        <v>1858</v>
      </c>
      <c r="E308" s="92" t="s">
        <v>1944</v>
      </c>
      <c r="F308" s="42">
        <v>4</v>
      </c>
      <c r="G308" s="42">
        <v>17</v>
      </c>
      <c r="H308" s="42">
        <v>68</v>
      </c>
      <c r="I308" s="42" t="s">
        <v>147</v>
      </c>
      <c r="J308" s="103" t="s">
        <v>3611</v>
      </c>
      <c r="K308" s="42" t="s">
        <v>4037</v>
      </c>
      <c r="L308" s="42">
        <f>VLOOKUP(Table7[[#This Row],[Baseline Fixture Code]], 'Tables &amp; Ranges'!$A$114:$B$132, 2, FALSE)</f>
        <v>101002</v>
      </c>
    </row>
    <row r="309" spans="2:12" ht="40" customHeight="1">
      <c r="B309" s="42">
        <v>915</v>
      </c>
      <c r="C309" s="102" t="s">
        <v>1945</v>
      </c>
      <c r="D309" s="102" t="s">
        <v>1858</v>
      </c>
      <c r="E309" s="92" t="s">
        <v>1946</v>
      </c>
      <c r="F309" s="42">
        <v>4</v>
      </c>
      <c r="G309" s="42">
        <v>17</v>
      </c>
      <c r="H309" s="42">
        <v>57</v>
      </c>
      <c r="I309" s="42" t="s">
        <v>147</v>
      </c>
      <c r="J309" s="103" t="s">
        <v>3611</v>
      </c>
      <c r="K309" s="42" t="s">
        <v>4037</v>
      </c>
      <c r="L309" s="42">
        <f>VLOOKUP(Table7[[#This Row],[Baseline Fixture Code]], 'Tables &amp; Ranges'!$A$114:$B$132, 2, FALSE)</f>
        <v>101002</v>
      </c>
    </row>
    <row r="310" spans="2:12" ht="40" customHeight="1">
      <c r="B310" s="42">
        <v>1300</v>
      </c>
      <c r="C310" s="102" t="s">
        <v>2627</v>
      </c>
      <c r="D310" s="102" t="s">
        <v>2623</v>
      </c>
      <c r="E310" s="92" t="s">
        <v>2628</v>
      </c>
      <c r="F310" s="42">
        <v>1</v>
      </c>
      <c r="G310" s="42">
        <v>20</v>
      </c>
      <c r="H310" s="42">
        <v>25</v>
      </c>
      <c r="I310" s="42" t="s">
        <v>1457</v>
      </c>
      <c r="J310" s="103" t="s">
        <v>3611</v>
      </c>
      <c r="K310" s="42" t="s">
        <v>3712</v>
      </c>
      <c r="L310" s="42">
        <f>VLOOKUP(Table7[[#This Row],[Baseline Fixture Code]], 'Tables &amp; Ranges'!$A$114:$B$132, 2, FALSE)</f>
        <v>101001</v>
      </c>
    </row>
    <row r="311" spans="2:12" ht="40" customHeight="1">
      <c r="B311" s="42">
        <v>1301</v>
      </c>
      <c r="C311" s="102" t="s">
        <v>2629</v>
      </c>
      <c r="D311" s="102" t="s">
        <v>2623</v>
      </c>
      <c r="E311" s="92" t="s">
        <v>2630</v>
      </c>
      <c r="F311" s="42">
        <v>2</v>
      </c>
      <c r="G311" s="42">
        <v>20</v>
      </c>
      <c r="H311" s="42">
        <v>50</v>
      </c>
      <c r="I311" s="42" t="s">
        <v>1457</v>
      </c>
      <c r="J311" s="103" t="s">
        <v>3611</v>
      </c>
      <c r="K311" s="42" t="s">
        <v>3712</v>
      </c>
      <c r="L311" s="42">
        <f>VLOOKUP(Table7[[#This Row],[Baseline Fixture Code]], 'Tables &amp; Ranges'!$A$114:$B$132, 2, FALSE)</f>
        <v>101001</v>
      </c>
    </row>
    <row r="312" spans="2:12" ht="40" customHeight="1">
      <c r="B312" s="42">
        <v>1302</v>
      </c>
      <c r="C312" s="102" t="s">
        <v>2631</v>
      </c>
      <c r="D312" s="102" t="s">
        <v>2623</v>
      </c>
      <c r="E312" s="92" t="s">
        <v>2632</v>
      </c>
      <c r="F312" s="42">
        <v>3</v>
      </c>
      <c r="G312" s="42">
        <v>20</v>
      </c>
      <c r="H312" s="42">
        <v>71</v>
      </c>
      <c r="I312" s="42" t="s">
        <v>1457</v>
      </c>
      <c r="J312" s="103" t="s">
        <v>3611</v>
      </c>
      <c r="K312" s="42" t="s">
        <v>3712</v>
      </c>
      <c r="L312" s="42">
        <f>VLOOKUP(Table7[[#This Row],[Baseline Fixture Code]], 'Tables &amp; Ranges'!$A$114:$B$132, 2, FALSE)</f>
        <v>101001</v>
      </c>
    </row>
    <row r="313" spans="2:12" ht="40" customHeight="1">
      <c r="B313" s="42">
        <v>1303</v>
      </c>
      <c r="C313" s="102" t="s">
        <v>2633</v>
      </c>
      <c r="D313" s="102" t="s">
        <v>2623</v>
      </c>
      <c r="E313" s="92" t="s">
        <v>2634</v>
      </c>
      <c r="F313" s="42">
        <v>4</v>
      </c>
      <c r="G313" s="42">
        <v>20</v>
      </c>
      <c r="H313" s="42">
        <v>100</v>
      </c>
      <c r="I313" s="42" t="s">
        <v>1457</v>
      </c>
      <c r="J313" s="103" t="s">
        <v>3611</v>
      </c>
      <c r="K313" s="42" t="s">
        <v>3712</v>
      </c>
      <c r="L313" s="42">
        <f>VLOOKUP(Table7[[#This Row],[Baseline Fixture Code]], 'Tables &amp; Ranges'!$A$114:$B$132, 2, FALSE)</f>
        <v>101001</v>
      </c>
    </row>
    <row r="314" spans="2:12" ht="40" customHeight="1">
      <c r="B314" s="42">
        <v>1304</v>
      </c>
      <c r="C314" s="102" t="s">
        <v>2635</v>
      </c>
      <c r="D314" s="102" t="s">
        <v>2623</v>
      </c>
      <c r="E314" s="92" t="s">
        <v>2636</v>
      </c>
      <c r="F314" s="42">
        <v>6</v>
      </c>
      <c r="G314" s="42">
        <v>20</v>
      </c>
      <c r="H314" s="42">
        <v>146</v>
      </c>
      <c r="I314" s="42" t="s">
        <v>1457</v>
      </c>
      <c r="J314" s="103" t="s">
        <v>3611</v>
      </c>
      <c r="K314" s="42" t="s">
        <v>3712</v>
      </c>
      <c r="L314" s="42">
        <f>VLOOKUP(Table7[[#This Row],[Baseline Fixture Code]], 'Tables &amp; Ranges'!$A$114:$B$132, 2, FALSE)</f>
        <v>101001</v>
      </c>
    </row>
    <row r="315" spans="2:12" ht="40" customHeight="1">
      <c r="B315" s="42">
        <v>1469</v>
      </c>
      <c r="C315" s="102" t="s">
        <v>2932</v>
      </c>
      <c r="D315" s="102" t="s">
        <v>2926</v>
      </c>
      <c r="E315" s="92" t="s">
        <v>2933</v>
      </c>
      <c r="F315" s="42">
        <v>1</v>
      </c>
      <c r="G315" s="42">
        <v>20</v>
      </c>
      <c r="H315" s="42">
        <v>20</v>
      </c>
      <c r="I315" s="42" t="s">
        <v>1457</v>
      </c>
      <c r="J315" s="103" t="s">
        <v>3611</v>
      </c>
      <c r="K315" s="42" t="s">
        <v>2926</v>
      </c>
      <c r="L315" s="42">
        <f>VLOOKUP(Table7[[#This Row],[Baseline Fixture Code]], 'Tables &amp; Ranges'!$A$114:$B$132, 2, FALSE)</f>
        <v>101132</v>
      </c>
    </row>
    <row r="316" spans="2:12" ht="40" customHeight="1">
      <c r="B316" s="42">
        <v>1466</v>
      </c>
      <c r="C316" s="102" t="s">
        <v>2925</v>
      </c>
      <c r="D316" s="102" t="s">
        <v>2926</v>
      </c>
      <c r="E316" s="92" t="s">
        <v>2927</v>
      </c>
      <c r="F316" s="42">
        <v>1</v>
      </c>
      <c r="G316" s="42">
        <v>20</v>
      </c>
      <c r="H316" s="42">
        <v>25</v>
      </c>
      <c r="I316" s="42" t="s">
        <v>1457</v>
      </c>
      <c r="J316" s="103" t="s">
        <v>3611</v>
      </c>
      <c r="K316" s="42" t="s">
        <v>4042</v>
      </c>
      <c r="L316" s="42" t="e">
        <f>VLOOKUP(Table7[[#This Row],[Baseline Fixture Code]], 'Tables &amp; Ranges'!$A$114:$B$132, 2, FALSE)</f>
        <v>#N/A</v>
      </c>
    </row>
    <row r="317" spans="2:12" ht="40" customHeight="1">
      <c r="B317" s="42">
        <v>1524</v>
      </c>
      <c r="C317" s="102" t="s">
        <v>3041</v>
      </c>
      <c r="D317" s="102" t="s">
        <v>107</v>
      </c>
      <c r="E317" s="92" t="s">
        <v>3042</v>
      </c>
      <c r="F317" s="42">
        <v>1</v>
      </c>
      <c r="G317" s="42">
        <v>20</v>
      </c>
      <c r="H317" s="42">
        <v>20</v>
      </c>
      <c r="I317" s="42" t="s">
        <v>146</v>
      </c>
      <c r="J317" s="103" t="s">
        <v>3611</v>
      </c>
      <c r="K317" s="42" t="s">
        <v>107</v>
      </c>
      <c r="L317" s="42">
        <f>VLOOKUP(Table7[[#This Row],[Baseline Fixture Code]], 'Tables &amp; Ranges'!$A$114:$B$132, 2, FALSE)</f>
        <v>101106</v>
      </c>
    </row>
    <row r="318" spans="2:12" ht="40" customHeight="1">
      <c r="B318" s="42">
        <v>1705</v>
      </c>
      <c r="C318" s="102" t="s">
        <v>3404</v>
      </c>
      <c r="D318" s="102" t="s">
        <v>3382</v>
      </c>
      <c r="E318" s="92" t="s">
        <v>3405</v>
      </c>
      <c r="F318" s="42">
        <v>1</v>
      </c>
      <c r="G318" s="42">
        <v>20</v>
      </c>
      <c r="H318" s="42">
        <v>23</v>
      </c>
      <c r="I318" s="42" t="s">
        <v>147</v>
      </c>
      <c r="J318" s="103" t="s">
        <v>3611</v>
      </c>
      <c r="K318" s="42" t="s">
        <v>4038</v>
      </c>
      <c r="L318" s="42">
        <f>VLOOKUP(Table7[[#This Row],[Baseline Fixture Code]], 'Tables &amp; Ranges'!$A$114:$B$132, 2, FALSE)</f>
        <v>101108</v>
      </c>
    </row>
    <row r="319" spans="2:12" ht="40" customHeight="1">
      <c r="B319" s="42">
        <v>804</v>
      </c>
      <c r="C319" s="102" t="s">
        <v>1752</v>
      </c>
      <c r="D319" s="102" t="s">
        <v>1737</v>
      </c>
      <c r="E319" s="92" t="s">
        <v>1753</v>
      </c>
      <c r="F319" s="42">
        <v>1</v>
      </c>
      <c r="G319" s="42">
        <v>21</v>
      </c>
      <c r="H319" s="42">
        <v>25</v>
      </c>
      <c r="I319" s="42" t="s">
        <v>1743</v>
      </c>
      <c r="J319" s="103" t="s">
        <v>3611</v>
      </c>
      <c r="K319" s="42" t="s">
        <v>4036</v>
      </c>
      <c r="L319" s="42">
        <f>VLOOKUP(Table7[[#This Row],[Baseline Fixture Code]], 'Tables &amp; Ranges'!$A$114:$B$132, 2, FALSE)</f>
        <v>101003</v>
      </c>
    </row>
    <row r="320" spans="2:12" ht="40" customHeight="1">
      <c r="B320" s="42">
        <v>805</v>
      </c>
      <c r="C320" s="102" t="s">
        <v>1754</v>
      </c>
      <c r="D320" s="102" t="s">
        <v>1737</v>
      </c>
      <c r="E320" s="92" t="s">
        <v>1755</v>
      </c>
      <c r="F320" s="42">
        <v>2</v>
      </c>
      <c r="G320" s="42">
        <v>21</v>
      </c>
      <c r="H320" s="42">
        <v>48</v>
      </c>
      <c r="I320" s="42" t="s">
        <v>1743</v>
      </c>
      <c r="J320" s="103" t="s">
        <v>3611</v>
      </c>
      <c r="K320" s="42" t="s">
        <v>4036</v>
      </c>
      <c r="L320" s="42">
        <f>VLOOKUP(Table7[[#This Row],[Baseline Fixture Code]], 'Tables &amp; Ranges'!$A$114:$B$132, 2, FALSE)</f>
        <v>101003</v>
      </c>
    </row>
    <row r="321" spans="2:12" ht="40" customHeight="1">
      <c r="B321" s="42">
        <v>806</v>
      </c>
      <c r="C321" s="102" t="s">
        <v>1756</v>
      </c>
      <c r="D321" s="102" t="s">
        <v>1737</v>
      </c>
      <c r="E321" s="92" t="s">
        <v>1757</v>
      </c>
      <c r="F321" s="42">
        <v>3</v>
      </c>
      <c r="G321" s="42">
        <v>21</v>
      </c>
      <c r="H321" s="42">
        <v>73</v>
      </c>
      <c r="I321" s="42" t="s">
        <v>1743</v>
      </c>
      <c r="J321" s="103" t="s">
        <v>3611</v>
      </c>
      <c r="K321" s="42" t="s">
        <v>4036</v>
      </c>
      <c r="L321" s="42">
        <f>VLOOKUP(Table7[[#This Row],[Baseline Fixture Code]], 'Tables &amp; Ranges'!$A$114:$B$132, 2, FALSE)</f>
        <v>101003</v>
      </c>
    </row>
    <row r="322" spans="2:12" ht="40" customHeight="1">
      <c r="B322" s="42">
        <v>807</v>
      </c>
      <c r="C322" s="102" t="s">
        <v>1758</v>
      </c>
      <c r="D322" s="102" t="s">
        <v>1737</v>
      </c>
      <c r="E322" s="92" t="s">
        <v>1759</v>
      </c>
      <c r="F322" s="42">
        <v>4</v>
      </c>
      <c r="G322" s="42">
        <v>21</v>
      </c>
      <c r="H322" s="42">
        <v>96</v>
      </c>
      <c r="I322" s="42" t="s">
        <v>1743</v>
      </c>
      <c r="J322" s="103" t="s">
        <v>3611</v>
      </c>
      <c r="K322" s="42" t="s">
        <v>4036</v>
      </c>
      <c r="L322" s="42">
        <f>VLOOKUP(Table7[[#This Row],[Baseline Fixture Code]], 'Tables &amp; Ranges'!$A$114:$B$132, 2, FALSE)</f>
        <v>101003</v>
      </c>
    </row>
    <row r="323" spans="2:12" ht="40" customHeight="1">
      <c r="B323" s="42">
        <v>1525</v>
      </c>
      <c r="C323" s="102" t="s">
        <v>3043</v>
      </c>
      <c r="D323" s="102" t="s">
        <v>107</v>
      </c>
      <c r="E323" s="92" t="s">
        <v>3044</v>
      </c>
      <c r="F323" s="42">
        <v>1</v>
      </c>
      <c r="G323" s="42">
        <v>21</v>
      </c>
      <c r="H323" s="42">
        <v>21</v>
      </c>
      <c r="I323" s="42" t="s">
        <v>146</v>
      </c>
      <c r="J323" s="103" t="s">
        <v>3611</v>
      </c>
      <c r="K323" s="42" t="s">
        <v>107</v>
      </c>
      <c r="L323" s="42">
        <f>VLOOKUP(Table7[[#This Row],[Baseline Fixture Code]], 'Tables &amp; Ranges'!$A$114:$B$132, 2, FALSE)</f>
        <v>101106</v>
      </c>
    </row>
    <row r="324" spans="2:12" ht="40" customHeight="1">
      <c r="B324" s="42">
        <v>1470</v>
      </c>
      <c r="C324" s="102" t="s">
        <v>2934</v>
      </c>
      <c r="D324" s="102" t="s">
        <v>2926</v>
      </c>
      <c r="E324" s="92" t="s">
        <v>2935</v>
      </c>
      <c r="F324" s="42">
        <v>1</v>
      </c>
      <c r="G324" s="42">
        <v>22</v>
      </c>
      <c r="H324" s="42">
        <v>20</v>
      </c>
      <c r="I324" s="42" t="s">
        <v>1457</v>
      </c>
      <c r="J324" s="103" t="s">
        <v>3611</v>
      </c>
      <c r="K324" s="42" t="s">
        <v>2926</v>
      </c>
      <c r="L324" s="42">
        <f>VLOOKUP(Table7[[#This Row],[Baseline Fixture Code]], 'Tables &amp; Ranges'!$A$114:$B$132, 2, FALSE)</f>
        <v>101132</v>
      </c>
    </row>
    <row r="325" spans="2:12" ht="40" customHeight="1">
      <c r="B325" s="42">
        <v>1467</v>
      </c>
      <c r="C325" s="102" t="s">
        <v>2928</v>
      </c>
      <c r="D325" s="102" t="s">
        <v>2926</v>
      </c>
      <c r="E325" s="92" t="s">
        <v>2929</v>
      </c>
      <c r="F325" s="42">
        <v>1</v>
      </c>
      <c r="G325" s="42">
        <v>22</v>
      </c>
      <c r="H325" s="42">
        <v>26</v>
      </c>
      <c r="I325" s="42" t="s">
        <v>1457</v>
      </c>
      <c r="J325" s="103" t="s">
        <v>3611</v>
      </c>
      <c r="K325" s="42" t="s">
        <v>2926</v>
      </c>
      <c r="L325" s="42">
        <f>VLOOKUP(Table7[[#This Row],[Baseline Fixture Code]], 'Tables &amp; Ranges'!$A$114:$B$132, 2, FALSE)</f>
        <v>101132</v>
      </c>
    </row>
    <row r="326" spans="2:12" ht="40" customHeight="1">
      <c r="B326" s="42">
        <v>1468</v>
      </c>
      <c r="C326" s="102" t="s">
        <v>2930</v>
      </c>
      <c r="D326" s="102" t="s">
        <v>2926</v>
      </c>
      <c r="E326" s="92" t="s">
        <v>2931</v>
      </c>
      <c r="F326" s="42">
        <v>2</v>
      </c>
      <c r="G326" s="42">
        <v>22</v>
      </c>
      <c r="H326" s="42">
        <v>52</v>
      </c>
      <c r="I326" s="42" t="s">
        <v>1457</v>
      </c>
      <c r="J326" s="103" t="s">
        <v>3611</v>
      </c>
      <c r="K326" s="42" t="s">
        <v>2926</v>
      </c>
      <c r="L326" s="42">
        <f>VLOOKUP(Table7[[#This Row],[Baseline Fixture Code]], 'Tables &amp; Ranges'!$A$114:$B$132, 2, FALSE)</f>
        <v>101132</v>
      </c>
    </row>
    <row r="327" spans="2:12" ht="40" customHeight="1">
      <c r="B327" s="42">
        <v>1526</v>
      </c>
      <c r="C327" s="102" t="s">
        <v>3045</v>
      </c>
      <c r="D327" s="102" t="s">
        <v>107</v>
      </c>
      <c r="E327" s="92" t="s">
        <v>3046</v>
      </c>
      <c r="F327" s="42">
        <v>1</v>
      </c>
      <c r="G327" s="42">
        <v>22</v>
      </c>
      <c r="H327" s="42">
        <v>22</v>
      </c>
      <c r="I327" s="42" t="s">
        <v>146</v>
      </c>
      <c r="J327" s="103" t="s">
        <v>3611</v>
      </c>
      <c r="K327" s="42" t="s">
        <v>107</v>
      </c>
      <c r="L327" s="42">
        <f>VLOOKUP(Table7[[#This Row],[Baseline Fixture Code]], 'Tables &amp; Ranges'!$A$114:$B$132, 2, FALSE)</f>
        <v>101106</v>
      </c>
    </row>
    <row r="328" spans="2:12" ht="40" customHeight="1">
      <c r="B328" s="42">
        <v>1706</v>
      </c>
      <c r="C328" s="102" t="s">
        <v>3406</v>
      </c>
      <c r="D328" s="102" t="s">
        <v>3382</v>
      </c>
      <c r="E328" s="92" t="s">
        <v>3407</v>
      </c>
      <c r="F328" s="42">
        <v>1</v>
      </c>
      <c r="G328" s="42">
        <v>22</v>
      </c>
      <c r="H328" s="42">
        <v>26</v>
      </c>
      <c r="I328" s="42" t="s">
        <v>147</v>
      </c>
      <c r="J328" s="103" t="s">
        <v>3611</v>
      </c>
      <c r="K328" s="42" t="s">
        <v>4038</v>
      </c>
      <c r="L328" s="42">
        <f>VLOOKUP(Table7[[#This Row],[Baseline Fixture Code]], 'Tables &amp; Ranges'!$A$114:$B$132, 2, FALSE)</f>
        <v>101108</v>
      </c>
    </row>
    <row r="329" spans="2:12" ht="40" customHeight="1">
      <c r="B329" s="42">
        <v>1527</v>
      </c>
      <c r="C329" s="102" t="s">
        <v>3047</v>
      </c>
      <c r="D329" s="102" t="s">
        <v>107</v>
      </c>
      <c r="E329" s="92" t="s">
        <v>3048</v>
      </c>
      <c r="F329" s="42">
        <v>1</v>
      </c>
      <c r="G329" s="42">
        <v>23</v>
      </c>
      <c r="H329" s="42">
        <v>23</v>
      </c>
      <c r="I329" s="42" t="s">
        <v>146</v>
      </c>
      <c r="J329" s="103" t="s">
        <v>3611</v>
      </c>
      <c r="K329" s="42" t="s">
        <v>107</v>
      </c>
      <c r="L329" s="42">
        <f>VLOOKUP(Table7[[#This Row],[Baseline Fixture Code]], 'Tables &amp; Ranges'!$A$114:$B$132, 2, FALSE)</f>
        <v>101106</v>
      </c>
    </row>
    <row r="330" spans="2:12" ht="40" customHeight="1">
      <c r="B330" s="42">
        <v>808</v>
      </c>
      <c r="C330" s="102" t="s">
        <v>1760</v>
      </c>
      <c r="D330" s="102" t="s">
        <v>1737</v>
      </c>
      <c r="E330" s="92" t="s">
        <v>1761</v>
      </c>
      <c r="F330" s="42">
        <v>1</v>
      </c>
      <c r="G330" s="42">
        <v>24</v>
      </c>
      <c r="H330" s="42">
        <v>27</v>
      </c>
      <c r="I330" s="42" t="s">
        <v>1743</v>
      </c>
      <c r="J330" s="103" t="s">
        <v>3611</v>
      </c>
      <c r="K330" s="42" t="s">
        <v>4036</v>
      </c>
      <c r="L330" s="42">
        <f>VLOOKUP(Table7[[#This Row],[Baseline Fixture Code]], 'Tables &amp; Ranges'!$A$114:$B$132, 2, FALSE)</f>
        <v>101003</v>
      </c>
    </row>
    <row r="331" spans="2:12" ht="40" customHeight="1">
      <c r="B331" s="42">
        <v>809</v>
      </c>
      <c r="C331" s="102" t="s">
        <v>1762</v>
      </c>
      <c r="D331" s="102" t="s">
        <v>1737</v>
      </c>
      <c r="E331" s="92" t="s">
        <v>1763</v>
      </c>
      <c r="F331" s="42">
        <v>2</v>
      </c>
      <c r="G331" s="42">
        <v>24</v>
      </c>
      <c r="H331" s="42">
        <v>52</v>
      </c>
      <c r="I331" s="42" t="s">
        <v>1743</v>
      </c>
      <c r="J331" s="103" t="s">
        <v>3611</v>
      </c>
      <c r="K331" s="42" t="s">
        <v>4036</v>
      </c>
      <c r="L331" s="42">
        <f>VLOOKUP(Table7[[#This Row],[Baseline Fixture Code]], 'Tables &amp; Ranges'!$A$114:$B$132, 2, FALSE)</f>
        <v>101003</v>
      </c>
    </row>
    <row r="332" spans="2:12" ht="40" customHeight="1">
      <c r="B332" s="42">
        <v>810</v>
      </c>
      <c r="C332" s="102" t="s">
        <v>1764</v>
      </c>
      <c r="D332" s="102" t="s">
        <v>1737</v>
      </c>
      <c r="E332" s="92" t="s">
        <v>1765</v>
      </c>
      <c r="F332" s="42">
        <v>3</v>
      </c>
      <c r="G332" s="42">
        <v>24</v>
      </c>
      <c r="H332" s="42">
        <v>79</v>
      </c>
      <c r="I332" s="42" t="s">
        <v>1743</v>
      </c>
      <c r="J332" s="103" t="s">
        <v>3611</v>
      </c>
      <c r="K332" s="42" t="s">
        <v>4036</v>
      </c>
      <c r="L332" s="42">
        <f>VLOOKUP(Table7[[#This Row],[Baseline Fixture Code]], 'Tables &amp; Ranges'!$A$114:$B$132, 2, FALSE)</f>
        <v>101003</v>
      </c>
    </row>
    <row r="333" spans="2:12" ht="40" customHeight="1">
      <c r="B333" s="42">
        <v>811</v>
      </c>
      <c r="C333" s="102" t="s">
        <v>1766</v>
      </c>
      <c r="D333" s="102" t="s">
        <v>1737</v>
      </c>
      <c r="E333" s="92" t="s">
        <v>1767</v>
      </c>
      <c r="F333" s="42">
        <v>4</v>
      </c>
      <c r="G333" s="42">
        <v>24</v>
      </c>
      <c r="H333" s="42">
        <v>104</v>
      </c>
      <c r="I333" s="42" t="s">
        <v>1743</v>
      </c>
      <c r="J333" s="103" t="s">
        <v>3611</v>
      </c>
      <c r="K333" s="42" t="s">
        <v>4036</v>
      </c>
      <c r="L333" s="42">
        <f>VLOOKUP(Table7[[#This Row],[Baseline Fixture Code]], 'Tables &amp; Ranges'!$A$114:$B$132, 2, FALSE)</f>
        <v>101003</v>
      </c>
    </row>
    <row r="334" spans="2:12" ht="40" customHeight="1">
      <c r="B334" s="42">
        <v>1528</v>
      </c>
      <c r="C334" s="102" t="s">
        <v>3049</v>
      </c>
      <c r="D334" s="102" t="s">
        <v>107</v>
      </c>
      <c r="E334" s="92" t="s">
        <v>3050</v>
      </c>
      <c r="F334" s="42">
        <v>1</v>
      </c>
      <c r="G334" s="42">
        <v>24</v>
      </c>
      <c r="H334" s="42">
        <v>24</v>
      </c>
      <c r="I334" s="42" t="s">
        <v>146</v>
      </c>
      <c r="J334" s="103" t="s">
        <v>3611</v>
      </c>
      <c r="K334" s="42" t="s">
        <v>107</v>
      </c>
      <c r="L334" s="42">
        <f>VLOOKUP(Table7[[#This Row],[Baseline Fixture Code]], 'Tables &amp; Ranges'!$A$114:$B$132, 2, FALSE)</f>
        <v>101106</v>
      </c>
    </row>
    <row r="335" spans="2:12" ht="40" customHeight="1">
      <c r="B335" s="42">
        <v>1307</v>
      </c>
      <c r="C335" s="102" t="s">
        <v>2641</v>
      </c>
      <c r="D335" s="102" t="s">
        <v>2623</v>
      </c>
      <c r="E335" s="92" t="s">
        <v>2642</v>
      </c>
      <c r="F335" s="42">
        <v>1</v>
      </c>
      <c r="G335" s="42">
        <v>25</v>
      </c>
      <c r="H335" s="42">
        <v>33</v>
      </c>
      <c r="I335" s="42" t="s">
        <v>2077</v>
      </c>
      <c r="J335" s="103" t="s">
        <v>3611</v>
      </c>
      <c r="K335" s="42" t="s">
        <v>3712</v>
      </c>
      <c r="L335" s="42">
        <f>VLOOKUP(Table7[[#This Row],[Baseline Fixture Code]], 'Tables &amp; Ranges'!$A$114:$B$132, 2, FALSE)</f>
        <v>101001</v>
      </c>
    </row>
    <row r="336" spans="2:12" ht="40" customHeight="1">
      <c r="B336" s="42">
        <v>1308</v>
      </c>
      <c r="C336" s="102" t="s">
        <v>2643</v>
      </c>
      <c r="D336" s="102" t="s">
        <v>2623</v>
      </c>
      <c r="E336" s="92" t="s">
        <v>2644</v>
      </c>
      <c r="F336" s="42">
        <v>1</v>
      </c>
      <c r="G336" s="42">
        <v>25</v>
      </c>
      <c r="H336" s="42">
        <v>26</v>
      </c>
      <c r="I336" s="42" t="s">
        <v>147</v>
      </c>
      <c r="J336" s="103" t="s">
        <v>3611</v>
      </c>
      <c r="K336" s="42" t="s">
        <v>3712</v>
      </c>
      <c r="L336" s="42">
        <f>VLOOKUP(Table7[[#This Row],[Baseline Fixture Code]], 'Tables &amp; Ranges'!$A$114:$B$132, 2, FALSE)</f>
        <v>101001</v>
      </c>
    </row>
    <row r="337" spans="2:12" ht="40" customHeight="1">
      <c r="B337" s="42">
        <v>1309</v>
      </c>
      <c r="C337" s="102" t="s">
        <v>2645</v>
      </c>
      <c r="D337" s="102" t="s">
        <v>2623</v>
      </c>
      <c r="E337" s="92" t="s">
        <v>2644</v>
      </c>
      <c r="F337" s="42">
        <v>1</v>
      </c>
      <c r="G337" s="42">
        <v>25</v>
      </c>
      <c r="H337" s="42">
        <v>42</v>
      </c>
      <c r="I337" s="42" t="s">
        <v>1457</v>
      </c>
      <c r="J337" s="103" t="s">
        <v>3611</v>
      </c>
      <c r="K337" s="42" t="s">
        <v>3712</v>
      </c>
      <c r="L337" s="42">
        <f>VLOOKUP(Table7[[#This Row],[Baseline Fixture Code]], 'Tables &amp; Ranges'!$A$114:$B$132, 2, FALSE)</f>
        <v>101001</v>
      </c>
    </row>
    <row r="338" spans="2:12" ht="40" customHeight="1">
      <c r="B338" s="42">
        <v>1310</v>
      </c>
      <c r="C338" s="102" t="s">
        <v>2646</v>
      </c>
      <c r="D338" s="102" t="s">
        <v>2623</v>
      </c>
      <c r="E338" s="92" t="s">
        <v>2642</v>
      </c>
      <c r="F338" s="42">
        <v>1</v>
      </c>
      <c r="G338" s="42">
        <v>25</v>
      </c>
      <c r="H338" s="42">
        <v>33</v>
      </c>
      <c r="I338" s="42" t="s">
        <v>1457</v>
      </c>
      <c r="J338" s="103" t="s">
        <v>3611</v>
      </c>
      <c r="K338" s="42" t="s">
        <v>3712</v>
      </c>
      <c r="L338" s="42">
        <f>VLOOKUP(Table7[[#This Row],[Baseline Fixture Code]], 'Tables &amp; Ranges'!$A$114:$B$132, 2, FALSE)</f>
        <v>101001</v>
      </c>
    </row>
    <row r="339" spans="2:12" ht="40" customHeight="1">
      <c r="B339" s="42">
        <v>916</v>
      </c>
      <c r="C339" s="102" t="s">
        <v>1947</v>
      </c>
      <c r="D339" s="102" t="s">
        <v>1858</v>
      </c>
      <c r="E339" s="92" t="s">
        <v>1948</v>
      </c>
      <c r="F339" s="42">
        <v>1</v>
      </c>
      <c r="G339" s="42">
        <v>25</v>
      </c>
      <c r="H339" s="42">
        <v>26</v>
      </c>
      <c r="I339" s="42" t="s">
        <v>147</v>
      </c>
      <c r="J339" s="103" t="s">
        <v>3611</v>
      </c>
      <c r="K339" s="42" t="s">
        <v>4037</v>
      </c>
      <c r="L339" s="42">
        <f>VLOOKUP(Table7[[#This Row],[Baseline Fixture Code]], 'Tables &amp; Ranges'!$A$114:$B$132, 2, FALSE)</f>
        <v>101002</v>
      </c>
    </row>
    <row r="340" spans="2:12" ht="40" customHeight="1">
      <c r="B340" s="42">
        <v>919</v>
      </c>
      <c r="C340" s="102" t="s">
        <v>1953</v>
      </c>
      <c r="D340" s="102" t="s">
        <v>1858</v>
      </c>
      <c r="E340" s="92" t="s">
        <v>1954</v>
      </c>
      <c r="F340" s="42">
        <v>1</v>
      </c>
      <c r="G340" s="42">
        <v>25</v>
      </c>
      <c r="H340" s="42">
        <v>23</v>
      </c>
      <c r="I340" s="42" t="s">
        <v>147</v>
      </c>
      <c r="J340" s="103" t="s">
        <v>3611</v>
      </c>
      <c r="K340" s="42" t="s">
        <v>4037</v>
      </c>
      <c r="L340" s="42">
        <f>VLOOKUP(Table7[[#This Row],[Baseline Fixture Code]], 'Tables &amp; Ranges'!$A$114:$B$132, 2, FALSE)</f>
        <v>101002</v>
      </c>
    </row>
    <row r="341" spans="2:12" ht="40" customHeight="1">
      <c r="B341" s="42">
        <v>920</v>
      </c>
      <c r="C341" s="102" t="s">
        <v>1955</v>
      </c>
      <c r="D341" s="102" t="s">
        <v>1858</v>
      </c>
      <c r="E341" s="92" t="s">
        <v>1956</v>
      </c>
      <c r="F341" s="42">
        <v>1</v>
      </c>
      <c r="G341" s="42">
        <v>25</v>
      </c>
      <c r="H341" s="42">
        <v>26</v>
      </c>
      <c r="I341" s="42" t="s">
        <v>147</v>
      </c>
      <c r="J341" s="103" t="s">
        <v>3611</v>
      </c>
      <c r="K341" s="42" t="s">
        <v>4037</v>
      </c>
      <c r="L341" s="42">
        <f>VLOOKUP(Table7[[#This Row],[Baseline Fixture Code]], 'Tables &amp; Ranges'!$A$114:$B$132, 2, FALSE)</f>
        <v>101002</v>
      </c>
    </row>
    <row r="342" spans="2:12" ht="40" customHeight="1">
      <c r="B342" s="42">
        <v>921</v>
      </c>
      <c r="C342" s="102" t="s">
        <v>1957</v>
      </c>
      <c r="D342" s="102" t="s">
        <v>1858</v>
      </c>
      <c r="E342" s="92" t="s">
        <v>1958</v>
      </c>
      <c r="F342" s="42">
        <v>1</v>
      </c>
      <c r="G342" s="42">
        <v>25</v>
      </c>
      <c r="H342" s="42">
        <v>21</v>
      </c>
      <c r="I342" s="42" t="s">
        <v>147</v>
      </c>
      <c r="J342" s="103" t="s">
        <v>3611</v>
      </c>
      <c r="K342" s="42" t="s">
        <v>4037</v>
      </c>
      <c r="L342" s="42">
        <f>VLOOKUP(Table7[[#This Row],[Baseline Fixture Code]], 'Tables &amp; Ranges'!$A$114:$B$132, 2, FALSE)</f>
        <v>101002</v>
      </c>
    </row>
    <row r="343" spans="2:12" ht="40" customHeight="1">
      <c r="B343" s="42">
        <v>922</v>
      </c>
      <c r="C343" s="102" t="s">
        <v>1959</v>
      </c>
      <c r="D343" s="102" t="s">
        <v>1858</v>
      </c>
      <c r="E343" s="92" t="s">
        <v>1960</v>
      </c>
      <c r="F343" s="42">
        <v>1</v>
      </c>
      <c r="G343" s="42">
        <v>25</v>
      </c>
      <c r="H343" s="42">
        <v>23</v>
      </c>
      <c r="I343" s="42" t="s">
        <v>147</v>
      </c>
      <c r="J343" s="103" t="s">
        <v>3611</v>
      </c>
      <c r="K343" s="42" t="s">
        <v>4037</v>
      </c>
      <c r="L343" s="42">
        <f>VLOOKUP(Table7[[#This Row],[Baseline Fixture Code]], 'Tables &amp; Ranges'!$A$114:$B$132, 2, FALSE)</f>
        <v>101002</v>
      </c>
    </row>
    <row r="344" spans="2:12" ht="40" customHeight="1">
      <c r="B344" s="42">
        <v>923</v>
      </c>
      <c r="C344" s="102" t="s">
        <v>1961</v>
      </c>
      <c r="D344" s="102" t="s">
        <v>1858</v>
      </c>
      <c r="E344" s="92" t="s">
        <v>1962</v>
      </c>
      <c r="F344" s="42">
        <v>1</v>
      </c>
      <c r="G344" s="42">
        <v>25</v>
      </c>
      <c r="H344" s="42">
        <v>20</v>
      </c>
      <c r="I344" s="42" t="s">
        <v>147</v>
      </c>
      <c r="J344" s="103" t="s">
        <v>3611</v>
      </c>
      <c r="K344" s="42" t="s">
        <v>4037</v>
      </c>
      <c r="L344" s="42">
        <f>VLOOKUP(Table7[[#This Row],[Baseline Fixture Code]], 'Tables &amp; Ranges'!$A$114:$B$132, 2, FALSE)</f>
        <v>101002</v>
      </c>
    </row>
    <row r="345" spans="2:12" ht="40" customHeight="1">
      <c r="B345" s="42">
        <v>924</v>
      </c>
      <c r="C345" s="102" t="s">
        <v>1963</v>
      </c>
      <c r="D345" s="102" t="s">
        <v>1858</v>
      </c>
      <c r="E345" s="92" t="s">
        <v>1964</v>
      </c>
      <c r="F345" s="42">
        <v>1</v>
      </c>
      <c r="G345" s="42">
        <v>25</v>
      </c>
      <c r="H345" s="42">
        <v>22</v>
      </c>
      <c r="I345" s="42" t="s">
        <v>147</v>
      </c>
      <c r="J345" s="103" t="s">
        <v>3611</v>
      </c>
      <c r="K345" s="42" t="s">
        <v>4037</v>
      </c>
      <c r="L345" s="42">
        <f>VLOOKUP(Table7[[#This Row],[Baseline Fixture Code]], 'Tables &amp; Ranges'!$A$114:$B$132, 2, FALSE)</f>
        <v>101002</v>
      </c>
    </row>
    <row r="346" spans="2:12" ht="40" customHeight="1">
      <c r="B346" s="42">
        <v>925</v>
      </c>
      <c r="C346" s="102" t="s">
        <v>1965</v>
      </c>
      <c r="D346" s="102" t="s">
        <v>1858</v>
      </c>
      <c r="E346" s="92" t="s">
        <v>1966</v>
      </c>
      <c r="F346" s="42">
        <v>1</v>
      </c>
      <c r="G346" s="42">
        <v>25</v>
      </c>
      <c r="H346" s="42">
        <v>20</v>
      </c>
      <c r="I346" s="42" t="s">
        <v>147</v>
      </c>
      <c r="J346" s="103" t="s">
        <v>3611</v>
      </c>
      <c r="K346" s="42" t="s">
        <v>4037</v>
      </c>
      <c r="L346" s="42">
        <f>VLOOKUP(Table7[[#This Row],[Baseline Fixture Code]], 'Tables &amp; Ranges'!$A$114:$B$132, 2, FALSE)</f>
        <v>101002</v>
      </c>
    </row>
    <row r="347" spans="2:12" ht="40" customHeight="1">
      <c r="B347" s="42">
        <v>917</v>
      </c>
      <c r="C347" s="102" t="s">
        <v>1949</v>
      </c>
      <c r="D347" s="102" t="s">
        <v>1858</v>
      </c>
      <c r="E347" s="92" t="s">
        <v>1950</v>
      </c>
      <c r="F347" s="42">
        <v>1</v>
      </c>
      <c r="G347" s="42">
        <v>25</v>
      </c>
      <c r="H347" s="42">
        <v>28</v>
      </c>
      <c r="I347" s="42" t="s">
        <v>147</v>
      </c>
      <c r="J347" s="103" t="s">
        <v>3611</v>
      </c>
      <c r="K347" s="42" t="s">
        <v>4037</v>
      </c>
      <c r="L347" s="42">
        <f>VLOOKUP(Table7[[#This Row],[Baseline Fixture Code]], 'Tables &amp; Ranges'!$A$114:$B$132, 2, FALSE)</f>
        <v>101002</v>
      </c>
    </row>
    <row r="348" spans="2:12" ht="40" customHeight="1">
      <c r="B348" s="42">
        <v>918</v>
      </c>
      <c r="C348" s="102" t="s">
        <v>1951</v>
      </c>
      <c r="D348" s="102" t="s">
        <v>1858</v>
      </c>
      <c r="E348" s="92" t="s">
        <v>1952</v>
      </c>
      <c r="F348" s="42">
        <v>1</v>
      </c>
      <c r="G348" s="42">
        <v>25</v>
      </c>
      <c r="H348" s="42">
        <v>22</v>
      </c>
      <c r="I348" s="42" t="s">
        <v>147</v>
      </c>
      <c r="J348" s="103" t="s">
        <v>3611</v>
      </c>
      <c r="K348" s="42" t="s">
        <v>4037</v>
      </c>
      <c r="L348" s="42">
        <f>VLOOKUP(Table7[[#This Row],[Baseline Fixture Code]], 'Tables &amp; Ranges'!$A$114:$B$132, 2, FALSE)</f>
        <v>101002</v>
      </c>
    </row>
    <row r="349" spans="2:12" ht="40" customHeight="1">
      <c r="B349" s="42">
        <v>926</v>
      </c>
      <c r="C349" s="102" t="s">
        <v>1967</v>
      </c>
      <c r="D349" s="102" t="s">
        <v>1858</v>
      </c>
      <c r="E349" s="92" t="s">
        <v>1948</v>
      </c>
      <c r="F349" s="42">
        <v>1</v>
      </c>
      <c r="G349" s="42">
        <v>25</v>
      </c>
      <c r="H349" s="42">
        <v>23</v>
      </c>
      <c r="I349" s="42" t="s">
        <v>1881</v>
      </c>
      <c r="J349" s="103" t="s">
        <v>3611</v>
      </c>
      <c r="K349" s="42" t="s">
        <v>4037</v>
      </c>
      <c r="L349" s="42">
        <f>VLOOKUP(Table7[[#This Row],[Baseline Fixture Code]], 'Tables &amp; Ranges'!$A$114:$B$132, 2, FALSE)</f>
        <v>101002</v>
      </c>
    </row>
    <row r="350" spans="2:12" ht="40" customHeight="1">
      <c r="B350" s="42">
        <v>928</v>
      </c>
      <c r="C350" s="102" t="s">
        <v>1969</v>
      </c>
      <c r="D350" s="102" t="s">
        <v>1858</v>
      </c>
      <c r="E350" s="92" t="s">
        <v>1954</v>
      </c>
      <c r="F350" s="42">
        <v>1</v>
      </c>
      <c r="G350" s="42">
        <v>25</v>
      </c>
      <c r="H350" s="42">
        <v>22</v>
      </c>
      <c r="I350" s="42" t="s">
        <v>1881</v>
      </c>
      <c r="J350" s="103" t="s">
        <v>3611</v>
      </c>
      <c r="K350" s="42" t="s">
        <v>4037</v>
      </c>
      <c r="L350" s="42">
        <f>VLOOKUP(Table7[[#This Row],[Baseline Fixture Code]], 'Tables &amp; Ranges'!$A$114:$B$132, 2, FALSE)</f>
        <v>101002</v>
      </c>
    </row>
    <row r="351" spans="2:12" ht="40" customHeight="1">
      <c r="B351" s="42">
        <v>929</v>
      </c>
      <c r="C351" s="102" t="s">
        <v>1970</v>
      </c>
      <c r="D351" s="102" t="s">
        <v>1858</v>
      </c>
      <c r="E351" s="92" t="s">
        <v>1958</v>
      </c>
      <c r="F351" s="42">
        <v>1</v>
      </c>
      <c r="G351" s="42">
        <v>25</v>
      </c>
      <c r="H351" s="42">
        <v>20</v>
      </c>
      <c r="I351" s="42" t="s">
        <v>1881</v>
      </c>
      <c r="J351" s="103" t="s">
        <v>3611</v>
      </c>
      <c r="K351" s="42" t="s">
        <v>4037</v>
      </c>
      <c r="L351" s="42">
        <f>VLOOKUP(Table7[[#This Row],[Baseline Fixture Code]], 'Tables &amp; Ranges'!$A$114:$B$132, 2, FALSE)</f>
        <v>101002</v>
      </c>
    </row>
    <row r="352" spans="2:12" ht="40" customHeight="1">
      <c r="B352" s="42">
        <v>930</v>
      </c>
      <c r="C352" s="102" t="s">
        <v>1971</v>
      </c>
      <c r="D352" s="102" t="s">
        <v>1858</v>
      </c>
      <c r="E352" s="92" t="s">
        <v>1962</v>
      </c>
      <c r="F352" s="42">
        <v>1</v>
      </c>
      <c r="G352" s="42">
        <v>25</v>
      </c>
      <c r="H352" s="42">
        <v>19</v>
      </c>
      <c r="I352" s="42" t="s">
        <v>1881</v>
      </c>
      <c r="J352" s="103" t="s">
        <v>3611</v>
      </c>
      <c r="K352" s="42" t="s">
        <v>4037</v>
      </c>
      <c r="L352" s="42">
        <f>VLOOKUP(Table7[[#This Row],[Baseline Fixture Code]], 'Tables &amp; Ranges'!$A$114:$B$132, 2, FALSE)</f>
        <v>101002</v>
      </c>
    </row>
    <row r="353" spans="2:12" ht="40" customHeight="1">
      <c r="B353" s="42">
        <v>931</v>
      </c>
      <c r="C353" s="102" t="s">
        <v>1972</v>
      </c>
      <c r="D353" s="102" t="s">
        <v>1858</v>
      </c>
      <c r="E353" s="92" t="s">
        <v>1966</v>
      </c>
      <c r="F353" s="42">
        <v>1</v>
      </c>
      <c r="G353" s="42">
        <v>25</v>
      </c>
      <c r="H353" s="42">
        <v>19</v>
      </c>
      <c r="I353" s="42" t="s">
        <v>1881</v>
      </c>
      <c r="J353" s="103" t="s">
        <v>3611</v>
      </c>
      <c r="K353" s="42" t="s">
        <v>4037</v>
      </c>
      <c r="L353" s="42">
        <f>VLOOKUP(Table7[[#This Row],[Baseline Fixture Code]], 'Tables &amp; Ranges'!$A$114:$B$132, 2, FALSE)</f>
        <v>101002</v>
      </c>
    </row>
    <row r="354" spans="2:12" ht="40" customHeight="1">
      <c r="B354" s="42">
        <v>927</v>
      </c>
      <c r="C354" s="102" t="s">
        <v>1968</v>
      </c>
      <c r="D354" s="102" t="s">
        <v>1858</v>
      </c>
      <c r="E354" s="92" t="s">
        <v>1952</v>
      </c>
      <c r="F354" s="42">
        <v>1</v>
      </c>
      <c r="G354" s="42">
        <v>25</v>
      </c>
      <c r="H354" s="42">
        <v>20</v>
      </c>
      <c r="I354" s="42" t="s">
        <v>1881</v>
      </c>
      <c r="J354" s="103" t="s">
        <v>3611</v>
      </c>
      <c r="K354" s="42" t="s">
        <v>4037</v>
      </c>
      <c r="L354" s="42">
        <f>VLOOKUP(Table7[[#This Row],[Baseline Fixture Code]], 'Tables &amp; Ranges'!$A$114:$B$132, 2, FALSE)</f>
        <v>101002</v>
      </c>
    </row>
    <row r="355" spans="2:12" ht="40" customHeight="1">
      <c r="B355" s="42">
        <v>932</v>
      </c>
      <c r="C355" s="102" t="s">
        <v>1973</v>
      </c>
      <c r="D355" s="102" t="s">
        <v>1858</v>
      </c>
      <c r="E355" s="92" t="s">
        <v>1974</v>
      </c>
      <c r="F355" s="42">
        <v>1</v>
      </c>
      <c r="G355" s="42">
        <v>25</v>
      </c>
      <c r="H355" s="42">
        <v>24</v>
      </c>
      <c r="I355" s="42" t="s">
        <v>147</v>
      </c>
      <c r="J355" s="103" t="s">
        <v>3611</v>
      </c>
      <c r="K355" s="42" t="s">
        <v>4037</v>
      </c>
      <c r="L355" s="42">
        <f>VLOOKUP(Table7[[#This Row],[Baseline Fixture Code]], 'Tables &amp; Ranges'!$A$114:$B$132, 2, FALSE)</f>
        <v>101002</v>
      </c>
    </row>
    <row r="356" spans="2:12" ht="40" customHeight="1">
      <c r="B356" s="42">
        <v>935</v>
      </c>
      <c r="C356" s="102" t="s">
        <v>1979</v>
      </c>
      <c r="D356" s="102" t="s">
        <v>1858</v>
      </c>
      <c r="E356" s="92" t="s">
        <v>1980</v>
      </c>
      <c r="F356" s="42">
        <v>1</v>
      </c>
      <c r="G356" s="42">
        <v>25</v>
      </c>
      <c r="H356" s="42">
        <v>23</v>
      </c>
      <c r="I356" s="42" t="s">
        <v>147</v>
      </c>
      <c r="J356" s="103" t="s">
        <v>3611</v>
      </c>
      <c r="K356" s="42" t="s">
        <v>4037</v>
      </c>
      <c r="L356" s="42">
        <f>VLOOKUP(Table7[[#This Row],[Baseline Fixture Code]], 'Tables &amp; Ranges'!$A$114:$B$132, 2, FALSE)</f>
        <v>101002</v>
      </c>
    </row>
    <row r="357" spans="2:12" ht="40" customHeight="1">
      <c r="B357" s="42">
        <v>936</v>
      </c>
      <c r="C357" s="102" t="s">
        <v>1981</v>
      </c>
      <c r="D357" s="102" t="s">
        <v>1858</v>
      </c>
      <c r="E357" s="92" t="s">
        <v>1982</v>
      </c>
      <c r="F357" s="42">
        <v>1</v>
      </c>
      <c r="G357" s="42">
        <v>25</v>
      </c>
      <c r="H357" s="42">
        <v>24</v>
      </c>
      <c r="I357" s="42" t="s">
        <v>147</v>
      </c>
      <c r="J357" s="103" t="s">
        <v>3611</v>
      </c>
      <c r="K357" s="42" t="s">
        <v>4037</v>
      </c>
      <c r="L357" s="42">
        <f>VLOOKUP(Table7[[#This Row],[Baseline Fixture Code]], 'Tables &amp; Ranges'!$A$114:$B$132, 2, FALSE)</f>
        <v>101002</v>
      </c>
    </row>
    <row r="358" spans="2:12" ht="40" customHeight="1">
      <c r="B358" s="42">
        <v>937</v>
      </c>
      <c r="C358" s="102" t="s">
        <v>1983</v>
      </c>
      <c r="D358" s="102" t="s">
        <v>1858</v>
      </c>
      <c r="E358" s="92" t="s">
        <v>1984</v>
      </c>
      <c r="F358" s="42">
        <v>1</v>
      </c>
      <c r="G358" s="42">
        <v>25</v>
      </c>
      <c r="H358" s="42">
        <v>22</v>
      </c>
      <c r="I358" s="42" t="s">
        <v>147</v>
      </c>
      <c r="J358" s="103" t="s">
        <v>3611</v>
      </c>
      <c r="K358" s="42" t="s">
        <v>4037</v>
      </c>
      <c r="L358" s="42">
        <f>VLOOKUP(Table7[[#This Row],[Baseline Fixture Code]], 'Tables &amp; Ranges'!$A$114:$B$132, 2, FALSE)</f>
        <v>101002</v>
      </c>
    </row>
    <row r="359" spans="2:12" ht="40" customHeight="1">
      <c r="B359" s="42">
        <v>933</v>
      </c>
      <c r="C359" s="102" t="s">
        <v>1975</v>
      </c>
      <c r="D359" s="102" t="s">
        <v>1858</v>
      </c>
      <c r="E359" s="92" t="s">
        <v>1976</v>
      </c>
      <c r="F359" s="42">
        <v>1</v>
      </c>
      <c r="G359" s="42">
        <v>25</v>
      </c>
      <c r="H359" s="42">
        <v>26</v>
      </c>
      <c r="I359" s="42" t="s">
        <v>147</v>
      </c>
      <c r="J359" s="103" t="s">
        <v>3611</v>
      </c>
      <c r="K359" s="42" t="s">
        <v>4037</v>
      </c>
      <c r="L359" s="42">
        <f>VLOOKUP(Table7[[#This Row],[Baseline Fixture Code]], 'Tables &amp; Ranges'!$A$114:$B$132, 2, FALSE)</f>
        <v>101002</v>
      </c>
    </row>
    <row r="360" spans="2:12" ht="40" customHeight="1">
      <c r="B360" s="42">
        <v>934</v>
      </c>
      <c r="C360" s="102" t="s">
        <v>1977</v>
      </c>
      <c r="D360" s="102" t="s">
        <v>1858</v>
      </c>
      <c r="E360" s="92" t="s">
        <v>1978</v>
      </c>
      <c r="F360" s="42">
        <v>1</v>
      </c>
      <c r="G360" s="42">
        <v>25</v>
      </c>
      <c r="H360" s="42">
        <v>23</v>
      </c>
      <c r="I360" s="42" t="s">
        <v>147</v>
      </c>
      <c r="J360" s="103" t="s">
        <v>3611</v>
      </c>
      <c r="K360" s="42" t="s">
        <v>4037</v>
      </c>
      <c r="L360" s="42">
        <f>VLOOKUP(Table7[[#This Row],[Baseline Fixture Code]], 'Tables &amp; Ranges'!$A$114:$B$132, 2, FALSE)</f>
        <v>101002</v>
      </c>
    </row>
    <row r="361" spans="2:12" ht="40" customHeight="1">
      <c r="B361" s="42">
        <v>1316</v>
      </c>
      <c r="C361" s="102" t="s">
        <v>2655</v>
      </c>
      <c r="D361" s="102" t="s">
        <v>2623</v>
      </c>
      <c r="E361" s="92" t="s">
        <v>2656</v>
      </c>
      <c r="F361" s="42">
        <v>2</v>
      </c>
      <c r="G361" s="42">
        <v>25</v>
      </c>
      <c r="H361" s="42">
        <v>66</v>
      </c>
      <c r="I361" s="42" t="s">
        <v>2077</v>
      </c>
      <c r="J361" s="103" t="s">
        <v>3611</v>
      </c>
      <c r="K361" s="42" t="s">
        <v>3712</v>
      </c>
      <c r="L361" s="42">
        <f>VLOOKUP(Table7[[#This Row],[Baseline Fixture Code]], 'Tables &amp; Ranges'!$A$114:$B$132, 2, FALSE)</f>
        <v>101001</v>
      </c>
    </row>
    <row r="362" spans="2:12" ht="40" customHeight="1">
      <c r="B362" s="42">
        <v>1317</v>
      </c>
      <c r="C362" s="102" t="s">
        <v>2657</v>
      </c>
      <c r="D362" s="102" t="s">
        <v>2623</v>
      </c>
      <c r="E362" s="92" t="s">
        <v>2658</v>
      </c>
      <c r="F362" s="42">
        <v>2</v>
      </c>
      <c r="G362" s="42">
        <v>25</v>
      </c>
      <c r="H362" s="42">
        <v>50</v>
      </c>
      <c r="I362" s="42" t="s">
        <v>147</v>
      </c>
      <c r="J362" s="103" t="s">
        <v>3611</v>
      </c>
      <c r="K362" s="42" t="s">
        <v>3712</v>
      </c>
      <c r="L362" s="42">
        <f>VLOOKUP(Table7[[#This Row],[Baseline Fixture Code]], 'Tables &amp; Ranges'!$A$114:$B$132, 2, FALSE)</f>
        <v>101001</v>
      </c>
    </row>
    <row r="363" spans="2:12" ht="40" customHeight="1">
      <c r="B363" s="42">
        <v>1318</v>
      </c>
      <c r="C363" s="102" t="s">
        <v>2659</v>
      </c>
      <c r="D363" s="102" t="s">
        <v>2623</v>
      </c>
      <c r="E363" s="92" t="s">
        <v>2660</v>
      </c>
      <c r="F363" s="42">
        <v>2</v>
      </c>
      <c r="G363" s="42">
        <v>25</v>
      </c>
      <c r="H363" s="42">
        <v>50</v>
      </c>
      <c r="I363" s="42" t="s">
        <v>147</v>
      </c>
      <c r="J363" s="103" t="s">
        <v>3611</v>
      </c>
      <c r="K363" s="42" t="s">
        <v>3712</v>
      </c>
      <c r="L363" s="42">
        <f>VLOOKUP(Table7[[#This Row],[Baseline Fixture Code]], 'Tables &amp; Ranges'!$A$114:$B$132, 2, FALSE)</f>
        <v>101001</v>
      </c>
    </row>
    <row r="364" spans="2:12" ht="40" customHeight="1">
      <c r="B364" s="42">
        <v>1319</v>
      </c>
      <c r="C364" s="102" t="s">
        <v>2661</v>
      </c>
      <c r="D364" s="102" t="s">
        <v>2623</v>
      </c>
      <c r="E364" s="92" t="s">
        <v>2658</v>
      </c>
      <c r="F364" s="42">
        <v>2</v>
      </c>
      <c r="G364" s="42">
        <v>25</v>
      </c>
      <c r="H364" s="42">
        <v>73</v>
      </c>
      <c r="I364" s="42" t="s">
        <v>1457</v>
      </c>
      <c r="J364" s="103" t="s">
        <v>3611</v>
      </c>
      <c r="K364" s="42" t="s">
        <v>3712</v>
      </c>
      <c r="L364" s="42">
        <f>VLOOKUP(Table7[[#This Row],[Baseline Fixture Code]], 'Tables &amp; Ranges'!$A$114:$B$132, 2, FALSE)</f>
        <v>101001</v>
      </c>
    </row>
    <row r="365" spans="2:12" ht="40" customHeight="1">
      <c r="B365" s="42">
        <v>938</v>
      </c>
      <c r="C365" s="102" t="s">
        <v>1985</v>
      </c>
      <c r="D365" s="102" t="s">
        <v>1858</v>
      </c>
      <c r="E365" s="92" t="s">
        <v>1986</v>
      </c>
      <c r="F365" s="42">
        <v>2</v>
      </c>
      <c r="G365" s="42">
        <v>25</v>
      </c>
      <c r="H365" s="42">
        <v>46</v>
      </c>
      <c r="I365" s="42" t="s">
        <v>147</v>
      </c>
      <c r="J365" s="103" t="s">
        <v>3611</v>
      </c>
      <c r="K365" s="42" t="s">
        <v>4037</v>
      </c>
      <c r="L365" s="42">
        <f>VLOOKUP(Table7[[#This Row],[Baseline Fixture Code]], 'Tables &amp; Ranges'!$A$114:$B$132, 2, FALSE)</f>
        <v>101002</v>
      </c>
    </row>
    <row r="366" spans="2:12" ht="40" customHeight="1">
      <c r="B366" s="42">
        <v>941</v>
      </c>
      <c r="C366" s="102" t="s">
        <v>1991</v>
      </c>
      <c r="D366" s="102" t="s">
        <v>1858</v>
      </c>
      <c r="E366" s="92" t="s">
        <v>1992</v>
      </c>
      <c r="F366" s="42">
        <v>2</v>
      </c>
      <c r="G366" s="42">
        <v>25</v>
      </c>
      <c r="H366" s="42">
        <v>44</v>
      </c>
      <c r="I366" s="42" t="s">
        <v>147</v>
      </c>
      <c r="J366" s="103" t="s">
        <v>3611</v>
      </c>
      <c r="K366" s="42" t="s">
        <v>4037</v>
      </c>
      <c r="L366" s="42">
        <f>VLOOKUP(Table7[[#This Row],[Baseline Fixture Code]], 'Tables &amp; Ranges'!$A$114:$B$132, 2, FALSE)</f>
        <v>101002</v>
      </c>
    </row>
    <row r="367" spans="2:12" ht="40" customHeight="1">
      <c r="B367" s="42">
        <v>942</v>
      </c>
      <c r="C367" s="102" t="s">
        <v>1993</v>
      </c>
      <c r="D367" s="102" t="s">
        <v>1858</v>
      </c>
      <c r="E367" s="92" t="s">
        <v>1994</v>
      </c>
      <c r="F367" s="42">
        <v>2</v>
      </c>
      <c r="G367" s="42">
        <v>25</v>
      </c>
      <c r="H367" s="42">
        <v>44</v>
      </c>
      <c r="I367" s="42" t="s">
        <v>147</v>
      </c>
      <c r="J367" s="103" t="s">
        <v>3611</v>
      </c>
      <c r="K367" s="42" t="s">
        <v>4037</v>
      </c>
      <c r="L367" s="42">
        <f>VLOOKUP(Table7[[#This Row],[Baseline Fixture Code]], 'Tables &amp; Ranges'!$A$114:$B$132, 2, FALSE)</f>
        <v>101002</v>
      </c>
    </row>
    <row r="368" spans="2:12" ht="40" customHeight="1">
      <c r="B368" s="42">
        <v>943</v>
      </c>
      <c r="C368" s="102" t="s">
        <v>1995</v>
      </c>
      <c r="D368" s="102" t="s">
        <v>1858</v>
      </c>
      <c r="E368" s="92" t="s">
        <v>1996</v>
      </c>
      <c r="F368" s="42">
        <v>2</v>
      </c>
      <c r="G368" s="42">
        <v>25</v>
      </c>
      <c r="H368" s="42">
        <v>39</v>
      </c>
      <c r="I368" s="42" t="s">
        <v>147</v>
      </c>
      <c r="J368" s="103" t="s">
        <v>3611</v>
      </c>
      <c r="K368" s="42" t="s">
        <v>4037</v>
      </c>
      <c r="L368" s="42">
        <f>VLOOKUP(Table7[[#This Row],[Baseline Fixture Code]], 'Tables &amp; Ranges'!$A$114:$B$132, 2, FALSE)</f>
        <v>101002</v>
      </c>
    </row>
    <row r="369" spans="2:12" ht="40" customHeight="1">
      <c r="B369" s="42">
        <v>939</v>
      </c>
      <c r="C369" s="102" t="s">
        <v>1987</v>
      </c>
      <c r="D369" s="102" t="s">
        <v>1858</v>
      </c>
      <c r="E369" s="92" t="s">
        <v>1988</v>
      </c>
      <c r="F369" s="42">
        <v>2</v>
      </c>
      <c r="G369" s="42">
        <v>25</v>
      </c>
      <c r="H369" s="42">
        <v>52</v>
      </c>
      <c r="I369" s="42" t="s">
        <v>147</v>
      </c>
      <c r="J369" s="103" t="s">
        <v>3611</v>
      </c>
      <c r="K369" s="42" t="s">
        <v>4037</v>
      </c>
      <c r="L369" s="42">
        <f>VLOOKUP(Table7[[#This Row],[Baseline Fixture Code]], 'Tables &amp; Ranges'!$A$114:$B$132, 2, FALSE)</f>
        <v>101002</v>
      </c>
    </row>
    <row r="370" spans="2:12" ht="40" customHeight="1">
      <c r="B370" s="42">
        <v>940</v>
      </c>
      <c r="C370" s="102" t="s">
        <v>1989</v>
      </c>
      <c r="D370" s="102" t="s">
        <v>1858</v>
      </c>
      <c r="E370" s="92" t="s">
        <v>1990</v>
      </c>
      <c r="F370" s="42">
        <v>2</v>
      </c>
      <c r="G370" s="42">
        <v>25</v>
      </c>
      <c r="H370" s="42">
        <v>42</v>
      </c>
      <c r="I370" s="42" t="s">
        <v>147</v>
      </c>
      <c r="J370" s="103" t="s">
        <v>3611</v>
      </c>
      <c r="K370" s="42" t="s">
        <v>4037</v>
      </c>
      <c r="L370" s="42">
        <f>VLOOKUP(Table7[[#This Row],[Baseline Fixture Code]], 'Tables &amp; Ranges'!$A$114:$B$132, 2, FALSE)</f>
        <v>101002</v>
      </c>
    </row>
    <row r="371" spans="2:12" ht="40" customHeight="1">
      <c r="B371" s="42">
        <v>944</v>
      </c>
      <c r="C371" s="102" t="s">
        <v>1997</v>
      </c>
      <c r="D371" s="102" t="s">
        <v>1858</v>
      </c>
      <c r="E371" s="92" t="s">
        <v>1986</v>
      </c>
      <c r="F371" s="42">
        <v>2</v>
      </c>
      <c r="G371" s="42">
        <v>25</v>
      </c>
      <c r="H371" s="42">
        <v>44</v>
      </c>
      <c r="I371" s="42" t="s">
        <v>1881</v>
      </c>
      <c r="J371" s="103" t="s">
        <v>3611</v>
      </c>
      <c r="K371" s="42" t="s">
        <v>4037</v>
      </c>
      <c r="L371" s="42">
        <f>VLOOKUP(Table7[[#This Row],[Baseline Fixture Code]], 'Tables &amp; Ranges'!$A$114:$B$132, 2, FALSE)</f>
        <v>101002</v>
      </c>
    </row>
    <row r="372" spans="2:12" ht="40" customHeight="1">
      <c r="B372" s="42">
        <v>946</v>
      </c>
      <c r="C372" s="102" t="s">
        <v>1999</v>
      </c>
      <c r="D372" s="102" t="s">
        <v>1858</v>
      </c>
      <c r="E372" s="92" t="s">
        <v>1996</v>
      </c>
      <c r="F372" s="42">
        <v>2</v>
      </c>
      <c r="G372" s="42">
        <v>25</v>
      </c>
      <c r="H372" s="42">
        <v>39</v>
      </c>
      <c r="I372" s="42" t="s">
        <v>1881</v>
      </c>
      <c r="J372" s="103" t="s">
        <v>3611</v>
      </c>
      <c r="K372" s="42" t="s">
        <v>4037</v>
      </c>
      <c r="L372" s="42">
        <f>VLOOKUP(Table7[[#This Row],[Baseline Fixture Code]], 'Tables &amp; Ranges'!$A$114:$B$132, 2, FALSE)</f>
        <v>101002</v>
      </c>
    </row>
    <row r="373" spans="2:12" ht="40" customHeight="1">
      <c r="B373" s="42">
        <v>945</v>
      </c>
      <c r="C373" s="102" t="s">
        <v>1998</v>
      </c>
      <c r="D373" s="102" t="s">
        <v>1858</v>
      </c>
      <c r="E373" s="92" t="s">
        <v>1990</v>
      </c>
      <c r="F373" s="42">
        <v>2</v>
      </c>
      <c r="G373" s="42">
        <v>25</v>
      </c>
      <c r="H373" s="42">
        <v>39</v>
      </c>
      <c r="I373" s="42" t="s">
        <v>1881</v>
      </c>
      <c r="J373" s="103" t="s">
        <v>3611</v>
      </c>
      <c r="K373" s="42" t="s">
        <v>4037</v>
      </c>
      <c r="L373" s="42">
        <f>VLOOKUP(Table7[[#This Row],[Baseline Fixture Code]], 'Tables &amp; Ranges'!$A$114:$B$132, 2, FALSE)</f>
        <v>101002</v>
      </c>
    </row>
    <row r="374" spans="2:12" ht="40" customHeight="1">
      <c r="B374" s="42">
        <v>947</v>
      </c>
      <c r="C374" s="102" t="s">
        <v>2000</v>
      </c>
      <c r="D374" s="102" t="s">
        <v>1858</v>
      </c>
      <c r="E374" s="92" t="s">
        <v>2001</v>
      </c>
      <c r="F374" s="42">
        <v>2</v>
      </c>
      <c r="G374" s="42">
        <v>25</v>
      </c>
      <c r="H374" s="42">
        <v>46</v>
      </c>
      <c r="I374" s="42" t="s">
        <v>147</v>
      </c>
      <c r="J374" s="103" t="s">
        <v>3611</v>
      </c>
      <c r="K374" s="42" t="s">
        <v>4037</v>
      </c>
      <c r="L374" s="42">
        <f>VLOOKUP(Table7[[#This Row],[Baseline Fixture Code]], 'Tables &amp; Ranges'!$A$114:$B$132, 2, FALSE)</f>
        <v>101002</v>
      </c>
    </row>
    <row r="375" spans="2:12" ht="40" customHeight="1">
      <c r="B375" s="42">
        <v>951</v>
      </c>
      <c r="C375" s="102" t="s">
        <v>2008</v>
      </c>
      <c r="D375" s="102" t="s">
        <v>1858</v>
      </c>
      <c r="E375" s="92" t="s">
        <v>2009</v>
      </c>
      <c r="F375" s="42">
        <v>2</v>
      </c>
      <c r="G375" s="42">
        <v>25</v>
      </c>
      <c r="H375" s="42">
        <v>45</v>
      </c>
      <c r="I375" s="42" t="s">
        <v>147</v>
      </c>
      <c r="J375" s="103" t="s">
        <v>3611</v>
      </c>
      <c r="K375" s="42" t="s">
        <v>4037</v>
      </c>
      <c r="L375" s="42">
        <f>VLOOKUP(Table7[[#This Row],[Baseline Fixture Code]], 'Tables &amp; Ranges'!$A$114:$B$132, 2, FALSE)</f>
        <v>101002</v>
      </c>
    </row>
    <row r="376" spans="2:12" ht="40" customHeight="1">
      <c r="B376" s="42">
        <v>948</v>
      </c>
      <c r="C376" s="102" t="s">
        <v>2002</v>
      </c>
      <c r="D376" s="102" t="s">
        <v>1858</v>
      </c>
      <c r="E376" s="92" t="s">
        <v>2003</v>
      </c>
      <c r="F376" s="42">
        <v>2</v>
      </c>
      <c r="G376" s="42">
        <v>25</v>
      </c>
      <c r="H376" s="42">
        <v>50</v>
      </c>
      <c r="I376" s="42" t="s">
        <v>147</v>
      </c>
      <c r="J376" s="103" t="s">
        <v>3611</v>
      </c>
      <c r="K376" s="42" t="s">
        <v>4037</v>
      </c>
      <c r="L376" s="42">
        <f>VLOOKUP(Table7[[#This Row],[Baseline Fixture Code]], 'Tables &amp; Ranges'!$A$114:$B$132, 2, FALSE)</f>
        <v>101002</v>
      </c>
    </row>
    <row r="377" spans="2:12" ht="40" customHeight="1">
      <c r="B377" s="42">
        <v>949</v>
      </c>
      <c r="C377" s="102" t="s">
        <v>2004</v>
      </c>
      <c r="D377" s="102" t="s">
        <v>1858</v>
      </c>
      <c r="E377" s="92" t="s">
        <v>2005</v>
      </c>
      <c r="F377" s="42">
        <v>2</v>
      </c>
      <c r="G377" s="42">
        <v>25</v>
      </c>
      <c r="H377" s="42">
        <v>42</v>
      </c>
      <c r="I377" s="42" t="s">
        <v>147</v>
      </c>
      <c r="J377" s="103" t="s">
        <v>3611</v>
      </c>
      <c r="K377" s="42" t="s">
        <v>4037</v>
      </c>
      <c r="L377" s="42">
        <f>VLOOKUP(Table7[[#This Row],[Baseline Fixture Code]], 'Tables &amp; Ranges'!$A$114:$B$132, 2, FALSE)</f>
        <v>101002</v>
      </c>
    </row>
    <row r="378" spans="2:12" ht="40" customHeight="1">
      <c r="B378" s="42">
        <v>950</v>
      </c>
      <c r="C378" s="102" t="s">
        <v>2006</v>
      </c>
      <c r="D378" s="102" t="s">
        <v>1858</v>
      </c>
      <c r="E378" s="92" t="s">
        <v>2007</v>
      </c>
      <c r="F378" s="42">
        <v>2</v>
      </c>
      <c r="G378" s="42">
        <v>25</v>
      </c>
      <c r="H378" s="42">
        <v>70</v>
      </c>
      <c r="I378" s="42" t="s">
        <v>147</v>
      </c>
      <c r="J378" s="103" t="s">
        <v>3611</v>
      </c>
      <c r="K378" s="42" t="s">
        <v>4037</v>
      </c>
      <c r="L378" s="42">
        <f>VLOOKUP(Table7[[#This Row],[Baseline Fixture Code]], 'Tables &amp; Ranges'!$A$114:$B$132, 2, FALSE)</f>
        <v>101002</v>
      </c>
    </row>
    <row r="379" spans="2:12" ht="40" customHeight="1">
      <c r="B379" s="42">
        <v>1324</v>
      </c>
      <c r="C379" s="102" t="s">
        <v>2668</v>
      </c>
      <c r="D379" s="102" t="s">
        <v>2623</v>
      </c>
      <c r="E379" s="92" t="s">
        <v>2669</v>
      </c>
      <c r="F379" s="42">
        <v>3</v>
      </c>
      <c r="G379" s="42">
        <v>25</v>
      </c>
      <c r="H379" s="42">
        <v>115</v>
      </c>
      <c r="I379" s="42" t="s">
        <v>1457</v>
      </c>
      <c r="J379" s="103" t="s">
        <v>3611</v>
      </c>
      <c r="K379" s="42" t="s">
        <v>3712</v>
      </c>
      <c r="L379" s="42">
        <f>VLOOKUP(Table7[[#This Row],[Baseline Fixture Code]], 'Tables &amp; Ranges'!$A$114:$B$132, 2, FALSE)</f>
        <v>101001</v>
      </c>
    </row>
    <row r="380" spans="2:12" ht="40" customHeight="1">
      <c r="B380" s="42">
        <v>952</v>
      </c>
      <c r="C380" s="102" t="s">
        <v>2010</v>
      </c>
      <c r="D380" s="102" t="s">
        <v>1858</v>
      </c>
      <c r="E380" s="92" t="s">
        <v>2011</v>
      </c>
      <c r="F380" s="42">
        <v>3</v>
      </c>
      <c r="G380" s="42">
        <v>25</v>
      </c>
      <c r="H380" s="42">
        <v>68</v>
      </c>
      <c r="I380" s="42" t="s">
        <v>147</v>
      </c>
      <c r="J380" s="103" t="s">
        <v>3611</v>
      </c>
      <c r="K380" s="42" t="s">
        <v>4037</v>
      </c>
      <c r="L380" s="42">
        <f>VLOOKUP(Table7[[#This Row],[Baseline Fixture Code]], 'Tables &amp; Ranges'!$A$114:$B$132, 2, FALSE)</f>
        <v>101002</v>
      </c>
    </row>
    <row r="381" spans="2:12" ht="40" customHeight="1">
      <c r="B381" s="42">
        <v>953</v>
      </c>
      <c r="C381" s="102" t="s">
        <v>2012</v>
      </c>
      <c r="D381" s="102" t="s">
        <v>1858</v>
      </c>
      <c r="E381" s="92" t="s">
        <v>2013</v>
      </c>
      <c r="F381" s="42">
        <v>3</v>
      </c>
      <c r="G381" s="42">
        <v>25</v>
      </c>
      <c r="H381" s="42">
        <v>61</v>
      </c>
      <c r="I381" s="42" t="s">
        <v>147</v>
      </c>
      <c r="J381" s="103" t="s">
        <v>3611</v>
      </c>
      <c r="K381" s="42" t="s">
        <v>4037</v>
      </c>
      <c r="L381" s="42">
        <f>VLOOKUP(Table7[[#This Row],[Baseline Fixture Code]], 'Tables &amp; Ranges'!$A$114:$B$132, 2, FALSE)</f>
        <v>101002</v>
      </c>
    </row>
    <row r="382" spans="2:12" ht="40" customHeight="1">
      <c r="B382" s="42">
        <v>954</v>
      </c>
      <c r="C382" s="102" t="s">
        <v>2014</v>
      </c>
      <c r="D382" s="102" t="s">
        <v>1858</v>
      </c>
      <c r="E382" s="92" t="s">
        <v>2011</v>
      </c>
      <c r="F382" s="42">
        <v>3</v>
      </c>
      <c r="G382" s="42">
        <v>25</v>
      </c>
      <c r="H382" s="42">
        <v>65</v>
      </c>
      <c r="I382" s="42" t="s">
        <v>1881</v>
      </c>
      <c r="J382" s="103" t="s">
        <v>3611</v>
      </c>
      <c r="K382" s="42" t="s">
        <v>4037</v>
      </c>
      <c r="L382" s="42">
        <f>VLOOKUP(Table7[[#This Row],[Baseline Fixture Code]], 'Tables &amp; Ranges'!$A$114:$B$132, 2, FALSE)</f>
        <v>101002</v>
      </c>
    </row>
    <row r="383" spans="2:12" ht="40" customHeight="1">
      <c r="B383" s="42">
        <v>955</v>
      </c>
      <c r="C383" s="102" t="s">
        <v>2015</v>
      </c>
      <c r="D383" s="102" t="s">
        <v>1858</v>
      </c>
      <c r="E383" s="92" t="s">
        <v>2013</v>
      </c>
      <c r="F383" s="42">
        <v>3</v>
      </c>
      <c r="G383" s="42">
        <v>25</v>
      </c>
      <c r="H383" s="42">
        <v>58</v>
      </c>
      <c r="I383" s="42" t="s">
        <v>1881</v>
      </c>
      <c r="J383" s="103" t="s">
        <v>3611</v>
      </c>
      <c r="K383" s="42" t="s">
        <v>4037</v>
      </c>
      <c r="L383" s="42">
        <f>VLOOKUP(Table7[[#This Row],[Baseline Fixture Code]], 'Tables &amp; Ranges'!$A$114:$B$132, 2, FALSE)</f>
        <v>101002</v>
      </c>
    </row>
    <row r="384" spans="2:12" ht="40" customHeight="1">
      <c r="B384" s="42">
        <v>956</v>
      </c>
      <c r="C384" s="102" t="s">
        <v>2016</v>
      </c>
      <c r="D384" s="102" t="s">
        <v>1858</v>
      </c>
      <c r="E384" s="92" t="s">
        <v>2017</v>
      </c>
      <c r="F384" s="42">
        <v>3</v>
      </c>
      <c r="G384" s="42">
        <v>25</v>
      </c>
      <c r="H384" s="42">
        <v>72</v>
      </c>
      <c r="I384" s="42" t="s">
        <v>147</v>
      </c>
      <c r="J384" s="103" t="s">
        <v>3611</v>
      </c>
      <c r="K384" s="42" t="s">
        <v>4037</v>
      </c>
      <c r="L384" s="42">
        <f>VLOOKUP(Table7[[#This Row],[Baseline Fixture Code]], 'Tables &amp; Ranges'!$A$114:$B$132, 2, FALSE)</f>
        <v>101002</v>
      </c>
    </row>
    <row r="385" spans="2:12" ht="40" customHeight="1">
      <c r="B385" s="42">
        <v>957</v>
      </c>
      <c r="C385" s="102" t="s">
        <v>2018</v>
      </c>
      <c r="D385" s="102" t="s">
        <v>1858</v>
      </c>
      <c r="E385" s="92" t="s">
        <v>2019</v>
      </c>
      <c r="F385" s="42">
        <v>3</v>
      </c>
      <c r="G385" s="42">
        <v>25</v>
      </c>
      <c r="H385" s="42">
        <v>62</v>
      </c>
      <c r="I385" s="42" t="s">
        <v>147</v>
      </c>
      <c r="J385" s="103" t="s">
        <v>3611</v>
      </c>
      <c r="K385" s="42" t="s">
        <v>4037</v>
      </c>
      <c r="L385" s="42">
        <f>VLOOKUP(Table7[[#This Row],[Baseline Fixture Code]], 'Tables &amp; Ranges'!$A$114:$B$132, 2, FALSE)</f>
        <v>101002</v>
      </c>
    </row>
    <row r="386" spans="2:12" ht="40" customHeight="1">
      <c r="B386" s="42">
        <v>1327</v>
      </c>
      <c r="C386" s="102" t="s">
        <v>2674</v>
      </c>
      <c r="D386" s="102" t="s">
        <v>2623</v>
      </c>
      <c r="E386" s="92" t="s">
        <v>2675</v>
      </c>
      <c r="F386" s="42">
        <v>4</v>
      </c>
      <c r="G386" s="42">
        <v>25</v>
      </c>
      <c r="H386" s="42">
        <v>132</v>
      </c>
      <c r="I386" s="42" t="s">
        <v>2077</v>
      </c>
      <c r="J386" s="103" t="s">
        <v>3611</v>
      </c>
      <c r="K386" s="42" t="s">
        <v>3712</v>
      </c>
      <c r="L386" s="42">
        <f>VLOOKUP(Table7[[#This Row],[Baseline Fixture Code]], 'Tables &amp; Ranges'!$A$114:$B$132, 2, FALSE)</f>
        <v>101001</v>
      </c>
    </row>
    <row r="387" spans="2:12" ht="40" customHeight="1">
      <c r="B387" s="42">
        <v>958</v>
      </c>
      <c r="C387" s="102" t="s">
        <v>2020</v>
      </c>
      <c r="D387" s="102" t="s">
        <v>1858</v>
      </c>
      <c r="E387" s="92" t="s">
        <v>2021</v>
      </c>
      <c r="F387" s="42">
        <v>4</v>
      </c>
      <c r="G387" s="42">
        <v>25</v>
      </c>
      <c r="H387" s="42">
        <v>88</v>
      </c>
      <c r="I387" s="42" t="s">
        <v>147</v>
      </c>
      <c r="J387" s="103" t="s">
        <v>3611</v>
      </c>
      <c r="K387" s="42" t="s">
        <v>4037</v>
      </c>
      <c r="L387" s="42">
        <f>VLOOKUP(Table7[[#This Row],[Baseline Fixture Code]], 'Tables &amp; Ranges'!$A$114:$B$132, 2, FALSE)</f>
        <v>101002</v>
      </c>
    </row>
    <row r="388" spans="2:12" ht="40" customHeight="1">
      <c r="B388" s="42">
        <v>960</v>
      </c>
      <c r="C388" s="102" t="s">
        <v>2024</v>
      </c>
      <c r="D388" s="102" t="s">
        <v>1858</v>
      </c>
      <c r="E388" s="92" t="s">
        <v>2025</v>
      </c>
      <c r="F388" s="42">
        <v>4</v>
      </c>
      <c r="G388" s="42">
        <v>25</v>
      </c>
      <c r="H388" s="42">
        <v>84</v>
      </c>
      <c r="I388" s="42" t="s">
        <v>147</v>
      </c>
      <c r="J388" s="103" t="s">
        <v>3611</v>
      </c>
      <c r="K388" s="42" t="s">
        <v>4037</v>
      </c>
      <c r="L388" s="42">
        <f>VLOOKUP(Table7[[#This Row],[Baseline Fixture Code]], 'Tables &amp; Ranges'!$A$114:$B$132, 2, FALSE)</f>
        <v>101002</v>
      </c>
    </row>
    <row r="389" spans="2:12" ht="40" customHeight="1">
      <c r="B389" s="42">
        <v>959</v>
      </c>
      <c r="C389" s="102" t="s">
        <v>2022</v>
      </c>
      <c r="D389" s="102" t="s">
        <v>1858</v>
      </c>
      <c r="E389" s="92" t="s">
        <v>2023</v>
      </c>
      <c r="F389" s="42">
        <v>4</v>
      </c>
      <c r="G389" s="42">
        <v>25</v>
      </c>
      <c r="H389" s="42">
        <v>78</v>
      </c>
      <c r="I389" s="42" t="s">
        <v>147</v>
      </c>
      <c r="J389" s="103" t="s">
        <v>3611</v>
      </c>
      <c r="K389" s="42" t="s">
        <v>4037</v>
      </c>
      <c r="L389" s="42">
        <f>VLOOKUP(Table7[[#This Row],[Baseline Fixture Code]], 'Tables &amp; Ranges'!$A$114:$B$132, 2, FALSE)</f>
        <v>101002</v>
      </c>
    </row>
    <row r="390" spans="2:12" ht="40" customHeight="1">
      <c r="B390" s="42">
        <v>961</v>
      </c>
      <c r="C390" s="102" t="s">
        <v>2026</v>
      </c>
      <c r="D390" s="102" t="s">
        <v>1858</v>
      </c>
      <c r="E390" s="92" t="s">
        <v>2021</v>
      </c>
      <c r="F390" s="42">
        <v>4</v>
      </c>
      <c r="G390" s="42">
        <v>25</v>
      </c>
      <c r="H390" s="42">
        <v>86</v>
      </c>
      <c r="I390" s="42" t="s">
        <v>1881</v>
      </c>
      <c r="J390" s="103" t="s">
        <v>3611</v>
      </c>
      <c r="K390" s="42" t="s">
        <v>4037</v>
      </c>
      <c r="L390" s="42">
        <f>VLOOKUP(Table7[[#This Row],[Baseline Fixture Code]], 'Tables &amp; Ranges'!$A$114:$B$132, 2, FALSE)</f>
        <v>101002</v>
      </c>
    </row>
    <row r="391" spans="2:12" ht="40" customHeight="1">
      <c r="B391" s="42">
        <v>962</v>
      </c>
      <c r="C391" s="102" t="s">
        <v>2027</v>
      </c>
      <c r="D391" s="102" t="s">
        <v>1858</v>
      </c>
      <c r="E391" s="92" t="s">
        <v>2023</v>
      </c>
      <c r="F391" s="42">
        <v>4</v>
      </c>
      <c r="G391" s="42">
        <v>25</v>
      </c>
      <c r="H391" s="42">
        <v>77</v>
      </c>
      <c r="I391" s="42" t="s">
        <v>1881</v>
      </c>
      <c r="J391" s="103" t="s">
        <v>3611</v>
      </c>
      <c r="K391" s="42" t="s">
        <v>4037</v>
      </c>
      <c r="L391" s="42">
        <f>VLOOKUP(Table7[[#This Row],[Baseline Fixture Code]], 'Tables &amp; Ranges'!$A$114:$B$132, 2, FALSE)</f>
        <v>101002</v>
      </c>
    </row>
    <row r="392" spans="2:12" ht="40" customHeight="1">
      <c r="B392" s="42">
        <v>963</v>
      </c>
      <c r="C392" s="102" t="s">
        <v>2028</v>
      </c>
      <c r="D392" s="102" t="s">
        <v>1858</v>
      </c>
      <c r="E392" s="92" t="s">
        <v>2029</v>
      </c>
      <c r="F392" s="42">
        <v>4</v>
      </c>
      <c r="G392" s="42">
        <v>25</v>
      </c>
      <c r="H392" s="42">
        <v>89</v>
      </c>
      <c r="I392" s="42" t="s">
        <v>147</v>
      </c>
      <c r="J392" s="103" t="s">
        <v>3611</v>
      </c>
      <c r="K392" s="42" t="s">
        <v>4037</v>
      </c>
      <c r="L392" s="42">
        <f>VLOOKUP(Table7[[#This Row],[Baseline Fixture Code]], 'Tables &amp; Ranges'!$A$114:$B$132, 2, FALSE)</f>
        <v>101002</v>
      </c>
    </row>
    <row r="393" spans="2:12" ht="40" customHeight="1">
      <c r="B393" s="42">
        <v>964</v>
      </c>
      <c r="C393" s="102" t="s">
        <v>2030</v>
      </c>
      <c r="D393" s="102" t="s">
        <v>1858</v>
      </c>
      <c r="E393" s="92" t="s">
        <v>2031</v>
      </c>
      <c r="F393" s="42">
        <v>4</v>
      </c>
      <c r="G393" s="42">
        <v>25</v>
      </c>
      <c r="H393" s="42">
        <v>84</v>
      </c>
      <c r="I393" s="42" t="s">
        <v>147</v>
      </c>
      <c r="J393" s="103" t="s">
        <v>3611</v>
      </c>
      <c r="K393" s="42" t="s">
        <v>4037</v>
      </c>
      <c r="L393" s="42">
        <f>VLOOKUP(Table7[[#This Row],[Baseline Fixture Code]], 'Tables &amp; Ranges'!$A$114:$B$132, 2, FALSE)</f>
        <v>101002</v>
      </c>
    </row>
    <row r="394" spans="2:12" ht="40" customHeight="1">
      <c r="B394" s="42">
        <v>965</v>
      </c>
      <c r="C394" s="102" t="s">
        <v>2032</v>
      </c>
      <c r="D394" s="102" t="s">
        <v>1858</v>
      </c>
      <c r="E394" s="92" t="s">
        <v>2033</v>
      </c>
      <c r="F394" s="42">
        <v>6</v>
      </c>
      <c r="G394" s="42">
        <v>25</v>
      </c>
      <c r="H394" s="42">
        <v>135</v>
      </c>
      <c r="I394" s="42" t="s">
        <v>147</v>
      </c>
      <c r="J394" s="103" t="s">
        <v>3611</v>
      </c>
      <c r="K394" s="42" t="s">
        <v>4037</v>
      </c>
      <c r="L394" s="42">
        <f>VLOOKUP(Table7[[#This Row],[Baseline Fixture Code]], 'Tables &amp; Ranges'!$A$114:$B$132, 2, FALSE)</f>
        <v>101002</v>
      </c>
    </row>
    <row r="395" spans="2:12" ht="40" customHeight="1">
      <c r="B395" s="42">
        <v>966</v>
      </c>
      <c r="C395" s="102" t="s">
        <v>2034</v>
      </c>
      <c r="D395" s="102" t="s">
        <v>1858</v>
      </c>
      <c r="E395" s="92" t="s">
        <v>2035</v>
      </c>
      <c r="F395" s="42">
        <v>6</v>
      </c>
      <c r="G395" s="42">
        <v>25</v>
      </c>
      <c r="H395" s="42">
        <v>121</v>
      </c>
      <c r="I395" s="42" t="s">
        <v>147</v>
      </c>
      <c r="J395" s="103" t="s">
        <v>3611</v>
      </c>
      <c r="K395" s="42" t="s">
        <v>4037</v>
      </c>
      <c r="L395" s="42">
        <f>VLOOKUP(Table7[[#This Row],[Baseline Fixture Code]], 'Tables &amp; Ranges'!$A$114:$B$132, 2, FALSE)</f>
        <v>101002</v>
      </c>
    </row>
    <row r="396" spans="2:12" ht="40" customHeight="1">
      <c r="B396" s="42">
        <v>1085</v>
      </c>
      <c r="C396" s="102" t="s">
        <v>2251</v>
      </c>
      <c r="D396" s="102" t="s">
        <v>1858</v>
      </c>
      <c r="E396" s="92" t="s">
        <v>2252</v>
      </c>
      <c r="F396" s="42">
        <v>1</v>
      </c>
      <c r="G396" s="42">
        <v>25</v>
      </c>
      <c r="H396" s="42">
        <v>24</v>
      </c>
      <c r="I396" s="42" t="s">
        <v>1743</v>
      </c>
      <c r="J396" s="103" t="s">
        <v>3611</v>
      </c>
      <c r="K396" s="42" t="s">
        <v>4037</v>
      </c>
      <c r="L396" s="42">
        <f>VLOOKUP(Table7[[#This Row],[Baseline Fixture Code]], 'Tables &amp; Ranges'!$A$114:$B$132, 2, FALSE)</f>
        <v>101002</v>
      </c>
    </row>
    <row r="397" spans="2:12" ht="40" customHeight="1">
      <c r="B397" s="42">
        <v>1108</v>
      </c>
      <c r="C397" s="102" t="s">
        <v>2251</v>
      </c>
      <c r="D397" s="102" t="s">
        <v>1858</v>
      </c>
      <c r="E397" s="92" t="s">
        <v>2252</v>
      </c>
      <c r="F397" s="42">
        <v>1</v>
      </c>
      <c r="G397" s="42">
        <v>25</v>
      </c>
      <c r="H397" s="42">
        <v>24</v>
      </c>
      <c r="I397" s="42" t="s">
        <v>1743</v>
      </c>
      <c r="J397" s="103" t="s">
        <v>3611</v>
      </c>
      <c r="K397" s="42" t="s">
        <v>4037</v>
      </c>
      <c r="L397" s="42">
        <f>VLOOKUP(Table7[[#This Row],[Baseline Fixture Code]], 'Tables &amp; Ranges'!$A$114:$B$132, 2, FALSE)</f>
        <v>101002</v>
      </c>
    </row>
    <row r="398" spans="2:12" ht="40" customHeight="1">
      <c r="B398" s="42">
        <v>1109</v>
      </c>
      <c r="C398" s="102" t="s">
        <v>2253</v>
      </c>
      <c r="D398" s="102" t="s">
        <v>1858</v>
      </c>
      <c r="E398" s="92" t="s">
        <v>2254</v>
      </c>
      <c r="F398" s="42">
        <v>1</v>
      </c>
      <c r="G398" s="42">
        <v>25</v>
      </c>
      <c r="H398" s="42">
        <v>21</v>
      </c>
      <c r="I398" s="42" t="s">
        <v>1743</v>
      </c>
      <c r="J398" s="103" t="s">
        <v>3611</v>
      </c>
      <c r="K398" s="42" t="s">
        <v>4037</v>
      </c>
      <c r="L398" s="42">
        <f>VLOOKUP(Table7[[#This Row],[Baseline Fixture Code]], 'Tables &amp; Ranges'!$A$114:$B$132, 2, FALSE)</f>
        <v>101002</v>
      </c>
    </row>
    <row r="399" spans="2:12" ht="40" customHeight="1">
      <c r="B399" s="42">
        <v>1339</v>
      </c>
      <c r="C399" s="102" t="s">
        <v>2694</v>
      </c>
      <c r="D399" s="102" t="s">
        <v>2623</v>
      </c>
      <c r="E399" s="92" t="s">
        <v>2695</v>
      </c>
      <c r="F399" s="42">
        <v>1</v>
      </c>
      <c r="G399" s="42">
        <v>25</v>
      </c>
      <c r="H399" s="42">
        <v>25</v>
      </c>
      <c r="I399" s="42" t="s">
        <v>147</v>
      </c>
      <c r="J399" s="103" t="s">
        <v>3611</v>
      </c>
      <c r="K399" s="42" t="s">
        <v>3712</v>
      </c>
      <c r="L399" s="42">
        <f>VLOOKUP(Table7[[#This Row],[Baseline Fixture Code]], 'Tables &amp; Ranges'!$A$114:$B$132, 2, FALSE)</f>
        <v>101001</v>
      </c>
    </row>
    <row r="400" spans="2:12" ht="40" customHeight="1">
      <c r="B400" s="42">
        <v>1340</v>
      </c>
      <c r="C400" s="102" t="s">
        <v>2696</v>
      </c>
      <c r="D400" s="102" t="s">
        <v>2623</v>
      </c>
      <c r="E400" s="92" t="s">
        <v>2697</v>
      </c>
      <c r="F400" s="42">
        <v>1</v>
      </c>
      <c r="G400" s="42">
        <v>25</v>
      </c>
      <c r="H400" s="42">
        <v>19</v>
      </c>
      <c r="I400" s="42" t="s">
        <v>147</v>
      </c>
      <c r="J400" s="103" t="s">
        <v>3611</v>
      </c>
      <c r="K400" s="42" t="s">
        <v>3712</v>
      </c>
      <c r="L400" s="42">
        <f>VLOOKUP(Table7[[#This Row],[Baseline Fixture Code]], 'Tables &amp; Ranges'!$A$114:$B$132, 2, FALSE)</f>
        <v>101001</v>
      </c>
    </row>
    <row r="401" spans="2:12" ht="40" customHeight="1">
      <c r="B401" s="42">
        <v>1341</v>
      </c>
      <c r="C401" s="102" t="s">
        <v>2698</v>
      </c>
      <c r="D401" s="102" t="s">
        <v>2623</v>
      </c>
      <c r="E401" s="92" t="s">
        <v>2699</v>
      </c>
      <c r="F401" s="42">
        <v>1</v>
      </c>
      <c r="G401" s="42">
        <v>25</v>
      </c>
      <c r="H401" s="42">
        <v>20</v>
      </c>
      <c r="I401" s="42" t="s">
        <v>147</v>
      </c>
      <c r="J401" s="103" t="s">
        <v>3611</v>
      </c>
      <c r="K401" s="42" t="s">
        <v>3712</v>
      </c>
      <c r="L401" s="42">
        <f>VLOOKUP(Table7[[#This Row],[Baseline Fixture Code]], 'Tables &amp; Ranges'!$A$114:$B$132, 2, FALSE)</f>
        <v>101001</v>
      </c>
    </row>
    <row r="402" spans="2:12" ht="40" customHeight="1">
      <c r="B402" s="42">
        <v>1342</v>
      </c>
      <c r="C402" s="102" t="s">
        <v>2700</v>
      </c>
      <c r="D402" s="102" t="s">
        <v>2623</v>
      </c>
      <c r="E402" s="92" t="s">
        <v>2701</v>
      </c>
      <c r="F402" s="42">
        <v>1</v>
      </c>
      <c r="G402" s="42">
        <v>25</v>
      </c>
      <c r="H402" s="42">
        <v>20</v>
      </c>
      <c r="I402" s="42" t="s">
        <v>147</v>
      </c>
      <c r="J402" s="103" t="s">
        <v>3611</v>
      </c>
      <c r="K402" s="42" t="s">
        <v>3712</v>
      </c>
      <c r="L402" s="42">
        <f>VLOOKUP(Table7[[#This Row],[Baseline Fixture Code]], 'Tables &amp; Ranges'!$A$114:$B$132, 2, FALSE)</f>
        <v>101001</v>
      </c>
    </row>
    <row r="403" spans="2:12" ht="40" customHeight="1">
      <c r="B403" s="42">
        <v>1110</v>
      </c>
      <c r="C403" s="102" t="s">
        <v>2255</v>
      </c>
      <c r="D403" s="102" t="s">
        <v>1858</v>
      </c>
      <c r="E403" s="92" t="s">
        <v>2256</v>
      </c>
      <c r="F403" s="42">
        <v>1</v>
      </c>
      <c r="G403" s="42">
        <v>25</v>
      </c>
      <c r="H403" s="42">
        <v>24</v>
      </c>
      <c r="I403" s="42" t="s">
        <v>147</v>
      </c>
      <c r="J403" s="103" t="s">
        <v>3611</v>
      </c>
      <c r="K403" s="42" t="s">
        <v>4037</v>
      </c>
      <c r="L403" s="42">
        <f>VLOOKUP(Table7[[#This Row],[Baseline Fixture Code]], 'Tables &amp; Ranges'!$A$114:$B$132, 2, FALSE)</f>
        <v>101002</v>
      </c>
    </row>
    <row r="404" spans="2:12" ht="40" customHeight="1">
      <c r="B404" s="42">
        <v>1111</v>
      </c>
      <c r="C404" s="102" t="s">
        <v>2257</v>
      </c>
      <c r="D404" s="102" t="s">
        <v>1858</v>
      </c>
      <c r="E404" s="92" t="s">
        <v>2258</v>
      </c>
      <c r="F404" s="42">
        <v>1</v>
      </c>
      <c r="G404" s="42">
        <v>25</v>
      </c>
      <c r="H404" s="42">
        <v>23</v>
      </c>
      <c r="I404" s="42" t="s">
        <v>1881</v>
      </c>
      <c r="J404" s="103" t="s">
        <v>3611</v>
      </c>
      <c r="K404" s="42" t="s">
        <v>4037</v>
      </c>
      <c r="L404" s="42">
        <f>VLOOKUP(Table7[[#This Row],[Baseline Fixture Code]], 'Tables &amp; Ranges'!$A$114:$B$132, 2, FALSE)</f>
        <v>101002</v>
      </c>
    </row>
    <row r="405" spans="2:12" ht="40" customHeight="1">
      <c r="B405" s="42">
        <v>1114</v>
      </c>
      <c r="C405" s="102" t="s">
        <v>2263</v>
      </c>
      <c r="D405" s="102" t="s">
        <v>1858</v>
      </c>
      <c r="E405" s="92" t="s">
        <v>2264</v>
      </c>
      <c r="F405" s="42">
        <v>1</v>
      </c>
      <c r="G405" s="42">
        <v>25</v>
      </c>
      <c r="H405" s="42">
        <v>19</v>
      </c>
      <c r="I405" s="42" t="s">
        <v>1881</v>
      </c>
      <c r="J405" s="103" t="s">
        <v>3611</v>
      </c>
      <c r="K405" s="42" t="s">
        <v>4037</v>
      </c>
      <c r="L405" s="42">
        <f>VLOOKUP(Table7[[#This Row],[Baseline Fixture Code]], 'Tables &amp; Ranges'!$A$114:$B$132, 2, FALSE)</f>
        <v>101002</v>
      </c>
    </row>
    <row r="406" spans="2:12" ht="40" customHeight="1">
      <c r="B406" s="42">
        <v>1115</v>
      </c>
      <c r="C406" s="102" t="s">
        <v>2265</v>
      </c>
      <c r="D406" s="102" t="s">
        <v>1858</v>
      </c>
      <c r="E406" s="92" t="s">
        <v>2266</v>
      </c>
      <c r="F406" s="42">
        <v>1</v>
      </c>
      <c r="G406" s="42">
        <v>25</v>
      </c>
      <c r="H406" s="42">
        <v>19</v>
      </c>
      <c r="I406" s="42" t="s">
        <v>1881</v>
      </c>
      <c r="J406" s="103" t="s">
        <v>3611</v>
      </c>
      <c r="K406" s="42" t="s">
        <v>4037</v>
      </c>
      <c r="L406" s="42">
        <f>VLOOKUP(Table7[[#This Row],[Baseline Fixture Code]], 'Tables &amp; Ranges'!$A$114:$B$132, 2, FALSE)</f>
        <v>101002</v>
      </c>
    </row>
    <row r="407" spans="2:12" ht="40" customHeight="1">
      <c r="B407" s="42">
        <v>1112</v>
      </c>
      <c r="C407" s="102" t="s">
        <v>2259</v>
      </c>
      <c r="D407" s="102" t="s">
        <v>1858</v>
      </c>
      <c r="E407" s="92" t="s">
        <v>2260</v>
      </c>
      <c r="F407" s="42">
        <v>1</v>
      </c>
      <c r="G407" s="42">
        <v>25</v>
      </c>
      <c r="H407" s="42">
        <v>21</v>
      </c>
      <c r="I407" s="42" t="s">
        <v>1881</v>
      </c>
      <c r="J407" s="103" t="s">
        <v>3611</v>
      </c>
      <c r="K407" s="42" t="s">
        <v>4037</v>
      </c>
      <c r="L407" s="42">
        <f>VLOOKUP(Table7[[#This Row],[Baseline Fixture Code]], 'Tables &amp; Ranges'!$A$114:$B$132, 2, FALSE)</f>
        <v>101002</v>
      </c>
    </row>
    <row r="408" spans="2:12" ht="40" customHeight="1">
      <c r="B408" s="42">
        <v>1113</v>
      </c>
      <c r="C408" s="102" t="s">
        <v>2261</v>
      </c>
      <c r="D408" s="102" t="s">
        <v>1858</v>
      </c>
      <c r="E408" s="92" t="s">
        <v>2262</v>
      </c>
      <c r="F408" s="42">
        <v>1</v>
      </c>
      <c r="G408" s="42">
        <v>25</v>
      </c>
      <c r="H408" s="42">
        <v>32</v>
      </c>
      <c r="I408" s="42" t="s">
        <v>1881</v>
      </c>
      <c r="J408" s="103" t="s">
        <v>3611</v>
      </c>
      <c r="K408" s="42" t="s">
        <v>4037</v>
      </c>
      <c r="L408" s="42">
        <f>VLOOKUP(Table7[[#This Row],[Baseline Fixture Code]], 'Tables &amp; Ranges'!$A$114:$B$132, 2, FALSE)</f>
        <v>101002</v>
      </c>
    </row>
    <row r="409" spans="2:12" ht="40" customHeight="1">
      <c r="B409" s="42">
        <v>1116</v>
      </c>
      <c r="C409" s="102" t="s">
        <v>2267</v>
      </c>
      <c r="D409" s="102" t="s">
        <v>1858</v>
      </c>
      <c r="E409" s="92" t="s">
        <v>2268</v>
      </c>
      <c r="F409" s="42">
        <v>2</v>
      </c>
      <c r="G409" s="42">
        <v>25</v>
      </c>
      <c r="H409" s="42">
        <v>44</v>
      </c>
      <c r="I409" s="42" t="s">
        <v>1743</v>
      </c>
      <c r="J409" s="103" t="s">
        <v>3611</v>
      </c>
      <c r="K409" s="42" t="s">
        <v>4037</v>
      </c>
      <c r="L409" s="42">
        <f>VLOOKUP(Table7[[#This Row],[Baseline Fixture Code]], 'Tables &amp; Ranges'!$A$114:$B$132, 2, FALSE)</f>
        <v>101002</v>
      </c>
    </row>
    <row r="410" spans="2:12" ht="40" customHeight="1">
      <c r="B410" s="42">
        <v>1117</v>
      </c>
      <c r="C410" s="102" t="s">
        <v>2269</v>
      </c>
      <c r="D410" s="102" t="s">
        <v>1858</v>
      </c>
      <c r="E410" s="92" t="s">
        <v>2270</v>
      </c>
      <c r="F410" s="42">
        <v>2</v>
      </c>
      <c r="G410" s="42">
        <v>25</v>
      </c>
      <c r="H410" s="42">
        <v>38</v>
      </c>
      <c r="I410" s="42" t="s">
        <v>1743</v>
      </c>
      <c r="J410" s="103" t="s">
        <v>3611</v>
      </c>
      <c r="K410" s="42" t="s">
        <v>4037</v>
      </c>
      <c r="L410" s="42">
        <f>VLOOKUP(Table7[[#This Row],[Baseline Fixture Code]], 'Tables &amp; Ranges'!$A$114:$B$132, 2, FALSE)</f>
        <v>101002</v>
      </c>
    </row>
    <row r="411" spans="2:12" ht="40" customHeight="1">
      <c r="B411" s="42">
        <v>1351</v>
      </c>
      <c r="C411" s="102" t="s">
        <v>2718</v>
      </c>
      <c r="D411" s="102" t="s">
        <v>2623</v>
      </c>
      <c r="E411" s="92" t="s">
        <v>2719</v>
      </c>
      <c r="F411" s="42">
        <v>2</v>
      </c>
      <c r="G411" s="42">
        <v>25</v>
      </c>
      <c r="H411" s="42">
        <v>40</v>
      </c>
      <c r="I411" s="42" t="s">
        <v>147</v>
      </c>
      <c r="J411" s="103" t="s">
        <v>3611</v>
      </c>
      <c r="K411" s="42" t="s">
        <v>3712</v>
      </c>
      <c r="L411" s="42">
        <f>VLOOKUP(Table7[[#This Row],[Baseline Fixture Code]], 'Tables &amp; Ranges'!$A$114:$B$132, 2, FALSE)</f>
        <v>101001</v>
      </c>
    </row>
    <row r="412" spans="2:12" ht="40" customHeight="1">
      <c r="B412" s="42">
        <v>1350</v>
      </c>
      <c r="C412" s="102" t="s">
        <v>2716</v>
      </c>
      <c r="D412" s="102" t="s">
        <v>2623</v>
      </c>
      <c r="E412" s="92" t="s">
        <v>2717</v>
      </c>
      <c r="F412" s="42">
        <v>2</v>
      </c>
      <c r="G412" s="42">
        <v>25</v>
      </c>
      <c r="H412" s="42">
        <v>39</v>
      </c>
      <c r="I412" s="42" t="s">
        <v>147</v>
      </c>
      <c r="J412" s="103" t="s">
        <v>3611</v>
      </c>
      <c r="K412" s="42" t="s">
        <v>3712</v>
      </c>
      <c r="L412" s="42">
        <f>VLOOKUP(Table7[[#This Row],[Baseline Fixture Code]], 'Tables &amp; Ranges'!$A$114:$B$132, 2, FALSE)</f>
        <v>101001</v>
      </c>
    </row>
    <row r="413" spans="2:12" ht="40" customHeight="1">
      <c r="B413" s="42">
        <v>1118</v>
      </c>
      <c r="C413" s="102" t="s">
        <v>2271</v>
      </c>
      <c r="D413" s="102" t="s">
        <v>1858</v>
      </c>
      <c r="E413" s="92" t="s">
        <v>2272</v>
      </c>
      <c r="F413" s="42">
        <v>2</v>
      </c>
      <c r="G413" s="42">
        <v>25</v>
      </c>
      <c r="H413" s="42">
        <v>46</v>
      </c>
      <c r="I413" s="42" t="s">
        <v>147</v>
      </c>
      <c r="J413" s="103" t="s">
        <v>3611</v>
      </c>
      <c r="K413" s="42" t="s">
        <v>4037</v>
      </c>
      <c r="L413" s="42">
        <f>VLOOKUP(Table7[[#This Row],[Baseline Fixture Code]], 'Tables &amp; Ranges'!$A$114:$B$132, 2, FALSE)</f>
        <v>101002</v>
      </c>
    </row>
    <row r="414" spans="2:12" ht="40" customHeight="1">
      <c r="B414" s="42">
        <v>1119</v>
      </c>
      <c r="C414" s="102" t="s">
        <v>2273</v>
      </c>
      <c r="D414" s="102" t="s">
        <v>1858</v>
      </c>
      <c r="E414" s="92" t="s">
        <v>2274</v>
      </c>
      <c r="F414" s="42">
        <v>2</v>
      </c>
      <c r="G414" s="42">
        <v>25</v>
      </c>
      <c r="H414" s="42">
        <v>65</v>
      </c>
      <c r="I414" s="42" t="s">
        <v>147</v>
      </c>
      <c r="J414" s="103" t="s">
        <v>3611</v>
      </c>
      <c r="K414" s="42" t="s">
        <v>4037</v>
      </c>
      <c r="L414" s="42">
        <f>VLOOKUP(Table7[[#This Row],[Baseline Fixture Code]], 'Tables &amp; Ranges'!$A$114:$B$132, 2, FALSE)</f>
        <v>101002</v>
      </c>
    </row>
    <row r="415" spans="2:12" ht="40" customHeight="1">
      <c r="B415" s="42">
        <v>1120</v>
      </c>
      <c r="C415" s="102" t="s">
        <v>2275</v>
      </c>
      <c r="D415" s="102" t="s">
        <v>1858</v>
      </c>
      <c r="E415" s="92" t="s">
        <v>2276</v>
      </c>
      <c r="F415" s="42">
        <v>2</v>
      </c>
      <c r="G415" s="42">
        <v>25</v>
      </c>
      <c r="H415" s="42">
        <v>43</v>
      </c>
      <c r="I415" s="42" t="s">
        <v>1881</v>
      </c>
      <c r="J415" s="103" t="s">
        <v>3611</v>
      </c>
      <c r="K415" s="42" t="s">
        <v>4037</v>
      </c>
      <c r="L415" s="42">
        <f>VLOOKUP(Table7[[#This Row],[Baseline Fixture Code]], 'Tables &amp; Ranges'!$A$114:$B$132, 2, FALSE)</f>
        <v>101002</v>
      </c>
    </row>
    <row r="416" spans="2:12" ht="40" customHeight="1">
      <c r="B416" s="42">
        <v>1123</v>
      </c>
      <c r="C416" s="102" t="s">
        <v>2281</v>
      </c>
      <c r="D416" s="102" t="s">
        <v>1858</v>
      </c>
      <c r="E416" s="92" t="s">
        <v>2282</v>
      </c>
      <c r="F416" s="42">
        <v>2</v>
      </c>
      <c r="G416" s="42">
        <v>25</v>
      </c>
      <c r="H416" s="42">
        <v>38</v>
      </c>
      <c r="I416" s="42" t="s">
        <v>1881</v>
      </c>
      <c r="J416" s="103" t="s">
        <v>3611</v>
      </c>
      <c r="K416" s="42" t="s">
        <v>4037</v>
      </c>
      <c r="L416" s="42">
        <f>VLOOKUP(Table7[[#This Row],[Baseline Fixture Code]], 'Tables &amp; Ranges'!$A$114:$B$132, 2, FALSE)</f>
        <v>101002</v>
      </c>
    </row>
    <row r="417" spans="2:12" ht="40" customHeight="1">
      <c r="B417" s="42">
        <v>1121</v>
      </c>
      <c r="C417" s="102" t="s">
        <v>2277</v>
      </c>
      <c r="D417" s="102" t="s">
        <v>1858</v>
      </c>
      <c r="E417" s="92" t="s">
        <v>2278</v>
      </c>
      <c r="F417" s="42">
        <v>2</v>
      </c>
      <c r="G417" s="42">
        <v>25</v>
      </c>
      <c r="H417" s="42">
        <v>38</v>
      </c>
      <c r="I417" s="42" t="s">
        <v>1881</v>
      </c>
      <c r="J417" s="103" t="s">
        <v>3611</v>
      </c>
      <c r="K417" s="42" t="s">
        <v>4037</v>
      </c>
      <c r="L417" s="42">
        <f>VLOOKUP(Table7[[#This Row],[Baseline Fixture Code]], 'Tables &amp; Ranges'!$A$114:$B$132, 2, FALSE)</f>
        <v>101002</v>
      </c>
    </row>
    <row r="418" spans="2:12" ht="40" customHeight="1">
      <c r="B418" s="42">
        <v>1122</v>
      </c>
      <c r="C418" s="102" t="s">
        <v>2279</v>
      </c>
      <c r="D418" s="102" t="s">
        <v>1858</v>
      </c>
      <c r="E418" s="92" t="s">
        <v>2280</v>
      </c>
      <c r="F418" s="42">
        <v>2</v>
      </c>
      <c r="G418" s="42">
        <v>25</v>
      </c>
      <c r="H418" s="42">
        <v>60</v>
      </c>
      <c r="I418" s="42" t="s">
        <v>1881</v>
      </c>
      <c r="J418" s="103" t="s">
        <v>3611</v>
      </c>
      <c r="K418" s="42" t="s">
        <v>4037</v>
      </c>
      <c r="L418" s="42">
        <f>VLOOKUP(Table7[[#This Row],[Baseline Fixture Code]], 'Tables &amp; Ranges'!$A$114:$B$132, 2, FALSE)</f>
        <v>101002</v>
      </c>
    </row>
    <row r="419" spans="2:12" ht="40" customHeight="1">
      <c r="B419" s="42">
        <v>1124</v>
      </c>
      <c r="C419" s="102" t="s">
        <v>2283</v>
      </c>
      <c r="D419" s="102" t="s">
        <v>1858</v>
      </c>
      <c r="E419" s="92" t="s">
        <v>2284</v>
      </c>
      <c r="F419" s="42">
        <v>3</v>
      </c>
      <c r="G419" s="42">
        <v>25</v>
      </c>
      <c r="H419" s="42">
        <v>66</v>
      </c>
      <c r="I419" s="42" t="s">
        <v>1743</v>
      </c>
      <c r="J419" s="103" t="s">
        <v>3611</v>
      </c>
      <c r="K419" s="42" t="s">
        <v>4037</v>
      </c>
      <c r="L419" s="42">
        <f>VLOOKUP(Table7[[#This Row],[Baseline Fixture Code]], 'Tables &amp; Ranges'!$A$114:$B$132, 2, FALSE)</f>
        <v>101002</v>
      </c>
    </row>
    <row r="420" spans="2:12" ht="40" customHeight="1">
      <c r="B420" s="42">
        <v>1125</v>
      </c>
      <c r="C420" s="102" t="s">
        <v>2285</v>
      </c>
      <c r="D420" s="102" t="s">
        <v>1858</v>
      </c>
      <c r="E420" s="92" t="s">
        <v>2286</v>
      </c>
      <c r="F420" s="42">
        <v>3</v>
      </c>
      <c r="G420" s="42">
        <v>25</v>
      </c>
      <c r="H420" s="42">
        <v>56</v>
      </c>
      <c r="I420" s="42" t="s">
        <v>1743</v>
      </c>
      <c r="J420" s="103" t="s">
        <v>3611</v>
      </c>
      <c r="K420" s="42" t="s">
        <v>4037</v>
      </c>
      <c r="L420" s="42">
        <f>VLOOKUP(Table7[[#This Row],[Baseline Fixture Code]], 'Tables &amp; Ranges'!$A$114:$B$132, 2, FALSE)</f>
        <v>101002</v>
      </c>
    </row>
    <row r="421" spans="2:12" ht="40" customHeight="1">
      <c r="B421" s="42">
        <v>1356</v>
      </c>
      <c r="C421" s="102" t="s">
        <v>2728</v>
      </c>
      <c r="D421" s="102" t="s">
        <v>2623</v>
      </c>
      <c r="E421" s="92" t="s">
        <v>2729</v>
      </c>
      <c r="F421" s="42">
        <v>3</v>
      </c>
      <c r="G421" s="42">
        <v>25</v>
      </c>
      <c r="H421" s="42">
        <v>60</v>
      </c>
      <c r="I421" s="42" t="s">
        <v>147</v>
      </c>
      <c r="J421" s="103" t="s">
        <v>3611</v>
      </c>
      <c r="K421" s="42" t="s">
        <v>3712</v>
      </c>
      <c r="L421" s="42">
        <f>VLOOKUP(Table7[[#This Row],[Baseline Fixture Code]], 'Tables &amp; Ranges'!$A$114:$B$132, 2, FALSE)</f>
        <v>101001</v>
      </c>
    </row>
    <row r="422" spans="2:12" ht="40" customHeight="1">
      <c r="B422" s="42">
        <v>1126</v>
      </c>
      <c r="C422" s="102" t="s">
        <v>2287</v>
      </c>
      <c r="D422" s="102" t="s">
        <v>1858</v>
      </c>
      <c r="E422" s="92" t="s">
        <v>2288</v>
      </c>
      <c r="F422" s="42">
        <v>3</v>
      </c>
      <c r="G422" s="42">
        <v>25</v>
      </c>
      <c r="H422" s="42">
        <v>66</v>
      </c>
      <c r="I422" s="42" t="s">
        <v>147</v>
      </c>
      <c r="J422" s="103" t="s">
        <v>3611</v>
      </c>
      <c r="K422" s="42" t="s">
        <v>4037</v>
      </c>
      <c r="L422" s="42">
        <f>VLOOKUP(Table7[[#This Row],[Baseline Fixture Code]], 'Tables &amp; Ranges'!$A$114:$B$132, 2, FALSE)</f>
        <v>101002</v>
      </c>
    </row>
    <row r="423" spans="2:12" ht="40" customHeight="1">
      <c r="B423" s="42">
        <v>1127</v>
      </c>
      <c r="C423" s="102" t="s">
        <v>2289</v>
      </c>
      <c r="D423" s="102" t="s">
        <v>1858</v>
      </c>
      <c r="E423" s="92" t="s">
        <v>2290</v>
      </c>
      <c r="F423" s="42">
        <v>3</v>
      </c>
      <c r="G423" s="42">
        <v>25</v>
      </c>
      <c r="H423" s="42">
        <v>95</v>
      </c>
      <c r="I423" s="42" t="s">
        <v>147</v>
      </c>
      <c r="J423" s="103" t="s">
        <v>3611</v>
      </c>
      <c r="K423" s="42" t="s">
        <v>4037</v>
      </c>
      <c r="L423" s="42">
        <f>VLOOKUP(Table7[[#This Row],[Baseline Fixture Code]], 'Tables &amp; Ranges'!$A$114:$B$132, 2, FALSE)</f>
        <v>101002</v>
      </c>
    </row>
    <row r="424" spans="2:12" ht="40" customHeight="1">
      <c r="B424" s="42">
        <v>1128</v>
      </c>
      <c r="C424" s="102" t="s">
        <v>2291</v>
      </c>
      <c r="D424" s="102" t="s">
        <v>1858</v>
      </c>
      <c r="E424" s="92" t="s">
        <v>2292</v>
      </c>
      <c r="F424" s="42">
        <v>3</v>
      </c>
      <c r="G424" s="42">
        <v>25</v>
      </c>
      <c r="H424" s="42">
        <v>64</v>
      </c>
      <c r="I424" s="42" t="s">
        <v>1881</v>
      </c>
      <c r="J424" s="103" t="s">
        <v>3611</v>
      </c>
      <c r="K424" s="42" t="s">
        <v>4037</v>
      </c>
      <c r="L424" s="42">
        <f>VLOOKUP(Table7[[#This Row],[Baseline Fixture Code]], 'Tables &amp; Ranges'!$A$114:$B$132, 2, FALSE)</f>
        <v>101002</v>
      </c>
    </row>
    <row r="425" spans="2:12" ht="40" customHeight="1">
      <c r="B425" s="42">
        <v>1129</v>
      </c>
      <c r="C425" s="102" t="s">
        <v>2293</v>
      </c>
      <c r="D425" s="102" t="s">
        <v>1858</v>
      </c>
      <c r="E425" s="92" t="s">
        <v>2294</v>
      </c>
      <c r="F425" s="42">
        <v>3</v>
      </c>
      <c r="G425" s="42">
        <v>25</v>
      </c>
      <c r="H425" s="42">
        <v>57</v>
      </c>
      <c r="I425" s="42" t="s">
        <v>1881</v>
      </c>
      <c r="J425" s="103" t="s">
        <v>3611</v>
      </c>
      <c r="K425" s="42" t="s">
        <v>4037</v>
      </c>
      <c r="L425" s="42">
        <f>VLOOKUP(Table7[[#This Row],[Baseline Fixture Code]], 'Tables &amp; Ranges'!$A$114:$B$132, 2, FALSE)</f>
        <v>101002</v>
      </c>
    </row>
    <row r="426" spans="2:12" ht="40" customHeight="1">
      <c r="B426" s="42">
        <v>1130</v>
      </c>
      <c r="C426" s="102" t="s">
        <v>2295</v>
      </c>
      <c r="D426" s="102" t="s">
        <v>1858</v>
      </c>
      <c r="E426" s="92" t="s">
        <v>2290</v>
      </c>
      <c r="F426" s="42">
        <v>3</v>
      </c>
      <c r="G426" s="42">
        <v>25</v>
      </c>
      <c r="H426" s="42">
        <v>93</v>
      </c>
      <c r="I426" s="42" t="s">
        <v>1881</v>
      </c>
      <c r="J426" s="103" t="s">
        <v>3611</v>
      </c>
      <c r="K426" s="42" t="s">
        <v>4037</v>
      </c>
      <c r="L426" s="42">
        <f>VLOOKUP(Table7[[#This Row],[Baseline Fixture Code]], 'Tables &amp; Ranges'!$A$114:$B$132, 2, FALSE)</f>
        <v>101002</v>
      </c>
    </row>
    <row r="427" spans="2:12" ht="40" customHeight="1">
      <c r="B427" s="42">
        <v>1131</v>
      </c>
      <c r="C427" s="102" t="s">
        <v>2296</v>
      </c>
      <c r="D427" s="102" t="s">
        <v>1858</v>
      </c>
      <c r="E427" s="92" t="s">
        <v>2297</v>
      </c>
      <c r="F427" s="42">
        <v>4</v>
      </c>
      <c r="G427" s="42">
        <v>25</v>
      </c>
      <c r="H427" s="42">
        <v>85</v>
      </c>
      <c r="I427" s="42" t="s">
        <v>1743</v>
      </c>
      <c r="J427" s="103" t="s">
        <v>3611</v>
      </c>
      <c r="K427" s="42" t="s">
        <v>4037</v>
      </c>
      <c r="L427" s="42">
        <f>VLOOKUP(Table7[[#This Row],[Baseline Fixture Code]], 'Tables &amp; Ranges'!$A$114:$B$132, 2, FALSE)</f>
        <v>101002</v>
      </c>
    </row>
    <row r="428" spans="2:12" ht="40" customHeight="1">
      <c r="B428" s="42">
        <v>1132</v>
      </c>
      <c r="C428" s="102" t="s">
        <v>2298</v>
      </c>
      <c r="D428" s="102" t="s">
        <v>1858</v>
      </c>
      <c r="E428" s="92" t="s">
        <v>2299</v>
      </c>
      <c r="F428" s="42">
        <v>4</v>
      </c>
      <c r="G428" s="42">
        <v>25</v>
      </c>
      <c r="H428" s="42">
        <v>73</v>
      </c>
      <c r="I428" s="42" t="s">
        <v>1743</v>
      </c>
      <c r="J428" s="103" t="s">
        <v>3611</v>
      </c>
      <c r="K428" s="42" t="s">
        <v>4037</v>
      </c>
      <c r="L428" s="42">
        <f>VLOOKUP(Table7[[#This Row],[Baseline Fixture Code]], 'Tables &amp; Ranges'!$A$114:$B$132, 2, FALSE)</f>
        <v>101002</v>
      </c>
    </row>
    <row r="429" spans="2:12" ht="40" customHeight="1">
      <c r="B429" s="42">
        <v>1362</v>
      </c>
      <c r="C429" s="102" t="s">
        <v>2740</v>
      </c>
      <c r="D429" s="102" t="s">
        <v>2623</v>
      </c>
      <c r="E429" s="92" t="s">
        <v>2741</v>
      </c>
      <c r="F429" s="42">
        <v>4</v>
      </c>
      <c r="G429" s="42">
        <v>25</v>
      </c>
      <c r="H429" s="42">
        <v>80</v>
      </c>
      <c r="I429" s="42" t="s">
        <v>147</v>
      </c>
      <c r="J429" s="103" t="s">
        <v>3611</v>
      </c>
      <c r="K429" s="42" t="s">
        <v>3712</v>
      </c>
      <c r="L429" s="42">
        <f>VLOOKUP(Table7[[#This Row],[Baseline Fixture Code]], 'Tables &amp; Ranges'!$A$114:$B$132, 2, FALSE)</f>
        <v>101001</v>
      </c>
    </row>
    <row r="430" spans="2:12" ht="40" customHeight="1">
      <c r="B430" s="42">
        <v>1133</v>
      </c>
      <c r="C430" s="102" t="s">
        <v>2300</v>
      </c>
      <c r="D430" s="102" t="s">
        <v>1858</v>
      </c>
      <c r="E430" s="92" t="s">
        <v>2301</v>
      </c>
      <c r="F430" s="42">
        <v>4</v>
      </c>
      <c r="G430" s="42">
        <v>25</v>
      </c>
      <c r="H430" s="42">
        <v>86</v>
      </c>
      <c r="I430" s="42" t="s">
        <v>147</v>
      </c>
      <c r="J430" s="103" t="s">
        <v>3611</v>
      </c>
      <c r="K430" s="42" t="s">
        <v>4037</v>
      </c>
      <c r="L430" s="42">
        <f>VLOOKUP(Table7[[#This Row],[Baseline Fixture Code]], 'Tables &amp; Ranges'!$A$114:$B$132, 2, FALSE)</f>
        <v>101002</v>
      </c>
    </row>
    <row r="431" spans="2:12" ht="40" customHeight="1">
      <c r="B431" s="42">
        <v>1134</v>
      </c>
      <c r="C431" s="102" t="s">
        <v>2302</v>
      </c>
      <c r="D431" s="102" t="s">
        <v>1858</v>
      </c>
      <c r="E431" s="92" t="s">
        <v>2301</v>
      </c>
      <c r="F431" s="42">
        <v>4</v>
      </c>
      <c r="G431" s="42">
        <v>25</v>
      </c>
      <c r="H431" s="42">
        <v>85</v>
      </c>
      <c r="I431" s="42" t="s">
        <v>1881</v>
      </c>
      <c r="J431" s="103" t="s">
        <v>3611</v>
      </c>
      <c r="K431" s="42" t="s">
        <v>4037</v>
      </c>
      <c r="L431" s="42">
        <f>VLOOKUP(Table7[[#This Row],[Baseline Fixture Code]], 'Tables &amp; Ranges'!$A$114:$B$132, 2, FALSE)</f>
        <v>101002</v>
      </c>
    </row>
    <row r="432" spans="2:12" ht="40" customHeight="1">
      <c r="B432" s="42">
        <v>1135</v>
      </c>
      <c r="C432" s="102" t="s">
        <v>2303</v>
      </c>
      <c r="D432" s="102" t="s">
        <v>1858</v>
      </c>
      <c r="E432" s="92" t="s">
        <v>2304</v>
      </c>
      <c r="F432" s="42">
        <v>4</v>
      </c>
      <c r="G432" s="42">
        <v>25</v>
      </c>
      <c r="H432" s="42">
        <v>75</v>
      </c>
      <c r="I432" s="42" t="s">
        <v>1881</v>
      </c>
      <c r="J432" s="103" t="s">
        <v>3611</v>
      </c>
      <c r="K432" s="42" t="s">
        <v>4037</v>
      </c>
      <c r="L432" s="42">
        <f>VLOOKUP(Table7[[#This Row],[Baseline Fixture Code]], 'Tables &amp; Ranges'!$A$114:$B$132, 2, FALSE)</f>
        <v>101002</v>
      </c>
    </row>
    <row r="433" spans="2:12" ht="40" customHeight="1">
      <c r="B433" s="42">
        <v>1136</v>
      </c>
      <c r="C433" s="102" t="s">
        <v>2305</v>
      </c>
      <c r="D433" s="102" t="s">
        <v>1858</v>
      </c>
      <c r="E433" s="92" t="s">
        <v>2306</v>
      </c>
      <c r="F433" s="42">
        <v>4</v>
      </c>
      <c r="G433" s="42">
        <v>25</v>
      </c>
      <c r="H433" s="42">
        <v>122</v>
      </c>
      <c r="I433" s="42" t="s">
        <v>1881</v>
      </c>
      <c r="J433" s="103" t="s">
        <v>3611</v>
      </c>
      <c r="K433" s="42" t="s">
        <v>4037</v>
      </c>
      <c r="L433" s="42">
        <f>VLOOKUP(Table7[[#This Row],[Baseline Fixture Code]], 'Tables &amp; Ranges'!$A$114:$B$132, 2, FALSE)</f>
        <v>101002</v>
      </c>
    </row>
    <row r="434" spans="2:12" ht="40" customHeight="1">
      <c r="B434" s="42">
        <v>1137</v>
      </c>
      <c r="C434" s="102" t="s">
        <v>2307</v>
      </c>
      <c r="D434" s="102" t="s">
        <v>1858</v>
      </c>
      <c r="E434" s="92" t="s">
        <v>2308</v>
      </c>
      <c r="F434" s="42">
        <v>6</v>
      </c>
      <c r="G434" s="42">
        <v>25</v>
      </c>
      <c r="H434" s="42">
        <v>114</v>
      </c>
      <c r="I434" s="42" t="s">
        <v>1881</v>
      </c>
      <c r="J434" s="103" t="s">
        <v>3611</v>
      </c>
      <c r="K434" s="42" t="s">
        <v>4037</v>
      </c>
      <c r="L434" s="42">
        <f>VLOOKUP(Table7[[#This Row],[Baseline Fixture Code]], 'Tables &amp; Ranges'!$A$114:$B$132, 2, FALSE)</f>
        <v>101002</v>
      </c>
    </row>
    <row r="435" spans="2:12" ht="40" customHeight="1">
      <c r="B435" s="42">
        <v>1138</v>
      </c>
      <c r="C435" s="102" t="s">
        <v>2309</v>
      </c>
      <c r="D435" s="102" t="s">
        <v>1858</v>
      </c>
      <c r="E435" s="92" t="s">
        <v>2310</v>
      </c>
      <c r="F435" s="42">
        <v>6</v>
      </c>
      <c r="G435" s="42">
        <v>25</v>
      </c>
      <c r="H435" s="42">
        <v>184</v>
      </c>
      <c r="I435" s="42" t="s">
        <v>1881</v>
      </c>
      <c r="J435" s="103" t="s">
        <v>3611</v>
      </c>
      <c r="K435" s="42" t="s">
        <v>4037</v>
      </c>
      <c r="L435" s="42">
        <f>VLOOKUP(Table7[[#This Row],[Baseline Fixture Code]], 'Tables &amp; Ranges'!$A$114:$B$132, 2, FALSE)</f>
        <v>101002</v>
      </c>
    </row>
    <row r="436" spans="2:12" ht="40" customHeight="1">
      <c r="B436" s="42">
        <v>1529</v>
      </c>
      <c r="C436" s="102" t="s">
        <v>3051</v>
      </c>
      <c r="D436" s="102" t="s">
        <v>107</v>
      </c>
      <c r="E436" s="92" t="s">
        <v>3052</v>
      </c>
      <c r="F436" s="42">
        <v>1</v>
      </c>
      <c r="G436" s="42">
        <v>25</v>
      </c>
      <c r="H436" s="42">
        <v>25</v>
      </c>
      <c r="I436" s="42" t="s">
        <v>146</v>
      </c>
      <c r="J436" s="103" t="s">
        <v>3611</v>
      </c>
      <c r="K436" s="42" t="s">
        <v>107</v>
      </c>
      <c r="L436" s="42">
        <f>VLOOKUP(Table7[[#This Row],[Baseline Fixture Code]], 'Tables &amp; Ranges'!$A$114:$B$132, 2, FALSE)</f>
        <v>101106</v>
      </c>
    </row>
    <row r="437" spans="2:12" ht="40" customHeight="1">
      <c r="B437" s="42">
        <v>1530</v>
      </c>
      <c r="C437" s="102" t="s">
        <v>3053</v>
      </c>
      <c r="D437" s="102" t="s">
        <v>107</v>
      </c>
      <c r="E437" s="92" t="s">
        <v>3054</v>
      </c>
      <c r="F437" s="42">
        <v>1</v>
      </c>
      <c r="G437" s="42">
        <v>26</v>
      </c>
      <c r="H437" s="42">
        <v>26</v>
      </c>
      <c r="I437" s="42" t="s">
        <v>146</v>
      </c>
      <c r="J437" s="103" t="s">
        <v>3611</v>
      </c>
      <c r="K437" s="42" t="s">
        <v>107</v>
      </c>
      <c r="L437" s="42">
        <f>VLOOKUP(Table7[[#This Row],[Baseline Fixture Code]], 'Tables &amp; Ranges'!$A$114:$B$132, 2, FALSE)</f>
        <v>101106</v>
      </c>
    </row>
    <row r="438" spans="2:12" ht="40" customHeight="1">
      <c r="B438" s="42">
        <v>1531</v>
      </c>
      <c r="C438" s="102" t="s">
        <v>3055</v>
      </c>
      <c r="D438" s="102" t="s">
        <v>107</v>
      </c>
      <c r="E438" s="92" t="s">
        <v>3056</v>
      </c>
      <c r="F438" s="42">
        <v>1</v>
      </c>
      <c r="G438" s="42">
        <v>27</v>
      </c>
      <c r="H438" s="42">
        <v>27</v>
      </c>
      <c r="I438" s="42" t="s">
        <v>146</v>
      </c>
      <c r="J438" s="103" t="s">
        <v>3611</v>
      </c>
      <c r="K438" s="42" t="s">
        <v>107</v>
      </c>
      <c r="L438" s="42">
        <f>VLOOKUP(Table7[[#This Row],[Baseline Fixture Code]], 'Tables &amp; Ranges'!$A$114:$B$132, 2, FALSE)</f>
        <v>101106</v>
      </c>
    </row>
    <row r="439" spans="2:12" ht="40" customHeight="1">
      <c r="B439" s="42">
        <v>813</v>
      </c>
      <c r="C439" s="102" t="s">
        <v>1770</v>
      </c>
      <c r="D439" s="102" t="s">
        <v>1737</v>
      </c>
      <c r="E439" s="92" t="s">
        <v>1771</v>
      </c>
      <c r="F439" s="42">
        <v>1</v>
      </c>
      <c r="G439" s="42">
        <v>28</v>
      </c>
      <c r="H439" s="42">
        <v>32</v>
      </c>
      <c r="I439" s="42" t="s">
        <v>1743</v>
      </c>
      <c r="J439" s="103" t="s">
        <v>3611</v>
      </c>
      <c r="K439" s="42" t="s">
        <v>4036</v>
      </c>
      <c r="L439" s="42">
        <f>VLOOKUP(Table7[[#This Row],[Baseline Fixture Code]], 'Tables &amp; Ranges'!$A$114:$B$132, 2, FALSE)</f>
        <v>101003</v>
      </c>
    </row>
    <row r="440" spans="2:12" ht="40" customHeight="1">
      <c r="B440" s="42">
        <v>812</v>
      </c>
      <c r="C440" s="102" t="s">
        <v>1768</v>
      </c>
      <c r="D440" s="102" t="s">
        <v>1737</v>
      </c>
      <c r="E440" s="92" t="s">
        <v>1769</v>
      </c>
      <c r="F440" s="42">
        <v>1</v>
      </c>
      <c r="G440" s="42">
        <v>28</v>
      </c>
      <c r="H440" s="42">
        <v>33</v>
      </c>
      <c r="I440" s="42" t="s">
        <v>1743</v>
      </c>
      <c r="J440" s="103" t="s">
        <v>3611</v>
      </c>
      <c r="K440" s="42" t="s">
        <v>4036</v>
      </c>
      <c r="L440" s="42">
        <f>VLOOKUP(Table7[[#This Row],[Baseline Fixture Code]], 'Tables &amp; Ranges'!$A$114:$B$132, 2, FALSE)</f>
        <v>101003</v>
      </c>
    </row>
    <row r="441" spans="2:12" ht="40" customHeight="1">
      <c r="B441" s="42">
        <v>1139</v>
      </c>
      <c r="C441" s="102" t="s">
        <v>2311</v>
      </c>
      <c r="D441" s="102" t="s">
        <v>1858</v>
      </c>
      <c r="E441" s="92" t="s">
        <v>2312</v>
      </c>
      <c r="F441" s="42">
        <v>1</v>
      </c>
      <c r="G441" s="42">
        <v>28</v>
      </c>
      <c r="H441" s="42">
        <v>26</v>
      </c>
      <c r="I441" s="42" t="s">
        <v>1743</v>
      </c>
      <c r="J441" s="103" t="s">
        <v>3611</v>
      </c>
      <c r="K441" s="42" t="s">
        <v>4037</v>
      </c>
      <c r="L441" s="42">
        <f>VLOOKUP(Table7[[#This Row],[Baseline Fixture Code]], 'Tables &amp; Ranges'!$A$114:$B$132, 2, FALSE)</f>
        <v>101002</v>
      </c>
    </row>
    <row r="442" spans="2:12" ht="40" customHeight="1">
      <c r="B442" s="42">
        <v>1140</v>
      </c>
      <c r="C442" s="102" t="s">
        <v>2313</v>
      </c>
      <c r="D442" s="102" t="s">
        <v>1858</v>
      </c>
      <c r="E442" s="92" t="s">
        <v>2314</v>
      </c>
      <c r="F442" s="42">
        <v>1</v>
      </c>
      <c r="G442" s="42">
        <v>28</v>
      </c>
      <c r="H442" s="42">
        <v>22</v>
      </c>
      <c r="I442" s="42" t="s">
        <v>1743</v>
      </c>
      <c r="J442" s="103" t="s">
        <v>3611</v>
      </c>
      <c r="K442" s="42" t="s">
        <v>4037</v>
      </c>
      <c r="L442" s="42">
        <f>VLOOKUP(Table7[[#This Row],[Baseline Fixture Code]], 'Tables &amp; Ranges'!$A$114:$B$132, 2, FALSE)</f>
        <v>101002</v>
      </c>
    </row>
    <row r="443" spans="2:12" ht="40" customHeight="1">
      <c r="B443" s="42">
        <v>1141</v>
      </c>
      <c r="C443" s="102" t="s">
        <v>2315</v>
      </c>
      <c r="D443" s="102" t="s">
        <v>1858</v>
      </c>
      <c r="E443" s="92" t="s">
        <v>2316</v>
      </c>
      <c r="F443" s="42">
        <v>1</v>
      </c>
      <c r="G443" s="42">
        <v>28</v>
      </c>
      <c r="H443" s="42">
        <v>27</v>
      </c>
      <c r="I443" s="42" t="s">
        <v>147</v>
      </c>
      <c r="J443" s="103" t="s">
        <v>3611</v>
      </c>
      <c r="K443" s="42" t="s">
        <v>4037</v>
      </c>
      <c r="L443" s="42">
        <f>VLOOKUP(Table7[[#This Row],[Baseline Fixture Code]], 'Tables &amp; Ranges'!$A$114:$B$132, 2, FALSE)</f>
        <v>101002</v>
      </c>
    </row>
    <row r="444" spans="2:12" ht="40" customHeight="1">
      <c r="B444" s="42">
        <v>1142</v>
      </c>
      <c r="C444" s="102" t="s">
        <v>2317</v>
      </c>
      <c r="D444" s="102" t="s">
        <v>1858</v>
      </c>
      <c r="E444" s="92" t="s">
        <v>2318</v>
      </c>
      <c r="F444" s="42">
        <v>1</v>
      </c>
      <c r="G444" s="42">
        <v>28</v>
      </c>
      <c r="H444" s="42">
        <v>35</v>
      </c>
      <c r="I444" s="42" t="s">
        <v>147</v>
      </c>
      <c r="J444" s="103" t="s">
        <v>3611</v>
      </c>
      <c r="K444" s="42" t="s">
        <v>4037</v>
      </c>
      <c r="L444" s="42">
        <f>VLOOKUP(Table7[[#This Row],[Baseline Fixture Code]], 'Tables &amp; Ranges'!$A$114:$B$132, 2, FALSE)</f>
        <v>101002</v>
      </c>
    </row>
    <row r="445" spans="2:12" ht="40" customHeight="1">
      <c r="B445" s="42">
        <v>1143</v>
      </c>
      <c r="C445" s="102" t="s">
        <v>2319</v>
      </c>
      <c r="D445" s="102" t="s">
        <v>1858</v>
      </c>
      <c r="E445" s="92" t="s">
        <v>2320</v>
      </c>
      <c r="F445" s="42">
        <v>1</v>
      </c>
      <c r="G445" s="42">
        <v>28</v>
      </c>
      <c r="H445" s="42">
        <v>25</v>
      </c>
      <c r="I445" s="42" t="s">
        <v>1881</v>
      </c>
      <c r="J445" s="103" t="s">
        <v>3611</v>
      </c>
      <c r="K445" s="42" t="s">
        <v>4037</v>
      </c>
      <c r="L445" s="42">
        <f>VLOOKUP(Table7[[#This Row],[Baseline Fixture Code]], 'Tables &amp; Ranges'!$A$114:$B$132, 2, FALSE)</f>
        <v>101002</v>
      </c>
    </row>
    <row r="446" spans="2:12" ht="40" customHeight="1">
      <c r="B446" s="42">
        <v>1146</v>
      </c>
      <c r="C446" s="102" t="s">
        <v>2325</v>
      </c>
      <c r="D446" s="102" t="s">
        <v>1858</v>
      </c>
      <c r="E446" s="92" t="s">
        <v>2326</v>
      </c>
      <c r="F446" s="42">
        <v>1</v>
      </c>
      <c r="G446" s="42">
        <v>28</v>
      </c>
      <c r="H446" s="42">
        <v>21</v>
      </c>
      <c r="I446" s="42" t="s">
        <v>1881</v>
      </c>
      <c r="J446" s="103" t="s">
        <v>3611</v>
      </c>
      <c r="K446" s="42" t="s">
        <v>4037</v>
      </c>
      <c r="L446" s="42">
        <f>VLOOKUP(Table7[[#This Row],[Baseline Fixture Code]], 'Tables &amp; Ranges'!$A$114:$B$132, 2, FALSE)</f>
        <v>101002</v>
      </c>
    </row>
    <row r="447" spans="2:12" ht="40" customHeight="1">
      <c r="B447" s="42">
        <v>1147</v>
      </c>
      <c r="C447" s="102" t="s">
        <v>2327</v>
      </c>
      <c r="D447" s="102" t="s">
        <v>1858</v>
      </c>
      <c r="E447" s="92" t="s">
        <v>2328</v>
      </c>
      <c r="F447" s="42">
        <v>1</v>
      </c>
      <c r="G447" s="42">
        <v>28</v>
      </c>
      <c r="H447" s="42">
        <v>21</v>
      </c>
      <c r="I447" s="42" t="s">
        <v>1881</v>
      </c>
      <c r="J447" s="103" t="s">
        <v>3611</v>
      </c>
      <c r="K447" s="42" t="s">
        <v>4037</v>
      </c>
      <c r="L447" s="42">
        <f>VLOOKUP(Table7[[#This Row],[Baseline Fixture Code]], 'Tables &amp; Ranges'!$A$114:$B$132, 2, FALSE)</f>
        <v>101002</v>
      </c>
    </row>
    <row r="448" spans="2:12" ht="40" customHeight="1">
      <c r="B448" s="42">
        <v>1144</v>
      </c>
      <c r="C448" s="102" t="s">
        <v>2321</v>
      </c>
      <c r="D448" s="102" t="s">
        <v>1858</v>
      </c>
      <c r="E448" s="92" t="s">
        <v>2322</v>
      </c>
      <c r="F448" s="42">
        <v>1</v>
      </c>
      <c r="G448" s="42">
        <v>28</v>
      </c>
      <c r="H448" s="42">
        <v>22</v>
      </c>
      <c r="I448" s="42" t="s">
        <v>1881</v>
      </c>
      <c r="J448" s="103" t="s">
        <v>3611</v>
      </c>
      <c r="K448" s="42" t="s">
        <v>4037</v>
      </c>
      <c r="L448" s="42">
        <f>VLOOKUP(Table7[[#This Row],[Baseline Fixture Code]], 'Tables &amp; Ranges'!$A$114:$B$132, 2, FALSE)</f>
        <v>101002</v>
      </c>
    </row>
    <row r="449" spans="2:12" ht="40" customHeight="1">
      <c r="B449" s="42">
        <v>1145</v>
      </c>
      <c r="C449" s="102" t="s">
        <v>2323</v>
      </c>
      <c r="D449" s="102" t="s">
        <v>1858</v>
      </c>
      <c r="E449" s="92" t="s">
        <v>2324</v>
      </c>
      <c r="F449" s="42">
        <v>1</v>
      </c>
      <c r="G449" s="42">
        <v>28</v>
      </c>
      <c r="H449" s="42">
        <v>33</v>
      </c>
      <c r="I449" s="42" t="s">
        <v>1881</v>
      </c>
      <c r="J449" s="103" t="s">
        <v>3611</v>
      </c>
      <c r="K449" s="42" t="s">
        <v>4037</v>
      </c>
      <c r="L449" s="42">
        <f>VLOOKUP(Table7[[#This Row],[Baseline Fixture Code]], 'Tables &amp; Ranges'!$A$114:$B$132, 2, FALSE)</f>
        <v>101002</v>
      </c>
    </row>
    <row r="450" spans="2:12" ht="40" customHeight="1">
      <c r="B450" s="42">
        <v>814</v>
      </c>
      <c r="C450" s="102" t="s">
        <v>1772</v>
      </c>
      <c r="D450" s="102" t="s">
        <v>1737</v>
      </c>
      <c r="E450" s="92" t="s">
        <v>1773</v>
      </c>
      <c r="F450" s="42">
        <v>2</v>
      </c>
      <c r="G450" s="42">
        <v>28</v>
      </c>
      <c r="H450" s="42">
        <v>63</v>
      </c>
      <c r="I450" s="42" t="s">
        <v>1743</v>
      </c>
      <c r="J450" s="103" t="s">
        <v>3611</v>
      </c>
      <c r="K450" s="42" t="s">
        <v>4036</v>
      </c>
      <c r="L450" s="42">
        <f>VLOOKUP(Table7[[#This Row],[Baseline Fixture Code]], 'Tables &amp; Ranges'!$A$114:$B$132, 2, FALSE)</f>
        <v>101003</v>
      </c>
    </row>
    <row r="451" spans="2:12" ht="40" customHeight="1">
      <c r="B451" s="42">
        <v>1148</v>
      </c>
      <c r="C451" s="102" t="s">
        <v>2329</v>
      </c>
      <c r="D451" s="102" t="s">
        <v>1858</v>
      </c>
      <c r="E451" s="92" t="s">
        <v>2330</v>
      </c>
      <c r="F451" s="42">
        <v>2</v>
      </c>
      <c r="G451" s="42">
        <v>28</v>
      </c>
      <c r="H451" s="42">
        <v>49</v>
      </c>
      <c r="I451" s="42" t="s">
        <v>1743</v>
      </c>
      <c r="J451" s="103" t="s">
        <v>3611</v>
      </c>
      <c r="K451" s="42" t="s">
        <v>4037</v>
      </c>
      <c r="L451" s="42">
        <f>VLOOKUP(Table7[[#This Row],[Baseline Fixture Code]], 'Tables &amp; Ranges'!$A$114:$B$132, 2, FALSE)</f>
        <v>101002</v>
      </c>
    </row>
    <row r="452" spans="2:12" ht="40" customHeight="1">
      <c r="B452" s="42">
        <v>1149</v>
      </c>
      <c r="C452" s="102" t="s">
        <v>2331</v>
      </c>
      <c r="D452" s="102" t="s">
        <v>1858</v>
      </c>
      <c r="E452" s="92" t="s">
        <v>2332</v>
      </c>
      <c r="F452" s="42">
        <v>2</v>
      </c>
      <c r="G452" s="42">
        <v>28</v>
      </c>
      <c r="H452" s="42">
        <v>40</v>
      </c>
      <c r="I452" s="42" t="s">
        <v>1743</v>
      </c>
      <c r="J452" s="103" t="s">
        <v>3611</v>
      </c>
      <c r="K452" s="42" t="s">
        <v>4037</v>
      </c>
      <c r="L452" s="42">
        <f>VLOOKUP(Table7[[#This Row],[Baseline Fixture Code]], 'Tables &amp; Ranges'!$A$114:$B$132, 2, FALSE)</f>
        <v>101002</v>
      </c>
    </row>
    <row r="453" spans="2:12" ht="40" customHeight="1">
      <c r="B453" s="42">
        <v>967</v>
      </c>
      <c r="C453" s="102" t="s">
        <v>2036</v>
      </c>
      <c r="D453" s="102" t="s">
        <v>1858</v>
      </c>
      <c r="E453" s="92" t="s">
        <v>2037</v>
      </c>
      <c r="F453" s="42">
        <v>2</v>
      </c>
      <c r="G453" s="42">
        <v>28</v>
      </c>
      <c r="H453" s="42">
        <v>66</v>
      </c>
      <c r="I453" s="42" t="s">
        <v>1743</v>
      </c>
      <c r="J453" s="103" t="s">
        <v>3611</v>
      </c>
      <c r="K453" s="42" t="s">
        <v>4037</v>
      </c>
      <c r="L453" s="42">
        <f>VLOOKUP(Table7[[#This Row],[Baseline Fixture Code]], 'Tables &amp; Ranges'!$A$114:$B$132, 2, FALSE)</f>
        <v>101002</v>
      </c>
    </row>
    <row r="454" spans="2:12" ht="40" customHeight="1">
      <c r="B454" s="42">
        <v>1150</v>
      </c>
      <c r="C454" s="102" t="s">
        <v>2333</v>
      </c>
      <c r="D454" s="102" t="s">
        <v>1858</v>
      </c>
      <c r="E454" s="92" t="s">
        <v>2334</v>
      </c>
      <c r="F454" s="42">
        <v>2</v>
      </c>
      <c r="G454" s="42">
        <v>28</v>
      </c>
      <c r="H454" s="42">
        <v>52</v>
      </c>
      <c r="I454" s="42" t="s">
        <v>147</v>
      </c>
      <c r="J454" s="103" t="s">
        <v>3611</v>
      </c>
      <c r="K454" s="42" t="s">
        <v>4037</v>
      </c>
      <c r="L454" s="42">
        <f>VLOOKUP(Table7[[#This Row],[Baseline Fixture Code]], 'Tables &amp; Ranges'!$A$114:$B$132, 2, FALSE)</f>
        <v>101002</v>
      </c>
    </row>
    <row r="455" spans="2:12" ht="40" customHeight="1">
      <c r="B455" s="42">
        <v>1151</v>
      </c>
      <c r="C455" s="102" t="s">
        <v>2335</v>
      </c>
      <c r="D455" s="102" t="s">
        <v>1858</v>
      </c>
      <c r="E455" s="92" t="s">
        <v>2336</v>
      </c>
      <c r="F455" s="42">
        <v>2</v>
      </c>
      <c r="G455" s="42">
        <v>28</v>
      </c>
      <c r="H455" s="42">
        <v>68</v>
      </c>
      <c r="I455" s="42" t="s">
        <v>147</v>
      </c>
      <c r="J455" s="103" t="s">
        <v>3611</v>
      </c>
      <c r="K455" s="42" t="s">
        <v>4037</v>
      </c>
      <c r="L455" s="42">
        <f>VLOOKUP(Table7[[#This Row],[Baseline Fixture Code]], 'Tables &amp; Ranges'!$A$114:$B$132, 2, FALSE)</f>
        <v>101002</v>
      </c>
    </row>
    <row r="456" spans="2:12" ht="40" customHeight="1">
      <c r="B456" s="42">
        <v>1152</v>
      </c>
      <c r="C456" s="102" t="s">
        <v>2337</v>
      </c>
      <c r="D456" s="102" t="s">
        <v>1858</v>
      </c>
      <c r="E456" s="92" t="s">
        <v>2338</v>
      </c>
      <c r="F456" s="42">
        <v>2</v>
      </c>
      <c r="G456" s="42">
        <v>28</v>
      </c>
      <c r="H456" s="42">
        <v>48</v>
      </c>
      <c r="I456" s="42" t="s">
        <v>1881</v>
      </c>
      <c r="J456" s="103" t="s">
        <v>3611</v>
      </c>
      <c r="K456" s="42" t="s">
        <v>4037</v>
      </c>
      <c r="L456" s="42">
        <f>VLOOKUP(Table7[[#This Row],[Baseline Fixture Code]], 'Tables &amp; Ranges'!$A$114:$B$132, 2, FALSE)</f>
        <v>101002</v>
      </c>
    </row>
    <row r="457" spans="2:12" ht="40" customHeight="1">
      <c r="B457" s="42">
        <v>1155</v>
      </c>
      <c r="C457" s="102" t="s">
        <v>2343</v>
      </c>
      <c r="D457" s="102" t="s">
        <v>1858</v>
      </c>
      <c r="E457" s="92" t="s">
        <v>2344</v>
      </c>
      <c r="F457" s="42">
        <v>2</v>
      </c>
      <c r="G457" s="42">
        <v>28</v>
      </c>
      <c r="H457" s="42">
        <v>42</v>
      </c>
      <c r="I457" s="42" t="s">
        <v>1881</v>
      </c>
      <c r="J457" s="103" t="s">
        <v>3611</v>
      </c>
      <c r="K457" s="42" t="s">
        <v>4037</v>
      </c>
      <c r="L457" s="42">
        <f>VLOOKUP(Table7[[#This Row],[Baseline Fixture Code]], 'Tables &amp; Ranges'!$A$114:$B$132, 2, FALSE)</f>
        <v>101002</v>
      </c>
    </row>
    <row r="458" spans="2:12" ht="40" customHeight="1">
      <c r="B458" s="42">
        <v>1153</v>
      </c>
      <c r="C458" s="102" t="s">
        <v>2339</v>
      </c>
      <c r="D458" s="102" t="s">
        <v>1858</v>
      </c>
      <c r="E458" s="92" t="s">
        <v>2340</v>
      </c>
      <c r="F458" s="42">
        <v>2</v>
      </c>
      <c r="G458" s="42">
        <v>28</v>
      </c>
      <c r="H458" s="42">
        <v>43</v>
      </c>
      <c r="I458" s="42" t="s">
        <v>1881</v>
      </c>
      <c r="J458" s="103" t="s">
        <v>3611</v>
      </c>
      <c r="K458" s="42" t="s">
        <v>4037</v>
      </c>
      <c r="L458" s="42">
        <f>VLOOKUP(Table7[[#This Row],[Baseline Fixture Code]], 'Tables &amp; Ranges'!$A$114:$B$132, 2, FALSE)</f>
        <v>101002</v>
      </c>
    </row>
    <row r="459" spans="2:12" ht="40" customHeight="1">
      <c r="B459" s="42">
        <v>1154</v>
      </c>
      <c r="C459" s="102" t="s">
        <v>2341</v>
      </c>
      <c r="D459" s="102" t="s">
        <v>1858</v>
      </c>
      <c r="E459" s="92" t="s">
        <v>2342</v>
      </c>
      <c r="F459" s="42">
        <v>2</v>
      </c>
      <c r="G459" s="42">
        <v>28</v>
      </c>
      <c r="H459" s="42">
        <v>65</v>
      </c>
      <c r="I459" s="42" t="s">
        <v>1881</v>
      </c>
      <c r="J459" s="103" t="s">
        <v>3611</v>
      </c>
      <c r="K459" s="42" t="s">
        <v>4037</v>
      </c>
      <c r="L459" s="42">
        <f>VLOOKUP(Table7[[#This Row],[Baseline Fixture Code]], 'Tables &amp; Ranges'!$A$114:$B$132, 2, FALSE)</f>
        <v>101002</v>
      </c>
    </row>
    <row r="460" spans="2:12" ht="40" customHeight="1">
      <c r="B460" s="42">
        <v>815</v>
      </c>
      <c r="C460" s="102" t="s">
        <v>1774</v>
      </c>
      <c r="D460" s="102" t="s">
        <v>1737</v>
      </c>
      <c r="E460" s="92" t="s">
        <v>1775</v>
      </c>
      <c r="F460" s="42">
        <v>3</v>
      </c>
      <c r="G460" s="42">
        <v>28</v>
      </c>
      <c r="H460" s="42">
        <v>96</v>
      </c>
      <c r="I460" s="42" t="s">
        <v>1743</v>
      </c>
      <c r="J460" s="103" t="s">
        <v>3611</v>
      </c>
      <c r="K460" s="42" t="s">
        <v>4036</v>
      </c>
      <c r="L460" s="42">
        <f>VLOOKUP(Table7[[#This Row],[Baseline Fixture Code]], 'Tables &amp; Ranges'!$A$114:$B$132, 2, FALSE)</f>
        <v>101003</v>
      </c>
    </row>
    <row r="461" spans="2:12" ht="40" customHeight="1">
      <c r="B461" s="42">
        <v>1156</v>
      </c>
      <c r="C461" s="102" t="s">
        <v>2345</v>
      </c>
      <c r="D461" s="102" t="s">
        <v>1858</v>
      </c>
      <c r="E461" s="92" t="s">
        <v>2346</v>
      </c>
      <c r="F461" s="42">
        <v>3</v>
      </c>
      <c r="G461" s="42">
        <v>28</v>
      </c>
      <c r="H461" s="42">
        <v>75</v>
      </c>
      <c r="I461" s="42" t="s">
        <v>1743</v>
      </c>
      <c r="J461" s="103" t="s">
        <v>3611</v>
      </c>
      <c r="K461" s="42" t="s">
        <v>4037</v>
      </c>
      <c r="L461" s="42">
        <f>VLOOKUP(Table7[[#This Row],[Baseline Fixture Code]], 'Tables &amp; Ranges'!$A$114:$B$132, 2, FALSE)</f>
        <v>101002</v>
      </c>
    </row>
    <row r="462" spans="2:12" ht="40" customHeight="1">
      <c r="B462" s="42">
        <v>1157</v>
      </c>
      <c r="C462" s="102" t="s">
        <v>2347</v>
      </c>
      <c r="D462" s="102" t="s">
        <v>1858</v>
      </c>
      <c r="E462" s="92" t="s">
        <v>2348</v>
      </c>
      <c r="F462" s="42">
        <v>3</v>
      </c>
      <c r="G462" s="42">
        <v>28</v>
      </c>
      <c r="H462" s="42">
        <v>62</v>
      </c>
      <c r="I462" s="42" t="s">
        <v>1743</v>
      </c>
      <c r="J462" s="103" t="s">
        <v>3611</v>
      </c>
      <c r="K462" s="42" t="s">
        <v>4037</v>
      </c>
      <c r="L462" s="42">
        <f>VLOOKUP(Table7[[#This Row],[Baseline Fixture Code]], 'Tables &amp; Ranges'!$A$114:$B$132, 2, FALSE)</f>
        <v>101002</v>
      </c>
    </row>
    <row r="463" spans="2:12" ht="40" customHeight="1">
      <c r="B463" s="42">
        <v>968</v>
      </c>
      <c r="C463" s="102" t="s">
        <v>2038</v>
      </c>
      <c r="D463" s="102" t="s">
        <v>1858</v>
      </c>
      <c r="E463" s="92" t="s">
        <v>2039</v>
      </c>
      <c r="F463" s="42">
        <v>3</v>
      </c>
      <c r="G463" s="42">
        <v>28</v>
      </c>
      <c r="H463" s="42">
        <v>92</v>
      </c>
      <c r="I463" s="42" t="s">
        <v>1743</v>
      </c>
      <c r="J463" s="103" t="s">
        <v>3611</v>
      </c>
      <c r="K463" s="42" t="s">
        <v>4037</v>
      </c>
      <c r="L463" s="42">
        <f>VLOOKUP(Table7[[#This Row],[Baseline Fixture Code]], 'Tables &amp; Ranges'!$A$114:$B$132, 2, FALSE)</f>
        <v>101002</v>
      </c>
    </row>
    <row r="464" spans="2:12" ht="40" customHeight="1">
      <c r="B464" s="42">
        <v>1158</v>
      </c>
      <c r="C464" s="102" t="s">
        <v>2349</v>
      </c>
      <c r="D464" s="102" t="s">
        <v>1858</v>
      </c>
      <c r="E464" s="92" t="s">
        <v>2350</v>
      </c>
      <c r="F464" s="42">
        <v>3</v>
      </c>
      <c r="G464" s="42">
        <v>28</v>
      </c>
      <c r="H464" s="42">
        <v>76</v>
      </c>
      <c r="I464" s="42" t="s">
        <v>147</v>
      </c>
      <c r="J464" s="103" t="s">
        <v>3611</v>
      </c>
      <c r="K464" s="42" t="s">
        <v>4037</v>
      </c>
      <c r="L464" s="42">
        <f>VLOOKUP(Table7[[#This Row],[Baseline Fixture Code]], 'Tables &amp; Ranges'!$A$114:$B$132, 2, FALSE)</f>
        <v>101002</v>
      </c>
    </row>
    <row r="465" spans="2:12" ht="40" customHeight="1">
      <c r="B465" s="42">
        <v>1159</v>
      </c>
      <c r="C465" s="102" t="s">
        <v>2351</v>
      </c>
      <c r="D465" s="102" t="s">
        <v>1858</v>
      </c>
      <c r="E465" s="92" t="s">
        <v>2352</v>
      </c>
      <c r="F465" s="42">
        <v>3</v>
      </c>
      <c r="G465" s="42">
        <v>28</v>
      </c>
      <c r="H465" s="42">
        <v>82</v>
      </c>
      <c r="I465" s="42" t="s">
        <v>147</v>
      </c>
      <c r="J465" s="103" t="s">
        <v>3611</v>
      </c>
      <c r="K465" s="42" t="s">
        <v>4037</v>
      </c>
      <c r="L465" s="42">
        <f>VLOOKUP(Table7[[#This Row],[Baseline Fixture Code]], 'Tables &amp; Ranges'!$A$114:$B$132, 2, FALSE)</f>
        <v>101002</v>
      </c>
    </row>
    <row r="466" spans="2:12" ht="40" customHeight="1">
      <c r="B466" s="42">
        <v>1160</v>
      </c>
      <c r="C466" s="102" t="s">
        <v>2353</v>
      </c>
      <c r="D466" s="102" t="s">
        <v>1858</v>
      </c>
      <c r="E466" s="92" t="s">
        <v>2354</v>
      </c>
      <c r="F466" s="42">
        <v>3</v>
      </c>
      <c r="G466" s="42">
        <v>28</v>
      </c>
      <c r="H466" s="42">
        <v>97</v>
      </c>
      <c r="I466" s="42" t="s">
        <v>147</v>
      </c>
      <c r="J466" s="103" t="s">
        <v>3611</v>
      </c>
      <c r="K466" s="42" t="s">
        <v>4037</v>
      </c>
      <c r="L466" s="42">
        <f>VLOOKUP(Table7[[#This Row],[Baseline Fixture Code]], 'Tables &amp; Ranges'!$A$114:$B$132, 2, FALSE)</f>
        <v>101002</v>
      </c>
    </row>
    <row r="467" spans="2:12" ht="40" customHeight="1">
      <c r="B467" s="42">
        <v>1161</v>
      </c>
      <c r="C467" s="102" t="s">
        <v>2355</v>
      </c>
      <c r="D467" s="102" t="s">
        <v>1858</v>
      </c>
      <c r="E467" s="92" t="s">
        <v>2356</v>
      </c>
      <c r="F467" s="42">
        <v>3</v>
      </c>
      <c r="G467" s="42">
        <v>28</v>
      </c>
      <c r="H467" s="42">
        <v>72</v>
      </c>
      <c r="I467" s="42" t="s">
        <v>1881</v>
      </c>
      <c r="J467" s="103" t="s">
        <v>3611</v>
      </c>
      <c r="K467" s="42" t="s">
        <v>4037</v>
      </c>
      <c r="L467" s="42">
        <f>VLOOKUP(Table7[[#This Row],[Baseline Fixture Code]], 'Tables &amp; Ranges'!$A$114:$B$132, 2, FALSE)</f>
        <v>101002</v>
      </c>
    </row>
    <row r="468" spans="2:12" ht="40" customHeight="1">
      <c r="B468" s="42">
        <v>1162</v>
      </c>
      <c r="C468" s="102" t="s">
        <v>2357</v>
      </c>
      <c r="D468" s="102" t="s">
        <v>1858</v>
      </c>
      <c r="E468" s="92" t="s">
        <v>2358</v>
      </c>
      <c r="F468" s="42">
        <v>3</v>
      </c>
      <c r="G468" s="42">
        <v>28</v>
      </c>
      <c r="H468" s="42">
        <v>63</v>
      </c>
      <c r="I468" s="42" t="s">
        <v>1881</v>
      </c>
      <c r="J468" s="103" t="s">
        <v>3611</v>
      </c>
      <c r="K468" s="42" t="s">
        <v>4037</v>
      </c>
      <c r="L468" s="42">
        <f>VLOOKUP(Table7[[#This Row],[Baseline Fixture Code]], 'Tables &amp; Ranges'!$A$114:$B$132, 2, FALSE)</f>
        <v>101002</v>
      </c>
    </row>
    <row r="469" spans="2:12" ht="40" customHeight="1">
      <c r="B469" s="42">
        <v>1163</v>
      </c>
      <c r="C469" s="102" t="s">
        <v>2359</v>
      </c>
      <c r="D469" s="102" t="s">
        <v>1858</v>
      </c>
      <c r="E469" s="92" t="s">
        <v>2354</v>
      </c>
      <c r="F469" s="42">
        <v>3</v>
      </c>
      <c r="G469" s="42">
        <v>28</v>
      </c>
      <c r="H469" s="42">
        <v>96</v>
      </c>
      <c r="I469" s="42" t="s">
        <v>1881</v>
      </c>
      <c r="J469" s="103" t="s">
        <v>3611</v>
      </c>
      <c r="K469" s="42" t="s">
        <v>4037</v>
      </c>
      <c r="L469" s="42">
        <f>VLOOKUP(Table7[[#This Row],[Baseline Fixture Code]], 'Tables &amp; Ranges'!$A$114:$B$132, 2, FALSE)</f>
        <v>101002</v>
      </c>
    </row>
    <row r="470" spans="2:12" ht="40" customHeight="1">
      <c r="B470" s="42">
        <v>816</v>
      </c>
      <c r="C470" s="102" t="s">
        <v>1776</v>
      </c>
      <c r="D470" s="102" t="s">
        <v>1737</v>
      </c>
      <c r="E470" s="92" t="s">
        <v>1777</v>
      </c>
      <c r="F470" s="42">
        <v>4</v>
      </c>
      <c r="G470" s="42">
        <v>28</v>
      </c>
      <c r="H470" s="42">
        <v>126</v>
      </c>
      <c r="I470" s="42" t="s">
        <v>1743</v>
      </c>
      <c r="J470" s="103" t="s">
        <v>3611</v>
      </c>
      <c r="K470" s="42" t="s">
        <v>4036</v>
      </c>
      <c r="L470" s="42">
        <f>VLOOKUP(Table7[[#This Row],[Baseline Fixture Code]], 'Tables &amp; Ranges'!$A$114:$B$132, 2, FALSE)</f>
        <v>101003</v>
      </c>
    </row>
    <row r="471" spans="2:12" ht="40" customHeight="1">
      <c r="B471" s="42">
        <v>1164</v>
      </c>
      <c r="C471" s="102" t="s">
        <v>2360</v>
      </c>
      <c r="D471" s="102" t="s">
        <v>1858</v>
      </c>
      <c r="E471" s="92" t="s">
        <v>2361</v>
      </c>
      <c r="F471" s="42">
        <v>4</v>
      </c>
      <c r="G471" s="42">
        <v>28</v>
      </c>
      <c r="H471" s="42">
        <v>99</v>
      </c>
      <c r="I471" s="42" t="s">
        <v>1743</v>
      </c>
      <c r="J471" s="103" t="s">
        <v>3611</v>
      </c>
      <c r="K471" s="42" t="s">
        <v>4037</v>
      </c>
      <c r="L471" s="42">
        <f>VLOOKUP(Table7[[#This Row],[Baseline Fixture Code]], 'Tables &amp; Ranges'!$A$114:$B$132, 2, FALSE)</f>
        <v>101002</v>
      </c>
    </row>
    <row r="472" spans="2:12" ht="40" customHeight="1">
      <c r="B472" s="42">
        <v>1165</v>
      </c>
      <c r="C472" s="102" t="s">
        <v>2362</v>
      </c>
      <c r="D472" s="102" t="s">
        <v>1858</v>
      </c>
      <c r="E472" s="92" t="s">
        <v>2363</v>
      </c>
      <c r="F472" s="42">
        <v>4</v>
      </c>
      <c r="G472" s="42">
        <v>28</v>
      </c>
      <c r="H472" s="42">
        <v>80</v>
      </c>
      <c r="I472" s="42" t="s">
        <v>1743</v>
      </c>
      <c r="J472" s="103" t="s">
        <v>3611</v>
      </c>
      <c r="K472" s="42" t="s">
        <v>4037</v>
      </c>
      <c r="L472" s="42">
        <f>VLOOKUP(Table7[[#This Row],[Baseline Fixture Code]], 'Tables &amp; Ranges'!$A$114:$B$132, 2, FALSE)</f>
        <v>101002</v>
      </c>
    </row>
    <row r="473" spans="2:12" ht="40" customHeight="1">
      <c r="B473" s="42">
        <v>1166</v>
      </c>
      <c r="C473" s="102" t="s">
        <v>2364</v>
      </c>
      <c r="D473" s="102" t="s">
        <v>1858</v>
      </c>
      <c r="E473" s="92" t="s">
        <v>2365</v>
      </c>
      <c r="F473" s="42">
        <v>4</v>
      </c>
      <c r="G473" s="42">
        <v>28</v>
      </c>
      <c r="H473" s="42">
        <v>99</v>
      </c>
      <c r="I473" s="42" t="s">
        <v>147</v>
      </c>
      <c r="J473" s="103" t="s">
        <v>3611</v>
      </c>
      <c r="K473" s="42" t="s">
        <v>4037</v>
      </c>
      <c r="L473" s="42">
        <f>VLOOKUP(Table7[[#This Row],[Baseline Fixture Code]], 'Tables &amp; Ranges'!$A$114:$B$132, 2, FALSE)</f>
        <v>101002</v>
      </c>
    </row>
    <row r="474" spans="2:12" ht="40" customHeight="1">
      <c r="B474" s="42">
        <v>1167</v>
      </c>
      <c r="C474" s="102" t="s">
        <v>2366</v>
      </c>
      <c r="D474" s="102" t="s">
        <v>1858</v>
      </c>
      <c r="E474" s="92" t="s">
        <v>2367</v>
      </c>
      <c r="F474" s="42">
        <v>4</v>
      </c>
      <c r="G474" s="42">
        <v>28</v>
      </c>
      <c r="H474" s="42">
        <v>85</v>
      </c>
      <c r="I474" s="42" t="s">
        <v>147</v>
      </c>
      <c r="J474" s="103" t="s">
        <v>3611</v>
      </c>
      <c r="K474" s="42" t="s">
        <v>4037</v>
      </c>
      <c r="L474" s="42">
        <f>VLOOKUP(Table7[[#This Row],[Baseline Fixture Code]], 'Tables &amp; Ranges'!$A$114:$B$132, 2, FALSE)</f>
        <v>101002</v>
      </c>
    </row>
    <row r="475" spans="2:12" ht="40" customHeight="1">
      <c r="B475" s="42">
        <v>1168</v>
      </c>
      <c r="C475" s="102" t="s">
        <v>2368</v>
      </c>
      <c r="D475" s="102" t="s">
        <v>1858</v>
      </c>
      <c r="E475" s="92" t="s">
        <v>2365</v>
      </c>
      <c r="F475" s="42">
        <v>4</v>
      </c>
      <c r="G475" s="42">
        <v>28</v>
      </c>
      <c r="H475" s="42">
        <v>94</v>
      </c>
      <c r="I475" s="42" t="s">
        <v>1881</v>
      </c>
      <c r="J475" s="103" t="s">
        <v>3611</v>
      </c>
      <c r="K475" s="42" t="s">
        <v>4037</v>
      </c>
      <c r="L475" s="42">
        <f>VLOOKUP(Table7[[#This Row],[Baseline Fixture Code]], 'Tables &amp; Ranges'!$A$114:$B$132, 2, FALSE)</f>
        <v>101002</v>
      </c>
    </row>
    <row r="476" spans="2:12" ht="40" customHeight="1">
      <c r="B476" s="42">
        <v>1169</v>
      </c>
      <c r="C476" s="102" t="s">
        <v>2369</v>
      </c>
      <c r="D476" s="102" t="s">
        <v>1858</v>
      </c>
      <c r="E476" s="92" t="s">
        <v>2370</v>
      </c>
      <c r="F476" s="42">
        <v>4</v>
      </c>
      <c r="G476" s="42">
        <v>28</v>
      </c>
      <c r="H476" s="42">
        <v>83</v>
      </c>
      <c r="I476" s="42" t="s">
        <v>1881</v>
      </c>
      <c r="J476" s="103" t="s">
        <v>3611</v>
      </c>
      <c r="K476" s="42" t="s">
        <v>4037</v>
      </c>
      <c r="L476" s="42">
        <f>VLOOKUP(Table7[[#This Row],[Baseline Fixture Code]], 'Tables &amp; Ranges'!$A$114:$B$132, 2, FALSE)</f>
        <v>101002</v>
      </c>
    </row>
    <row r="477" spans="2:12" ht="40" customHeight="1">
      <c r="B477" s="42">
        <v>1170</v>
      </c>
      <c r="C477" s="102" t="s">
        <v>2371</v>
      </c>
      <c r="D477" s="102" t="s">
        <v>1858</v>
      </c>
      <c r="E477" s="92" t="s">
        <v>2372</v>
      </c>
      <c r="F477" s="42">
        <v>4</v>
      </c>
      <c r="G477" s="42">
        <v>28</v>
      </c>
      <c r="H477" s="42">
        <v>131</v>
      </c>
      <c r="I477" s="42" t="s">
        <v>1881</v>
      </c>
      <c r="J477" s="103" t="s">
        <v>3611</v>
      </c>
      <c r="K477" s="42" t="s">
        <v>4037</v>
      </c>
      <c r="L477" s="42">
        <f>VLOOKUP(Table7[[#This Row],[Baseline Fixture Code]], 'Tables &amp; Ranges'!$A$114:$B$132, 2, FALSE)</f>
        <v>101002</v>
      </c>
    </row>
    <row r="478" spans="2:12" ht="40" customHeight="1">
      <c r="B478" s="42">
        <v>1171</v>
      </c>
      <c r="C478" s="102" t="s">
        <v>2373</v>
      </c>
      <c r="D478" s="102" t="s">
        <v>1858</v>
      </c>
      <c r="E478" s="92" t="s">
        <v>2374</v>
      </c>
      <c r="F478" s="42">
        <v>6</v>
      </c>
      <c r="G478" s="42">
        <v>28</v>
      </c>
      <c r="H478" s="42">
        <v>126</v>
      </c>
      <c r="I478" s="42" t="s">
        <v>1881</v>
      </c>
      <c r="J478" s="103" t="s">
        <v>3611</v>
      </c>
      <c r="K478" s="42" t="s">
        <v>4037</v>
      </c>
      <c r="L478" s="42">
        <f>VLOOKUP(Table7[[#This Row],[Baseline Fixture Code]], 'Tables &amp; Ranges'!$A$114:$B$132, 2, FALSE)</f>
        <v>101002</v>
      </c>
    </row>
    <row r="479" spans="2:12" ht="40" customHeight="1">
      <c r="B479" s="42">
        <v>1172</v>
      </c>
      <c r="C479" s="102" t="s">
        <v>2375</v>
      </c>
      <c r="D479" s="102" t="s">
        <v>1858</v>
      </c>
      <c r="E479" s="92" t="s">
        <v>2376</v>
      </c>
      <c r="F479" s="42">
        <v>6</v>
      </c>
      <c r="G479" s="42">
        <v>28</v>
      </c>
      <c r="H479" s="42">
        <v>194</v>
      </c>
      <c r="I479" s="42" t="s">
        <v>1881</v>
      </c>
      <c r="J479" s="103" t="s">
        <v>3611</v>
      </c>
      <c r="K479" s="42" t="s">
        <v>4037</v>
      </c>
      <c r="L479" s="42">
        <f>VLOOKUP(Table7[[#This Row],[Baseline Fixture Code]], 'Tables &amp; Ranges'!$A$114:$B$132, 2, FALSE)</f>
        <v>101002</v>
      </c>
    </row>
    <row r="480" spans="2:12" ht="40" customHeight="1">
      <c r="B480" s="42">
        <v>1173</v>
      </c>
      <c r="C480" s="102" t="s">
        <v>2377</v>
      </c>
      <c r="D480" s="102" t="s">
        <v>1858</v>
      </c>
      <c r="E480" s="92" t="s">
        <v>2378</v>
      </c>
      <c r="F480" s="42">
        <v>8</v>
      </c>
      <c r="G480" s="42">
        <v>28</v>
      </c>
      <c r="H480" s="42">
        <v>250</v>
      </c>
      <c r="I480" s="42" t="s">
        <v>1881</v>
      </c>
      <c r="J480" s="103" t="s">
        <v>3611</v>
      </c>
      <c r="K480" s="42" t="s">
        <v>4037</v>
      </c>
      <c r="L480" s="42">
        <f>VLOOKUP(Table7[[#This Row],[Baseline Fixture Code]], 'Tables &amp; Ranges'!$A$114:$B$132, 2, FALSE)</f>
        <v>101002</v>
      </c>
    </row>
    <row r="481" spans="2:12" ht="40" customHeight="1">
      <c r="B481" s="42">
        <v>1532</v>
      </c>
      <c r="C481" s="102" t="s">
        <v>3057</v>
      </c>
      <c r="D481" s="102" t="s">
        <v>107</v>
      </c>
      <c r="E481" s="92" t="s">
        <v>3058</v>
      </c>
      <c r="F481" s="42">
        <v>1</v>
      </c>
      <c r="G481" s="42">
        <v>28</v>
      </c>
      <c r="H481" s="42">
        <v>28</v>
      </c>
      <c r="I481" s="42" t="s">
        <v>146</v>
      </c>
      <c r="J481" s="103" t="s">
        <v>3611</v>
      </c>
      <c r="K481" s="42" t="s">
        <v>107</v>
      </c>
      <c r="L481" s="42">
        <f>VLOOKUP(Table7[[#This Row],[Baseline Fixture Code]], 'Tables &amp; Ranges'!$A$114:$B$132, 2, FALSE)</f>
        <v>101106</v>
      </c>
    </row>
    <row r="482" spans="2:12" ht="40" customHeight="1">
      <c r="B482" s="42">
        <v>1533</v>
      </c>
      <c r="C482" s="102" t="s">
        <v>3059</v>
      </c>
      <c r="D482" s="102" t="s">
        <v>107</v>
      </c>
      <c r="E482" s="92" t="s">
        <v>3060</v>
      </c>
      <c r="F482" s="42">
        <v>1</v>
      </c>
      <c r="G482" s="42">
        <v>29</v>
      </c>
      <c r="H482" s="42">
        <v>29</v>
      </c>
      <c r="I482" s="42" t="s">
        <v>146</v>
      </c>
      <c r="J482" s="103" t="s">
        <v>3611</v>
      </c>
      <c r="K482" s="42" t="s">
        <v>107</v>
      </c>
      <c r="L482" s="42">
        <f>VLOOKUP(Table7[[#This Row],[Baseline Fixture Code]], 'Tables &amp; Ranges'!$A$114:$B$132, 2, FALSE)</f>
        <v>101106</v>
      </c>
    </row>
    <row r="483" spans="2:12" ht="40" customHeight="1">
      <c r="B483" s="42">
        <v>1311</v>
      </c>
      <c r="C483" s="102" t="s">
        <v>2647</v>
      </c>
      <c r="D483" s="102" t="s">
        <v>2623</v>
      </c>
      <c r="E483" s="92" t="s">
        <v>2648</v>
      </c>
      <c r="F483" s="42">
        <v>1</v>
      </c>
      <c r="G483" s="42">
        <v>30</v>
      </c>
      <c r="H483" s="42">
        <v>37</v>
      </c>
      <c r="I483" s="42" t="s">
        <v>2077</v>
      </c>
      <c r="J483" s="103" t="s">
        <v>3611</v>
      </c>
      <c r="K483" s="42" t="s">
        <v>3712</v>
      </c>
      <c r="L483" s="42">
        <f>VLOOKUP(Table7[[#This Row],[Baseline Fixture Code]], 'Tables &amp; Ranges'!$A$114:$B$132, 2, FALSE)</f>
        <v>101001</v>
      </c>
    </row>
    <row r="484" spans="2:12" ht="40" customHeight="1">
      <c r="B484" s="42">
        <v>1313</v>
      </c>
      <c r="C484" s="102" t="s">
        <v>2651</v>
      </c>
      <c r="D484" s="102" t="s">
        <v>2623</v>
      </c>
      <c r="E484" s="92" t="s">
        <v>2652</v>
      </c>
      <c r="F484" s="42">
        <v>1</v>
      </c>
      <c r="G484" s="42">
        <v>30</v>
      </c>
      <c r="H484" s="42">
        <v>31</v>
      </c>
      <c r="I484" s="42" t="s">
        <v>147</v>
      </c>
      <c r="J484" s="103" t="s">
        <v>3611</v>
      </c>
      <c r="K484" s="42" t="s">
        <v>3712</v>
      </c>
      <c r="L484" s="42">
        <f>VLOOKUP(Table7[[#This Row],[Baseline Fixture Code]], 'Tables &amp; Ranges'!$A$114:$B$132, 2, FALSE)</f>
        <v>101001</v>
      </c>
    </row>
    <row r="485" spans="2:12" ht="40" customHeight="1">
      <c r="B485" s="42">
        <v>1314</v>
      </c>
      <c r="C485" s="102" t="s">
        <v>2653</v>
      </c>
      <c r="D485" s="102" t="s">
        <v>2623</v>
      </c>
      <c r="E485" s="92" t="s">
        <v>2652</v>
      </c>
      <c r="F485" s="42">
        <v>1</v>
      </c>
      <c r="G485" s="42">
        <v>30</v>
      </c>
      <c r="H485" s="42">
        <v>46</v>
      </c>
      <c r="I485" s="42" t="s">
        <v>1457</v>
      </c>
      <c r="J485" s="103" t="s">
        <v>3611</v>
      </c>
      <c r="K485" s="42" t="s">
        <v>3712</v>
      </c>
      <c r="L485" s="42">
        <f>VLOOKUP(Table7[[#This Row],[Baseline Fixture Code]], 'Tables &amp; Ranges'!$A$114:$B$132, 2, FALSE)</f>
        <v>101001</v>
      </c>
    </row>
    <row r="486" spans="2:12" ht="40" customHeight="1">
      <c r="B486" s="42">
        <v>1315</v>
      </c>
      <c r="C486" s="102" t="s">
        <v>2654</v>
      </c>
      <c r="D486" s="102" t="s">
        <v>2623</v>
      </c>
      <c r="E486" s="92" t="s">
        <v>2648</v>
      </c>
      <c r="F486" s="42">
        <v>1</v>
      </c>
      <c r="G486" s="42">
        <v>30</v>
      </c>
      <c r="H486" s="42">
        <v>41</v>
      </c>
      <c r="I486" s="42" t="s">
        <v>1457</v>
      </c>
      <c r="J486" s="103" t="s">
        <v>3611</v>
      </c>
      <c r="K486" s="42" t="s">
        <v>3712</v>
      </c>
      <c r="L486" s="42">
        <f>VLOOKUP(Table7[[#This Row],[Baseline Fixture Code]], 'Tables &amp; Ranges'!$A$114:$B$132, 2, FALSE)</f>
        <v>101001</v>
      </c>
    </row>
    <row r="487" spans="2:12" ht="40" customHeight="1">
      <c r="B487" s="42">
        <v>1320</v>
      </c>
      <c r="C487" s="102" t="s">
        <v>2662</v>
      </c>
      <c r="D487" s="102" t="s">
        <v>2623</v>
      </c>
      <c r="E487" s="92" t="s">
        <v>2663</v>
      </c>
      <c r="F487" s="42">
        <v>2</v>
      </c>
      <c r="G487" s="42">
        <v>30</v>
      </c>
      <c r="H487" s="42">
        <v>74</v>
      </c>
      <c r="I487" s="42" t="s">
        <v>2077</v>
      </c>
      <c r="J487" s="103" t="s">
        <v>3611</v>
      </c>
      <c r="K487" s="42" t="s">
        <v>3712</v>
      </c>
      <c r="L487" s="42">
        <f>VLOOKUP(Table7[[#This Row],[Baseline Fixture Code]], 'Tables &amp; Ranges'!$A$114:$B$132, 2, FALSE)</f>
        <v>101001</v>
      </c>
    </row>
    <row r="488" spans="2:12" ht="40" customHeight="1">
      <c r="B488" s="42">
        <v>1322</v>
      </c>
      <c r="C488" s="102" t="s">
        <v>2666</v>
      </c>
      <c r="D488" s="102" t="s">
        <v>2623</v>
      </c>
      <c r="E488" s="92" t="s">
        <v>2663</v>
      </c>
      <c r="F488" s="42">
        <v>2</v>
      </c>
      <c r="G488" s="42">
        <v>30</v>
      </c>
      <c r="H488" s="42">
        <v>58</v>
      </c>
      <c r="I488" s="42" t="s">
        <v>147</v>
      </c>
      <c r="J488" s="103" t="s">
        <v>3611</v>
      </c>
      <c r="K488" s="42" t="s">
        <v>3712</v>
      </c>
      <c r="L488" s="42">
        <f>VLOOKUP(Table7[[#This Row],[Baseline Fixture Code]], 'Tables &amp; Ranges'!$A$114:$B$132, 2, FALSE)</f>
        <v>101001</v>
      </c>
    </row>
    <row r="489" spans="2:12" ht="40" customHeight="1">
      <c r="B489" s="42">
        <v>1323</v>
      </c>
      <c r="C489" s="102" t="s">
        <v>2667</v>
      </c>
      <c r="D489" s="102" t="s">
        <v>2623</v>
      </c>
      <c r="E489" s="92" t="s">
        <v>2663</v>
      </c>
      <c r="F489" s="42">
        <v>2</v>
      </c>
      <c r="G489" s="42">
        <v>30</v>
      </c>
      <c r="H489" s="42">
        <v>75</v>
      </c>
      <c r="I489" s="42" t="s">
        <v>1457</v>
      </c>
      <c r="J489" s="103" t="s">
        <v>3611</v>
      </c>
      <c r="K489" s="42" t="s">
        <v>3712</v>
      </c>
      <c r="L489" s="42">
        <f>VLOOKUP(Table7[[#This Row],[Baseline Fixture Code]], 'Tables &amp; Ranges'!$A$114:$B$132, 2, FALSE)</f>
        <v>101001</v>
      </c>
    </row>
    <row r="490" spans="2:12" ht="40" customHeight="1">
      <c r="B490" s="42">
        <v>1325</v>
      </c>
      <c r="C490" s="102" t="s">
        <v>2670</v>
      </c>
      <c r="D490" s="102" t="s">
        <v>2623</v>
      </c>
      <c r="E490" s="92" t="s">
        <v>2671</v>
      </c>
      <c r="F490" s="42">
        <v>3</v>
      </c>
      <c r="G490" s="42">
        <v>30</v>
      </c>
      <c r="H490" s="42">
        <v>120</v>
      </c>
      <c r="I490" s="42" t="s">
        <v>2077</v>
      </c>
      <c r="J490" s="103" t="s">
        <v>3611</v>
      </c>
      <c r="K490" s="42" t="s">
        <v>3712</v>
      </c>
      <c r="L490" s="42">
        <f>VLOOKUP(Table7[[#This Row],[Baseline Fixture Code]], 'Tables &amp; Ranges'!$A$114:$B$132, 2, FALSE)</f>
        <v>101001</v>
      </c>
    </row>
    <row r="491" spans="2:12" ht="40" customHeight="1">
      <c r="B491" s="42">
        <v>1326</v>
      </c>
      <c r="C491" s="102" t="s">
        <v>2672</v>
      </c>
      <c r="D491" s="102" t="s">
        <v>2623</v>
      </c>
      <c r="E491" s="92" t="s">
        <v>2673</v>
      </c>
      <c r="F491" s="42">
        <v>3</v>
      </c>
      <c r="G491" s="42">
        <v>30</v>
      </c>
      <c r="H491" s="42">
        <v>127</v>
      </c>
      <c r="I491" s="42" t="s">
        <v>1457</v>
      </c>
      <c r="J491" s="103" t="s">
        <v>3611</v>
      </c>
      <c r="K491" s="42" t="s">
        <v>3712</v>
      </c>
      <c r="L491" s="42">
        <f>VLOOKUP(Table7[[#This Row],[Baseline Fixture Code]], 'Tables &amp; Ranges'!$A$114:$B$132, 2, FALSE)</f>
        <v>101001</v>
      </c>
    </row>
    <row r="492" spans="2:12" ht="40" customHeight="1">
      <c r="B492" s="42">
        <v>1328</v>
      </c>
      <c r="C492" s="102" t="s">
        <v>2676</v>
      </c>
      <c r="D492" s="102" t="s">
        <v>2623</v>
      </c>
      <c r="E492" s="92" t="s">
        <v>2677</v>
      </c>
      <c r="F492" s="42">
        <v>4</v>
      </c>
      <c r="G492" s="42">
        <v>30</v>
      </c>
      <c r="H492" s="42">
        <v>148</v>
      </c>
      <c r="I492" s="42" t="s">
        <v>2077</v>
      </c>
      <c r="J492" s="103" t="s">
        <v>3611</v>
      </c>
      <c r="K492" s="42" t="s">
        <v>3712</v>
      </c>
      <c r="L492" s="42">
        <f>VLOOKUP(Table7[[#This Row],[Baseline Fixture Code]], 'Tables &amp; Ranges'!$A$114:$B$132, 2, FALSE)</f>
        <v>101001</v>
      </c>
    </row>
    <row r="493" spans="2:12" ht="40" customHeight="1">
      <c r="B493" s="42">
        <v>1329</v>
      </c>
      <c r="C493" s="102" t="s">
        <v>2678</v>
      </c>
      <c r="D493" s="102" t="s">
        <v>2623</v>
      </c>
      <c r="E493" s="92" t="s">
        <v>2677</v>
      </c>
      <c r="F493" s="42">
        <v>4</v>
      </c>
      <c r="G493" s="42">
        <v>30</v>
      </c>
      <c r="H493" s="42">
        <v>116</v>
      </c>
      <c r="I493" s="42" t="s">
        <v>147</v>
      </c>
      <c r="J493" s="103" t="s">
        <v>3611</v>
      </c>
      <c r="K493" s="42" t="s">
        <v>3712</v>
      </c>
      <c r="L493" s="42">
        <f>VLOOKUP(Table7[[#This Row],[Baseline Fixture Code]], 'Tables &amp; Ranges'!$A$114:$B$132, 2, FALSE)</f>
        <v>101001</v>
      </c>
    </row>
    <row r="494" spans="2:12" ht="40" customHeight="1">
      <c r="B494" s="42">
        <v>1330</v>
      </c>
      <c r="C494" s="102" t="s">
        <v>2679</v>
      </c>
      <c r="D494" s="102" t="s">
        <v>2623</v>
      </c>
      <c r="E494" s="92" t="s">
        <v>2677</v>
      </c>
      <c r="F494" s="42">
        <v>4</v>
      </c>
      <c r="G494" s="42">
        <v>30</v>
      </c>
      <c r="H494" s="42">
        <v>150</v>
      </c>
      <c r="I494" s="42" t="s">
        <v>1457</v>
      </c>
      <c r="J494" s="103" t="s">
        <v>3611</v>
      </c>
      <c r="K494" s="42" t="s">
        <v>3712</v>
      </c>
      <c r="L494" s="42">
        <f>VLOOKUP(Table7[[#This Row],[Baseline Fixture Code]], 'Tables &amp; Ranges'!$A$114:$B$132, 2, FALSE)</f>
        <v>101001</v>
      </c>
    </row>
    <row r="495" spans="2:12" ht="40" customHeight="1">
      <c r="B495" s="42">
        <v>1331</v>
      </c>
      <c r="C495" s="102" t="s">
        <v>2680</v>
      </c>
      <c r="D495" s="102" t="s">
        <v>2623</v>
      </c>
      <c r="E495" s="92" t="s">
        <v>2681</v>
      </c>
      <c r="F495" s="42">
        <v>6</v>
      </c>
      <c r="G495" s="42">
        <v>30</v>
      </c>
      <c r="H495" s="42">
        <v>198</v>
      </c>
      <c r="I495" s="42" t="s">
        <v>2077</v>
      </c>
      <c r="J495" s="103" t="s">
        <v>3611</v>
      </c>
      <c r="K495" s="42" t="s">
        <v>3712</v>
      </c>
      <c r="L495" s="42">
        <f>VLOOKUP(Table7[[#This Row],[Baseline Fixture Code]], 'Tables &amp; Ranges'!$A$114:$B$132, 2, FALSE)</f>
        <v>101001</v>
      </c>
    </row>
    <row r="496" spans="2:12" ht="40" customHeight="1">
      <c r="B496" s="42">
        <v>1332</v>
      </c>
      <c r="C496" s="102" t="s">
        <v>2682</v>
      </c>
      <c r="D496" s="102" t="s">
        <v>2623</v>
      </c>
      <c r="E496" s="92" t="s">
        <v>2681</v>
      </c>
      <c r="F496" s="42">
        <v>6</v>
      </c>
      <c r="G496" s="42">
        <v>30</v>
      </c>
      <c r="H496" s="42">
        <v>219</v>
      </c>
      <c r="I496" s="42" t="s">
        <v>1457</v>
      </c>
      <c r="J496" s="103" t="s">
        <v>3611</v>
      </c>
      <c r="K496" s="42" t="s">
        <v>3712</v>
      </c>
      <c r="L496" s="42">
        <f>VLOOKUP(Table7[[#This Row],[Baseline Fixture Code]], 'Tables &amp; Ranges'!$A$114:$B$132, 2, FALSE)</f>
        <v>101001</v>
      </c>
    </row>
    <row r="497" spans="2:12" ht="40" customHeight="1">
      <c r="B497" s="42">
        <v>1333</v>
      </c>
      <c r="C497" s="102" t="s">
        <v>2683</v>
      </c>
      <c r="D497" s="102" t="s">
        <v>2623</v>
      </c>
      <c r="E497" s="92" t="s">
        <v>2684</v>
      </c>
      <c r="F497" s="42">
        <v>6</v>
      </c>
      <c r="G497" s="42">
        <v>30</v>
      </c>
      <c r="H497" s="42">
        <v>213</v>
      </c>
      <c r="I497" s="42" t="s">
        <v>2077</v>
      </c>
      <c r="J497" s="103" t="s">
        <v>3611</v>
      </c>
      <c r="K497" s="42" t="s">
        <v>3712</v>
      </c>
      <c r="L497" s="42">
        <f>VLOOKUP(Table7[[#This Row],[Baseline Fixture Code]], 'Tables &amp; Ranges'!$A$114:$B$132, 2, FALSE)</f>
        <v>101001</v>
      </c>
    </row>
    <row r="498" spans="2:12" ht="40" customHeight="1">
      <c r="B498" s="42">
        <v>1334</v>
      </c>
      <c r="C498" s="102" t="s">
        <v>2685</v>
      </c>
      <c r="D498" s="102" t="s">
        <v>2623</v>
      </c>
      <c r="E498" s="92" t="s">
        <v>2684</v>
      </c>
      <c r="F498" s="42">
        <v>6</v>
      </c>
      <c r="G498" s="42">
        <v>30</v>
      </c>
      <c r="H498" s="42">
        <v>225</v>
      </c>
      <c r="I498" s="42" t="s">
        <v>1457</v>
      </c>
      <c r="J498" s="103" t="s">
        <v>3611</v>
      </c>
      <c r="K498" s="42" t="s">
        <v>3712</v>
      </c>
      <c r="L498" s="42">
        <f>VLOOKUP(Table7[[#This Row],[Baseline Fixture Code]], 'Tables &amp; Ranges'!$A$114:$B$132, 2, FALSE)</f>
        <v>101001</v>
      </c>
    </row>
    <row r="499" spans="2:12" ht="40" customHeight="1">
      <c r="B499" s="42">
        <v>1368</v>
      </c>
      <c r="C499" s="102" t="s">
        <v>2751</v>
      </c>
      <c r="D499" s="102" t="s">
        <v>2623</v>
      </c>
      <c r="E499" s="92" t="s">
        <v>2752</v>
      </c>
      <c r="F499" s="42">
        <v>1</v>
      </c>
      <c r="G499" s="42">
        <v>30</v>
      </c>
      <c r="H499" s="42">
        <v>51</v>
      </c>
      <c r="I499" s="42" t="s">
        <v>1457</v>
      </c>
      <c r="J499" s="103" t="s">
        <v>131</v>
      </c>
      <c r="K499" s="42" t="s">
        <v>3712</v>
      </c>
      <c r="L499" s="42">
        <f>VLOOKUP(Table7[[#This Row],[Baseline Fixture Code]], 'Tables &amp; Ranges'!$A$114:$B$132, 2, FALSE)</f>
        <v>101001</v>
      </c>
    </row>
    <row r="500" spans="2:12" ht="40" customHeight="1">
      <c r="B500" s="42">
        <v>1174</v>
      </c>
      <c r="C500" s="102" t="s">
        <v>2379</v>
      </c>
      <c r="D500" s="102" t="s">
        <v>1858</v>
      </c>
      <c r="E500" s="92" t="s">
        <v>2380</v>
      </c>
      <c r="F500" s="42">
        <v>1</v>
      </c>
      <c r="G500" s="42">
        <v>30</v>
      </c>
      <c r="H500" s="42">
        <v>28</v>
      </c>
      <c r="I500" s="42" t="s">
        <v>1743</v>
      </c>
      <c r="J500" s="103" t="s">
        <v>3611</v>
      </c>
      <c r="K500" s="42" t="s">
        <v>4037</v>
      </c>
      <c r="L500" s="42">
        <f>VLOOKUP(Table7[[#This Row],[Baseline Fixture Code]], 'Tables &amp; Ranges'!$A$114:$B$132, 2, FALSE)</f>
        <v>101002</v>
      </c>
    </row>
    <row r="501" spans="2:12" ht="40" customHeight="1">
      <c r="B501" s="42">
        <v>1175</v>
      </c>
      <c r="C501" s="102" t="s">
        <v>2381</v>
      </c>
      <c r="D501" s="102" t="s">
        <v>1858</v>
      </c>
      <c r="E501" s="92" t="s">
        <v>2382</v>
      </c>
      <c r="F501" s="42">
        <v>1</v>
      </c>
      <c r="G501" s="42">
        <v>30</v>
      </c>
      <c r="H501" s="42">
        <v>24</v>
      </c>
      <c r="I501" s="42" t="s">
        <v>1743</v>
      </c>
      <c r="J501" s="103" t="s">
        <v>3611</v>
      </c>
      <c r="K501" s="42" t="s">
        <v>4037</v>
      </c>
      <c r="L501" s="42">
        <f>VLOOKUP(Table7[[#This Row],[Baseline Fixture Code]], 'Tables &amp; Ranges'!$A$114:$B$132, 2, FALSE)</f>
        <v>101002</v>
      </c>
    </row>
    <row r="502" spans="2:12" ht="40" customHeight="1">
      <c r="B502" s="42">
        <v>1176</v>
      </c>
      <c r="C502" s="102" t="s">
        <v>2383</v>
      </c>
      <c r="D502" s="102" t="s">
        <v>1858</v>
      </c>
      <c r="E502" s="92" t="s">
        <v>2384</v>
      </c>
      <c r="F502" s="42">
        <v>1</v>
      </c>
      <c r="G502" s="42">
        <v>30</v>
      </c>
      <c r="H502" s="42">
        <v>29</v>
      </c>
      <c r="I502" s="42" t="s">
        <v>147</v>
      </c>
      <c r="J502" s="103" t="s">
        <v>3611</v>
      </c>
      <c r="K502" s="42" t="s">
        <v>4037</v>
      </c>
      <c r="L502" s="42">
        <f>VLOOKUP(Table7[[#This Row],[Baseline Fixture Code]], 'Tables &amp; Ranges'!$A$114:$B$132, 2, FALSE)</f>
        <v>101002</v>
      </c>
    </row>
    <row r="503" spans="2:12" ht="40" customHeight="1">
      <c r="B503" s="42">
        <v>1179</v>
      </c>
      <c r="C503" s="102" t="s">
        <v>2389</v>
      </c>
      <c r="D503" s="102" t="s">
        <v>1858</v>
      </c>
      <c r="E503" s="92" t="s">
        <v>2390</v>
      </c>
      <c r="F503" s="42">
        <v>1</v>
      </c>
      <c r="G503" s="42">
        <v>30</v>
      </c>
      <c r="H503" s="42">
        <v>28</v>
      </c>
      <c r="I503" s="42" t="s">
        <v>147</v>
      </c>
      <c r="J503" s="103" t="s">
        <v>3611</v>
      </c>
      <c r="K503" s="42" t="s">
        <v>4037</v>
      </c>
      <c r="L503" s="42">
        <f>VLOOKUP(Table7[[#This Row],[Baseline Fixture Code]], 'Tables &amp; Ranges'!$A$114:$B$132, 2, FALSE)</f>
        <v>101002</v>
      </c>
    </row>
    <row r="504" spans="2:12" ht="40" customHeight="1">
      <c r="B504" s="42">
        <v>1180</v>
      </c>
      <c r="C504" s="102" t="s">
        <v>2391</v>
      </c>
      <c r="D504" s="102" t="s">
        <v>1858</v>
      </c>
      <c r="E504" s="92" t="s">
        <v>2392</v>
      </c>
      <c r="F504" s="42">
        <v>1</v>
      </c>
      <c r="G504" s="42">
        <v>30</v>
      </c>
      <c r="H504" s="42">
        <v>27</v>
      </c>
      <c r="I504" s="42" t="s">
        <v>147</v>
      </c>
      <c r="J504" s="103" t="s">
        <v>3611</v>
      </c>
      <c r="K504" s="42" t="s">
        <v>4037</v>
      </c>
      <c r="L504" s="42">
        <f>VLOOKUP(Table7[[#This Row],[Baseline Fixture Code]], 'Tables &amp; Ranges'!$A$114:$B$132, 2, FALSE)</f>
        <v>101002</v>
      </c>
    </row>
    <row r="505" spans="2:12" ht="40" customHeight="1">
      <c r="B505" s="42">
        <v>1181</v>
      </c>
      <c r="C505" s="102" t="s">
        <v>2393</v>
      </c>
      <c r="D505" s="102" t="s">
        <v>1858</v>
      </c>
      <c r="E505" s="92" t="s">
        <v>2394</v>
      </c>
      <c r="F505" s="42">
        <v>1</v>
      </c>
      <c r="G505" s="42">
        <v>30</v>
      </c>
      <c r="H505" s="42">
        <v>27</v>
      </c>
      <c r="I505" s="42" t="s">
        <v>147</v>
      </c>
      <c r="J505" s="103" t="s">
        <v>3611</v>
      </c>
      <c r="K505" s="42" t="s">
        <v>4037</v>
      </c>
      <c r="L505" s="42">
        <f>VLOOKUP(Table7[[#This Row],[Baseline Fixture Code]], 'Tables &amp; Ranges'!$A$114:$B$132, 2, FALSE)</f>
        <v>101002</v>
      </c>
    </row>
    <row r="506" spans="2:12" ht="40" customHeight="1">
      <c r="B506" s="42">
        <v>1177</v>
      </c>
      <c r="C506" s="102" t="s">
        <v>2385</v>
      </c>
      <c r="D506" s="102" t="s">
        <v>1858</v>
      </c>
      <c r="E506" s="92" t="s">
        <v>2386</v>
      </c>
      <c r="F506" s="42">
        <v>1</v>
      </c>
      <c r="G506" s="42">
        <v>30</v>
      </c>
      <c r="H506" s="42">
        <v>34</v>
      </c>
      <c r="I506" s="42" t="s">
        <v>147</v>
      </c>
      <c r="J506" s="103" t="s">
        <v>3611</v>
      </c>
      <c r="K506" s="42" t="s">
        <v>4037</v>
      </c>
      <c r="L506" s="42">
        <f>VLOOKUP(Table7[[#This Row],[Baseline Fixture Code]], 'Tables &amp; Ranges'!$A$114:$B$132, 2, FALSE)</f>
        <v>101002</v>
      </c>
    </row>
    <row r="507" spans="2:12" ht="40" customHeight="1">
      <c r="B507" s="42">
        <v>1178</v>
      </c>
      <c r="C507" s="102" t="s">
        <v>2387</v>
      </c>
      <c r="D507" s="102" t="s">
        <v>1858</v>
      </c>
      <c r="E507" s="92" t="s">
        <v>2388</v>
      </c>
      <c r="F507" s="42">
        <v>1</v>
      </c>
      <c r="G507" s="42">
        <v>30</v>
      </c>
      <c r="H507" s="42">
        <v>26</v>
      </c>
      <c r="I507" s="42" t="s">
        <v>147</v>
      </c>
      <c r="J507" s="103" t="s">
        <v>3611</v>
      </c>
      <c r="K507" s="42" t="s">
        <v>4037</v>
      </c>
      <c r="L507" s="42">
        <f>VLOOKUP(Table7[[#This Row],[Baseline Fixture Code]], 'Tables &amp; Ranges'!$A$114:$B$132, 2, FALSE)</f>
        <v>101002</v>
      </c>
    </row>
    <row r="508" spans="2:12" ht="40" customHeight="1">
      <c r="B508" s="42">
        <v>1182</v>
      </c>
      <c r="C508" s="102" t="s">
        <v>2395</v>
      </c>
      <c r="D508" s="102" t="s">
        <v>1858</v>
      </c>
      <c r="E508" s="92" t="s">
        <v>2396</v>
      </c>
      <c r="F508" s="42">
        <v>1</v>
      </c>
      <c r="G508" s="42">
        <v>30</v>
      </c>
      <c r="H508" s="42">
        <v>27</v>
      </c>
      <c r="I508" s="42" t="s">
        <v>1881</v>
      </c>
      <c r="J508" s="103" t="s">
        <v>3611</v>
      </c>
      <c r="K508" s="42" t="s">
        <v>4037</v>
      </c>
      <c r="L508" s="42">
        <f>VLOOKUP(Table7[[#This Row],[Baseline Fixture Code]], 'Tables &amp; Ranges'!$A$114:$B$132, 2, FALSE)</f>
        <v>101002</v>
      </c>
    </row>
    <row r="509" spans="2:12" ht="40" customHeight="1">
      <c r="B509" s="42">
        <v>1185</v>
      </c>
      <c r="C509" s="102" t="s">
        <v>2400</v>
      </c>
      <c r="D509" s="102" t="s">
        <v>1858</v>
      </c>
      <c r="E509" s="92" t="s">
        <v>2390</v>
      </c>
      <c r="F509" s="42">
        <v>1</v>
      </c>
      <c r="G509" s="42">
        <v>30</v>
      </c>
      <c r="H509" s="42">
        <v>26</v>
      </c>
      <c r="I509" s="42" t="s">
        <v>1881</v>
      </c>
      <c r="J509" s="103" t="s">
        <v>3611</v>
      </c>
      <c r="K509" s="42" t="s">
        <v>4037</v>
      </c>
      <c r="L509" s="42">
        <f>VLOOKUP(Table7[[#This Row],[Baseline Fixture Code]], 'Tables &amp; Ranges'!$A$114:$B$132, 2, FALSE)</f>
        <v>101002</v>
      </c>
    </row>
    <row r="510" spans="2:12" ht="40" customHeight="1">
      <c r="B510" s="42">
        <v>1186</v>
      </c>
      <c r="C510" s="102" t="s">
        <v>2401</v>
      </c>
      <c r="D510" s="102" t="s">
        <v>1858</v>
      </c>
      <c r="E510" s="92" t="s">
        <v>2402</v>
      </c>
      <c r="F510" s="42">
        <v>1</v>
      </c>
      <c r="G510" s="42">
        <v>30</v>
      </c>
      <c r="H510" s="42">
        <v>23</v>
      </c>
      <c r="I510" s="42" t="s">
        <v>1881</v>
      </c>
      <c r="J510" s="103" t="s">
        <v>3611</v>
      </c>
      <c r="K510" s="42" t="s">
        <v>4037</v>
      </c>
      <c r="L510" s="42">
        <f>VLOOKUP(Table7[[#This Row],[Baseline Fixture Code]], 'Tables &amp; Ranges'!$A$114:$B$132, 2, FALSE)</f>
        <v>101002</v>
      </c>
    </row>
    <row r="511" spans="2:12" ht="40" customHeight="1">
      <c r="B511" s="42">
        <v>1187</v>
      </c>
      <c r="C511" s="102" t="s">
        <v>2403</v>
      </c>
      <c r="D511" s="102" t="s">
        <v>1858</v>
      </c>
      <c r="E511" s="92" t="s">
        <v>2392</v>
      </c>
      <c r="F511" s="42">
        <v>1</v>
      </c>
      <c r="G511" s="42">
        <v>30</v>
      </c>
      <c r="H511" s="42">
        <v>26</v>
      </c>
      <c r="I511" s="42" t="s">
        <v>1881</v>
      </c>
      <c r="J511" s="103" t="s">
        <v>3611</v>
      </c>
      <c r="K511" s="42" t="s">
        <v>4037</v>
      </c>
      <c r="L511" s="42">
        <f>VLOOKUP(Table7[[#This Row],[Baseline Fixture Code]], 'Tables &amp; Ranges'!$A$114:$B$132, 2, FALSE)</f>
        <v>101002</v>
      </c>
    </row>
    <row r="512" spans="2:12" ht="40" customHeight="1">
      <c r="B512" s="42">
        <v>1188</v>
      </c>
      <c r="C512" s="102" t="s">
        <v>2404</v>
      </c>
      <c r="D512" s="102" t="s">
        <v>1858</v>
      </c>
      <c r="E512" s="92" t="s">
        <v>2405</v>
      </c>
      <c r="F512" s="42">
        <v>1</v>
      </c>
      <c r="G512" s="42">
        <v>30</v>
      </c>
      <c r="H512" s="42">
        <v>23</v>
      </c>
      <c r="I512" s="42" t="s">
        <v>1881</v>
      </c>
      <c r="J512" s="103" t="s">
        <v>3611</v>
      </c>
      <c r="K512" s="42" t="s">
        <v>4037</v>
      </c>
      <c r="L512" s="42">
        <f>VLOOKUP(Table7[[#This Row],[Baseline Fixture Code]], 'Tables &amp; Ranges'!$A$114:$B$132, 2, FALSE)</f>
        <v>101002</v>
      </c>
    </row>
    <row r="513" spans="2:12" ht="40" customHeight="1">
      <c r="B513" s="42">
        <v>1189</v>
      </c>
      <c r="C513" s="102" t="s">
        <v>2406</v>
      </c>
      <c r="D513" s="102" t="s">
        <v>1858</v>
      </c>
      <c r="E513" s="92" t="s">
        <v>2394</v>
      </c>
      <c r="F513" s="42">
        <v>1</v>
      </c>
      <c r="G513" s="42">
        <v>30</v>
      </c>
      <c r="H513" s="42">
        <v>25</v>
      </c>
      <c r="I513" s="42" t="s">
        <v>1881</v>
      </c>
      <c r="J513" s="103" t="s">
        <v>3611</v>
      </c>
      <c r="K513" s="42" t="s">
        <v>4037</v>
      </c>
      <c r="L513" s="42">
        <f>VLOOKUP(Table7[[#This Row],[Baseline Fixture Code]], 'Tables &amp; Ranges'!$A$114:$B$132, 2, FALSE)</f>
        <v>101002</v>
      </c>
    </row>
    <row r="514" spans="2:12" ht="40" customHeight="1">
      <c r="B514" s="42">
        <v>1190</v>
      </c>
      <c r="C514" s="102" t="s">
        <v>2407</v>
      </c>
      <c r="D514" s="102" t="s">
        <v>1858</v>
      </c>
      <c r="E514" s="92" t="s">
        <v>2408</v>
      </c>
      <c r="F514" s="42">
        <v>1</v>
      </c>
      <c r="G514" s="42">
        <v>30</v>
      </c>
      <c r="H514" s="42">
        <v>22</v>
      </c>
      <c r="I514" s="42" t="s">
        <v>1881</v>
      </c>
      <c r="J514" s="103" t="s">
        <v>3611</v>
      </c>
      <c r="K514" s="42" t="s">
        <v>4037</v>
      </c>
      <c r="L514" s="42">
        <f>VLOOKUP(Table7[[#This Row],[Baseline Fixture Code]], 'Tables &amp; Ranges'!$A$114:$B$132, 2, FALSE)</f>
        <v>101002</v>
      </c>
    </row>
    <row r="515" spans="2:12" ht="40" customHeight="1">
      <c r="B515" s="42">
        <v>1183</v>
      </c>
      <c r="C515" s="102" t="s">
        <v>2397</v>
      </c>
      <c r="D515" s="102" t="s">
        <v>1858</v>
      </c>
      <c r="E515" s="92" t="s">
        <v>2386</v>
      </c>
      <c r="F515" s="42">
        <v>1</v>
      </c>
      <c r="G515" s="42">
        <v>30</v>
      </c>
      <c r="H515" s="42">
        <v>32</v>
      </c>
      <c r="I515" s="42" t="s">
        <v>1881</v>
      </c>
      <c r="J515" s="103" t="s">
        <v>3611</v>
      </c>
      <c r="K515" s="42" t="s">
        <v>4037</v>
      </c>
      <c r="L515" s="42">
        <f>VLOOKUP(Table7[[#This Row],[Baseline Fixture Code]], 'Tables &amp; Ranges'!$A$114:$B$132, 2, FALSE)</f>
        <v>101002</v>
      </c>
    </row>
    <row r="516" spans="2:12" ht="40" customHeight="1">
      <c r="B516" s="42">
        <v>1184</v>
      </c>
      <c r="C516" s="102" t="s">
        <v>2398</v>
      </c>
      <c r="D516" s="102" t="s">
        <v>1858</v>
      </c>
      <c r="E516" s="92" t="s">
        <v>2399</v>
      </c>
      <c r="F516" s="42">
        <v>1</v>
      </c>
      <c r="G516" s="42">
        <v>30</v>
      </c>
      <c r="H516" s="42">
        <v>24</v>
      </c>
      <c r="I516" s="42" t="s">
        <v>1881</v>
      </c>
      <c r="J516" s="103" t="s">
        <v>3611</v>
      </c>
      <c r="K516" s="42" t="s">
        <v>4037</v>
      </c>
      <c r="L516" s="42">
        <f>VLOOKUP(Table7[[#This Row],[Baseline Fixture Code]], 'Tables &amp; Ranges'!$A$114:$B$132, 2, FALSE)</f>
        <v>101002</v>
      </c>
    </row>
    <row r="517" spans="2:12" ht="40" customHeight="1">
      <c r="B517" s="42">
        <v>1369</v>
      </c>
      <c r="C517" s="102" t="s">
        <v>2753</v>
      </c>
      <c r="D517" s="102" t="s">
        <v>2623</v>
      </c>
      <c r="E517" s="92" t="s">
        <v>2754</v>
      </c>
      <c r="F517" s="42">
        <v>2</v>
      </c>
      <c r="G517" s="42">
        <v>30</v>
      </c>
      <c r="H517" s="42">
        <v>82</v>
      </c>
      <c r="I517" s="42" t="s">
        <v>1457</v>
      </c>
      <c r="J517" s="103" t="s">
        <v>131</v>
      </c>
      <c r="K517" s="42" t="s">
        <v>3712</v>
      </c>
      <c r="L517" s="42">
        <f>VLOOKUP(Table7[[#This Row],[Baseline Fixture Code]], 'Tables &amp; Ranges'!$A$114:$B$132, 2, FALSE)</f>
        <v>101001</v>
      </c>
    </row>
    <row r="518" spans="2:12" ht="40" customHeight="1">
      <c r="B518" s="42">
        <v>1191</v>
      </c>
      <c r="C518" s="102" t="s">
        <v>2409</v>
      </c>
      <c r="D518" s="102" t="s">
        <v>1858</v>
      </c>
      <c r="E518" s="92" t="s">
        <v>2410</v>
      </c>
      <c r="F518" s="42">
        <v>2</v>
      </c>
      <c r="G518" s="42">
        <v>30</v>
      </c>
      <c r="H518" s="42">
        <v>56</v>
      </c>
      <c r="I518" s="42" t="s">
        <v>1743</v>
      </c>
      <c r="J518" s="103" t="s">
        <v>3611</v>
      </c>
      <c r="K518" s="42" t="s">
        <v>4037</v>
      </c>
      <c r="L518" s="42">
        <f>VLOOKUP(Table7[[#This Row],[Baseline Fixture Code]], 'Tables &amp; Ranges'!$A$114:$B$132, 2, FALSE)</f>
        <v>101002</v>
      </c>
    </row>
    <row r="519" spans="2:12" ht="40" customHeight="1">
      <c r="B519" s="42">
        <v>1192</v>
      </c>
      <c r="C519" s="102" t="s">
        <v>2411</v>
      </c>
      <c r="D519" s="102" t="s">
        <v>1858</v>
      </c>
      <c r="E519" s="92" t="s">
        <v>2412</v>
      </c>
      <c r="F519" s="42">
        <v>2</v>
      </c>
      <c r="G519" s="42">
        <v>30</v>
      </c>
      <c r="H519" s="42">
        <v>43</v>
      </c>
      <c r="I519" s="42" t="s">
        <v>1743</v>
      </c>
      <c r="J519" s="103" t="s">
        <v>3611</v>
      </c>
      <c r="K519" s="42" t="s">
        <v>4037</v>
      </c>
      <c r="L519" s="42">
        <f>VLOOKUP(Table7[[#This Row],[Baseline Fixture Code]], 'Tables &amp; Ranges'!$A$114:$B$132, 2, FALSE)</f>
        <v>101002</v>
      </c>
    </row>
    <row r="520" spans="2:12" ht="40" customHeight="1">
      <c r="B520" s="42">
        <v>1193</v>
      </c>
      <c r="C520" s="102" t="s">
        <v>2413</v>
      </c>
      <c r="D520" s="102" t="s">
        <v>1858</v>
      </c>
      <c r="E520" s="92" t="s">
        <v>2414</v>
      </c>
      <c r="F520" s="42">
        <v>2</v>
      </c>
      <c r="G520" s="42">
        <v>30</v>
      </c>
      <c r="H520" s="42">
        <v>55</v>
      </c>
      <c r="I520" s="42" t="s">
        <v>147</v>
      </c>
      <c r="J520" s="103" t="s">
        <v>3611</v>
      </c>
      <c r="K520" s="42" t="s">
        <v>4037</v>
      </c>
      <c r="L520" s="42">
        <f>VLOOKUP(Table7[[#This Row],[Baseline Fixture Code]], 'Tables &amp; Ranges'!$A$114:$B$132, 2, FALSE)</f>
        <v>101002</v>
      </c>
    </row>
    <row r="521" spans="2:12" ht="40" customHeight="1">
      <c r="B521" s="42">
        <v>1196</v>
      </c>
      <c r="C521" s="102" t="s">
        <v>2419</v>
      </c>
      <c r="D521" s="102" t="s">
        <v>1858</v>
      </c>
      <c r="E521" s="92" t="s">
        <v>2420</v>
      </c>
      <c r="F521" s="42">
        <v>2</v>
      </c>
      <c r="G521" s="42">
        <v>30</v>
      </c>
      <c r="H521" s="42">
        <v>53</v>
      </c>
      <c r="I521" s="42" t="s">
        <v>147</v>
      </c>
      <c r="J521" s="103" t="s">
        <v>3611</v>
      </c>
      <c r="K521" s="42" t="s">
        <v>4037</v>
      </c>
      <c r="L521" s="42">
        <f>VLOOKUP(Table7[[#This Row],[Baseline Fixture Code]], 'Tables &amp; Ranges'!$A$114:$B$132, 2, FALSE)</f>
        <v>101002</v>
      </c>
    </row>
    <row r="522" spans="2:12" ht="40" customHeight="1">
      <c r="B522" s="42">
        <v>1197</v>
      </c>
      <c r="C522" s="102" t="s">
        <v>2421</v>
      </c>
      <c r="D522" s="102" t="s">
        <v>1858</v>
      </c>
      <c r="E522" s="92" t="s">
        <v>2422</v>
      </c>
      <c r="F522" s="42">
        <v>2</v>
      </c>
      <c r="G522" s="42">
        <v>30</v>
      </c>
      <c r="H522" s="42">
        <v>46</v>
      </c>
      <c r="I522" s="42" t="s">
        <v>147</v>
      </c>
      <c r="J522" s="103" t="s">
        <v>3611</v>
      </c>
      <c r="K522" s="42" t="s">
        <v>4037</v>
      </c>
      <c r="L522" s="42">
        <f>VLOOKUP(Table7[[#This Row],[Baseline Fixture Code]], 'Tables &amp; Ranges'!$A$114:$B$132, 2, FALSE)</f>
        <v>101002</v>
      </c>
    </row>
    <row r="523" spans="2:12" ht="40" customHeight="1">
      <c r="B523" s="42">
        <v>1194</v>
      </c>
      <c r="C523" s="102" t="s">
        <v>2415</v>
      </c>
      <c r="D523" s="102" t="s">
        <v>1858</v>
      </c>
      <c r="E523" s="92" t="s">
        <v>2416</v>
      </c>
      <c r="F523" s="42">
        <v>2</v>
      </c>
      <c r="G523" s="42">
        <v>30</v>
      </c>
      <c r="H523" s="42">
        <v>62</v>
      </c>
      <c r="I523" s="42" t="s">
        <v>147</v>
      </c>
      <c r="J523" s="103" t="s">
        <v>3611</v>
      </c>
      <c r="K523" s="42" t="s">
        <v>4037</v>
      </c>
      <c r="L523" s="42">
        <f>VLOOKUP(Table7[[#This Row],[Baseline Fixture Code]], 'Tables &amp; Ranges'!$A$114:$B$132, 2, FALSE)</f>
        <v>101002</v>
      </c>
    </row>
    <row r="524" spans="2:12" ht="40" customHeight="1">
      <c r="B524" s="42">
        <v>1195</v>
      </c>
      <c r="C524" s="102" t="s">
        <v>2417</v>
      </c>
      <c r="D524" s="102" t="s">
        <v>1858</v>
      </c>
      <c r="E524" s="92" t="s">
        <v>2418</v>
      </c>
      <c r="F524" s="42">
        <v>2</v>
      </c>
      <c r="G524" s="42">
        <v>30</v>
      </c>
      <c r="H524" s="42">
        <v>49</v>
      </c>
      <c r="I524" s="42" t="s">
        <v>147</v>
      </c>
      <c r="J524" s="103" t="s">
        <v>3611</v>
      </c>
      <c r="K524" s="42" t="s">
        <v>4037</v>
      </c>
      <c r="L524" s="42">
        <f>VLOOKUP(Table7[[#This Row],[Baseline Fixture Code]], 'Tables &amp; Ranges'!$A$114:$B$132, 2, FALSE)</f>
        <v>101002</v>
      </c>
    </row>
    <row r="525" spans="2:12" ht="40" customHeight="1">
      <c r="B525" s="42">
        <v>1198</v>
      </c>
      <c r="C525" s="102" t="s">
        <v>2423</v>
      </c>
      <c r="D525" s="102" t="s">
        <v>1858</v>
      </c>
      <c r="E525" s="92" t="s">
        <v>2414</v>
      </c>
      <c r="F525" s="42">
        <v>2</v>
      </c>
      <c r="G525" s="42">
        <v>30</v>
      </c>
      <c r="H525" s="42">
        <v>52</v>
      </c>
      <c r="I525" s="42" t="s">
        <v>1881</v>
      </c>
      <c r="J525" s="103" t="s">
        <v>3611</v>
      </c>
      <c r="K525" s="42" t="s">
        <v>4037</v>
      </c>
      <c r="L525" s="42">
        <f>VLOOKUP(Table7[[#This Row],[Baseline Fixture Code]], 'Tables &amp; Ranges'!$A$114:$B$132, 2, FALSE)</f>
        <v>101002</v>
      </c>
    </row>
    <row r="526" spans="2:12" ht="40" customHeight="1">
      <c r="B526" s="42">
        <v>1201</v>
      </c>
      <c r="C526" s="102" t="s">
        <v>2428</v>
      </c>
      <c r="D526" s="102" t="s">
        <v>1858</v>
      </c>
      <c r="E526" s="92" t="s">
        <v>2429</v>
      </c>
      <c r="F526" s="42">
        <v>2</v>
      </c>
      <c r="G526" s="42">
        <v>30</v>
      </c>
      <c r="H526" s="42">
        <v>51</v>
      </c>
      <c r="I526" s="42" t="s">
        <v>1881</v>
      </c>
      <c r="J526" s="103" t="s">
        <v>3611</v>
      </c>
      <c r="K526" s="42" t="s">
        <v>4037</v>
      </c>
      <c r="L526" s="42">
        <f>VLOOKUP(Table7[[#This Row],[Baseline Fixture Code]], 'Tables &amp; Ranges'!$A$114:$B$132, 2, FALSE)</f>
        <v>101002</v>
      </c>
    </row>
    <row r="527" spans="2:12" ht="40" customHeight="1">
      <c r="B527" s="42">
        <v>1202</v>
      </c>
      <c r="C527" s="102" t="s">
        <v>2430</v>
      </c>
      <c r="D527" s="102" t="s">
        <v>1858</v>
      </c>
      <c r="E527" s="92" t="s">
        <v>2431</v>
      </c>
      <c r="F527" s="42">
        <v>2</v>
      </c>
      <c r="G527" s="42">
        <v>30</v>
      </c>
      <c r="H527" s="42">
        <v>45</v>
      </c>
      <c r="I527" s="42" t="s">
        <v>1881</v>
      </c>
      <c r="J527" s="103" t="s">
        <v>3611</v>
      </c>
      <c r="K527" s="42" t="s">
        <v>4037</v>
      </c>
      <c r="L527" s="42">
        <f>VLOOKUP(Table7[[#This Row],[Baseline Fixture Code]], 'Tables &amp; Ranges'!$A$114:$B$132, 2, FALSE)</f>
        <v>101002</v>
      </c>
    </row>
    <row r="528" spans="2:12" ht="40" customHeight="1">
      <c r="B528" s="42">
        <v>1199</v>
      </c>
      <c r="C528" s="102" t="s">
        <v>2424</v>
      </c>
      <c r="D528" s="102" t="s">
        <v>1858</v>
      </c>
      <c r="E528" s="92" t="s">
        <v>2425</v>
      </c>
      <c r="F528" s="42">
        <v>2</v>
      </c>
      <c r="G528" s="42">
        <v>30</v>
      </c>
      <c r="H528" s="42">
        <v>45</v>
      </c>
      <c r="I528" s="42" t="s">
        <v>1881</v>
      </c>
      <c r="J528" s="103" t="s">
        <v>3611</v>
      </c>
      <c r="K528" s="42" t="s">
        <v>4037</v>
      </c>
      <c r="L528" s="42">
        <f>VLOOKUP(Table7[[#This Row],[Baseline Fixture Code]], 'Tables &amp; Ranges'!$A$114:$B$132, 2, FALSE)</f>
        <v>101002</v>
      </c>
    </row>
    <row r="529" spans="2:12" ht="40" customHeight="1">
      <c r="B529" s="42">
        <v>1200</v>
      </c>
      <c r="C529" s="102" t="s">
        <v>2426</v>
      </c>
      <c r="D529" s="102" t="s">
        <v>1858</v>
      </c>
      <c r="E529" s="92" t="s">
        <v>2427</v>
      </c>
      <c r="F529" s="42">
        <v>2</v>
      </c>
      <c r="G529" s="42">
        <v>30</v>
      </c>
      <c r="H529" s="42">
        <v>70</v>
      </c>
      <c r="I529" s="42" t="s">
        <v>1881</v>
      </c>
      <c r="J529" s="103" t="s">
        <v>3611</v>
      </c>
      <c r="K529" s="42" t="s">
        <v>4037</v>
      </c>
      <c r="L529" s="42">
        <f>VLOOKUP(Table7[[#This Row],[Baseline Fixture Code]], 'Tables &amp; Ranges'!$A$114:$B$132, 2, FALSE)</f>
        <v>101002</v>
      </c>
    </row>
    <row r="530" spans="2:12" ht="40" customHeight="1">
      <c r="B530" s="42">
        <v>1370</v>
      </c>
      <c r="C530" s="102" t="s">
        <v>2755</v>
      </c>
      <c r="D530" s="102" t="s">
        <v>2623</v>
      </c>
      <c r="E530" s="92" t="s">
        <v>2756</v>
      </c>
      <c r="F530" s="42">
        <v>3</v>
      </c>
      <c r="G530" s="42">
        <v>30</v>
      </c>
      <c r="H530" s="42">
        <v>133</v>
      </c>
      <c r="I530" s="42" t="s">
        <v>1457</v>
      </c>
      <c r="J530" s="103" t="s">
        <v>131</v>
      </c>
      <c r="K530" s="42" t="s">
        <v>3712</v>
      </c>
      <c r="L530" s="42">
        <f>VLOOKUP(Table7[[#This Row],[Baseline Fixture Code]], 'Tables &amp; Ranges'!$A$114:$B$132, 2, FALSE)</f>
        <v>101001</v>
      </c>
    </row>
    <row r="531" spans="2:12" ht="40" customHeight="1">
      <c r="B531" s="42">
        <v>1203</v>
      </c>
      <c r="C531" s="102" t="s">
        <v>2432</v>
      </c>
      <c r="D531" s="102" t="s">
        <v>1858</v>
      </c>
      <c r="E531" s="92" t="s">
        <v>2433</v>
      </c>
      <c r="F531" s="42">
        <v>3</v>
      </c>
      <c r="G531" s="42">
        <v>30</v>
      </c>
      <c r="H531" s="42">
        <v>83</v>
      </c>
      <c r="I531" s="42" t="s">
        <v>1743</v>
      </c>
      <c r="J531" s="103" t="s">
        <v>3611</v>
      </c>
      <c r="K531" s="42" t="s">
        <v>4037</v>
      </c>
      <c r="L531" s="42">
        <f>VLOOKUP(Table7[[#This Row],[Baseline Fixture Code]], 'Tables &amp; Ranges'!$A$114:$B$132, 2, FALSE)</f>
        <v>101002</v>
      </c>
    </row>
    <row r="532" spans="2:12" ht="40" customHeight="1">
      <c r="B532" s="42">
        <v>1204</v>
      </c>
      <c r="C532" s="102" t="s">
        <v>2434</v>
      </c>
      <c r="D532" s="102" t="s">
        <v>1858</v>
      </c>
      <c r="E532" s="92" t="s">
        <v>2435</v>
      </c>
      <c r="F532" s="42">
        <v>3</v>
      </c>
      <c r="G532" s="42">
        <v>30</v>
      </c>
      <c r="H532" s="42">
        <v>67</v>
      </c>
      <c r="I532" s="42" t="s">
        <v>1743</v>
      </c>
      <c r="J532" s="103" t="s">
        <v>3611</v>
      </c>
      <c r="K532" s="42" t="s">
        <v>4037</v>
      </c>
      <c r="L532" s="42">
        <f>VLOOKUP(Table7[[#This Row],[Baseline Fixture Code]], 'Tables &amp; Ranges'!$A$114:$B$132, 2, FALSE)</f>
        <v>101002</v>
      </c>
    </row>
    <row r="533" spans="2:12" ht="40" customHeight="1">
      <c r="B533" s="42">
        <v>1205</v>
      </c>
      <c r="C533" s="102" t="s">
        <v>2436</v>
      </c>
      <c r="D533" s="102" t="s">
        <v>1858</v>
      </c>
      <c r="E533" s="92" t="s">
        <v>2437</v>
      </c>
      <c r="F533" s="42">
        <v>3</v>
      </c>
      <c r="G533" s="42">
        <v>30</v>
      </c>
      <c r="H533" s="42">
        <v>81</v>
      </c>
      <c r="I533" s="42" t="s">
        <v>147</v>
      </c>
      <c r="J533" s="103" t="s">
        <v>3611</v>
      </c>
      <c r="K533" s="42" t="s">
        <v>4037</v>
      </c>
      <c r="L533" s="42">
        <f>VLOOKUP(Table7[[#This Row],[Baseline Fixture Code]], 'Tables &amp; Ranges'!$A$114:$B$132, 2, FALSE)</f>
        <v>101002</v>
      </c>
    </row>
    <row r="534" spans="2:12" ht="40" customHeight="1">
      <c r="B534" s="42">
        <v>1208</v>
      </c>
      <c r="C534" s="102" t="s">
        <v>2442</v>
      </c>
      <c r="D534" s="102" t="s">
        <v>1858</v>
      </c>
      <c r="E534" s="92" t="s">
        <v>2443</v>
      </c>
      <c r="F534" s="42">
        <v>3</v>
      </c>
      <c r="G534" s="42">
        <v>30</v>
      </c>
      <c r="H534" s="42">
        <v>84</v>
      </c>
      <c r="I534" s="42" t="s">
        <v>147</v>
      </c>
      <c r="J534" s="103" t="s">
        <v>3611</v>
      </c>
      <c r="K534" s="42" t="s">
        <v>4037</v>
      </c>
      <c r="L534" s="42">
        <f>VLOOKUP(Table7[[#This Row],[Baseline Fixture Code]], 'Tables &amp; Ranges'!$A$114:$B$132, 2, FALSE)</f>
        <v>101002</v>
      </c>
    </row>
    <row r="535" spans="2:12" ht="40" customHeight="1">
      <c r="B535" s="42">
        <v>1209</v>
      </c>
      <c r="C535" s="102" t="s">
        <v>2444</v>
      </c>
      <c r="D535" s="102" t="s">
        <v>1858</v>
      </c>
      <c r="E535" s="92" t="s">
        <v>2445</v>
      </c>
      <c r="F535" s="42">
        <v>3</v>
      </c>
      <c r="G535" s="42">
        <v>30</v>
      </c>
      <c r="H535" s="42">
        <v>96</v>
      </c>
      <c r="I535" s="42" t="s">
        <v>147</v>
      </c>
      <c r="J535" s="103" t="s">
        <v>3611</v>
      </c>
      <c r="K535" s="42" t="s">
        <v>4037</v>
      </c>
      <c r="L535" s="42">
        <f>VLOOKUP(Table7[[#This Row],[Baseline Fixture Code]], 'Tables &amp; Ranges'!$A$114:$B$132, 2, FALSE)</f>
        <v>101002</v>
      </c>
    </row>
    <row r="536" spans="2:12" ht="40" customHeight="1">
      <c r="B536" s="42">
        <v>1210</v>
      </c>
      <c r="C536" s="102" t="s">
        <v>2446</v>
      </c>
      <c r="D536" s="102" t="s">
        <v>1858</v>
      </c>
      <c r="E536" s="92" t="s">
        <v>2447</v>
      </c>
      <c r="F536" s="42">
        <v>3</v>
      </c>
      <c r="G536" s="42">
        <v>30</v>
      </c>
      <c r="H536" s="42">
        <v>75</v>
      </c>
      <c r="I536" s="42" t="s">
        <v>147</v>
      </c>
      <c r="J536" s="103" t="s">
        <v>3611</v>
      </c>
      <c r="K536" s="42" t="s">
        <v>4037</v>
      </c>
      <c r="L536" s="42">
        <f>VLOOKUP(Table7[[#This Row],[Baseline Fixture Code]], 'Tables &amp; Ranges'!$A$114:$B$132, 2, FALSE)</f>
        <v>101002</v>
      </c>
    </row>
    <row r="537" spans="2:12" ht="40" customHeight="1">
      <c r="B537" s="42">
        <v>1206</v>
      </c>
      <c r="C537" s="102" t="s">
        <v>2438</v>
      </c>
      <c r="D537" s="102" t="s">
        <v>1858</v>
      </c>
      <c r="E537" s="92" t="s">
        <v>2439</v>
      </c>
      <c r="F537" s="42">
        <v>3</v>
      </c>
      <c r="G537" s="42">
        <v>30</v>
      </c>
      <c r="H537" s="42">
        <v>86</v>
      </c>
      <c r="I537" s="42" t="s">
        <v>147</v>
      </c>
      <c r="J537" s="103" t="s">
        <v>3611</v>
      </c>
      <c r="K537" s="42" t="s">
        <v>4037</v>
      </c>
      <c r="L537" s="42">
        <f>VLOOKUP(Table7[[#This Row],[Baseline Fixture Code]], 'Tables &amp; Ranges'!$A$114:$B$132, 2, FALSE)</f>
        <v>101002</v>
      </c>
    </row>
    <row r="538" spans="2:12" ht="40" customHeight="1">
      <c r="B538" s="42">
        <v>1207</v>
      </c>
      <c r="C538" s="102" t="s">
        <v>2440</v>
      </c>
      <c r="D538" s="102" t="s">
        <v>1858</v>
      </c>
      <c r="E538" s="92" t="s">
        <v>2441</v>
      </c>
      <c r="F538" s="42">
        <v>3</v>
      </c>
      <c r="G538" s="42">
        <v>30</v>
      </c>
      <c r="H538" s="42">
        <v>71</v>
      </c>
      <c r="I538" s="42" t="s">
        <v>147</v>
      </c>
      <c r="J538" s="103" t="s">
        <v>3611</v>
      </c>
      <c r="K538" s="42" t="s">
        <v>4037</v>
      </c>
      <c r="L538" s="42">
        <f>VLOOKUP(Table7[[#This Row],[Baseline Fixture Code]], 'Tables &amp; Ranges'!$A$114:$B$132, 2, FALSE)</f>
        <v>101002</v>
      </c>
    </row>
    <row r="539" spans="2:12" ht="40" customHeight="1">
      <c r="B539" s="42">
        <v>1211</v>
      </c>
      <c r="C539" s="102" t="s">
        <v>2448</v>
      </c>
      <c r="D539" s="102" t="s">
        <v>1858</v>
      </c>
      <c r="E539" s="92" t="s">
        <v>2449</v>
      </c>
      <c r="F539" s="42">
        <v>3</v>
      </c>
      <c r="G539" s="42">
        <v>30</v>
      </c>
      <c r="H539" s="42">
        <v>77</v>
      </c>
      <c r="I539" s="42" t="s">
        <v>1881</v>
      </c>
      <c r="J539" s="103" t="s">
        <v>3611</v>
      </c>
      <c r="K539" s="42" t="s">
        <v>4037</v>
      </c>
      <c r="L539" s="42">
        <f>VLOOKUP(Table7[[#This Row],[Baseline Fixture Code]], 'Tables &amp; Ranges'!$A$114:$B$132, 2, FALSE)</f>
        <v>101002</v>
      </c>
    </row>
    <row r="540" spans="2:12" ht="40" customHeight="1">
      <c r="B540" s="42">
        <v>1212</v>
      </c>
      <c r="C540" s="102" t="s">
        <v>2450</v>
      </c>
      <c r="D540" s="102" t="s">
        <v>1858</v>
      </c>
      <c r="E540" s="92" t="s">
        <v>2451</v>
      </c>
      <c r="F540" s="42">
        <v>3</v>
      </c>
      <c r="G540" s="42">
        <v>30</v>
      </c>
      <c r="H540" s="42">
        <v>68</v>
      </c>
      <c r="I540" s="42" t="s">
        <v>1881</v>
      </c>
      <c r="J540" s="103" t="s">
        <v>3611</v>
      </c>
      <c r="K540" s="42" t="s">
        <v>4037</v>
      </c>
      <c r="L540" s="42">
        <f>VLOOKUP(Table7[[#This Row],[Baseline Fixture Code]], 'Tables &amp; Ranges'!$A$114:$B$132, 2, FALSE)</f>
        <v>101002</v>
      </c>
    </row>
    <row r="541" spans="2:12" ht="40" customHeight="1">
      <c r="B541" s="42">
        <v>1213</v>
      </c>
      <c r="C541" s="102" t="s">
        <v>2452</v>
      </c>
      <c r="D541" s="102" t="s">
        <v>1858</v>
      </c>
      <c r="E541" s="92" t="s">
        <v>2453</v>
      </c>
      <c r="F541" s="42">
        <v>3</v>
      </c>
      <c r="G541" s="42">
        <v>30</v>
      </c>
      <c r="H541" s="42">
        <v>104</v>
      </c>
      <c r="I541" s="42" t="s">
        <v>1881</v>
      </c>
      <c r="J541" s="103" t="s">
        <v>3611</v>
      </c>
      <c r="K541" s="42" t="s">
        <v>4037</v>
      </c>
      <c r="L541" s="42">
        <f>VLOOKUP(Table7[[#This Row],[Baseline Fixture Code]], 'Tables &amp; Ranges'!$A$114:$B$132, 2, FALSE)</f>
        <v>101002</v>
      </c>
    </row>
    <row r="542" spans="2:12" ht="40" customHeight="1">
      <c r="B542" s="42">
        <v>1371</v>
      </c>
      <c r="C542" s="102" t="s">
        <v>2757</v>
      </c>
      <c r="D542" s="102" t="s">
        <v>2623</v>
      </c>
      <c r="E542" s="92" t="s">
        <v>2758</v>
      </c>
      <c r="F542" s="42">
        <v>4</v>
      </c>
      <c r="G542" s="42">
        <v>30</v>
      </c>
      <c r="H542" s="42">
        <v>164</v>
      </c>
      <c r="I542" s="42" t="s">
        <v>1457</v>
      </c>
      <c r="J542" s="103" t="s">
        <v>131</v>
      </c>
      <c r="K542" s="42" t="s">
        <v>3712</v>
      </c>
      <c r="L542" s="42">
        <f>VLOOKUP(Table7[[#This Row],[Baseline Fixture Code]], 'Tables &amp; Ranges'!$A$114:$B$132, 2, FALSE)</f>
        <v>101001</v>
      </c>
    </row>
    <row r="543" spans="2:12" ht="40" customHeight="1">
      <c r="B543" s="42">
        <v>1214</v>
      </c>
      <c r="C543" s="102" t="s">
        <v>2454</v>
      </c>
      <c r="D543" s="102" t="s">
        <v>1858</v>
      </c>
      <c r="E543" s="92" t="s">
        <v>2455</v>
      </c>
      <c r="F543" s="42">
        <v>4</v>
      </c>
      <c r="G543" s="42">
        <v>30</v>
      </c>
      <c r="H543" s="42">
        <v>109</v>
      </c>
      <c r="I543" s="42" t="s">
        <v>1743</v>
      </c>
      <c r="J543" s="103" t="s">
        <v>3611</v>
      </c>
      <c r="K543" s="42" t="s">
        <v>4037</v>
      </c>
      <c r="L543" s="42">
        <f>VLOOKUP(Table7[[#This Row],[Baseline Fixture Code]], 'Tables &amp; Ranges'!$A$114:$B$132, 2, FALSE)</f>
        <v>101002</v>
      </c>
    </row>
    <row r="544" spans="2:12" ht="40" customHeight="1">
      <c r="B544" s="42">
        <v>1215</v>
      </c>
      <c r="C544" s="102" t="s">
        <v>2456</v>
      </c>
      <c r="D544" s="102" t="s">
        <v>1858</v>
      </c>
      <c r="E544" s="92" t="s">
        <v>2457</v>
      </c>
      <c r="F544" s="42">
        <v>4</v>
      </c>
      <c r="G544" s="42">
        <v>30</v>
      </c>
      <c r="H544" s="42">
        <v>86</v>
      </c>
      <c r="I544" s="42" t="s">
        <v>1743</v>
      </c>
      <c r="J544" s="103" t="s">
        <v>3611</v>
      </c>
      <c r="K544" s="42" t="s">
        <v>4037</v>
      </c>
      <c r="L544" s="42">
        <f>VLOOKUP(Table7[[#This Row],[Baseline Fixture Code]], 'Tables &amp; Ranges'!$A$114:$B$132, 2, FALSE)</f>
        <v>101002</v>
      </c>
    </row>
    <row r="545" spans="2:12" ht="40" customHeight="1">
      <c r="B545" s="42">
        <v>1216</v>
      </c>
      <c r="C545" s="102" t="s">
        <v>2458</v>
      </c>
      <c r="D545" s="102" t="s">
        <v>1858</v>
      </c>
      <c r="E545" s="92" t="s">
        <v>2459</v>
      </c>
      <c r="F545" s="42">
        <v>4</v>
      </c>
      <c r="G545" s="42">
        <v>30</v>
      </c>
      <c r="H545" s="42">
        <v>106</v>
      </c>
      <c r="I545" s="42" t="s">
        <v>147</v>
      </c>
      <c r="J545" s="103" t="s">
        <v>3611</v>
      </c>
      <c r="K545" s="42" t="s">
        <v>4037</v>
      </c>
      <c r="L545" s="42">
        <f>VLOOKUP(Table7[[#This Row],[Baseline Fixture Code]], 'Tables &amp; Ranges'!$A$114:$B$132, 2, FALSE)</f>
        <v>101002</v>
      </c>
    </row>
    <row r="546" spans="2:12" ht="40" customHeight="1">
      <c r="B546" s="42">
        <v>1218</v>
      </c>
      <c r="C546" s="102" t="s">
        <v>2462</v>
      </c>
      <c r="D546" s="102" t="s">
        <v>1858</v>
      </c>
      <c r="E546" s="92" t="s">
        <v>2463</v>
      </c>
      <c r="F546" s="42">
        <v>4</v>
      </c>
      <c r="G546" s="42">
        <v>30</v>
      </c>
      <c r="H546" s="42">
        <v>110</v>
      </c>
      <c r="I546" s="42" t="s">
        <v>147</v>
      </c>
      <c r="J546" s="103" t="s">
        <v>3611</v>
      </c>
      <c r="K546" s="42" t="s">
        <v>4037</v>
      </c>
      <c r="L546" s="42">
        <f>VLOOKUP(Table7[[#This Row],[Baseline Fixture Code]], 'Tables &amp; Ranges'!$A$114:$B$132, 2, FALSE)</f>
        <v>101002</v>
      </c>
    </row>
    <row r="547" spans="2:12" ht="40" customHeight="1">
      <c r="B547" s="42">
        <v>1219</v>
      </c>
      <c r="C547" s="102" t="s">
        <v>2464</v>
      </c>
      <c r="D547" s="102" t="s">
        <v>1858</v>
      </c>
      <c r="E547" s="92" t="s">
        <v>2465</v>
      </c>
      <c r="F547" s="42">
        <v>4</v>
      </c>
      <c r="G547" s="42">
        <v>30</v>
      </c>
      <c r="H547" s="42">
        <v>124</v>
      </c>
      <c r="I547" s="42" t="s">
        <v>147</v>
      </c>
      <c r="J547" s="103" t="s">
        <v>3611</v>
      </c>
      <c r="K547" s="42" t="s">
        <v>4037</v>
      </c>
      <c r="L547" s="42">
        <f>VLOOKUP(Table7[[#This Row],[Baseline Fixture Code]], 'Tables &amp; Ranges'!$A$114:$B$132, 2, FALSE)</f>
        <v>101002</v>
      </c>
    </row>
    <row r="548" spans="2:12" ht="40" customHeight="1">
      <c r="B548" s="42">
        <v>1220</v>
      </c>
      <c r="C548" s="102" t="s">
        <v>2466</v>
      </c>
      <c r="D548" s="102" t="s">
        <v>1858</v>
      </c>
      <c r="E548" s="92" t="s">
        <v>2467</v>
      </c>
      <c r="F548" s="42">
        <v>4</v>
      </c>
      <c r="G548" s="42">
        <v>30</v>
      </c>
      <c r="H548" s="42">
        <v>98</v>
      </c>
      <c r="I548" s="42" t="s">
        <v>147</v>
      </c>
      <c r="J548" s="103" t="s">
        <v>3611</v>
      </c>
      <c r="K548" s="42" t="s">
        <v>4037</v>
      </c>
      <c r="L548" s="42">
        <f>VLOOKUP(Table7[[#This Row],[Baseline Fixture Code]], 'Tables &amp; Ranges'!$A$114:$B$132, 2, FALSE)</f>
        <v>101002</v>
      </c>
    </row>
    <row r="549" spans="2:12" ht="40" customHeight="1">
      <c r="B549" s="42">
        <v>1217</v>
      </c>
      <c r="C549" s="102" t="s">
        <v>2460</v>
      </c>
      <c r="D549" s="102" t="s">
        <v>1858</v>
      </c>
      <c r="E549" s="92" t="s">
        <v>2461</v>
      </c>
      <c r="F549" s="42">
        <v>4</v>
      </c>
      <c r="G549" s="42">
        <v>30</v>
      </c>
      <c r="H549" s="42">
        <v>92</v>
      </c>
      <c r="I549" s="42" t="s">
        <v>147</v>
      </c>
      <c r="J549" s="103" t="s">
        <v>3611</v>
      </c>
      <c r="K549" s="42" t="s">
        <v>4037</v>
      </c>
      <c r="L549" s="42">
        <f>VLOOKUP(Table7[[#This Row],[Baseline Fixture Code]], 'Tables &amp; Ranges'!$A$114:$B$132, 2, FALSE)</f>
        <v>101002</v>
      </c>
    </row>
    <row r="550" spans="2:12" ht="40" customHeight="1">
      <c r="B550" s="42">
        <v>1221</v>
      </c>
      <c r="C550" s="102" t="s">
        <v>2468</v>
      </c>
      <c r="D550" s="102" t="s">
        <v>1858</v>
      </c>
      <c r="E550" s="92" t="s">
        <v>2459</v>
      </c>
      <c r="F550" s="42">
        <v>4</v>
      </c>
      <c r="G550" s="42">
        <v>30</v>
      </c>
      <c r="H550" s="42">
        <v>101</v>
      </c>
      <c r="I550" s="42" t="s">
        <v>1881</v>
      </c>
      <c r="J550" s="103" t="s">
        <v>3611</v>
      </c>
      <c r="K550" s="42" t="s">
        <v>4037</v>
      </c>
      <c r="L550" s="42">
        <f>VLOOKUP(Table7[[#This Row],[Baseline Fixture Code]], 'Tables &amp; Ranges'!$A$114:$B$132, 2, FALSE)</f>
        <v>101002</v>
      </c>
    </row>
    <row r="551" spans="2:12" ht="40" customHeight="1">
      <c r="B551" s="42">
        <v>1222</v>
      </c>
      <c r="C551" s="102" t="s">
        <v>2469</v>
      </c>
      <c r="D551" s="102" t="s">
        <v>1858</v>
      </c>
      <c r="E551" s="92" t="s">
        <v>2461</v>
      </c>
      <c r="F551" s="42">
        <v>4</v>
      </c>
      <c r="G551" s="42">
        <v>30</v>
      </c>
      <c r="H551" s="42">
        <v>89</v>
      </c>
      <c r="I551" s="42" t="s">
        <v>1881</v>
      </c>
      <c r="J551" s="103" t="s">
        <v>3611</v>
      </c>
      <c r="K551" s="42" t="s">
        <v>4037</v>
      </c>
      <c r="L551" s="42">
        <f>VLOOKUP(Table7[[#This Row],[Baseline Fixture Code]], 'Tables &amp; Ranges'!$A$114:$B$132, 2, FALSE)</f>
        <v>101002</v>
      </c>
    </row>
    <row r="552" spans="2:12" ht="40" customHeight="1">
      <c r="B552" s="42">
        <v>1223</v>
      </c>
      <c r="C552" s="102" t="s">
        <v>2470</v>
      </c>
      <c r="D552" s="102" t="s">
        <v>1858</v>
      </c>
      <c r="E552" s="92" t="s">
        <v>2471</v>
      </c>
      <c r="F552" s="42">
        <v>6</v>
      </c>
      <c r="G552" s="42">
        <v>30</v>
      </c>
      <c r="H552" s="42">
        <v>154</v>
      </c>
      <c r="I552" s="42" t="s">
        <v>1881</v>
      </c>
      <c r="J552" s="103" t="s">
        <v>3611</v>
      </c>
      <c r="K552" s="42" t="s">
        <v>4037</v>
      </c>
      <c r="L552" s="42">
        <f>VLOOKUP(Table7[[#This Row],[Baseline Fixture Code]], 'Tables &amp; Ranges'!$A$114:$B$132, 2, FALSE)</f>
        <v>101002</v>
      </c>
    </row>
    <row r="553" spans="2:12" ht="40" customHeight="1">
      <c r="B553" s="42">
        <v>1224</v>
      </c>
      <c r="C553" s="102" t="s">
        <v>2472</v>
      </c>
      <c r="D553" s="102" t="s">
        <v>1858</v>
      </c>
      <c r="E553" s="92" t="s">
        <v>2473</v>
      </c>
      <c r="F553" s="42">
        <v>6</v>
      </c>
      <c r="G553" s="42">
        <v>30</v>
      </c>
      <c r="H553" s="42">
        <v>135</v>
      </c>
      <c r="I553" s="42" t="s">
        <v>1881</v>
      </c>
      <c r="J553" s="103" t="s">
        <v>3611</v>
      </c>
      <c r="K553" s="42" t="s">
        <v>4037</v>
      </c>
      <c r="L553" s="42">
        <f>VLOOKUP(Table7[[#This Row],[Baseline Fixture Code]], 'Tables &amp; Ranges'!$A$114:$B$132, 2, FALSE)</f>
        <v>101002</v>
      </c>
    </row>
    <row r="554" spans="2:12" ht="40" customHeight="1">
      <c r="B554" s="42">
        <v>1534</v>
      </c>
      <c r="C554" s="102" t="s">
        <v>3061</v>
      </c>
      <c r="D554" s="102" t="s">
        <v>107</v>
      </c>
      <c r="E554" s="92" t="s">
        <v>3062</v>
      </c>
      <c r="F554" s="42">
        <v>1</v>
      </c>
      <c r="G554" s="42">
        <v>30</v>
      </c>
      <c r="H554" s="42">
        <v>30</v>
      </c>
      <c r="I554" s="42" t="s">
        <v>146</v>
      </c>
      <c r="J554" s="103" t="s">
        <v>3611</v>
      </c>
      <c r="K554" s="42" t="s">
        <v>107</v>
      </c>
      <c r="L554" s="42">
        <f>VLOOKUP(Table7[[#This Row],[Baseline Fixture Code]], 'Tables &amp; Ranges'!$A$114:$B$132, 2, FALSE)</f>
        <v>101106</v>
      </c>
    </row>
    <row r="555" spans="2:12" ht="40" customHeight="1">
      <c r="B555" s="42">
        <v>1491</v>
      </c>
      <c r="C555" s="102" t="s">
        <v>2977</v>
      </c>
      <c r="D555" s="102" t="s">
        <v>2973</v>
      </c>
      <c r="E555" s="92" t="s">
        <v>2978</v>
      </c>
      <c r="F555" s="42">
        <v>1</v>
      </c>
      <c r="G555" s="42">
        <v>31</v>
      </c>
      <c r="H555" s="42">
        <v>27</v>
      </c>
      <c r="I555" s="42" t="s">
        <v>147</v>
      </c>
      <c r="J555" s="103" t="s">
        <v>3611</v>
      </c>
      <c r="K555" s="42" t="s">
        <v>4039</v>
      </c>
      <c r="L555" s="42" t="e">
        <f>VLOOKUP(Table7[[#This Row],[Baseline Fixture Code]], 'Tables &amp; Ranges'!$A$114:$B$132, 2, FALSE)</f>
        <v>#N/A</v>
      </c>
    </row>
    <row r="556" spans="2:12" ht="40" customHeight="1">
      <c r="B556" s="42">
        <v>1498</v>
      </c>
      <c r="C556" s="102" t="s">
        <v>2991</v>
      </c>
      <c r="D556" s="102" t="s">
        <v>2973</v>
      </c>
      <c r="E556" s="92" t="s">
        <v>2992</v>
      </c>
      <c r="F556" s="42">
        <v>2</v>
      </c>
      <c r="G556" s="42">
        <v>31</v>
      </c>
      <c r="H556" s="42">
        <v>54</v>
      </c>
      <c r="I556" s="42" t="s">
        <v>147</v>
      </c>
      <c r="J556" s="103" t="s">
        <v>3611</v>
      </c>
      <c r="K556" s="42" t="s">
        <v>4039</v>
      </c>
      <c r="L556" s="42" t="e">
        <f>VLOOKUP(Table7[[#This Row],[Baseline Fixture Code]], 'Tables &amp; Ranges'!$A$114:$B$132, 2, FALSE)</f>
        <v>#N/A</v>
      </c>
    </row>
    <row r="557" spans="2:12" ht="40" customHeight="1">
      <c r="B557" s="42">
        <v>1535</v>
      </c>
      <c r="C557" s="102" t="s">
        <v>3063</v>
      </c>
      <c r="D557" s="102" t="s">
        <v>107</v>
      </c>
      <c r="E557" s="92" t="s">
        <v>3064</v>
      </c>
      <c r="F557" s="42">
        <v>1</v>
      </c>
      <c r="G557" s="42">
        <v>31</v>
      </c>
      <c r="H557" s="42">
        <v>31</v>
      </c>
      <c r="I557" s="42" t="s">
        <v>146</v>
      </c>
      <c r="J557" s="103" t="s">
        <v>3611</v>
      </c>
      <c r="K557" s="42" t="s">
        <v>107</v>
      </c>
      <c r="L557" s="42">
        <f>VLOOKUP(Table7[[#This Row],[Baseline Fixture Code]], 'Tables &amp; Ranges'!$A$114:$B$132, 2, FALSE)</f>
        <v>101106</v>
      </c>
    </row>
    <row r="558" spans="2:12" ht="40" customHeight="1">
      <c r="B558" s="42">
        <v>969</v>
      </c>
      <c r="C558" s="102" t="s">
        <v>2040</v>
      </c>
      <c r="D558" s="102" t="s">
        <v>1858</v>
      </c>
      <c r="E558" s="92" t="s">
        <v>2041</v>
      </c>
      <c r="F558" s="42">
        <v>1</v>
      </c>
      <c r="G558" s="42">
        <v>32</v>
      </c>
      <c r="H558" s="42">
        <v>30</v>
      </c>
      <c r="I558" s="42" t="s">
        <v>1743</v>
      </c>
      <c r="J558" s="103" t="s">
        <v>3611</v>
      </c>
      <c r="K558" s="42" t="s">
        <v>4037</v>
      </c>
      <c r="L558" s="42">
        <f>VLOOKUP(Table7[[#This Row],[Baseline Fixture Code]], 'Tables &amp; Ranges'!$A$114:$B$132, 2, FALSE)</f>
        <v>101002</v>
      </c>
    </row>
    <row r="559" spans="2:12" ht="40" customHeight="1">
      <c r="B559" s="42">
        <v>970</v>
      </c>
      <c r="C559" s="102" t="s">
        <v>2042</v>
      </c>
      <c r="D559" s="102" t="s">
        <v>1858</v>
      </c>
      <c r="E559" s="92" t="s">
        <v>2043</v>
      </c>
      <c r="F559" s="42">
        <v>1</v>
      </c>
      <c r="G559" s="42">
        <v>32</v>
      </c>
      <c r="H559" s="42">
        <v>25</v>
      </c>
      <c r="I559" s="42" t="s">
        <v>1743</v>
      </c>
      <c r="J559" s="103" t="s">
        <v>3611</v>
      </c>
      <c r="K559" s="42" t="s">
        <v>4037</v>
      </c>
      <c r="L559" s="42">
        <f>VLOOKUP(Table7[[#This Row],[Baseline Fixture Code]], 'Tables &amp; Ranges'!$A$114:$B$132, 2, FALSE)</f>
        <v>101002</v>
      </c>
    </row>
    <row r="560" spans="2:12" ht="40" customHeight="1">
      <c r="B560" s="42">
        <v>971</v>
      </c>
      <c r="C560" s="102" t="s">
        <v>2044</v>
      </c>
      <c r="D560" s="102" t="s">
        <v>1858</v>
      </c>
      <c r="E560" s="92" t="s">
        <v>2045</v>
      </c>
      <c r="F560" s="42">
        <v>1</v>
      </c>
      <c r="G560" s="42">
        <v>32</v>
      </c>
      <c r="H560" s="42">
        <v>31</v>
      </c>
      <c r="I560" s="42" t="s">
        <v>147</v>
      </c>
      <c r="J560" s="103" t="s">
        <v>3611</v>
      </c>
      <c r="K560" s="42" t="s">
        <v>4037</v>
      </c>
      <c r="L560" s="42">
        <f>VLOOKUP(Table7[[#This Row],[Baseline Fixture Code]], 'Tables &amp; Ranges'!$A$114:$B$132, 2, FALSE)</f>
        <v>101002</v>
      </c>
    </row>
    <row r="561" spans="2:12" ht="40" customHeight="1">
      <c r="B561" s="42">
        <v>974</v>
      </c>
      <c r="C561" s="102" t="s">
        <v>2050</v>
      </c>
      <c r="D561" s="102" t="s">
        <v>1858</v>
      </c>
      <c r="E561" s="92" t="s">
        <v>2051</v>
      </c>
      <c r="F561" s="42">
        <v>1</v>
      </c>
      <c r="G561" s="42">
        <v>32</v>
      </c>
      <c r="H561" s="42">
        <v>29</v>
      </c>
      <c r="I561" s="42" t="s">
        <v>147</v>
      </c>
      <c r="J561" s="103" t="s">
        <v>3611</v>
      </c>
      <c r="K561" s="42" t="s">
        <v>4037</v>
      </c>
      <c r="L561" s="42">
        <f>VLOOKUP(Table7[[#This Row],[Baseline Fixture Code]], 'Tables &amp; Ranges'!$A$114:$B$132, 2, FALSE)</f>
        <v>101002</v>
      </c>
    </row>
    <row r="562" spans="2:12" ht="40" customHeight="1">
      <c r="B562" s="42">
        <v>975</v>
      </c>
      <c r="C562" s="102" t="s">
        <v>2052</v>
      </c>
      <c r="D562" s="102" t="s">
        <v>1858</v>
      </c>
      <c r="E562" s="92" t="s">
        <v>2053</v>
      </c>
      <c r="F562" s="42">
        <v>1</v>
      </c>
      <c r="G562" s="42">
        <v>32</v>
      </c>
      <c r="H562" s="42">
        <v>33</v>
      </c>
      <c r="I562" s="42" t="s">
        <v>147</v>
      </c>
      <c r="J562" s="103" t="s">
        <v>3611</v>
      </c>
      <c r="K562" s="42" t="s">
        <v>4037</v>
      </c>
      <c r="L562" s="42">
        <f>VLOOKUP(Table7[[#This Row],[Baseline Fixture Code]], 'Tables &amp; Ranges'!$A$114:$B$132, 2, FALSE)</f>
        <v>101002</v>
      </c>
    </row>
    <row r="563" spans="2:12" ht="40" customHeight="1">
      <c r="B563" s="42">
        <v>976</v>
      </c>
      <c r="C563" s="102" t="s">
        <v>2054</v>
      </c>
      <c r="D563" s="102" t="s">
        <v>1858</v>
      </c>
      <c r="E563" s="92" t="s">
        <v>2055</v>
      </c>
      <c r="F563" s="42">
        <v>1</v>
      </c>
      <c r="G563" s="42">
        <v>32</v>
      </c>
      <c r="H563" s="42">
        <v>26</v>
      </c>
      <c r="I563" s="42" t="s">
        <v>147</v>
      </c>
      <c r="J563" s="103" t="s">
        <v>3611</v>
      </c>
      <c r="K563" s="42" t="s">
        <v>4037</v>
      </c>
      <c r="L563" s="42">
        <f>VLOOKUP(Table7[[#This Row],[Baseline Fixture Code]], 'Tables &amp; Ranges'!$A$114:$B$132, 2, FALSE)</f>
        <v>101002</v>
      </c>
    </row>
    <row r="564" spans="2:12" ht="40" customHeight="1">
      <c r="B564" s="42">
        <v>977</v>
      </c>
      <c r="C564" s="102" t="s">
        <v>2056</v>
      </c>
      <c r="D564" s="102" t="s">
        <v>1858</v>
      </c>
      <c r="E564" s="92" t="s">
        <v>2057</v>
      </c>
      <c r="F564" s="42">
        <v>1</v>
      </c>
      <c r="G564" s="42">
        <v>32</v>
      </c>
      <c r="H564" s="42">
        <v>28</v>
      </c>
      <c r="I564" s="42" t="s">
        <v>147</v>
      </c>
      <c r="J564" s="103" t="s">
        <v>3611</v>
      </c>
      <c r="K564" s="42" t="s">
        <v>4037</v>
      </c>
      <c r="L564" s="42">
        <f>VLOOKUP(Table7[[#This Row],[Baseline Fixture Code]], 'Tables &amp; Ranges'!$A$114:$B$132, 2, FALSE)</f>
        <v>101002</v>
      </c>
    </row>
    <row r="565" spans="2:12" ht="40" customHeight="1">
      <c r="B565" s="42">
        <v>978</v>
      </c>
      <c r="C565" s="102" t="s">
        <v>2058</v>
      </c>
      <c r="D565" s="102" t="s">
        <v>1858</v>
      </c>
      <c r="E565" s="92" t="s">
        <v>2059</v>
      </c>
      <c r="F565" s="42">
        <v>1</v>
      </c>
      <c r="G565" s="42">
        <v>32</v>
      </c>
      <c r="H565" s="42">
        <v>31</v>
      </c>
      <c r="I565" s="42" t="s">
        <v>147</v>
      </c>
      <c r="J565" s="103" t="s">
        <v>3611</v>
      </c>
      <c r="K565" s="42" t="s">
        <v>4037</v>
      </c>
      <c r="L565" s="42">
        <f>VLOOKUP(Table7[[#This Row],[Baseline Fixture Code]], 'Tables &amp; Ranges'!$A$114:$B$132, 2, FALSE)</f>
        <v>101002</v>
      </c>
    </row>
    <row r="566" spans="2:12" ht="40" customHeight="1">
      <c r="B566" s="42">
        <v>979</v>
      </c>
      <c r="C566" s="102" t="s">
        <v>2060</v>
      </c>
      <c r="D566" s="102" t="s">
        <v>1858</v>
      </c>
      <c r="E566" s="92" t="s">
        <v>2061</v>
      </c>
      <c r="F566" s="42">
        <v>1</v>
      </c>
      <c r="G566" s="42">
        <v>32</v>
      </c>
      <c r="H566" s="42">
        <v>25</v>
      </c>
      <c r="I566" s="42" t="s">
        <v>147</v>
      </c>
      <c r="J566" s="103" t="s">
        <v>3611</v>
      </c>
      <c r="K566" s="42" t="s">
        <v>4037</v>
      </c>
      <c r="L566" s="42">
        <f>VLOOKUP(Table7[[#This Row],[Baseline Fixture Code]], 'Tables &amp; Ranges'!$A$114:$B$132, 2, FALSE)</f>
        <v>101002</v>
      </c>
    </row>
    <row r="567" spans="2:12" ht="40" customHeight="1">
      <c r="B567" s="42">
        <v>980</v>
      </c>
      <c r="C567" s="102" t="s">
        <v>2062</v>
      </c>
      <c r="D567" s="102" t="s">
        <v>1858</v>
      </c>
      <c r="E567" s="92" t="s">
        <v>2063</v>
      </c>
      <c r="F567" s="42">
        <v>1</v>
      </c>
      <c r="G567" s="42">
        <v>32</v>
      </c>
      <c r="H567" s="42">
        <v>28</v>
      </c>
      <c r="I567" s="42" t="s">
        <v>147</v>
      </c>
      <c r="J567" s="103" t="s">
        <v>3611</v>
      </c>
      <c r="K567" s="42" t="s">
        <v>4037</v>
      </c>
      <c r="L567" s="42">
        <f>VLOOKUP(Table7[[#This Row],[Baseline Fixture Code]], 'Tables &amp; Ranges'!$A$114:$B$132, 2, FALSE)</f>
        <v>101002</v>
      </c>
    </row>
    <row r="568" spans="2:12" ht="40" customHeight="1">
      <c r="B568" s="42">
        <v>981</v>
      </c>
      <c r="C568" s="102" t="s">
        <v>2064</v>
      </c>
      <c r="D568" s="102" t="s">
        <v>1858</v>
      </c>
      <c r="E568" s="92" t="s">
        <v>2065</v>
      </c>
      <c r="F568" s="42">
        <v>1</v>
      </c>
      <c r="G568" s="42">
        <v>32</v>
      </c>
      <c r="H568" s="42">
        <v>25</v>
      </c>
      <c r="I568" s="42" t="s">
        <v>147</v>
      </c>
      <c r="J568" s="103" t="s">
        <v>3611</v>
      </c>
      <c r="K568" s="42" t="s">
        <v>4037</v>
      </c>
      <c r="L568" s="42">
        <f>VLOOKUP(Table7[[#This Row],[Baseline Fixture Code]], 'Tables &amp; Ranges'!$A$114:$B$132, 2, FALSE)</f>
        <v>101002</v>
      </c>
    </row>
    <row r="569" spans="2:12" ht="40" customHeight="1">
      <c r="B569" s="42">
        <v>972</v>
      </c>
      <c r="C569" s="102" t="s">
        <v>2046</v>
      </c>
      <c r="D569" s="102" t="s">
        <v>1858</v>
      </c>
      <c r="E569" s="92" t="s">
        <v>2047</v>
      </c>
      <c r="F569" s="42">
        <v>1</v>
      </c>
      <c r="G569" s="42">
        <v>32</v>
      </c>
      <c r="H569" s="42">
        <v>36</v>
      </c>
      <c r="I569" s="42" t="s">
        <v>147</v>
      </c>
      <c r="J569" s="103" t="s">
        <v>3611</v>
      </c>
      <c r="K569" s="42" t="s">
        <v>4037</v>
      </c>
      <c r="L569" s="42">
        <f>VLOOKUP(Table7[[#This Row],[Baseline Fixture Code]], 'Tables &amp; Ranges'!$A$114:$B$132, 2, FALSE)</f>
        <v>101002</v>
      </c>
    </row>
    <row r="570" spans="2:12" ht="40" customHeight="1">
      <c r="B570" s="42">
        <v>973</v>
      </c>
      <c r="C570" s="102" t="s">
        <v>2048</v>
      </c>
      <c r="D570" s="102" t="s">
        <v>1858</v>
      </c>
      <c r="E570" s="92" t="s">
        <v>2049</v>
      </c>
      <c r="F570" s="42">
        <v>1</v>
      </c>
      <c r="G570" s="42">
        <v>32</v>
      </c>
      <c r="H570" s="42">
        <v>27</v>
      </c>
      <c r="I570" s="42" t="s">
        <v>147</v>
      </c>
      <c r="J570" s="103" t="s">
        <v>3611</v>
      </c>
      <c r="K570" s="42" t="s">
        <v>4037</v>
      </c>
      <c r="L570" s="42">
        <f>VLOOKUP(Table7[[#This Row],[Baseline Fixture Code]], 'Tables &amp; Ranges'!$A$114:$B$132, 2, FALSE)</f>
        <v>101002</v>
      </c>
    </row>
    <row r="571" spans="2:12" ht="40" customHeight="1">
      <c r="B571" s="42">
        <v>982</v>
      </c>
      <c r="C571" s="102" t="s">
        <v>2066</v>
      </c>
      <c r="D571" s="102" t="s">
        <v>1858</v>
      </c>
      <c r="E571" s="92" t="s">
        <v>2045</v>
      </c>
      <c r="F571" s="42">
        <v>1</v>
      </c>
      <c r="G571" s="42">
        <v>32</v>
      </c>
      <c r="H571" s="42">
        <v>28</v>
      </c>
      <c r="I571" s="42" t="s">
        <v>1881</v>
      </c>
      <c r="J571" s="103" t="s">
        <v>3611</v>
      </c>
      <c r="K571" s="42" t="s">
        <v>4037</v>
      </c>
      <c r="L571" s="42">
        <f>VLOOKUP(Table7[[#This Row],[Baseline Fixture Code]], 'Tables &amp; Ranges'!$A$114:$B$132, 2, FALSE)</f>
        <v>101002</v>
      </c>
    </row>
    <row r="572" spans="2:12" ht="40" customHeight="1">
      <c r="B572" s="42">
        <v>985</v>
      </c>
      <c r="C572" s="102" t="s">
        <v>2069</v>
      </c>
      <c r="D572" s="102" t="s">
        <v>1858</v>
      </c>
      <c r="E572" s="92" t="s">
        <v>2051</v>
      </c>
      <c r="F572" s="42">
        <v>1</v>
      </c>
      <c r="G572" s="42">
        <v>32</v>
      </c>
      <c r="H572" s="42">
        <v>27</v>
      </c>
      <c r="I572" s="42" t="s">
        <v>1881</v>
      </c>
      <c r="J572" s="103" t="s">
        <v>3611</v>
      </c>
      <c r="K572" s="42" t="s">
        <v>4037</v>
      </c>
      <c r="L572" s="42">
        <f>VLOOKUP(Table7[[#This Row],[Baseline Fixture Code]], 'Tables &amp; Ranges'!$A$114:$B$132, 2, FALSE)</f>
        <v>101002</v>
      </c>
    </row>
    <row r="573" spans="2:12" ht="40" customHeight="1">
      <c r="B573" s="42">
        <v>986</v>
      </c>
      <c r="C573" s="102" t="s">
        <v>2070</v>
      </c>
      <c r="D573" s="102" t="s">
        <v>1858</v>
      </c>
      <c r="E573" s="92" t="s">
        <v>2055</v>
      </c>
      <c r="F573" s="42">
        <v>1</v>
      </c>
      <c r="G573" s="42">
        <v>32</v>
      </c>
      <c r="H573" s="42">
        <v>24</v>
      </c>
      <c r="I573" s="42" t="s">
        <v>1881</v>
      </c>
      <c r="J573" s="103" t="s">
        <v>3611</v>
      </c>
      <c r="K573" s="42" t="s">
        <v>4037</v>
      </c>
      <c r="L573" s="42">
        <f>VLOOKUP(Table7[[#This Row],[Baseline Fixture Code]], 'Tables &amp; Ranges'!$A$114:$B$132, 2, FALSE)</f>
        <v>101002</v>
      </c>
    </row>
    <row r="574" spans="2:12" ht="40" customHeight="1">
      <c r="B574" s="42">
        <v>987</v>
      </c>
      <c r="C574" s="102" t="s">
        <v>2071</v>
      </c>
      <c r="D574" s="102" t="s">
        <v>1858</v>
      </c>
      <c r="E574" s="92" t="s">
        <v>2057</v>
      </c>
      <c r="F574" s="42">
        <v>1</v>
      </c>
      <c r="G574" s="42">
        <v>32</v>
      </c>
      <c r="H574" s="42">
        <v>27</v>
      </c>
      <c r="I574" s="42" t="s">
        <v>1881</v>
      </c>
      <c r="J574" s="103" t="s">
        <v>3611</v>
      </c>
      <c r="K574" s="42" t="s">
        <v>4037</v>
      </c>
      <c r="L574" s="42">
        <f>VLOOKUP(Table7[[#This Row],[Baseline Fixture Code]], 'Tables &amp; Ranges'!$A$114:$B$132, 2, FALSE)</f>
        <v>101002</v>
      </c>
    </row>
    <row r="575" spans="2:12" ht="40" customHeight="1">
      <c r="B575" s="42">
        <v>988</v>
      </c>
      <c r="C575" s="102" t="s">
        <v>2072</v>
      </c>
      <c r="D575" s="102" t="s">
        <v>1858</v>
      </c>
      <c r="E575" s="92" t="s">
        <v>2061</v>
      </c>
      <c r="F575" s="42">
        <v>1</v>
      </c>
      <c r="G575" s="42">
        <v>32</v>
      </c>
      <c r="H575" s="42">
        <v>24</v>
      </c>
      <c r="I575" s="42" t="s">
        <v>1881</v>
      </c>
      <c r="J575" s="103" t="s">
        <v>3611</v>
      </c>
      <c r="K575" s="42" t="s">
        <v>4037</v>
      </c>
      <c r="L575" s="42">
        <f>VLOOKUP(Table7[[#This Row],[Baseline Fixture Code]], 'Tables &amp; Ranges'!$A$114:$B$132, 2, FALSE)</f>
        <v>101002</v>
      </c>
    </row>
    <row r="576" spans="2:12" ht="40" customHeight="1">
      <c r="B576" s="42">
        <v>989</v>
      </c>
      <c r="C576" s="102" t="s">
        <v>2073</v>
      </c>
      <c r="D576" s="102" t="s">
        <v>1858</v>
      </c>
      <c r="E576" s="92" t="s">
        <v>2063</v>
      </c>
      <c r="F576" s="42">
        <v>1</v>
      </c>
      <c r="G576" s="42">
        <v>32</v>
      </c>
      <c r="H576" s="42">
        <v>27</v>
      </c>
      <c r="I576" s="42" t="s">
        <v>1881</v>
      </c>
      <c r="J576" s="103" t="s">
        <v>3611</v>
      </c>
      <c r="K576" s="42" t="s">
        <v>4037</v>
      </c>
      <c r="L576" s="42">
        <f>VLOOKUP(Table7[[#This Row],[Baseline Fixture Code]], 'Tables &amp; Ranges'!$A$114:$B$132, 2, FALSE)</f>
        <v>101002</v>
      </c>
    </row>
    <row r="577" spans="2:12" ht="40" customHeight="1">
      <c r="B577" s="42">
        <v>990</v>
      </c>
      <c r="C577" s="102" t="s">
        <v>2074</v>
      </c>
      <c r="D577" s="102" t="s">
        <v>1858</v>
      </c>
      <c r="E577" s="92" t="s">
        <v>2065</v>
      </c>
      <c r="F577" s="42">
        <v>1</v>
      </c>
      <c r="G577" s="42">
        <v>32</v>
      </c>
      <c r="H577" s="42">
        <v>24</v>
      </c>
      <c r="I577" s="42" t="s">
        <v>1881</v>
      </c>
      <c r="J577" s="103" t="s">
        <v>3611</v>
      </c>
      <c r="K577" s="42" t="s">
        <v>4037</v>
      </c>
      <c r="L577" s="42">
        <f>VLOOKUP(Table7[[#This Row],[Baseline Fixture Code]], 'Tables &amp; Ranges'!$A$114:$B$132, 2, FALSE)</f>
        <v>101002</v>
      </c>
    </row>
    <row r="578" spans="2:12" ht="40" customHeight="1">
      <c r="B578" s="42">
        <v>983</v>
      </c>
      <c r="C578" s="102" t="s">
        <v>2067</v>
      </c>
      <c r="D578" s="102" t="s">
        <v>1858</v>
      </c>
      <c r="E578" s="92" t="s">
        <v>2047</v>
      </c>
      <c r="F578" s="42">
        <v>1</v>
      </c>
      <c r="G578" s="42">
        <v>32</v>
      </c>
      <c r="H578" s="42">
        <v>35</v>
      </c>
      <c r="I578" s="42" t="s">
        <v>1881</v>
      </c>
      <c r="J578" s="103" t="s">
        <v>3611</v>
      </c>
      <c r="K578" s="42" t="s">
        <v>4037</v>
      </c>
      <c r="L578" s="42">
        <f>VLOOKUP(Table7[[#This Row],[Baseline Fixture Code]], 'Tables &amp; Ranges'!$A$114:$B$132, 2, FALSE)</f>
        <v>101002</v>
      </c>
    </row>
    <row r="579" spans="2:12" ht="40" customHeight="1">
      <c r="B579" s="42">
        <v>984</v>
      </c>
      <c r="C579" s="102" t="s">
        <v>2068</v>
      </c>
      <c r="D579" s="102" t="s">
        <v>1858</v>
      </c>
      <c r="E579" s="92" t="s">
        <v>2049</v>
      </c>
      <c r="F579" s="42">
        <v>1</v>
      </c>
      <c r="G579" s="42">
        <v>32</v>
      </c>
      <c r="H579" s="42">
        <v>25</v>
      </c>
      <c r="I579" s="42" t="s">
        <v>1881</v>
      </c>
      <c r="J579" s="103" t="s">
        <v>3611</v>
      </c>
      <c r="K579" s="42" t="s">
        <v>4037</v>
      </c>
      <c r="L579" s="42">
        <f>VLOOKUP(Table7[[#This Row],[Baseline Fixture Code]], 'Tables &amp; Ranges'!$A$114:$B$132, 2, FALSE)</f>
        <v>101002</v>
      </c>
    </row>
    <row r="580" spans="2:12" ht="40" customHeight="1">
      <c r="B580" s="42">
        <v>991</v>
      </c>
      <c r="C580" s="102" t="s">
        <v>2075</v>
      </c>
      <c r="D580" s="102" t="s">
        <v>1858</v>
      </c>
      <c r="E580" s="92" t="s">
        <v>2076</v>
      </c>
      <c r="F580" s="42">
        <v>1</v>
      </c>
      <c r="G580" s="42">
        <v>32</v>
      </c>
      <c r="H580" s="42">
        <v>35</v>
      </c>
      <c r="I580" s="42" t="s">
        <v>2077</v>
      </c>
      <c r="J580" s="103" t="s">
        <v>3611</v>
      </c>
      <c r="K580" s="42" t="s">
        <v>4037</v>
      </c>
      <c r="L580" s="42">
        <f>VLOOKUP(Table7[[#This Row],[Baseline Fixture Code]], 'Tables &amp; Ranges'!$A$114:$B$132, 2, FALSE)</f>
        <v>101002</v>
      </c>
    </row>
    <row r="581" spans="2:12" ht="40" customHeight="1">
      <c r="B581" s="42">
        <v>992</v>
      </c>
      <c r="C581" s="102" t="s">
        <v>2078</v>
      </c>
      <c r="D581" s="102" t="s">
        <v>1858</v>
      </c>
      <c r="E581" s="92" t="s">
        <v>2079</v>
      </c>
      <c r="F581" s="42">
        <v>1</v>
      </c>
      <c r="G581" s="42">
        <v>32</v>
      </c>
      <c r="H581" s="42">
        <v>32</v>
      </c>
      <c r="I581" s="42" t="s">
        <v>147</v>
      </c>
      <c r="J581" s="103" t="s">
        <v>3611</v>
      </c>
      <c r="K581" s="42" t="s">
        <v>4037</v>
      </c>
      <c r="L581" s="42">
        <f>VLOOKUP(Table7[[#This Row],[Baseline Fixture Code]], 'Tables &amp; Ranges'!$A$114:$B$132, 2, FALSE)</f>
        <v>101002</v>
      </c>
    </row>
    <row r="582" spans="2:12" ht="40" customHeight="1">
      <c r="B582" s="42">
        <v>995</v>
      </c>
      <c r="C582" s="102" t="s">
        <v>2084</v>
      </c>
      <c r="D582" s="102" t="s">
        <v>1858</v>
      </c>
      <c r="E582" s="92" t="s">
        <v>2085</v>
      </c>
      <c r="F582" s="42">
        <v>1</v>
      </c>
      <c r="G582" s="42">
        <v>32</v>
      </c>
      <c r="H582" s="42">
        <v>30</v>
      </c>
      <c r="I582" s="42" t="s">
        <v>147</v>
      </c>
      <c r="J582" s="103" t="s">
        <v>3611</v>
      </c>
      <c r="K582" s="42" t="s">
        <v>4037</v>
      </c>
      <c r="L582" s="42">
        <f>VLOOKUP(Table7[[#This Row],[Baseline Fixture Code]], 'Tables &amp; Ranges'!$A$114:$B$132, 2, FALSE)</f>
        <v>101002</v>
      </c>
    </row>
    <row r="583" spans="2:12" ht="40" customHeight="1">
      <c r="B583" s="42">
        <v>996</v>
      </c>
      <c r="C583" s="102" t="s">
        <v>2086</v>
      </c>
      <c r="D583" s="102" t="s">
        <v>1858</v>
      </c>
      <c r="E583" s="92" t="s">
        <v>2087</v>
      </c>
      <c r="F583" s="42">
        <v>1</v>
      </c>
      <c r="G583" s="42">
        <v>32</v>
      </c>
      <c r="H583" s="42">
        <v>35</v>
      </c>
      <c r="I583" s="42" t="s">
        <v>147</v>
      </c>
      <c r="J583" s="103" t="s">
        <v>3611</v>
      </c>
      <c r="K583" s="42" t="s">
        <v>4037</v>
      </c>
      <c r="L583" s="42">
        <f>VLOOKUP(Table7[[#This Row],[Baseline Fixture Code]], 'Tables &amp; Ranges'!$A$114:$B$132, 2, FALSE)</f>
        <v>101002</v>
      </c>
    </row>
    <row r="584" spans="2:12" ht="40" customHeight="1">
      <c r="B584" s="42">
        <v>997</v>
      </c>
      <c r="C584" s="102" t="s">
        <v>2088</v>
      </c>
      <c r="D584" s="102" t="s">
        <v>1858</v>
      </c>
      <c r="E584" s="92" t="s">
        <v>2089</v>
      </c>
      <c r="F584" s="42">
        <v>1</v>
      </c>
      <c r="G584" s="42">
        <v>32</v>
      </c>
      <c r="H584" s="42">
        <v>27</v>
      </c>
      <c r="I584" s="42" t="s">
        <v>147</v>
      </c>
      <c r="J584" s="103" t="s">
        <v>3611</v>
      </c>
      <c r="K584" s="42" t="s">
        <v>4037</v>
      </c>
      <c r="L584" s="42">
        <f>VLOOKUP(Table7[[#This Row],[Baseline Fixture Code]], 'Tables &amp; Ranges'!$A$114:$B$132, 2, FALSE)</f>
        <v>101002</v>
      </c>
    </row>
    <row r="585" spans="2:12" ht="40" customHeight="1">
      <c r="B585" s="42">
        <v>998</v>
      </c>
      <c r="C585" s="102" t="s">
        <v>2090</v>
      </c>
      <c r="D585" s="102" t="s">
        <v>1858</v>
      </c>
      <c r="E585" s="92" t="s">
        <v>2091</v>
      </c>
      <c r="F585" s="42">
        <v>1</v>
      </c>
      <c r="G585" s="42">
        <v>32</v>
      </c>
      <c r="H585" s="42">
        <v>31</v>
      </c>
      <c r="I585" s="42" t="s">
        <v>147</v>
      </c>
      <c r="J585" s="103" t="s">
        <v>3611</v>
      </c>
      <c r="K585" s="42" t="s">
        <v>4037</v>
      </c>
      <c r="L585" s="42">
        <f>VLOOKUP(Table7[[#This Row],[Baseline Fixture Code]], 'Tables &amp; Ranges'!$A$114:$B$132, 2, FALSE)</f>
        <v>101002</v>
      </c>
    </row>
    <row r="586" spans="2:12" ht="40" customHeight="1">
      <c r="B586" s="42">
        <v>999</v>
      </c>
      <c r="C586" s="102" t="s">
        <v>2092</v>
      </c>
      <c r="D586" s="102" t="s">
        <v>1858</v>
      </c>
      <c r="E586" s="92" t="s">
        <v>2093</v>
      </c>
      <c r="F586" s="42">
        <v>1</v>
      </c>
      <c r="G586" s="42">
        <v>32</v>
      </c>
      <c r="H586" s="42">
        <v>33</v>
      </c>
      <c r="I586" s="42" t="s">
        <v>147</v>
      </c>
      <c r="J586" s="103" t="s">
        <v>3611</v>
      </c>
      <c r="K586" s="42" t="s">
        <v>4037</v>
      </c>
      <c r="L586" s="42">
        <f>VLOOKUP(Table7[[#This Row],[Baseline Fixture Code]], 'Tables &amp; Ranges'!$A$114:$B$132, 2, FALSE)</f>
        <v>101002</v>
      </c>
    </row>
    <row r="587" spans="2:12" ht="40" customHeight="1">
      <c r="B587" s="42">
        <v>1000</v>
      </c>
      <c r="C587" s="102" t="s">
        <v>2094</v>
      </c>
      <c r="D587" s="102" t="s">
        <v>1858</v>
      </c>
      <c r="E587" s="92" t="s">
        <v>2095</v>
      </c>
      <c r="F587" s="42">
        <v>1</v>
      </c>
      <c r="G587" s="42">
        <v>32</v>
      </c>
      <c r="H587" s="42">
        <v>25</v>
      </c>
      <c r="I587" s="42" t="s">
        <v>147</v>
      </c>
      <c r="J587" s="103" t="s">
        <v>3611</v>
      </c>
      <c r="K587" s="42" t="s">
        <v>4037</v>
      </c>
      <c r="L587" s="42">
        <f>VLOOKUP(Table7[[#This Row],[Baseline Fixture Code]], 'Tables &amp; Ranges'!$A$114:$B$132, 2, FALSE)</f>
        <v>101002</v>
      </c>
    </row>
    <row r="588" spans="2:12" ht="40" customHeight="1">
      <c r="B588" s="42">
        <v>1001</v>
      </c>
      <c r="C588" s="102" t="s">
        <v>2096</v>
      </c>
      <c r="D588" s="102" t="s">
        <v>1858</v>
      </c>
      <c r="E588" s="92" t="s">
        <v>2097</v>
      </c>
      <c r="F588" s="42">
        <v>1</v>
      </c>
      <c r="G588" s="42">
        <v>32</v>
      </c>
      <c r="H588" s="42">
        <v>30</v>
      </c>
      <c r="I588" s="42" t="s">
        <v>147</v>
      </c>
      <c r="J588" s="103" t="s">
        <v>3611</v>
      </c>
      <c r="K588" s="42" t="s">
        <v>4037</v>
      </c>
      <c r="L588" s="42">
        <f>VLOOKUP(Table7[[#This Row],[Baseline Fixture Code]], 'Tables &amp; Ranges'!$A$114:$B$132, 2, FALSE)</f>
        <v>101002</v>
      </c>
    </row>
    <row r="589" spans="2:12" ht="40" customHeight="1">
      <c r="B589" s="42">
        <v>1002</v>
      </c>
      <c r="C589" s="102" t="s">
        <v>2098</v>
      </c>
      <c r="D589" s="102" t="s">
        <v>1858</v>
      </c>
      <c r="E589" s="92" t="s">
        <v>2099</v>
      </c>
      <c r="F589" s="42">
        <v>1</v>
      </c>
      <c r="G589" s="42">
        <v>32</v>
      </c>
      <c r="H589" s="42">
        <v>26</v>
      </c>
      <c r="I589" s="42" t="s">
        <v>147</v>
      </c>
      <c r="J589" s="103" t="s">
        <v>3611</v>
      </c>
      <c r="K589" s="42" t="s">
        <v>4037</v>
      </c>
      <c r="L589" s="42">
        <f>VLOOKUP(Table7[[#This Row],[Baseline Fixture Code]], 'Tables &amp; Ranges'!$A$114:$B$132, 2, FALSE)</f>
        <v>101002</v>
      </c>
    </row>
    <row r="590" spans="2:12" ht="40" customHeight="1">
      <c r="B590" s="42">
        <v>993</v>
      </c>
      <c r="C590" s="102" t="s">
        <v>2080</v>
      </c>
      <c r="D590" s="102" t="s">
        <v>1858</v>
      </c>
      <c r="E590" s="92" t="s">
        <v>2081</v>
      </c>
      <c r="F590" s="42">
        <v>1</v>
      </c>
      <c r="G590" s="42">
        <v>32</v>
      </c>
      <c r="H590" s="42">
        <v>39</v>
      </c>
      <c r="I590" s="42" t="s">
        <v>147</v>
      </c>
      <c r="J590" s="103" t="s">
        <v>3611</v>
      </c>
      <c r="K590" s="42" t="s">
        <v>4037</v>
      </c>
      <c r="L590" s="42">
        <f>VLOOKUP(Table7[[#This Row],[Baseline Fixture Code]], 'Tables &amp; Ranges'!$A$114:$B$132, 2, FALSE)</f>
        <v>101002</v>
      </c>
    </row>
    <row r="591" spans="2:12" ht="40" customHeight="1">
      <c r="B591" s="42">
        <v>994</v>
      </c>
      <c r="C591" s="102" t="s">
        <v>2082</v>
      </c>
      <c r="D591" s="102" t="s">
        <v>1858</v>
      </c>
      <c r="E591" s="92" t="s">
        <v>2083</v>
      </c>
      <c r="F591" s="42">
        <v>1</v>
      </c>
      <c r="G591" s="42">
        <v>32</v>
      </c>
      <c r="H591" s="42">
        <v>27</v>
      </c>
      <c r="I591" s="42" t="s">
        <v>147</v>
      </c>
      <c r="J591" s="103" t="s">
        <v>3611</v>
      </c>
      <c r="K591" s="42" t="s">
        <v>4037</v>
      </c>
      <c r="L591" s="42">
        <f>VLOOKUP(Table7[[#This Row],[Baseline Fixture Code]], 'Tables &amp; Ranges'!$A$114:$B$132, 2, FALSE)</f>
        <v>101002</v>
      </c>
    </row>
    <row r="592" spans="2:12" ht="40" customHeight="1">
      <c r="B592" s="107">
        <v>1262</v>
      </c>
      <c r="C592" s="108" t="s">
        <v>2548</v>
      </c>
      <c r="D592" s="108" t="s">
        <v>2549</v>
      </c>
      <c r="E592" s="109" t="s">
        <v>2550</v>
      </c>
      <c r="F592" s="107">
        <v>1</v>
      </c>
      <c r="G592" s="107">
        <v>32</v>
      </c>
      <c r="H592" s="107">
        <v>31</v>
      </c>
      <c r="I592" s="107" t="s">
        <v>2551</v>
      </c>
      <c r="J592" s="103" t="s">
        <v>3611</v>
      </c>
      <c r="K592" s="42" t="s">
        <v>4037</v>
      </c>
      <c r="L592" s="42">
        <f>VLOOKUP(Table7[[#This Row],[Baseline Fixture Code]], 'Tables &amp; Ranges'!$A$114:$B$132, 2, FALSE)</f>
        <v>101002</v>
      </c>
    </row>
    <row r="593" spans="2:12" ht="40" customHeight="1">
      <c r="B593" s="107">
        <v>1268</v>
      </c>
      <c r="C593" s="108" t="s">
        <v>2562</v>
      </c>
      <c r="D593" s="108" t="s">
        <v>2549</v>
      </c>
      <c r="E593" s="109" t="s">
        <v>2563</v>
      </c>
      <c r="F593" s="107">
        <v>1</v>
      </c>
      <c r="G593" s="107">
        <v>32</v>
      </c>
      <c r="H593" s="107">
        <v>31</v>
      </c>
      <c r="I593" s="107" t="s">
        <v>2551</v>
      </c>
      <c r="J593" s="103" t="s">
        <v>3611</v>
      </c>
      <c r="K593" s="42" t="s">
        <v>4037</v>
      </c>
      <c r="L593" s="42">
        <f>VLOOKUP(Table7[[#This Row],[Baseline Fixture Code]], 'Tables &amp; Ranges'!$A$114:$B$132, 2, FALSE)</f>
        <v>101002</v>
      </c>
    </row>
    <row r="594" spans="2:12" ht="40" customHeight="1">
      <c r="B594" s="107">
        <v>1274</v>
      </c>
      <c r="C594" s="108" t="s">
        <v>2574</v>
      </c>
      <c r="D594" s="108" t="s">
        <v>2549</v>
      </c>
      <c r="E594" s="109" t="s">
        <v>2575</v>
      </c>
      <c r="F594" s="107">
        <v>1</v>
      </c>
      <c r="G594" s="107">
        <v>32</v>
      </c>
      <c r="H594" s="107">
        <v>31</v>
      </c>
      <c r="I594" s="107" t="s">
        <v>2551</v>
      </c>
      <c r="J594" s="103" t="s">
        <v>3611</v>
      </c>
      <c r="K594" s="42" t="s">
        <v>4037</v>
      </c>
      <c r="L594" s="42">
        <f>VLOOKUP(Table7[[#This Row],[Baseline Fixture Code]], 'Tables &amp; Ranges'!$A$114:$B$132, 2, FALSE)</f>
        <v>101002</v>
      </c>
    </row>
    <row r="595" spans="2:12" ht="40" customHeight="1">
      <c r="B595" s="42">
        <v>1003</v>
      </c>
      <c r="C595" s="102" t="s">
        <v>2100</v>
      </c>
      <c r="D595" s="102" t="s">
        <v>1858</v>
      </c>
      <c r="E595" s="92" t="s">
        <v>2101</v>
      </c>
      <c r="F595" s="42">
        <v>2</v>
      </c>
      <c r="G595" s="42">
        <v>32</v>
      </c>
      <c r="H595" s="42">
        <v>59</v>
      </c>
      <c r="I595" s="42" t="s">
        <v>1743</v>
      </c>
      <c r="J595" s="103" t="s">
        <v>3611</v>
      </c>
      <c r="K595" s="42" t="s">
        <v>4037</v>
      </c>
      <c r="L595" s="42">
        <f>VLOOKUP(Table7[[#This Row],[Baseline Fixture Code]], 'Tables &amp; Ranges'!$A$114:$B$132, 2, FALSE)</f>
        <v>101002</v>
      </c>
    </row>
    <row r="596" spans="2:12" ht="40" customHeight="1">
      <c r="B596" s="42">
        <v>1004</v>
      </c>
      <c r="C596" s="102" t="s">
        <v>2102</v>
      </c>
      <c r="D596" s="102" t="s">
        <v>1858</v>
      </c>
      <c r="E596" s="92" t="s">
        <v>2103</v>
      </c>
      <c r="F596" s="42">
        <v>2</v>
      </c>
      <c r="G596" s="42">
        <v>32</v>
      </c>
      <c r="H596" s="42">
        <v>47</v>
      </c>
      <c r="I596" s="42" t="s">
        <v>1743</v>
      </c>
      <c r="J596" s="103" t="s">
        <v>3611</v>
      </c>
      <c r="K596" s="42" t="s">
        <v>4037</v>
      </c>
      <c r="L596" s="42">
        <f>VLOOKUP(Table7[[#This Row],[Baseline Fixture Code]], 'Tables &amp; Ranges'!$A$114:$B$132, 2, FALSE)</f>
        <v>101002</v>
      </c>
    </row>
    <row r="597" spans="2:12" ht="40" customHeight="1">
      <c r="B597" s="42">
        <v>1005</v>
      </c>
      <c r="C597" s="102" t="s">
        <v>2104</v>
      </c>
      <c r="D597" s="102" t="s">
        <v>1858</v>
      </c>
      <c r="E597" s="92" t="s">
        <v>2105</v>
      </c>
      <c r="F597" s="42">
        <v>2</v>
      </c>
      <c r="G597" s="42">
        <v>32</v>
      </c>
      <c r="H597" s="42">
        <v>74</v>
      </c>
      <c r="I597" s="42" t="s">
        <v>147</v>
      </c>
      <c r="J597" s="103" t="s">
        <v>3611</v>
      </c>
      <c r="K597" s="42" t="s">
        <v>4037</v>
      </c>
      <c r="L597" s="42">
        <f>VLOOKUP(Table7[[#This Row],[Baseline Fixture Code]], 'Tables &amp; Ranges'!$A$114:$B$132, 2, FALSE)</f>
        <v>101002</v>
      </c>
    </row>
    <row r="598" spans="2:12" ht="40" customHeight="1">
      <c r="B598" s="42">
        <v>1006</v>
      </c>
      <c r="C598" s="102" t="s">
        <v>2106</v>
      </c>
      <c r="D598" s="102" t="s">
        <v>1858</v>
      </c>
      <c r="E598" s="92" t="s">
        <v>2107</v>
      </c>
      <c r="F598" s="42">
        <v>2</v>
      </c>
      <c r="G598" s="42">
        <v>32</v>
      </c>
      <c r="H598" s="42">
        <v>58</v>
      </c>
      <c r="I598" s="42" t="s">
        <v>147</v>
      </c>
      <c r="J598" s="103" t="s">
        <v>3611</v>
      </c>
      <c r="K598" s="42" t="s">
        <v>4037</v>
      </c>
      <c r="L598" s="42">
        <f>VLOOKUP(Table7[[#This Row],[Baseline Fixture Code]], 'Tables &amp; Ranges'!$A$114:$B$132, 2, FALSE)</f>
        <v>101002</v>
      </c>
    </row>
    <row r="599" spans="2:12" ht="40" customHeight="1">
      <c r="B599" s="42">
        <v>1010</v>
      </c>
      <c r="C599" s="102" t="s">
        <v>2114</v>
      </c>
      <c r="D599" s="102" t="s">
        <v>1858</v>
      </c>
      <c r="E599" s="92" t="s">
        <v>2115</v>
      </c>
      <c r="F599" s="42">
        <v>2</v>
      </c>
      <c r="G599" s="42">
        <v>32</v>
      </c>
      <c r="H599" s="42">
        <v>62</v>
      </c>
      <c r="I599" s="42" t="s">
        <v>147</v>
      </c>
      <c r="J599" s="103" t="s">
        <v>3611</v>
      </c>
      <c r="K599" s="42" t="s">
        <v>4037</v>
      </c>
      <c r="L599" s="42">
        <f>VLOOKUP(Table7[[#This Row],[Baseline Fixture Code]], 'Tables &amp; Ranges'!$A$114:$B$132, 2, FALSE)</f>
        <v>101002</v>
      </c>
    </row>
    <row r="600" spans="2:12" ht="40" customHeight="1">
      <c r="B600" s="42">
        <v>1011</v>
      </c>
      <c r="C600" s="102" t="s">
        <v>2116</v>
      </c>
      <c r="D600" s="102" t="s">
        <v>1858</v>
      </c>
      <c r="E600" s="92" t="s">
        <v>2117</v>
      </c>
      <c r="F600" s="42">
        <v>2</v>
      </c>
      <c r="G600" s="42">
        <v>32</v>
      </c>
      <c r="H600" s="42">
        <v>54</v>
      </c>
      <c r="I600" s="42" t="s">
        <v>147</v>
      </c>
      <c r="J600" s="103" t="s">
        <v>3611</v>
      </c>
      <c r="K600" s="42" t="s">
        <v>4037</v>
      </c>
      <c r="L600" s="42">
        <f>VLOOKUP(Table7[[#This Row],[Baseline Fixture Code]], 'Tables &amp; Ranges'!$A$114:$B$132, 2, FALSE)</f>
        <v>101002</v>
      </c>
    </row>
    <row r="601" spans="2:12" ht="40" customHeight="1">
      <c r="B601" s="42">
        <v>1012</v>
      </c>
      <c r="C601" s="102" t="s">
        <v>2118</v>
      </c>
      <c r="D601" s="102" t="s">
        <v>1858</v>
      </c>
      <c r="E601" s="92" t="s">
        <v>2119</v>
      </c>
      <c r="F601" s="42">
        <v>2</v>
      </c>
      <c r="G601" s="42">
        <v>32</v>
      </c>
      <c r="H601" s="42">
        <v>56</v>
      </c>
      <c r="I601" s="42" t="s">
        <v>147</v>
      </c>
      <c r="J601" s="103" t="s">
        <v>3611</v>
      </c>
      <c r="K601" s="42" t="s">
        <v>4037</v>
      </c>
      <c r="L601" s="42">
        <f>VLOOKUP(Table7[[#This Row],[Baseline Fixture Code]], 'Tables &amp; Ranges'!$A$114:$B$132, 2, FALSE)</f>
        <v>101002</v>
      </c>
    </row>
    <row r="602" spans="2:12" ht="40" customHeight="1">
      <c r="B602" s="42">
        <v>1013</v>
      </c>
      <c r="C602" s="102" t="s">
        <v>2120</v>
      </c>
      <c r="D602" s="102" t="s">
        <v>1858</v>
      </c>
      <c r="E602" s="92" t="s">
        <v>2121</v>
      </c>
      <c r="F602" s="42">
        <v>2</v>
      </c>
      <c r="G602" s="42">
        <v>32</v>
      </c>
      <c r="H602" s="42">
        <v>49</v>
      </c>
      <c r="I602" s="42" t="s">
        <v>147</v>
      </c>
      <c r="J602" s="103" t="s">
        <v>3611</v>
      </c>
      <c r="K602" s="42" t="s">
        <v>4037</v>
      </c>
      <c r="L602" s="42">
        <f>VLOOKUP(Table7[[#This Row],[Baseline Fixture Code]], 'Tables &amp; Ranges'!$A$114:$B$132, 2, FALSE)</f>
        <v>101002</v>
      </c>
    </row>
    <row r="603" spans="2:12" ht="40" customHeight="1">
      <c r="B603" s="42">
        <v>1007</v>
      </c>
      <c r="C603" s="102" t="s">
        <v>2108</v>
      </c>
      <c r="D603" s="102" t="s">
        <v>1858</v>
      </c>
      <c r="E603" s="92" t="s">
        <v>2109</v>
      </c>
      <c r="F603" s="42">
        <v>2</v>
      </c>
      <c r="G603" s="42">
        <v>32</v>
      </c>
      <c r="H603" s="42">
        <v>66</v>
      </c>
      <c r="I603" s="42" t="s">
        <v>147</v>
      </c>
      <c r="J603" s="103" t="s">
        <v>3611</v>
      </c>
      <c r="K603" s="42" t="s">
        <v>4037</v>
      </c>
      <c r="L603" s="42">
        <f>VLOOKUP(Table7[[#This Row],[Baseline Fixture Code]], 'Tables &amp; Ranges'!$A$114:$B$132, 2, FALSE)</f>
        <v>101002</v>
      </c>
    </row>
    <row r="604" spans="2:12" ht="40" customHeight="1">
      <c r="B604" s="42">
        <v>1008</v>
      </c>
      <c r="C604" s="102" t="s">
        <v>2110</v>
      </c>
      <c r="D604" s="102" t="s">
        <v>1858</v>
      </c>
      <c r="E604" s="92" t="s">
        <v>2111</v>
      </c>
      <c r="F604" s="42">
        <v>2</v>
      </c>
      <c r="G604" s="42">
        <v>32</v>
      </c>
      <c r="H604" s="42">
        <v>51</v>
      </c>
      <c r="I604" s="42" t="s">
        <v>147</v>
      </c>
      <c r="J604" s="103" t="s">
        <v>3611</v>
      </c>
      <c r="K604" s="42" t="s">
        <v>4037</v>
      </c>
      <c r="L604" s="42">
        <f>VLOOKUP(Table7[[#This Row],[Baseline Fixture Code]], 'Tables &amp; Ranges'!$A$114:$B$132, 2, FALSE)</f>
        <v>101002</v>
      </c>
    </row>
    <row r="605" spans="2:12" ht="40" customHeight="1">
      <c r="B605" s="42">
        <v>1009</v>
      </c>
      <c r="C605" s="102" t="s">
        <v>2112</v>
      </c>
      <c r="D605" s="102" t="s">
        <v>1858</v>
      </c>
      <c r="E605" s="92" t="s">
        <v>2113</v>
      </c>
      <c r="F605" s="42">
        <v>2</v>
      </c>
      <c r="G605" s="42">
        <v>32</v>
      </c>
      <c r="H605" s="42">
        <v>77</v>
      </c>
      <c r="I605" s="42" t="s">
        <v>147</v>
      </c>
      <c r="J605" s="103" t="s">
        <v>3611</v>
      </c>
      <c r="K605" s="42" t="s">
        <v>4037</v>
      </c>
      <c r="L605" s="42">
        <f>VLOOKUP(Table7[[#This Row],[Baseline Fixture Code]], 'Tables &amp; Ranges'!$A$114:$B$132, 2, FALSE)</f>
        <v>101002</v>
      </c>
    </row>
    <row r="606" spans="2:12" ht="40" customHeight="1">
      <c r="B606" s="42">
        <v>1014</v>
      </c>
      <c r="C606" s="102" t="s">
        <v>2122</v>
      </c>
      <c r="D606" s="102" t="s">
        <v>1858</v>
      </c>
      <c r="E606" s="92" t="s">
        <v>2107</v>
      </c>
      <c r="F606" s="42">
        <v>2</v>
      </c>
      <c r="G606" s="42">
        <v>32</v>
      </c>
      <c r="H606" s="42">
        <v>54</v>
      </c>
      <c r="I606" s="42" t="s">
        <v>1881</v>
      </c>
      <c r="J606" s="103" t="s">
        <v>3611</v>
      </c>
      <c r="K606" s="42" t="s">
        <v>4037</v>
      </c>
      <c r="L606" s="42">
        <f>VLOOKUP(Table7[[#This Row],[Baseline Fixture Code]], 'Tables &amp; Ranges'!$A$114:$B$132, 2, FALSE)</f>
        <v>101002</v>
      </c>
    </row>
    <row r="607" spans="2:12" ht="40" customHeight="1">
      <c r="B607" s="42">
        <v>1018</v>
      </c>
      <c r="C607" s="102" t="s">
        <v>2128</v>
      </c>
      <c r="D607" s="102" t="s">
        <v>1858</v>
      </c>
      <c r="E607" s="92" t="s">
        <v>2119</v>
      </c>
      <c r="F607" s="42">
        <v>2</v>
      </c>
      <c r="G607" s="42">
        <v>32</v>
      </c>
      <c r="H607" s="42">
        <v>54</v>
      </c>
      <c r="I607" s="42" t="s">
        <v>1881</v>
      </c>
      <c r="J607" s="103" t="s">
        <v>3611</v>
      </c>
      <c r="K607" s="42" t="s">
        <v>4037</v>
      </c>
      <c r="L607" s="42">
        <f>VLOOKUP(Table7[[#This Row],[Baseline Fixture Code]], 'Tables &amp; Ranges'!$A$114:$B$132, 2, FALSE)</f>
        <v>101002</v>
      </c>
    </row>
    <row r="608" spans="2:12" ht="40" customHeight="1">
      <c r="B608" s="42">
        <v>1019</v>
      </c>
      <c r="C608" s="102" t="s">
        <v>2129</v>
      </c>
      <c r="D608" s="102" t="s">
        <v>1858</v>
      </c>
      <c r="E608" s="92" t="s">
        <v>2121</v>
      </c>
      <c r="F608" s="42">
        <v>2</v>
      </c>
      <c r="G608" s="42">
        <v>32</v>
      </c>
      <c r="H608" s="42">
        <v>48</v>
      </c>
      <c r="I608" s="42" t="s">
        <v>1881</v>
      </c>
      <c r="J608" s="103" t="s">
        <v>3611</v>
      </c>
      <c r="K608" s="42" t="s">
        <v>4037</v>
      </c>
      <c r="L608" s="42">
        <f>VLOOKUP(Table7[[#This Row],[Baseline Fixture Code]], 'Tables &amp; Ranges'!$A$114:$B$132, 2, FALSE)</f>
        <v>101002</v>
      </c>
    </row>
    <row r="609" spans="2:12" ht="40" customHeight="1">
      <c r="B609" s="42">
        <v>1015</v>
      </c>
      <c r="C609" s="102" t="s">
        <v>2123</v>
      </c>
      <c r="D609" s="102" t="s">
        <v>1858</v>
      </c>
      <c r="E609" s="92" t="s">
        <v>2109</v>
      </c>
      <c r="F609" s="42">
        <v>2</v>
      </c>
      <c r="G609" s="42">
        <v>32</v>
      </c>
      <c r="H609" s="42">
        <v>64</v>
      </c>
      <c r="I609" s="42" t="s">
        <v>1881</v>
      </c>
      <c r="J609" s="103" t="s">
        <v>3611</v>
      </c>
      <c r="K609" s="42" t="s">
        <v>4037</v>
      </c>
      <c r="L609" s="42">
        <f>VLOOKUP(Table7[[#This Row],[Baseline Fixture Code]], 'Tables &amp; Ranges'!$A$114:$B$132, 2, FALSE)</f>
        <v>101002</v>
      </c>
    </row>
    <row r="610" spans="2:12" ht="40" customHeight="1">
      <c r="B610" s="42">
        <v>1016</v>
      </c>
      <c r="C610" s="102" t="s">
        <v>2124</v>
      </c>
      <c r="D610" s="102" t="s">
        <v>1858</v>
      </c>
      <c r="E610" s="92" t="s">
        <v>2125</v>
      </c>
      <c r="F610" s="42">
        <v>2</v>
      </c>
      <c r="G610" s="42">
        <v>32</v>
      </c>
      <c r="H610" s="42">
        <v>48</v>
      </c>
      <c r="I610" s="42" t="s">
        <v>1881</v>
      </c>
      <c r="J610" s="103" t="s">
        <v>3611</v>
      </c>
      <c r="K610" s="42" t="s">
        <v>4037</v>
      </c>
      <c r="L610" s="42">
        <f>VLOOKUP(Table7[[#This Row],[Baseline Fixture Code]], 'Tables &amp; Ranges'!$A$114:$B$132, 2, FALSE)</f>
        <v>101002</v>
      </c>
    </row>
    <row r="611" spans="2:12" ht="40" customHeight="1">
      <c r="B611" s="42">
        <v>1017</v>
      </c>
      <c r="C611" s="102" t="s">
        <v>2126</v>
      </c>
      <c r="D611" s="102" t="s">
        <v>1858</v>
      </c>
      <c r="E611" s="92" t="s">
        <v>2127</v>
      </c>
      <c r="F611" s="42">
        <v>2</v>
      </c>
      <c r="G611" s="42">
        <v>32</v>
      </c>
      <c r="H611" s="42">
        <v>73</v>
      </c>
      <c r="I611" s="42" t="s">
        <v>1881</v>
      </c>
      <c r="J611" s="103" t="s">
        <v>3611</v>
      </c>
      <c r="K611" s="42" t="s">
        <v>4037</v>
      </c>
      <c r="L611" s="42">
        <f>VLOOKUP(Table7[[#This Row],[Baseline Fixture Code]], 'Tables &amp; Ranges'!$A$114:$B$132, 2, FALSE)</f>
        <v>101002</v>
      </c>
    </row>
    <row r="612" spans="2:12" ht="40" customHeight="1">
      <c r="B612" s="42">
        <v>1020</v>
      </c>
      <c r="C612" s="102" t="s">
        <v>2130</v>
      </c>
      <c r="D612" s="102" t="s">
        <v>1858</v>
      </c>
      <c r="E612" s="92" t="s">
        <v>2131</v>
      </c>
      <c r="F612" s="42">
        <v>2</v>
      </c>
      <c r="G612" s="42">
        <v>32</v>
      </c>
      <c r="H612" s="42">
        <v>71</v>
      </c>
      <c r="I612" s="42" t="s">
        <v>2077</v>
      </c>
      <c r="J612" s="103" t="s">
        <v>3611</v>
      </c>
      <c r="K612" s="42" t="s">
        <v>4037</v>
      </c>
      <c r="L612" s="42">
        <f>VLOOKUP(Table7[[#This Row],[Baseline Fixture Code]], 'Tables &amp; Ranges'!$A$114:$B$132, 2, FALSE)</f>
        <v>101002</v>
      </c>
    </row>
    <row r="613" spans="2:12" ht="40" customHeight="1">
      <c r="B613" s="42">
        <v>1021</v>
      </c>
      <c r="C613" s="102" t="s">
        <v>2132</v>
      </c>
      <c r="D613" s="102" t="s">
        <v>1858</v>
      </c>
      <c r="E613" s="92" t="s">
        <v>2133</v>
      </c>
      <c r="F613" s="42">
        <v>2</v>
      </c>
      <c r="G613" s="42">
        <v>32</v>
      </c>
      <c r="H613" s="42">
        <v>60</v>
      </c>
      <c r="I613" s="42" t="s">
        <v>147</v>
      </c>
      <c r="J613" s="103" t="s">
        <v>3611</v>
      </c>
      <c r="K613" s="42" t="s">
        <v>4037</v>
      </c>
      <c r="L613" s="42">
        <f>VLOOKUP(Table7[[#This Row],[Baseline Fixture Code]], 'Tables &amp; Ranges'!$A$114:$B$132, 2, FALSE)</f>
        <v>101002</v>
      </c>
    </row>
    <row r="614" spans="2:12" ht="40" customHeight="1">
      <c r="B614" s="42">
        <v>1025</v>
      </c>
      <c r="C614" s="102" t="s">
        <v>2140</v>
      </c>
      <c r="D614" s="102" t="s">
        <v>1858</v>
      </c>
      <c r="E614" s="92" t="s">
        <v>2141</v>
      </c>
      <c r="F614" s="42">
        <v>2</v>
      </c>
      <c r="G614" s="42">
        <v>32</v>
      </c>
      <c r="H614" s="42">
        <v>64</v>
      </c>
      <c r="I614" s="42" t="s">
        <v>147</v>
      </c>
      <c r="J614" s="103" t="s">
        <v>3611</v>
      </c>
      <c r="K614" s="42" t="s">
        <v>4037</v>
      </c>
      <c r="L614" s="42">
        <f>VLOOKUP(Table7[[#This Row],[Baseline Fixture Code]], 'Tables &amp; Ranges'!$A$114:$B$132, 2, FALSE)</f>
        <v>101002</v>
      </c>
    </row>
    <row r="615" spans="2:12" ht="40" customHeight="1">
      <c r="B615" s="42">
        <v>1026</v>
      </c>
      <c r="C615" s="102" t="s">
        <v>2142</v>
      </c>
      <c r="D615" s="102" t="s">
        <v>1858</v>
      </c>
      <c r="E615" s="92" t="s">
        <v>2143</v>
      </c>
      <c r="F615" s="42">
        <v>2</v>
      </c>
      <c r="G615" s="42">
        <v>32</v>
      </c>
      <c r="H615" s="42">
        <v>59</v>
      </c>
      <c r="I615" s="42" t="s">
        <v>147</v>
      </c>
      <c r="J615" s="103" t="s">
        <v>3611</v>
      </c>
      <c r="K615" s="42" t="s">
        <v>4037</v>
      </c>
      <c r="L615" s="42">
        <f>VLOOKUP(Table7[[#This Row],[Baseline Fixture Code]], 'Tables &amp; Ranges'!$A$114:$B$132, 2, FALSE)</f>
        <v>101002</v>
      </c>
    </row>
    <row r="616" spans="2:12" ht="40" customHeight="1">
      <c r="B616" s="42">
        <v>1027</v>
      </c>
      <c r="C616" s="102" t="s">
        <v>2144</v>
      </c>
      <c r="D616" s="102" t="s">
        <v>1858</v>
      </c>
      <c r="E616" s="92" t="s">
        <v>2145</v>
      </c>
      <c r="F616" s="42">
        <v>2</v>
      </c>
      <c r="G616" s="42">
        <v>32</v>
      </c>
      <c r="H616" s="42">
        <v>53</v>
      </c>
      <c r="I616" s="42" t="s">
        <v>147</v>
      </c>
      <c r="J616" s="103" t="s">
        <v>3611</v>
      </c>
      <c r="K616" s="42" t="s">
        <v>4037</v>
      </c>
      <c r="L616" s="42">
        <f>VLOOKUP(Table7[[#This Row],[Baseline Fixture Code]], 'Tables &amp; Ranges'!$A$114:$B$132, 2, FALSE)</f>
        <v>101002</v>
      </c>
    </row>
    <row r="617" spans="2:12" ht="40" customHeight="1">
      <c r="B617" s="42">
        <v>1022</v>
      </c>
      <c r="C617" s="102" t="s">
        <v>2134</v>
      </c>
      <c r="D617" s="102" t="s">
        <v>1858</v>
      </c>
      <c r="E617" s="92" t="s">
        <v>2135</v>
      </c>
      <c r="F617" s="42">
        <v>2</v>
      </c>
      <c r="G617" s="42">
        <v>32</v>
      </c>
      <c r="H617" s="42">
        <v>70</v>
      </c>
      <c r="I617" s="42" t="s">
        <v>147</v>
      </c>
      <c r="J617" s="103" t="s">
        <v>3611</v>
      </c>
      <c r="K617" s="42" t="s">
        <v>4037</v>
      </c>
      <c r="L617" s="42">
        <f>VLOOKUP(Table7[[#This Row],[Baseline Fixture Code]], 'Tables &amp; Ranges'!$A$114:$B$132, 2, FALSE)</f>
        <v>101002</v>
      </c>
    </row>
    <row r="618" spans="2:12" ht="40" customHeight="1">
      <c r="B618" s="42">
        <v>1023</v>
      </c>
      <c r="C618" s="102" t="s">
        <v>2136</v>
      </c>
      <c r="D618" s="102" t="s">
        <v>1858</v>
      </c>
      <c r="E618" s="92" t="s">
        <v>2137</v>
      </c>
      <c r="F618" s="42">
        <v>2</v>
      </c>
      <c r="G618" s="42">
        <v>32</v>
      </c>
      <c r="H618" s="42">
        <v>54</v>
      </c>
      <c r="I618" s="42" t="s">
        <v>147</v>
      </c>
      <c r="J618" s="103" t="s">
        <v>3611</v>
      </c>
      <c r="K618" s="42" t="s">
        <v>4037</v>
      </c>
      <c r="L618" s="42">
        <f>VLOOKUP(Table7[[#This Row],[Baseline Fixture Code]], 'Tables &amp; Ranges'!$A$114:$B$132, 2, FALSE)</f>
        <v>101002</v>
      </c>
    </row>
    <row r="619" spans="2:12" ht="40" customHeight="1">
      <c r="B619" s="42">
        <v>1024</v>
      </c>
      <c r="C619" s="102" t="s">
        <v>2138</v>
      </c>
      <c r="D619" s="102" t="s">
        <v>1858</v>
      </c>
      <c r="E619" s="92" t="s">
        <v>2139</v>
      </c>
      <c r="F619" s="42">
        <v>2</v>
      </c>
      <c r="G619" s="42">
        <v>32</v>
      </c>
      <c r="H619" s="42">
        <v>85</v>
      </c>
      <c r="I619" s="42" t="s">
        <v>147</v>
      </c>
      <c r="J619" s="103" t="s">
        <v>3611</v>
      </c>
      <c r="K619" s="42" t="s">
        <v>4037</v>
      </c>
      <c r="L619" s="42">
        <f>VLOOKUP(Table7[[#This Row],[Baseline Fixture Code]], 'Tables &amp; Ranges'!$A$114:$B$132, 2, FALSE)</f>
        <v>101002</v>
      </c>
    </row>
    <row r="620" spans="2:12" ht="40" customHeight="1">
      <c r="B620" s="107">
        <v>1263</v>
      </c>
      <c r="C620" s="108" t="s">
        <v>2552</v>
      </c>
      <c r="D620" s="108" t="s">
        <v>2549</v>
      </c>
      <c r="E620" s="109" t="s">
        <v>2553</v>
      </c>
      <c r="F620" s="107">
        <v>2</v>
      </c>
      <c r="G620" s="107">
        <v>32</v>
      </c>
      <c r="H620" s="107">
        <v>58</v>
      </c>
      <c r="I620" s="107" t="s">
        <v>2551</v>
      </c>
      <c r="J620" s="103" t="s">
        <v>3611</v>
      </c>
      <c r="K620" s="42" t="s">
        <v>4037</v>
      </c>
      <c r="L620" s="42">
        <f>VLOOKUP(Table7[[#This Row],[Baseline Fixture Code]], 'Tables &amp; Ranges'!$A$114:$B$132, 2, FALSE)</f>
        <v>101002</v>
      </c>
    </row>
    <row r="621" spans="2:12" ht="40" customHeight="1">
      <c r="B621" s="107">
        <v>1269</v>
      </c>
      <c r="C621" s="108" t="s">
        <v>2564</v>
      </c>
      <c r="D621" s="108" t="s">
        <v>2549</v>
      </c>
      <c r="E621" s="109" t="s">
        <v>2565</v>
      </c>
      <c r="F621" s="107">
        <v>2</v>
      </c>
      <c r="G621" s="107">
        <v>32</v>
      </c>
      <c r="H621" s="107">
        <v>58</v>
      </c>
      <c r="I621" s="107" t="s">
        <v>2551</v>
      </c>
      <c r="J621" s="103" t="s">
        <v>3611</v>
      </c>
      <c r="K621" s="42" t="s">
        <v>4037</v>
      </c>
      <c r="L621" s="42">
        <f>VLOOKUP(Table7[[#This Row],[Baseline Fixture Code]], 'Tables &amp; Ranges'!$A$114:$B$132, 2, FALSE)</f>
        <v>101002</v>
      </c>
    </row>
    <row r="622" spans="2:12" ht="40" customHeight="1">
      <c r="B622" s="107">
        <v>1275</v>
      </c>
      <c r="C622" s="108" t="s">
        <v>2576</v>
      </c>
      <c r="D622" s="108" t="s">
        <v>2549</v>
      </c>
      <c r="E622" s="109" t="s">
        <v>2577</v>
      </c>
      <c r="F622" s="107">
        <v>2</v>
      </c>
      <c r="G622" s="107">
        <v>32</v>
      </c>
      <c r="H622" s="107">
        <v>58</v>
      </c>
      <c r="I622" s="107" t="s">
        <v>2551</v>
      </c>
      <c r="J622" s="103" t="s">
        <v>3611</v>
      </c>
      <c r="K622" s="42" t="s">
        <v>4037</v>
      </c>
      <c r="L622" s="42">
        <f>VLOOKUP(Table7[[#This Row],[Baseline Fixture Code]], 'Tables &amp; Ranges'!$A$114:$B$132, 2, FALSE)</f>
        <v>101002</v>
      </c>
    </row>
    <row r="623" spans="2:12" ht="40" customHeight="1">
      <c r="B623" s="42">
        <v>1028</v>
      </c>
      <c r="C623" s="102" t="s">
        <v>2146</v>
      </c>
      <c r="D623" s="102" t="s">
        <v>1858</v>
      </c>
      <c r="E623" s="92" t="s">
        <v>2147</v>
      </c>
      <c r="F623" s="42">
        <v>3</v>
      </c>
      <c r="G623" s="42">
        <v>32</v>
      </c>
      <c r="H623" s="42">
        <v>88</v>
      </c>
      <c r="I623" s="42" t="s">
        <v>1743</v>
      </c>
      <c r="J623" s="103" t="s">
        <v>3611</v>
      </c>
      <c r="K623" s="42" t="s">
        <v>4037</v>
      </c>
      <c r="L623" s="42">
        <f>VLOOKUP(Table7[[#This Row],[Baseline Fixture Code]], 'Tables &amp; Ranges'!$A$114:$B$132, 2, FALSE)</f>
        <v>101002</v>
      </c>
    </row>
    <row r="624" spans="2:12" ht="40" customHeight="1">
      <c r="B624" s="42">
        <v>1029</v>
      </c>
      <c r="C624" s="102" t="s">
        <v>2148</v>
      </c>
      <c r="D624" s="102" t="s">
        <v>1858</v>
      </c>
      <c r="E624" s="92" t="s">
        <v>2149</v>
      </c>
      <c r="F624" s="42">
        <v>3</v>
      </c>
      <c r="G624" s="42">
        <v>32</v>
      </c>
      <c r="H624" s="42">
        <v>72</v>
      </c>
      <c r="I624" s="42" t="s">
        <v>1743</v>
      </c>
      <c r="J624" s="103" t="s">
        <v>3611</v>
      </c>
      <c r="K624" s="42" t="s">
        <v>4037</v>
      </c>
      <c r="L624" s="42">
        <f>VLOOKUP(Table7[[#This Row],[Baseline Fixture Code]], 'Tables &amp; Ranges'!$A$114:$B$132, 2, FALSE)</f>
        <v>101002</v>
      </c>
    </row>
    <row r="625" spans="2:12" ht="40" customHeight="1">
      <c r="B625" s="42">
        <v>1030</v>
      </c>
      <c r="C625" s="102" t="s">
        <v>2150</v>
      </c>
      <c r="D625" s="102" t="s">
        <v>1858</v>
      </c>
      <c r="E625" s="92" t="s">
        <v>2151</v>
      </c>
      <c r="F625" s="42">
        <v>3</v>
      </c>
      <c r="G625" s="42">
        <v>32</v>
      </c>
      <c r="H625" s="42">
        <v>108</v>
      </c>
      <c r="I625" s="42" t="s">
        <v>147</v>
      </c>
      <c r="J625" s="103" t="s">
        <v>3611</v>
      </c>
      <c r="K625" s="42" t="s">
        <v>4037</v>
      </c>
      <c r="L625" s="42">
        <f>VLOOKUP(Table7[[#This Row],[Baseline Fixture Code]], 'Tables &amp; Ranges'!$A$114:$B$132, 2, FALSE)</f>
        <v>101002</v>
      </c>
    </row>
    <row r="626" spans="2:12" ht="40" customHeight="1">
      <c r="B626" s="42">
        <v>1031</v>
      </c>
      <c r="C626" s="102" t="s">
        <v>2152</v>
      </c>
      <c r="D626" s="102" t="s">
        <v>1858</v>
      </c>
      <c r="E626" s="92" t="s">
        <v>2153</v>
      </c>
      <c r="F626" s="42">
        <v>3</v>
      </c>
      <c r="G626" s="42">
        <v>32</v>
      </c>
      <c r="H626" s="42">
        <v>85</v>
      </c>
      <c r="I626" s="42" t="s">
        <v>147</v>
      </c>
      <c r="J626" s="103" t="s">
        <v>3611</v>
      </c>
      <c r="K626" s="42" t="s">
        <v>4037</v>
      </c>
      <c r="L626" s="42">
        <f>VLOOKUP(Table7[[#This Row],[Baseline Fixture Code]], 'Tables &amp; Ranges'!$A$114:$B$132, 2, FALSE)</f>
        <v>101002</v>
      </c>
    </row>
    <row r="627" spans="2:12" ht="40" customHeight="1">
      <c r="B627" s="42">
        <v>1035</v>
      </c>
      <c r="C627" s="102" t="s">
        <v>2160</v>
      </c>
      <c r="D627" s="102" t="s">
        <v>1858</v>
      </c>
      <c r="E627" s="92" t="s">
        <v>2161</v>
      </c>
      <c r="F627" s="42">
        <v>3</v>
      </c>
      <c r="G627" s="42">
        <v>32</v>
      </c>
      <c r="H627" s="42">
        <v>89</v>
      </c>
      <c r="I627" s="42" t="s">
        <v>147</v>
      </c>
      <c r="J627" s="103" t="s">
        <v>3611</v>
      </c>
      <c r="K627" s="42" t="s">
        <v>4037</v>
      </c>
      <c r="L627" s="42">
        <f>VLOOKUP(Table7[[#This Row],[Baseline Fixture Code]], 'Tables &amp; Ranges'!$A$114:$B$132, 2, FALSE)</f>
        <v>101002</v>
      </c>
    </row>
    <row r="628" spans="2:12" ht="40" customHeight="1">
      <c r="B628" s="42">
        <v>1036</v>
      </c>
      <c r="C628" s="102" t="s">
        <v>2162</v>
      </c>
      <c r="D628" s="102" t="s">
        <v>1858</v>
      </c>
      <c r="E628" s="92" t="s">
        <v>2163</v>
      </c>
      <c r="F628" s="42">
        <v>3</v>
      </c>
      <c r="G628" s="42">
        <v>32</v>
      </c>
      <c r="H628" s="42">
        <v>102</v>
      </c>
      <c r="I628" s="42" t="s">
        <v>147</v>
      </c>
      <c r="J628" s="103" t="s">
        <v>3611</v>
      </c>
      <c r="K628" s="42" t="s">
        <v>4037</v>
      </c>
      <c r="L628" s="42">
        <f>VLOOKUP(Table7[[#This Row],[Baseline Fixture Code]], 'Tables &amp; Ranges'!$A$114:$B$132, 2, FALSE)</f>
        <v>101002</v>
      </c>
    </row>
    <row r="629" spans="2:12" ht="40" customHeight="1">
      <c r="B629" s="42">
        <v>1037</v>
      </c>
      <c r="C629" s="102" t="s">
        <v>2164</v>
      </c>
      <c r="D629" s="102" t="s">
        <v>1858</v>
      </c>
      <c r="E629" s="92" t="s">
        <v>2165</v>
      </c>
      <c r="F629" s="42">
        <v>3</v>
      </c>
      <c r="G629" s="42">
        <v>32</v>
      </c>
      <c r="H629" s="42">
        <v>78</v>
      </c>
      <c r="I629" s="42" t="s">
        <v>147</v>
      </c>
      <c r="J629" s="103" t="s">
        <v>3611</v>
      </c>
      <c r="K629" s="42" t="s">
        <v>4037</v>
      </c>
      <c r="L629" s="42">
        <f>VLOOKUP(Table7[[#This Row],[Baseline Fixture Code]], 'Tables &amp; Ranges'!$A$114:$B$132, 2, FALSE)</f>
        <v>101002</v>
      </c>
    </row>
    <row r="630" spans="2:12" ht="40" customHeight="1">
      <c r="B630" s="42">
        <v>1032</v>
      </c>
      <c r="C630" s="102" t="s">
        <v>2154</v>
      </c>
      <c r="D630" s="102" t="s">
        <v>1858</v>
      </c>
      <c r="E630" s="92" t="s">
        <v>2155</v>
      </c>
      <c r="F630" s="42">
        <v>3</v>
      </c>
      <c r="G630" s="42">
        <v>32</v>
      </c>
      <c r="H630" s="42">
        <v>93</v>
      </c>
      <c r="I630" s="42" t="s">
        <v>147</v>
      </c>
      <c r="J630" s="103" t="s">
        <v>3611</v>
      </c>
      <c r="K630" s="42" t="s">
        <v>4037</v>
      </c>
      <c r="L630" s="42">
        <f>VLOOKUP(Table7[[#This Row],[Baseline Fixture Code]], 'Tables &amp; Ranges'!$A$114:$B$132, 2, FALSE)</f>
        <v>101002</v>
      </c>
    </row>
    <row r="631" spans="2:12" ht="40" customHeight="1">
      <c r="B631" s="42">
        <v>1033</v>
      </c>
      <c r="C631" s="102" t="s">
        <v>2156</v>
      </c>
      <c r="D631" s="102" t="s">
        <v>1858</v>
      </c>
      <c r="E631" s="92" t="s">
        <v>2157</v>
      </c>
      <c r="F631" s="42">
        <v>3</v>
      </c>
      <c r="G631" s="42">
        <v>32</v>
      </c>
      <c r="H631" s="42">
        <v>76</v>
      </c>
      <c r="I631" s="42" t="s">
        <v>147</v>
      </c>
      <c r="J631" s="103" t="s">
        <v>3611</v>
      </c>
      <c r="K631" s="42" t="s">
        <v>4037</v>
      </c>
      <c r="L631" s="42">
        <f>VLOOKUP(Table7[[#This Row],[Baseline Fixture Code]], 'Tables &amp; Ranges'!$A$114:$B$132, 2, FALSE)</f>
        <v>101002</v>
      </c>
    </row>
    <row r="632" spans="2:12" ht="40" customHeight="1">
      <c r="B632" s="42">
        <v>1034</v>
      </c>
      <c r="C632" s="102" t="s">
        <v>2158</v>
      </c>
      <c r="D632" s="102" t="s">
        <v>1858</v>
      </c>
      <c r="E632" s="92" t="s">
        <v>2159</v>
      </c>
      <c r="F632" s="42">
        <v>3</v>
      </c>
      <c r="G632" s="42">
        <v>32</v>
      </c>
      <c r="H632" s="42">
        <v>112</v>
      </c>
      <c r="I632" s="42" t="s">
        <v>147</v>
      </c>
      <c r="J632" s="103" t="s">
        <v>3611</v>
      </c>
      <c r="K632" s="42" t="s">
        <v>4037</v>
      </c>
      <c r="L632" s="42">
        <f>VLOOKUP(Table7[[#This Row],[Baseline Fixture Code]], 'Tables &amp; Ranges'!$A$114:$B$132, 2, FALSE)</f>
        <v>101002</v>
      </c>
    </row>
    <row r="633" spans="2:12" ht="40" customHeight="1">
      <c r="B633" s="42">
        <v>1038</v>
      </c>
      <c r="C633" s="102" t="s">
        <v>2166</v>
      </c>
      <c r="D633" s="102" t="s">
        <v>1858</v>
      </c>
      <c r="E633" s="92" t="s">
        <v>2153</v>
      </c>
      <c r="F633" s="42">
        <v>3</v>
      </c>
      <c r="G633" s="42">
        <v>32</v>
      </c>
      <c r="H633" s="42">
        <v>81</v>
      </c>
      <c r="I633" s="42" t="s">
        <v>1881</v>
      </c>
      <c r="J633" s="103" t="s">
        <v>3611</v>
      </c>
      <c r="K633" s="42" t="s">
        <v>4037</v>
      </c>
      <c r="L633" s="42">
        <f>VLOOKUP(Table7[[#This Row],[Baseline Fixture Code]], 'Tables &amp; Ranges'!$A$114:$B$132, 2, FALSE)</f>
        <v>101002</v>
      </c>
    </row>
    <row r="634" spans="2:12" ht="40" customHeight="1">
      <c r="B634" s="42">
        <v>1039</v>
      </c>
      <c r="C634" s="102" t="s">
        <v>2167</v>
      </c>
      <c r="D634" s="102" t="s">
        <v>1858</v>
      </c>
      <c r="E634" s="92" t="s">
        <v>2168</v>
      </c>
      <c r="F634" s="42">
        <v>3</v>
      </c>
      <c r="G634" s="42">
        <v>32</v>
      </c>
      <c r="H634" s="42">
        <v>92</v>
      </c>
      <c r="I634" s="42" t="s">
        <v>1881</v>
      </c>
      <c r="J634" s="103" t="s">
        <v>3611</v>
      </c>
      <c r="K634" s="42" t="s">
        <v>4037</v>
      </c>
      <c r="L634" s="42">
        <f>VLOOKUP(Table7[[#This Row],[Baseline Fixture Code]], 'Tables &amp; Ranges'!$A$114:$B$132, 2, FALSE)</f>
        <v>101002</v>
      </c>
    </row>
    <row r="635" spans="2:12" ht="40" customHeight="1">
      <c r="B635" s="42">
        <v>1040</v>
      </c>
      <c r="C635" s="102" t="s">
        <v>2169</v>
      </c>
      <c r="D635" s="102" t="s">
        <v>1858</v>
      </c>
      <c r="E635" s="92" t="s">
        <v>2157</v>
      </c>
      <c r="F635" s="42">
        <v>3</v>
      </c>
      <c r="G635" s="42">
        <v>32</v>
      </c>
      <c r="H635" s="42">
        <v>72</v>
      </c>
      <c r="I635" s="42" t="s">
        <v>1881</v>
      </c>
      <c r="J635" s="103" t="s">
        <v>3611</v>
      </c>
      <c r="K635" s="42" t="s">
        <v>4037</v>
      </c>
      <c r="L635" s="42">
        <f>VLOOKUP(Table7[[#This Row],[Baseline Fixture Code]], 'Tables &amp; Ranges'!$A$114:$B$132, 2, FALSE)</f>
        <v>101002</v>
      </c>
    </row>
    <row r="636" spans="2:12" ht="40" customHeight="1">
      <c r="B636" s="42">
        <v>1041</v>
      </c>
      <c r="C636" s="102" t="s">
        <v>2170</v>
      </c>
      <c r="D636" s="102" t="s">
        <v>1858</v>
      </c>
      <c r="E636" s="92" t="s">
        <v>2159</v>
      </c>
      <c r="F636" s="42">
        <v>3</v>
      </c>
      <c r="G636" s="42">
        <v>32</v>
      </c>
      <c r="H636" s="42">
        <v>108</v>
      </c>
      <c r="I636" s="42" t="s">
        <v>1881</v>
      </c>
      <c r="J636" s="103" t="s">
        <v>3611</v>
      </c>
      <c r="K636" s="42" t="s">
        <v>4037</v>
      </c>
      <c r="L636" s="42">
        <f>VLOOKUP(Table7[[#This Row],[Baseline Fixture Code]], 'Tables &amp; Ranges'!$A$114:$B$132, 2, FALSE)</f>
        <v>101002</v>
      </c>
    </row>
    <row r="637" spans="2:12" ht="40" customHeight="1">
      <c r="B637" s="42">
        <v>1042</v>
      </c>
      <c r="C637" s="102" t="s">
        <v>2171</v>
      </c>
      <c r="D637" s="102" t="s">
        <v>1858</v>
      </c>
      <c r="E637" s="92" t="s">
        <v>2172</v>
      </c>
      <c r="F637" s="42">
        <v>3</v>
      </c>
      <c r="G637" s="42">
        <v>32</v>
      </c>
      <c r="H637" s="42">
        <v>110</v>
      </c>
      <c r="I637" s="42" t="s">
        <v>2077</v>
      </c>
      <c r="J637" s="103" t="s">
        <v>3611</v>
      </c>
      <c r="K637" s="42" t="s">
        <v>4037</v>
      </c>
      <c r="L637" s="42">
        <f>VLOOKUP(Table7[[#This Row],[Baseline Fixture Code]], 'Tables &amp; Ranges'!$A$114:$B$132, 2, FALSE)</f>
        <v>101002</v>
      </c>
    </row>
    <row r="638" spans="2:12" ht="40" customHeight="1">
      <c r="B638" s="42">
        <v>1043</v>
      </c>
      <c r="C638" s="102" t="s">
        <v>2173</v>
      </c>
      <c r="D638" s="102" t="s">
        <v>1858</v>
      </c>
      <c r="E638" s="92" t="s">
        <v>2174</v>
      </c>
      <c r="F638" s="42">
        <v>3</v>
      </c>
      <c r="G638" s="42">
        <v>32</v>
      </c>
      <c r="H638" s="42">
        <v>93</v>
      </c>
      <c r="I638" s="42" t="s">
        <v>147</v>
      </c>
      <c r="J638" s="103" t="s">
        <v>3611</v>
      </c>
      <c r="K638" s="42" t="s">
        <v>4037</v>
      </c>
      <c r="L638" s="42">
        <f>VLOOKUP(Table7[[#This Row],[Baseline Fixture Code]], 'Tables &amp; Ranges'!$A$114:$B$132, 2, FALSE)</f>
        <v>101002</v>
      </c>
    </row>
    <row r="639" spans="2:12" ht="40" customHeight="1">
      <c r="B639" s="42">
        <v>1046</v>
      </c>
      <c r="C639" s="102" t="s">
        <v>2179</v>
      </c>
      <c r="D639" s="102" t="s">
        <v>1858</v>
      </c>
      <c r="E639" s="92" t="s">
        <v>2180</v>
      </c>
      <c r="F639" s="42">
        <v>3</v>
      </c>
      <c r="G639" s="42">
        <v>32</v>
      </c>
      <c r="H639" s="42">
        <v>92</v>
      </c>
      <c r="I639" s="42" t="s">
        <v>147</v>
      </c>
      <c r="J639" s="103" t="s">
        <v>3611</v>
      </c>
      <c r="K639" s="42" t="s">
        <v>4037</v>
      </c>
      <c r="L639" s="42">
        <f>VLOOKUP(Table7[[#This Row],[Baseline Fixture Code]], 'Tables &amp; Ranges'!$A$114:$B$132, 2, FALSE)</f>
        <v>101002</v>
      </c>
    </row>
    <row r="640" spans="2:12" ht="40" customHeight="1">
      <c r="B640" s="42">
        <v>1044</v>
      </c>
      <c r="C640" s="102" t="s">
        <v>2175</v>
      </c>
      <c r="D640" s="102" t="s">
        <v>1858</v>
      </c>
      <c r="E640" s="92" t="s">
        <v>2176</v>
      </c>
      <c r="F640" s="42">
        <v>3</v>
      </c>
      <c r="G640" s="42">
        <v>32</v>
      </c>
      <c r="H640" s="42">
        <v>98</v>
      </c>
      <c r="I640" s="42" t="s">
        <v>147</v>
      </c>
      <c r="J640" s="103" t="s">
        <v>3611</v>
      </c>
      <c r="K640" s="42" t="s">
        <v>4037</v>
      </c>
      <c r="L640" s="42">
        <f>VLOOKUP(Table7[[#This Row],[Baseline Fixture Code]], 'Tables &amp; Ranges'!$A$114:$B$132, 2, FALSE)</f>
        <v>101002</v>
      </c>
    </row>
    <row r="641" spans="2:12" ht="40" customHeight="1">
      <c r="B641" s="42">
        <v>1045</v>
      </c>
      <c r="C641" s="102" t="s">
        <v>2177</v>
      </c>
      <c r="D641" s="102" t="s">
        <v>1858</v>
      </c>
      <c r="E641" s="92" t="s">
        <v>2178</v>
      </c>
      <c r="F641" s="42">
        <v>3</v>
      </c>
      <c r="G641" s="42">
        <v>32</v>
      </c>
      <c r="H641" s="42">
        <v>76</v>
      </c>
      <c r="I641" s="42" t="s">
        <v>147</v>
      </c>
      <c r="J641" s="103" t="s">
        <v>3611</v>
      </c>
      <c r="K641" s="42" t="s">
        <v>4037</v>
      </c>
      <c r="L641" s="42">
        <f>VLOOKUP(Table7[[#This Row],[Baseline Fixture Code]], 'Tables &amp; Ranges'!$A$114:$B$132, 2, FALSE)</f>
        <v>101002</v>
      </c>
    </row>
    <row r="642" spans="2:12" ht="40" customHeight="1">
      <c r="B642" s="107">
        <v>1264</v>
      </c>
      <c r="C642" s="108" t="s">
        <v>2554</v>
      </c>
      <c r="D642" s="108" t="s">
        <v>2549</v>
      </c>
      <c r="E642" s="109" t="s">
        <v>2555</v>
      </c>
      <c r="F642" s="107">
        <v>3</v>
      </c>
      <c r="G642" s="107">
        <v>32</v>
      </c>
      <c r="H642" s="107">
        <v>85</v>
      </c>
      <c r="I642" s="107" t="s">
        <v>2551</v>
      </c>
      <c r="J642" s="103" t="s">
        <v>3611</v>
      </c>
      <c r="K642" s="42" t="s">
        <v>4037</v>
      </c>
      <c r="L642" s="42">
        <f>VLOOKUP(Table7[[#This Row],[Baseline Fixture Code]], 'Tables &amp; Ranges'!$A$114:$B$132, 2, FALSE)</f>
        <v>101002</v>
      </c>
    </row>
    <row r="643" spans="2:12" ht="40" customHeight="1">
      <c r="B643" s="107">
        <v>1270</v>
      </c>
      <c r="C643" s="108" t="s">
        <v>2566</v>
      </c>
      <c r="D643" s="108" t="s">
        <v>2549</v>
      </c>
      <c r="E643" s="109" t="s">
        <v>2567</v>
      </c>
      <c r="F643" s="107">
        <v>3</v>
      </c>
      <c r="G643" s="107">
        <v>32</v>
      </c>
      <c r="H643" s="107">
        <v>85</v>
      </c>
      <c r="I643" s="107" t="s">
        <v>2551</v>
      </c>
      <c r="J643" s="103" t="s">
        <v>3611</v>
      </c>
      <c r="K643" s="42" t="s">
        <v>4037</v>
      </c>
      <c r="L643" s="42">
        <f>VLOOKUP(Table7[[#This Row],[Baseline Fixture Code]], 'Tables &amp; Ranges'!$A$114:$B$132, 2, FALSE)</f>
        <v>101002</v>
      </c>
    </row>
    <row r="644" spans="2:12" ht="40" customHeight="1">
      <c r="B644" s="107">
        <v>1276</v>
      </c>
      <c r="C644" s="108" t="s">
        <v>2578</v>
      </c>
      <c r="D644" s="108" t="s">
        <v>2549</v>
      </c>
      <c r="E644" s="109" t="s">
        <v>2579</v>
      </c>
      <c r="F644" s="107">
        <v>3</v>
      </c>
      <c r="G644" s="107">
        <v>32</v>
      </c>
      <c r="H644" s="107">
        <v>85</v>
      </c>
      <c r="I644" s="107" t="s">
        <v>2551</v>
      </c>
      <c r="J644" s="103" t="s">
        <v>3611</v>
      </c>
      <c r="K644" s="42" t="s">
        <v>4037</v>
      </c>
      <c r="L644" s="42">
        <f>VLOOKUP(Table7[[#This Row],[Baseline Fixture Code]], 'Tables &amp; Ranges'!$A$114:$B$132, 2, FALSE)</f>
        <v>101002</v>
      </c>
    </row>
    <row r="645" spans="2:12" ht="40" customHeight="1">
      <c r="B645" s="42">
        <v>1047</v>
      </c>
      <c r="C645" s="102" t="s">
        <v>2181</v>
      </c>
      <c r="D645" s="102" t="s">
        <v>1858</v>
      </c>
      <c r="E645" s="92" t="s">
        <v>2182</v>
      </c>
      <c r="F645" s="42">
        <v>4</v>
      </c>
      <c r="G645" s="42">
        <v>32</v>
      </c>
      <c r="H645" s="42">
        <v>115</v>
      </c>
      <c r="I645" s="42" t="s">
        <v>1743</v>
      </c>
      <c r="J645" s="103" t="s">
        <v>3611</v>
      </c>
      <c r="K645" s="42" t="s">
        <v>4037</v>
      </c>
      <c r="L645" s="42">
        <f>VLOOKUP(Table7[[#This Row],[Baseline Fixture Code]], 'Tables &amp; Ranges'!$A$114:$B$132, 2, FALSE)</f>
        <v>101002</v>
      </c>
    </row>
    <row r="646" spans="2:12" ht="40" customHeight="1">
      <c r="B646" s="42">
        <v>1048</v>
      </c>
      <c r="C646" s="102" t="s">
        <v>2183</v>
      </c>
      <c r="D646" s="102" t="s">
        <v>1858</v>
      </c>
      <c r="E646" s="92" t="s">
        <v>2184</v>
      </c>
      <c r="F646" s="42">
        <v>4</v>
      </c>
      <c r="G646" s="42">
        <v>32</v>
      </c>
      <c r="H646" s="42">
        <v>92</v>
      </c>
      <c r="I646" s="42" t="s">
        <v>1743</v>
      </c>
      <c r="J646" s="103" t="s">
        <v>3611</v>
      </c>
      <c r="K646" s="42" t="s">
        <v>4037</v>
      </c>
      <c r="L646" s="42">
        <f>VLOOKUP(Table7[[#This Row],[Baseline Fixture Code]], 'Tables &amp; Ranges'!$A$114:$B$132, 2, FALSE)</f>
        <v>101002</v>
      </c>
    </row>
    <row r="647" spans="2:12" ht="40" customHeight="1">
      <c r="B647" s="42">
        <v>1049</v>
      </c>
      <c r="C647" s="102" t="s">
        <v>2185</v>
      </c>
      <c r="D647" s="102" t="s">
        <v>1858</v>
      </c>
      <c r="E647" s="92" t="s">
        <v>2186</v>
      </c>
      <c r="F647" s="42">
        <v>4</v>
      </c>
      <c r="G647" s="42">
        <v>32</v>
      </c>
      <c r="H647" s="42">
        <v>144</v>
      </c>
      <c r="I647" s="42" t="s">
        <v>1743</v>
      </c>
      <c r="J647" s="103" t="s">
        <v>3611</v>
      </c>
      <c r="K647" s="42" t="s">
        <v>4037</v>
      </c>
      <c r="L647" s="42">
        <f>VLOOKUP(Table7[[#This Row],[Baseline Fixture Code]], 'Tables &amp; Ranges'!$A$114:$B$132, 2, FALSE)</f>
        <v>101002</v>
      </c>
    </row>
    <row r="648" spans="2:12" ht="40" customHeight="1">
      <c r="B648" s="42">
        <v>1050</v>
      </c>
      <c r="C648" s="102" t="s">
        <v>2187</v>
      </c>
      <c r="D648" s="102" t="s">
        <v>1858</v>
      </c>
      <c r="E648" s="92" t="s">
        <v>2188</v>
      </c>
      <c r="F648" s="42">
        <v>4</v>
      </c>
      <c r="G648" s="42">
        <v>32</v>
      </c>
      <c r="H648" s="42">
        <v>112</v>
      </c>
      <c r="I648" s="42" t="s">
        <v>147</v>
      </c>
      <c r="J648" s="103" t="s">
        <v>3611</v>
      </c>
      <c r="K648" s="42" t="s">
        <v>4037</v>
      </c>
      <c r="L648" s="42">
        <f>VLOOKUP(Table7[[#This Row],[Baseline Fixture Code]], 'Tables &amp; Ranges'!$A$114:$B$132, 2, FALSE)</f>
        <v>101002</v>
      </c>
    </row>
    <row r="649" spans="2:12" ht="40" customHeight="1">
      <c r="B649" s="42">
        <v>1053</v>
      </c>
      <c r="C649" s="102" t="s">
        <v>2193</v>
      </c>
      <c r="D649" s="102" t="s">
        <v>1858</v>
      </c>
      <c r="E649" s="92" t="s">
        <v>2194</v>
      </c>
      <c r="F649" s="42">
        <v>4</v>
      </c>
      <c r="G649" s="42">
        <v>32</v>
      </c>
      <c r="H649" s="42">
        <v>116</v>
      </c>
      <c r="I649" s="42" t="s">
        <v>147</v>
      </c>
      <c r="J649" s="103" t="s">
        <v>3611</v>
      </c>
      <c r="K649" s="42" t="s">
        <v>4037</v>
      </c>
      <c r="L649" s="42">
        <f>VLOOKUP(Table7[[#This Row],[Baseline Fixture Code]], 'Tables &amp; Ranges'!$A$114:$B$132, 2, FALSE)</f>
        <v>101002</v>
      </c>
    </row>
    <row r="650" spans="2:12" ht="40" customHeight="1">
      <c r="B650" s="42">
        <v>1054</v>
      </c>
      <c r="C650" s="102" t="s">
        <v>2195</v>
      </c>
      <c r="D650" s="102" t="s">
        <v>1858</v>
      </c>
      <c r="E650" s="92" t="s">
        <v>2196</v>
      </c>
      <c r="F650" s="42">
        <v>4</v>
      </c>
      <c r="G650" s="42">
        <v>32</v>
      </c>
      <c r="H650" s="42">
        <v>132</v>
      </c>
      <c r="I650" s="42" t="s">
        <v>147</v>
      </c>
      <c r="J650" s="103" t="s">
        <v>3611</v>
      </c>
      <c r="K650" s="42" t="s">
        <v>4037</v>
      </c>
      <c r="L650" s="42">
        <f>VLOOKUP(Table7[[#This Row],[Baseline Fixture Code]], 'Tables &amp; Ranges'!$A$114:$B$132, 2, FALSE)</f>
        <v>101002</v>
      </c>
    </row>
    <row r="651" spans="2:12" ht="40" customHeight="1">
      <c r="B651" s="42">
        <v>1055</v>
      </c>
      <c r="C651" s="102" t="s">
        <v>2197</v>
      </c>
      <c r="D651" s="102" t="s">
        <v>1858</v>
      </c>
      <c r="E651" s="92" t="s">
        <v>2198</v>
      </c>
      <c r="F651" s="42">
        <v>4</v>
      </c>
      <c r="G651" s="42">
        <v>32</v>
      </c>
      <c r="H651" s="42">
        <v>102</v>
      </c>
      <c r="I651" s="42" t="s">
        <v>147</v>
      </c>
      <c r="J651" s="103" t="s">
        <v>3611</v>
      </c>
      <c r="K651" s="42" t="s">
        <v>4037</v>
      </c>
      <c r="L651" s="42">
        <f>VLOOKUP(Table7[[#This Row],[Baseline Fixture Code]], 'Tables &amp; Ranges'!$A$114:$B$132, 2, FALSE)</f>
        <v>101002</v>
      </c>
    </row>
    <row r="652" spans="2:12" ht="40" customHeight="1">
      <c r="B652" s="42">
        <v>1056</v>
      </c>
      <c r="C652" s="102" t="s">
        <v>2199</v>
      </c>
      <c r="D652" s="102" t="s">
        <v>1858</v>
      </c>
      <c r="E652" s="92" t="s">
        <v>2200</v>
      </c>
      <c r="F652" s="42">
        <v>4</v>
      </c>
      <c r="G652" s="42">
        <v>32</v>
      </c>
      <c r="H652" s="42">
        <v>154</v>
      </c>
      <c r="I652" s="42" t="s">
        <v>147</v>
      </c>
      <c r="J652" s="103" t="s">
        <v>3611</v>
      </c>
      <c r="K652" s="42" t="s">
        <v>4037</v>
      </c>
      <c r="L652" s="42">
        <f>VLOOKUP(Table7[[#This Row],[Baseline Fixture Code]], 'Tables &amp; Ranges'!$A$114:$B$132, 2, FALSE)</f>
        <v>101002</v>
      </c>
    </row>
    <row r="653" spans="2:12" ht="40" customHeight="1">
      <c r="B653" s="42">
        <v>1051</v>
      </c>
      <c r="C653" s="102" t="s">
        <v>2189</v>
      </c>
      <c r="D653" s="102" t="s">
        <v>1858</v>
      </c>
      <c r="E653" s="92" t="s">
        <v>2190</v>
      </c>
      <c r="F653" s="42">
        <v>4</v>
      </c>
      <c r="G653" s="42">
        <v>32</v>
      </c>
      <c r="H653" s="42">
        <v>98</v>
      </c>
      <c r="I653" s="42" t="s">
        <v>147</v>
      </c>
      <c r="J653" s="103" t="s">
        <v>3611</v>
      </c>
      <c r="K653" s="42" t="s">
        <v>4037</v>
      </c>
      <c r="L653" s="42">
        <f>VLOOKUP(Table7[[#This Row],[Baseline Fixture Code]], 'Tables &amp; Ranges'!$A$114:$B$132, 2, FALSE)</f>
        <v>101002</v>
      </c>
    </row>
    <row r="654" spans="2:12" ht="40" customHeight="1">
      <c r="B654" s="42">
        <v>1052</v>
      </c>
      <c r="C654" s="102" t="s">
        <v>2191</v>
      </c>
      <c r="D654" s="102" t="s">
        <v>1858</v>
      </c>
      <c r="E654" s="92" t="s">
        <v>2192</v>
      </c>
      <c r="F654" s="42">
        <v>4</v>
      </c>
      <c r="G654" s="42">
        <v>32</v>
      </c>
      <c r="H654" s="42">
        <v>151</v>
      </c>
      <c r="I654" s="42" t="s">
        <v>147</v>
      </c>
      <c r="J654" s="103" t="s">
        <v>3611</v>
      </c>
      <c r="K654" s="42" t="s">
        <v>4037</v>
      </c>
      <c r="L654" s="42">
        <f>VLOOKUP(Table7[[#This Row],[Baseline Fixture Code]], 'Tables &amp; Ranges'!$A$114:$B$132, 2, FALSE)</f>
        <v>101002</v>
      </c>
    </row>
    <row r="655" spans="2:12" ht="40" customHeight="1">
      <c r="B655" s="42">
        <v>1057</v>
      </c>
      <c r="C655" s="102" t="s">
        <v>2201</v>
      </c>
      <c r="D655" s="102" t="s">
        <v>1858</v>
      </c>
      <c r="E655" s="92" t="s">
        <v>2188</v>
      </c>
      <c r="F655" s="42">
        <v>4</v>
      </c>
      <c r="G655" s="42">
        <v>32</v>
      </c>
      <c r="H655" s="42">
        <v>107</v>
      </c>
      <c r="I655" s="42" t="s">
        <v>1881</v>
      </c>
      <c r="J655" s="103" t="s">
        <v>3611</v>
      </c>
      <c r="K655" s="42" t="s">
        <v>4037</v>
      </c>
      <c r="L655" s="42">
        <f>VLOOKUP(Table7[[#This Row],[Baseline Fixture Code]], 'Tables &amp; Ranges'!$A$114:$B$132, 2, FALSE)</f>
        <v>101002</v>
      </c>
    </row>
    <row r="656" spans="2:12" ht="40" customHeight="1">
      <c r="B656" s="42">
        <v>1058</v>
      </c>
      <c r="C656" s="102" t="s">
        <v>2202</v>
      </c>
      <c r="D656" s="102" t="s">
        <v>1858</v>
      </c>
      <c r="E656" s="92" t="s">
        <v>2203</v>
      </c>
      <c r="F656" s="42">
        <v>4</v>
      </c>
      <c r="G656" s="42">
        <v>32</v>
      </c>
      <c r="H656" s="42">
        <v>121</v>
      </c>
      <c r="I656" s="42" t="s">
        <v>1881</v>
      </c>
      <c r="J656" s="103" t="s">
        <v>3611</v>
      </c>
      <c r="K656" s="42" t="s">
        <v>4037</v>
      </c>
      <c r="L656" s="42">
        <f>VLOOKUP(Table7[[#This Row],[Baseline Fixture Code]], 'Tables &amp; Ranges'!$A$114:$B$132, 2, FALSE)</f>
        <v>101002</v>
      </c>
    </row>
    <row r="657" spans="2:12" ht="40" customHeight="1">
      <c r="B657" s="42">
        <v>1059</v>
      </c>
      <c r="C657" s="102" t="s">
        <v>2204</v>
      </c>
      <c r="D657" s="102" t="s">
        <v>1858</v>
      </c>
      <c r="E657" s="92" t="s">
        <v>2190</v>
      </c>
      <c r="F657" s="42">
        <v>4</v>
      </c>
      <c r="G657" s="42">
        <v>32</v>
      </c>
      <c r="H657" s="42">
        <v>95</v>
      </c>
      <c r="I657" s="42" t="s">
        <v>1881</v>
      </c>
      <c r="J657" s="103" t="s">
        <v>3611</v>
      </c>
      <c r="K657" s="42" t="s">
        <v>4037</v>
      </c>
      <c r="L657" s="42">
        <f>VLOOKUP(Table7[[#This Row],[Baseline Fixture Code]], 'Tables &amp; Ranges'!$A$114:$B$132, 2, FALSE)</f>
        <v>101002</v>
      </c>
    </row>
    <row r="658" spans="2:12" ht="40" customHeight="1">
      <c r="B658" s="42">
        <v>1060</v>
      </c>
      <c r="C658" s="102" t="s">
        <v>2205</v>
      </c>
      <c r="D658" s="102" t="s">
        <v>1858</v>
      </c>
      <c r="E658" s="92" t="s">
        <v>2192</v>
      </c>
      <c r="F658" s="42">
        <v>4</v>
      </c>
      <c r="G658" s="42">
        <v>32</v>
      </c>
      <c r="H658" s="42">
        <v>146</v>
      </c>
      <c r="I658" s="42" t="s">
        <v>1881</v>
      </c>
      <c r="J658" s="103" t="s">
        <v>3611</v>
      </c>
      <c r="K658" s="42" t="s">
        <v>4037</v>
      </c>
      <c r="L658" s="42">
        <f>VLOOKUP(Table7[[#This Row],[Baseline Fixture Code]], 'Tables &amp; Ranges'!$A$114:$B$132, 2, FALSE)</f>
        <v>101002</v>
      </c>
    </row>
    <row r="659" spans="2:12" ht="40" customHeight="1">
      <c r="B659" s="42">
        <v>1061</v>
      </c>
      <c r="C659" s="102" t="s">
        <v>2206</v>
      </c>
      <c r="D659" s="102" t="s">
        <v>1858</v>
      </c>
      <c r="E659" s="92" t="s">
        <v>2207</v>
      </c>
      <c r="F659" s="42">
        <v>4</v>
      </c>
      <c r="G659" s="42">
        <v>32</v>
      </c>
      <c r="H659" s="42">
        <v>142</v>
      </c>
      <c r="I659" s="42" t="s">
        <v>2077</v>
      </c>
      <c r="J659" s="103" t="s">
        <v>3611</v>
      </c>
      <c r="K659" s="42" t="s">
        <v>4037</v>
      </c>
      <c r="L659" s="42">
        <f>VLOOKUP(Table7[[#This Row],[Baseline Fixture Code]], 'Tables &amp; Ranges'!$A$114:$B$132, 2, FALSE)</f>
        <v>101002</v>
      </c>
    </row>
    <row r="660" spans="2:12" ht="40" customHeight="1">
      <c r="B660" s="42">
        <v>1062</v>
      </c>
      <c r="C660" s="102" t="s">
        <v>2208</v>
      </c>
      <c r="D660" s="102" t="s">
        <v>1858</v>
      </c>
      <c r="E660" s="92" t="s">
        <v>2209</v>
      </c>
      <c r="F660" s="42">
        <v>4</v>
      </c>
      <c r="G660" s="42">
        <v>32</v>
      </c>
      <c r="H660" s="42">
        <v>118</v>
      </c>
      <c r="I660" s="42" t="s">
        <v>147</v>
      </c>
      <c r="J660" s="103" t="s">
        <v>3611</v>
      </c>
      <c r="K660" s="42" t="s">
        <v>4037</v>
      </c>
      <c r="L660" s="42">
        <f>VLOOKUP(Table7[[#This Row],[Baseline Fixture Code]], 'Tables &amp; Ranges'!$A$114:$B$132, 2, FALSE)</f>
        <v>101002</v>
      </c>
    </row>
    <row r="661" spans="2:12" ht="40" customHeight="1">
      <c r="B661" s="42">
        <v>1064</v>
      </c>
      <c r="C661" s="102" t="s">
        <v>2212</v>
      </c>
      <c r="D661" s="102" t="s">
        <v>1858</v>
      </c>
      <c r="E661" s="92" t="s">
        <v>2213</v>
      </c>
      <c r="F661" s="42">
        <v>4</v>
      </c>
      <c r="G661" s="42">
        <v>32</v>
      </c>
      <c r="H661" s="42">
        <v>120</v>
      </c>
      <c r="I661" s="42" t="s">
        <v>147</v>
      </c>
      <c r="J661" s="103" t="s">
        <v>3611</v>
      </c>
      <c r="K661" s="42" t="s">
        <v>4037</v>
      </c>
      <c r="L661" s="42">
        <f>VLOOKUP(Table7[[#This Row],[Baseline Fixture Code]], 'Tables &amp; Ranges'!$A$114:$B$132, 2, FALSE)</f>
        <v>101002</v>
      </c>
    </row>
    <row r="662" spans="2:12" ht="40" customHeight="1">
      <c r="B662" s="42">
        <v>1087</v>
      </c>
      <c r="C662" s="102" t="s">
        <v>2212</v>
      </c>
      <c r="D662" s="102" t="s">
        <v>1858</v>
      </c>
      <c r="E662" s="92" t="s">
        <v>2213</v>
      </c>
      <c r="F662" s="42">
        <v>4</v>
      </c>
      <c r="G662" s="42">
        <v>32</v>
      </c>
      <c r="H662" s="42">
        <v>120</v>
      </c>
      <c r="I662" s="42" t="s">
        <v>147</v>
      </c>
      <c r="J662" s="103" t="s">
        <v>3611</v>
      </c>
      <c r="K662" s="42" t="s">
        <v>4037</v>
      </c>
      <c r="L662" s="42">
        <f>VLOOKUP(Table7[[#This Row],[Baseline Fixture Code]], 'Tables &amp; Ranges'!$A$114:$B$132, 2, FALSE)</f>
        <v>101002</v>
      </c>
    </row>
    <row r="663" spans="2:12" ht="40" customHeight="1">
      <c r="B663" s="42">
        <v>1063</v>
      </c>
      <c r="C663" s="102" t="s">
        <v>2210</v>
      </c>
      <c r="D663" s="102" t="s">
        <v>1858</v>
      </c>
      <c r="E663" s="92" t="s">
        <v>2211</v>
      </c>
      <c r="F663" s="42">
        <v>4</v>
      </c>
      <c r="G663" s="42">
        <v>32</v>
      </c>
      <c r="H663" s="42">
        <v>105</v>
      </c>
      <c r="I663" s="42" t="s">
        <v>147</v>
      </c>
      <c r="J663" s="103" t="s">
        <v>3611</v>
      </c>
      <c r="K663" s="42" t="s">
        <v>4037</v>
      </c>
      <c r="L663" s="42">
        <f>VLOOKUP(Table7[[#This Row],[Baseline Fixture Code]], 'Tables &amp; Ranges'!$A$114:$B$132, 2, FALSE)</f>
        <v>101002</v>
      </c>
    </row>
    <row r="664" spans="2:12" ht="40" customHeight="1">
      <c r="B664" s="42">
        <v>1086</v>
      </c>
      <c r="C664" s="102" t="s">
        <v>2210</v>
      </c>
      <c r="D664" s="102" t="s">
        <v>1858</v>
      </c>
      <c r="E664" s="92" t="s">
        <v>2211</v>
      </c>
      <c r="F664" s="42">
        <v>4</v>
      </c>
      <c r="G664" s="42">
        <v>32</v>
      </c>
      <c r="H664" s="42">
        <v>105</v>
      </c>
      <c r="I664" s="42" t="s">
        <v>147</v>
      </c>
      <c r="J664" s="103" t="s">
        <v>3611</v>
      </c>
      <c r="K664" s="42" t="s">
        <v>4037</v>
      </c>
      <c r="L664" s="42">
        <f>VLOOKUP(Table7[[#This Row],[Baseline Fixture Code]], 'Tables &amp; Ranges'!$A$114:$B$132, 2, FALSE)</f>
        <v>101002</v>
      </c>
    </row>
    <row r="665" spans="2:12" ht="40" customHeight="1">
      <c r="B665" s="107">
        <v>1265</v>
      </c>
      <c r="C665" s="108" t="s">
        <v>2556</v>
      </c>
      <c r="D665" s="108" t="s">
        <v>2549</v>
      </c>
      <c r="E665" s="109" t="s">
        <v>2557</v>
      </c>
      <c r="F665" s="107">
        <v>4</v>
      </c>
      <c r="G665" s="107">
        <v>32</v>
      </c>
      <c r="H665" s="107">
        <v>112</v>
      </c>
      <c r="I665" s="107" t="s">
        <v>2551</v>
      </c>
      <c r="J665" s="103" t="s">
        <v>3611</v>
      </c>
      <c r="K665" s="42" t="s">
        <v>4037</v>
      </c>
      <c r="L665" s="42">
        <f>VLOOKUP(Table7[[#This Row],[Baseline Fixture Code]], 'Tables &amp; Ranges'!$A$114:$B$132, 2, FALSE)</f>
        <v>101002</v>
      </c>
    </row>
    <row r="666" spans="2:12" ht="40" customHeight="1">
      <c r="B666" s="107">
        <v>1271</v>
      </c>
      <c r="C666" s="108" t="s">
        <v>2568</v>
      </c>
      <c r="D666" s="108" t="s">
        <v>2549</v>
      </c>
      <c r="E666" s="109" t="s">
        <v>2569</v>
      </c>
      <c r="F666" s="107">
        <v>4</v>
      </c>
      <c r="G666" s="107">
        <v>32</v>
      </c>
      <c r="H666" s="107">
        <v>112</v>
      </c>
      <c r="I666" s="107" t="s">
        <v>2551</v>
      </c>
      <c r="J666" s="103" t="s">
        <v>3611</v>
      </c>
      <c r="K666" s="42" t="s">
        <v>4037</v>
      </c>
      <c r="L666" s="42">
        <f>VLOOKUP(Table7[[#This Row],[Baseline Fixture Code]], 'Tables &amp; Ranges'!$A$114:$B$132, 2, FALSE)</f>
        <v>101002</v>
      </c>
    </row>
    <row r="667" spans="2:12" ht="40" customHeight="1">
      <c r="B667" s="107">
        <v>1277</v>
      </c>
      <c r="C667" s="108" t="s">
        <v>2580</v>
      </c>
      <c r="D667" s="108" t="s">
        <v>2549</v>
      </c>
      <c r="E667" s="109" t="s">
        <v>2581</v>
      </c>
      <c r="F667" s="107">
        <v>4</v>
      </c>
      <c r="G667" s="107">
        <v>32</v>
      </c>
      <c r="H667" s="107">
        <v>112</v>
      </c>
      <c r="I667" s="107" t="s">
        <v>2551</v>
      </c>
      <c r="J667" s="103" t="s">
        <v>3611</v>
      </c>
      <c r="K667" s="42" t="s">
        <v>4037</v>
      </c>
      <c r="L667" s="42">
        <f>VLOOKUP(Table7[[#This Row],[Baseline Fixture Code]], 'Tables &amp; Ranges'!$A$114:$B$132, 2, FALSE)</f>
        <v>101002</v>
      </c>
    </row>
    <row r="668" spans="2:12" ht="40" customHeight="1">
      <c r="B668" s="42">
        <v>1066</v>
      </c>
      <c r="C668" s="102" t="s">
        <v>2216</v>
      </c>
      <c r="D668" s="102" t="s">
        <v>1858</v>
      </c>
      <c r="E668" s="92" t="s">
        <v>2217</v>
      </c>
      <c r="F668" s="42">
        <v>5</v>
      </c>
      <c r="G668" s="42">
        <v>32</v>
      </c>
      <c r="H668" s="42">
        <v>182</v>
      </c>
      <c r="I668" s="42" t="s">
        <v>147</v>
      </c>
      <c r="J668" s="103" t="s">
        <v>3611</v>
      </c>
      <c r="K668" s="42" t="s">
        <v>4037</v>
      </c>
      <c r="L668" s="42">
        <f>VLOOKUP(Table7[[#This Row],[Baseline Fixture Code]], 'Tables &amp; Ranges'!$A$114:$B$132, 2, FALSE)</f>
        <v>101002</v>
      </c>
    </row>
    <row r="669" spans="2:12" ht="40" customHeight="1">
      <c r="B669" s="42">
        <v>1089</v>
      </c>
      <c r="C669" s="102" t="s">
        <v>2216</v>
      </c>
      <c r="D669" s="102" t="s">
        <v>1858</v>
      </c>
      <c r="E669" s="92" t="s">
        <v>2217</v>
      </c>
      <c r="F669" s="42">
        <v>5</v>
      </c>
      <c r="G669" s="42">
        <v>32</v>
      </c>
      <c r="H669" s="42">
        <v>182</v>
      </c>
      <c r="I669" s="42" t="s">
        <v>147</v>
      </c>
      <c r="J669" s="103" t="s">
        <v>3611</v>
      </c>
      <c r="K669" s="42" t="s">
        <v>4037</v>
      </c>
      <c r="L669" s="42">
        <f>VLOOKUP(Table7[[#This Row],[Baseline Fixture Code]], 'Tables &amp; Ranges'!$A$114:$B$132, 2, FALSE)</f>
        <v>101002</v>
      </c>
    </row>
    <row r="670" spans="2:12" ht="40" customHeight="1">
      <c r="B670" s="42">
        <v>1065</v>
      </c>
      <c r="C670" s="102" t="s">
        <v>2214</v>
      </c>
      <c r="D670" s="102" t="s">
        <v>1858</v>
      </c>
      <c r="E670" s="92" t="s">
        <v>2215</v>
      </c>
      <c r="F670" s="42">
        <v>5</v>
      </c>
      <c r="G670" s="42">
        <v>32</v>
      </c>
      <c r="H670" s="42">
        <v>143</v>
      </c>
      <c r="I670" s="42" t="s">
        <v>147</v>
      </c>
      <c r="J670" s="103" t="s">
        <v>3611</v>
      </c>
      <c r="K670" s="42" t="s">
        <v>4037</v>
      </c>
      <c r="L670" s="42">
        <f>VLOOKUP(Table7[[#This Row],[Baseline Fixture Code]], 'Tables &amp; Ranges'!$A$114:$B$132, 2, FALSE)</f>
        <v>101002</v>
      </c>
    </row>
    <row r="671" spans="2:12" ht="40" customHeight="1">
      <c r="B671" s="42">
        <v>1088</v>
      </c>
      <c r="C671" s="102" t="s">
        <v>2214</v>
      </c>
      <c r="D671" s="102" t="s">
        <v>1858</v>
      </c>
      <c r="E671" s="92" t="s">
        <v>2215</v>
      </c>
      <c r="F671" s="42">
        <v>5</v>
      </c>
      <c r="G671" s="42">
        <v>32</v>
      </c>
      <c r="H671" s="42">
        <v>143</v>
      </c>
      <c r="I671" s="42" t="s">
        <v>147</v>
      </c>
      <c r="J671" s="103" t="s">
        <v>3611</v>
      </c>
      <c r="K671" s="42" t="s">
        <v>4037</v>
      </c>
      <c r="L671" s="42">
        <f>VLOOKUP(Table7[[#This Row],[Baseline Fixture Code]], 'Tables &amp; Ranges'!$A$114:$B$132, 2, FALSE)</f>
        <v>101002</v>
      </c>
    </row>
    <row r="672" spans="2:12" ht="40" customHeight="1">
      <c r="B672" s="42">
        <v>1067</v>
      </c>
      <c r="C672" s="102" t="s">
        <v>2218</v>
      </c>
      <c r="D672" s="102" t="s">
        <v>1858</v>
      </c>
      <c r="E672" s="92" t="s">
        <v>2219</v>
      </c>
      <c r="F672" s="42">
        <v>6</v>
      </c>
      <c r="G672" s="42">
        <v>32</v>
      </c>
      <c r="H672" s="42">
        <v>175</v>
      </c>
      <c r="I672" s="42" t="s">
        <v>1743</v>
      </c>
      <c r="J672" s="103" t="s">
        <v>3611</v>
      </c>
      <c r="K672" s="42" t="s">
        <v>4037</v>
      </c>
      <c r="L672" s="42">
        <f>VLOOKUP(Table7[[#This Row],[Baseline Fixture Code]], 'Tables &amp; Ranges'!$A$114:$B$132, 2, FALSE)</f>
        <v>101002</v>
      </c>
    </row>
    <row r="673" spans="2:12" ht="40" customHeight="1">
      <c r="B673" s="42">
        <v>1090</v>
      </c>
      <c r="C673" s="102" t="s">
        <v>2218</v>
      </c>
      <c r="D673" s="102" t="s">
        <v>1858</v>
      </c>
      <c r="E673" s="92" t="s">
        <v>2219</v>
      </c>
      <c r="F673" s="42">
        <v>6</v>
      </c>
      <c r="G673" s="42">
        <v>32</v>
      </c>
      <c r="H673" s="42">
        <v>175</v>
      </c>
      <c r="I673" s="42" t="s">
        <v>1743</v>
      </c>
      <c r="J673" s="103" t="s">
        <v>3611</v>
      </c>
      <c r="K673" s="42" t="s">
        <v>4037</v>
      </c>
      <c r="L673" s="42">
        <f>VLOOKUP(Table7[[#This Row],[Baseline Fixture Code]], 'Tables &amp; Ranges'!$A$114:$B$132, 2, FALSE)</f>
        <v>101002</v>
      </c>
    </row>
    <row r="674" spans="2:12" ht="40" customHeight="1">
      <c r="B674" s="42">
        <v>1068</v>
      </c>
      <c r="C674" s="102" t="s">
        <v>2220</v>
      </c>
      <c r="D674" s="102" t="s">
        <v>1858</v>
      </c>
      <c r="E674" s="92" t="s">
        <v>2221</v>
      </c>
      <c r="F674" s="42">
        <v>6</v>
      </c>
      <c r="G674" s="42">
        <v>32</v>
      </c>
      <c r="H674" s="42">
        <v>142</v>
      </c>
      <c r="I674" s="42" t="s">
        <v>1743</v>
      </c>
      <c r="J674" s="103" t="s">
        <v>3611</v>
      </c>
      <c r="K674" s="42" t="s">
        <v>4037</v>
      </c>
      <c r="L674" s="42">
        <f>VLOOKUP(Table7[[#This Row],[Baseline Fixture Code]], 'Tables &amp; Ranges'!$A$114:$B$132, 2, FALSE)</f>
        <v>101002</v>
      </c>
    </row>
    <row r="675" spans="2:12" ht="40" customHeight="1">
      <c r="B675" s="42">
        <v>1091</v>
      </c>
      <c r="C675" s="102" t="s">
        <v>2220</v>
      </c>
      <c r="D675" s="102" t="s">
        <v>1858</v>
      </c>
      <c r="E675" s="92" t="s">
        <v>2221</v>
      </c>
      <c r="F675" s="42">
        <v>6</v>
      </c>
      <c r="G675" s="42">
        <v>32</v>
      </c>
      <c r="H675" s="42">
        <v>142</v>
      </c>
      <c r="I675" s="42" t="s">
        <v>1743</v>
      </c>
      <c r="J675" s="103" t="s">
        <v>3611</v>
      </c>
      <c r="K675" s="42" t="s">
        <v>4037</v>
      </c>
      <c r="L675" s="42">
        <f>VLOOKUP(Table7[[#This Row],[Baseline Fixture Code]], 'Tables &amp; Ranges'!$A$114:$B$132, 2, FALSE)</f>
        <v>101002</v>
      </c>
    </row>
    <row r="676" spans="2:12" ht="40" customHeight="1">
      <c r="B676" s="42">
        <v>1069</v>
      </c>
      <c r="C676" s="102" t="s">
        <v>2222</v>
      </c>
      <c r="D676" s="102" t="s">
        <v>1858</v>
      </c>
      <c r="E676" s="92" t="s">
        <v>2223</v>
      </c>
      <c r="F676" s="42">
        <v>6</v>
      </c>
      <c r="G676" s="42">
        <v>32</v>
      </c>
      <c r="H676" s="42">
        <v>217</v>
      </c>
      <c r="I676" s="42" t="s">
        <v>1743</v>
      </c>
      <c r="J676" s="103" t="s">
        <v>3611</v>
      </c>
      <c r="K676" s="42" t="s">
        <v>4037</v>
      </c>
      <c r="L676" s="42">
        <f>VLOOKUP(Table7[[#This Row],[Baseline Fixture Code]], 'Tables &amp; Ranges'!$A$114:$B$132, 2, FALSE)</f>
        <v>101002</v>
      </c>
    </row>
    <row r="677" spans="2:12" ht="40" customHeight="1">
      <c r="B677" s="42">
        <v>1092</v>
      </c>
      <c r="C677" s="102" t="s">
        <v>2222</v>
      </c>
      <c r="D677" s="102" t="s">
        <v>1858</v>
      </c>
      <c r="E677" s="92" t="s">
        <v>2223</v>
      </c>
      <c r="F677" s="42">
        <v>6</v>
      </c>
      <c r="G677" s="42">
        <v>32</v>
      </c>
      <c r="H677" s="42">
        <v>217</v>
      </c>
      <c r="I677" s="42" t="s">
        <v>1743</v>
      </c>
      <c r="J677" s="103" t="s">
        <v>3611</v>
      </c>
      <c r="K677" s="42" t="s">
        <v>4037</v>
      </c>
      <c r="L677" s="42">
        <f>VLOOKUP(Table7[[#This Row],[Baseline Fixture Code]], 'Tables &amp; Ranges'!$A$114:$B$132, 2, FALSE)</f>
        <v>101002</v>
      </c>
    </row>
    <row r="678" spans="2:12" ht="40" customHeight="1">
      <c r="B678" s="42">
        <v>1070</v>
      </c>
      <c r="C678" s="102" t="s">
        <v>2224</v>
      </c>
      <c r="D678" s="102" t="s">
        <v>1858</v>
      </c>
      <c r="E678" s="92" t="s">
        <v>2225</v>
      </c>
      <c r="F678" s="42">
        <v>6</v>
      </c>
      <c r="G678" s="42">
        <v>32</v>
      </c>
      <c r="H678" s="42">
        <v>170</v>
      </c>
      <c r="I678" s="42" t="s">
        <v>147</v>
      </c>
      <c r="J678" s="103" t="s">
        <v>3611</v>
      </c>
      <c r="K678" s="42" t="s">
        <v>4037</v>
      </c>
      <c r="L678" s="42">
        <f>VLOOKUP(Table7[[#This Row],[Baseline Fixture Code]], 'Tables &amp; Ranges'!$A$114:$B$132, 2, FALSE)</f>
        <v>101002</v>
      </c>
    </row>
    <row r="679" spans="2:12" ht="40" customHeight="1">
      <c r="B679" s="42">
        <v>1093</v>
      </c>
      <c r="C679" s="102" t="s">
        <v>2224</v>
      </c>
      <c r="D679" s="102" t="s">
        <v>1858</v>
      </c>
      <c r="E679" s="92" t="s">
        <v>2225</v>
      </c>
      <c r="F679" s="42">
        <v>6</v>
      </c>
      <c r="G679" s="42">
        <v>32</v>
      </c>
      <c r="H679" s="42">
        <v>170</v>
      </c>
      <c r="I679" s="42" t="s">
        <v>147</v>
      </c>
      <c r="J679" s="103" t="s">
        <v>3611</v>
      </c>
      <c r="K679" s="42" t="s">
        <v>4037</v>
      </c>
      <c r="L679" s="42">
        <f>VLOOKUP(Table7[[#This Row],[Baseline Fixture Code]], 'Tables &amp; Ranges'!$A$114:$B$132, 2, FALSE)</f>
        <v>101002</v>
      </c>
    </row>
    <row r="680" spans="2:12" ht="40" customHeight="1">
      <c r="B680" s="42">
        <v>1071</v>
      </c>
      <c r="C680" s="102" t="s">
        <v>2226</v>
      </c>
      <c r="D680" s="102" t="s">
        <v>1858</v>
      </c>
      <c r="E680" s="92" t="s">
        <v>2227</v>
      </c>
      <c r="F680" s="42">
        <v>6</v>
      </c>
      <c r="G680" s="42">
        <v>32</v>
      </c>
      <c r="H680" s="42">
        <v>151</v>
      </c>
      <c r="I680" s="42" t="s">
        <v>147</v>
      </c>
      <c r="J680" s="103" t="s">
        <v>3611</v>
      </c>
      <c r="K680" s="42" t="s">
        <v>4037</v>
      </c>
      <c r="L680" s="42">
        <f>VLOOKUP(Table7[[#This Row],[Baseline Fixture Code]], 'Tables &amp; Ranges'!$A$114:$B$132, 2, FALSE)</f>
        <v>101002</v>
      </c>
    </row>
    <row r="681" spans="2:12" ht="40" customHeight="1">
      <c r="B681" s="42">
        <v>1094</v>
      </c>
      <c r="C681" s="102" t="s">
        <v>2226</v>
      </c>
      <c r="D681" s="102" t="s">
        <v>1858</v>
      </c>
      <c r="E681" s="92" t="s">
        <v>2227</v>
      </c>
      <c r="F681" s="42">
        <v>6</v>
      </c>
      <c r="G681" s="42">
        <v>32</v>
      </c>
      <c r="H681" s="42">
        <v>151</v>
      </c>
      <c r="I681" s="42" t="s">
        <v>147</v>
      </c>
      <c r="J681" s="103" t="s">
        <v>3611</v>
      </c>
      <c r="K681" s="42" t="s">
        <v>4037</v>
      </c>
      <c r="L681" s="42">
        <f>VLOOKUP(Table7[[#This Row],[Baseline Fixture Code]], 'Tables &amp; Ranges'!$A$114:$B$132, 2, FALSE)</f>
        <v>101002</v>
      </c>
    </row>
    <row r="682" spans="2:12" ht="40" customHeight="1">
      <c r="B682" s="42">
        <v>1072</v>
      </c>
      <c r="C682" s="102" t="s">
        <v>2228</v>
      </c>
      <c r="D682" s="102" t="s">
        <v>1858</v>
      </c>
      <c r="E682" s="92" t="s">
        <v>2229</v>
      </c>
      <c r="F682" s="42">
        <v>6</v>
      </c>
      <c r="G682" s="42">
        <v>32</v>
      </c>
      <c r="H682" s="42">
        <v>226</v>
      </c>
      <c r="I682" s="42" t="s">
        <v>147</v>
      </c>
      <c r="J682" s="103" t="s">
        <v>3611</v>
      </c>
      <c r="K682" s="42" t="s">
        <v>4037</v>
      </c>
      <c r="L682" s="42">
        <f>VLOOKUP(Table7[[#This Row],[Baseline Fixture Code]], 'Tables &amp; Ranges'!$A$114:$B$132, 2, FALSE)</f>
        <v>101002</v>
      </c>
    </row>
    <row r="683" spans="2:12" ht="40" customHeight="1">
      <c r="B683" s="42">
        <v>1095</v>
      </c>
      <c r="C683" s="102" t="s">
        <v>2228</v>
      </c>
      <c r="D683" s="102" t="s">
        <v>1858</v>
      </c>
      <c r="E683" s="92" t="s">
        <v>2229</v>
      </c>
      <c r="F683" s="42">
        <v>6</v>
      </c>
      <c r="G683" s="42">
        <v>32</v>
      </c>
      <c r="H683" s="42">
        <v>226</v>
      </c>
      <c r="I683" s="42" t="s">
        <v>147</v>
      </c>
      <c r="J683" s="103" t="s">
        <v>3611</v>
      </c>
      <c r="K683" s="42" t="s">
        <v>4037</v>
      </c>
      <c r="L683" s="42">
        <f>VLOOKUP(Table7[[#This Row],[Baseline Fixture Code]], 'Tables &amp; Ranges'!$A$114:$B$132, 2, FALSE)</f>
        <v>101002</v>
      </c>
    </row>
    <row r="684" spans="2:12" ht="40" customHeight="1">
      <c r="B684" s="42">
        <v>1073</v>
      </c>
      <c r="C684" s="102" t="s">
        <v>2230</v>
      </c>
      <c r="D684" s="102" t="s">
        <v>1858</v>
      </c>
      <c r="E684" s="92" t="s">
        <v>2231</v>
      </c>
      <c r="F684" s="42">
        <v>6</v>
      </c>
      <c r="G684" s="42">
        <v>32</v>
      </c>
      <c r="H684" s="42">
        <v>162</v>
      </c>
      <c r="I684" s="42" t="s">
        <v>1881</v>
      </c>
      <c r="J684" s="103" t="s">
        <v>3611</v>
      </c>
      <c r="K684" s="42" t="s">
        <v>4037</v>
      </c>
      <c r="L684" s="42">
        <f>VLOOKUP(Table7[[#This Row],[Baseline Fixture Code]], 'Tables &amp; Ranges'!$A$114:$B$132, 2, FALSE)</f>
        <v>101002</v>
      </c>
    </row>
    <row r="685" spans="2:12" ht="40" customHeight="1">
      <c r="B685" s="42">
        <v>1096</v>
      </c>
      <c r="C685" s="102" t="s">
        <v>2230</v>
      </c>
      <c r="D685" s="102" t="s">
        <v>1858</v>
      </c>
      <c r="E685" s="92" t="s">
        <v>2231</v>
      </c>
      <c r="F685" s="42">
        <v>6</v>
      </c>
      <c r="G685" s="42">
        <v>32</v>
      </c>
      <c r="H685" s="42">
        <v>162</v>
      </c>
      <c r="I685" s="42" t="s">
        <v>1881</v>
      </c>
      <c r="J685" s="103" t="s">
        <v>3611</v>
      </c>
      <c r="K685" s="42" t="s">
        <v>4037</v>
      </c>
      <c r="L685" s="42">
        <f>VLOOKUP(Table7[[#This Row],[Baseline Fixture Code]], 'Tables &amp; Ranges'!$A$114:$B$132, 2, FALSE)</f>
        <v>101002</v>
      </c>
    </row>
    <row r="686" spans="2:12" ht="40" customHeight="1">
      <c r="B686" s="42">
        <v>1074</v>
      </c>
      <c r="C686" s="102" t="s">
        <v>2232</v>
      </c>
      <c r="D686" s="102" t="s">
        <v>1858</v>
      </c>
      <c r="E686" s="92" t="s">
        <v>2233</v>
      </c>
      <c r="F686" s="42">
        <v>6</v>
      </c>
      <c r="G686" s="42">
        <v>32</v>
      </c>
      <c r="H686" s="42">
        <v>144</v>
      </c>
      <c r="I686" s="42" t="s">
        <v>1881</v>
      </c>
      <c r="J686" s="103" t="s">
        <v>3611</v>
      </c>
      <c r="K686" s="42" t="s">
        <v>4037</v>
      </c>
      <c r="L686" s="42">
        <f>VLOOKUP(Table7[[#This Row],[Baseline Fixture Code]], 'Tables &amp; Ranges'!$A$114:$B$132, 2, FALSE)</f>
        <v>101002</v>
      </c>
    </row>
    <row r="687" spans="2:12" ht="40" customHeight="1">
      <c r="B687" s="42">
        <v>1097</v>
      </c>
      <c r="C687" s="102" t="s">
        <v>2232</v>
      </c>
      <c r="D687" s="102" t="s">
        <v>1858</v>
      </c>
      <c r="E687" s="92" t="s">
        <v>2233</v>
      </c>
      <c r="F687" s="42">
        <v>6</v>
      </c>
      <c r="G687" s="42">
        <v>32</v>
      </c>
      <c r="H687" s="42">
        <v>144</v>
      </c>
      <c r="I687" s="42" t="s">
        <v>1881</v>
      </c>
      <c r="J687" s="103" t="s">
        <v>3611</v>
      </c>
      <c r="K687" s="42" t="s">
        <v>4037</v>
      </c>
      <c r="L687" s="42">
        <f>VLOOKUP(Table7[[#This Row],[Baseline Fixture Code]], 'Tables &amp; Ranges'!$A$114:$B$132, 2, FALSE)</f>
        <v>101002</v>
      </c>
    </row>
    <row r="688" spans="2:12" ht="40" customHeight="1">
      <c r="B688" s="42">
        <v>1075</v>
      </c>
      <c r="C688" s="102" t="s">
        <v>2234</v>
      </c>
      <c r="D688" s="102" t="s">
        <v>1858</v>
      </c>
      <c r="E688" s="92" t="s">
        <v>2229</v>
      </c>
      <c r="F688" s="42">
        <v>6</v>
      </c>
      <c r="G688" s="42">
        <v>32</v>
      </c>
      <c r="H688" s="42">
        <v>218</v>
      </c>
      <c r="I688" s="42" t="s">
        <v>1881</v>
      </c>
      <c r="J688" s="103" t="s">
        <v>3611</v>
      </c>
      <c r="K688" s="42" t="s">
        <v>4037</v>
      </c>
      <c r="L688" s="42">
        <f>VLOOKUP(Table7[[#This Row],[Baseline Fixture Code]], 'Tables &amp; Ranges'!$A$114:$B$132, 2, FALSE)</f>
        <v>101002</v>
      </c>
    </row>
    <row r="689" spans="2:12" ht="40" customHeight="1">
      <c r="B689" s="42">
        <v>1098</v>
      </c>
      <c r="C689" s="102" t="s">
        <v>2234</v>
      </c>
      <c r="D689" s="102" t="s">
        <v>1858</v>
      </c>
      <c r="E689" s="92" t="s">
        <v>2229</v>
      </c>
      <c r="F689" s="42">
        <v>6</v>
      </c>
      <c r="G689" s="42">
        <v>32</v>
      </c>
      <c r="H689" s="42">
        <v>218</v>
      </c>
      <c r="I689" s="42" t="s">
        <v>1881</v>
      </c>
      <c r="J689" s="103" t="s">
        <v>3611</v>
      </c>
      <c r="K689" s="42" t="s">
        <v>4037</v>
      </c>
      <c r="L689" s="42">
        <f>VLOOKUP(Table7[[#This Row],[Baseline Fixture Code]], 'Tables &amp; Ranges'!$A$114:$B$132, 2, FALSE)</f>
        <v>101002</v>
      </c>
    </row>
    <row r="690" spans="2:12" ht="40" customHeight="1">
      <c r="B690" s="42">
        <v>1076</v>
      </c>
      <c r="C690" s="102" t="s">
        <v>2235</v>
      </c>
      <c r="D690" s="102" t="s">
        <v>1858</v>
      </c>
      <c r="E690" s="92" t="s">
        <v>2236</v>
      </c>
      <c r="F690" s="42">
        <v>6</v>
      </c>
      <c r="G690" s="42">
        <v>32</v>
      </c>
      <c r="H690" s="42">
        <v>182</v>
      </c>
      <c r="I690" s="42" t="s">
        <v>147</v>
      </c>
      <c r="J690" s="103" t="s">
        <v>3611</v>
      </c>
      <c r="K690" s="42" t="s">
        <v>4037</v>
      </c>
      <c r="L690" s="42">
        <f>VLOOKUP(Table7[[#This Row],[Baseline Fixture Code]], 'Tables &amp; Ranges'!$A$114:$B$132, 2, FALSE)</f>
        <v>101002</v>
      </c>
    </row>
    <row r="691" spans="2:12" ht="40" customHeight="1">
      <c r="B691" s="42">
        <v>1099</v>
      </c>
      <c r="C691" s="102" t="s">
        <v>2235</v>
      </c>
      <c r="D691" s="102" t="s">
        <v>1858</v>
      </c>
      <c r="E691" s="92" t="s">
        <v>2236</v>
      </c>
      <c r="F691" s="42">
        <v>6</v>
      </c>
      <c r="G691" s="42">
        <v>32</v>
      </c>
      <c r="H691" s="42">
        <v>182</v>
      </c>
      <c r="I691" s="42" t="s">
        <v>147</v>
      </c>
      <c r="J691" s="103" t="s">
        <v>3611</v>
      </c>
      <c r="K691" s="42" t="s">
        <v>4037</v>
      </c>
      <c r="L691" s="42">
        <f>VLOOKUP(Table7[[#This Row],[Baseline Fixture Code]], 'Tables &amp; Ranges'!$A$114:$B$132, 2, FALSE)</f>
        <v>101002</v>
      </c>
    </row>
    <row r="692" spans="2:12" ht="40" customHeight="1">
      <c r="B692" s="107">
        <v>1266</v>
      </c>
      <c r="C692" s="108" t="s">
        <v>2558</v>
      </c>
      <c r="D692" s="108" t="s">
        <v>2549</v>
      </c>
      <c r="E692" s="109" t="s">
        <v>2559</v>
      </c>
      <c r="F692" s="107">
        <v>6</v>
      </c>
      <c r="G692" s="107">
        <v>32</v>
      </c>
      <c r="H692" s="107">
        <v>170</v>
      </c>
      <c r="I692" s="107" t="s">
        <v>2551</v>
      </c>
      <c r="J692" s="103" t="s">
        <v>3611</v>
      </c>
      <c r="K692" s="42" t="s">
        <v>4037</v>
      </c>
      <c r="L692" s="42">
        <f>VLOOKUP(Table7[[#This Row],[Baseline Fixture Code]], 'Tables &amp; Ranges'!$A$114:$B$132, 2, FALSE)</f>
        <v>101002</v>
      </c>
    </row>
    <row r="693" spans="2:12" ht="40" customHeight="1">
      <c r="B693" s="107">
        <v>1272</v>
      </c>
      <c r="C693" s="108" t="s">
        <v>2570</v>
      </c>
      <c r="D693" s="108" t="s">
        <v>2549</v>
      </c>
      <c r="E693" s="109" t="s">
        <v>2571</v>
      </c>
      <c r="F693" s="107">
        <v>6</v>
      </c>
      <c r="G693" s="107">
        <v>32</v>
      </c>
      <c r="H693" s="107">
        <v>170</v>
      </c>
      <c r="I693" s="107" t="s">
        <v>2551</v>
      </c>
      <c r="J693" s="103" t="s">
        <v>3611</v>
      </c>
      <c r="K693" s="42" t="s">
        <v>4037</v>
      </c>
      <c r="L693" s="42">
        <f>VLOOKUP(Table7[[#This Row],[Baseline Fixture Code]], 'Tables &amp; Ranges'!$A$114:$B$132, 2, FALSE)</f>
        <v>101002</v>
      </c>
    </row>
    <row r="694" spans="2:12" ht="40" customHeight="1">
      <c r="B694" s="107">
        <v>1278</v>
      </c>
      <c r="C694" s="108" t="s">
        <v>2582</v>
      </c>
      <c r="D694" s="108" t="s">
        <v>2549</v>
      </c>
      <c r="E694" s="109" t="s">
        <v>2583</v>
      </c>
      <c r="F694" s="107">
        <v>6</v>
      </c>
      <c r="G694" s="107">
        <v>32</v>
      </c>
      <c r="H694" s="107">
        <v>170</v>
      </c>
      <c r="I694" s="107" t="s">
        <v>2551</v>
      </c>
      <c r="J694" s="103" t="s">
        <v>3611</v>
      </c>
      <c r="K694" s="42" t="s">
        <v>4037</v>
      </c>
      <c r="L694" s="42">
        <f>VLOOKUP(Table7[[#This Row],[Baseline Fixture Code]], 'Tables &amp; Ranges'!$A$114:$B$132, 2, FALSE)</f>
        <v>101002</v>
      </c>
    </row>
    <row r="695" spans="2:12" ht="40" customHeight="1">
      <c r="B695" s="42">
        <v>1077</v>
      </c>
      <c r="C695" s="102" t="s">
        <v>2237</v>
      </c>
      <c r="D695" s="102" t="s">
        <v>1858</v>
      </c>
      <c r="E695" s="92" t="s">
        <v>2238</v>
      </c>
      <c r="F695" s="42">
        <v>8</v>
      </c>
      <c r="G695" s="42">
        <v>32</v>
      </c>
      <c r="H695" s="42">
        <v>230</v>
      </c>
      <c r="I695" s="42" t="s">
        <v>1743</v>
      </c>
      <c r="J695" s="103" t="s">
        <v>3611</v>
      </c>
      <c r="K695" s="42" t="s">
        <v>4037</v>
      </c>
      <c r="L695" s="42">
        <f>VLOOKUP(Table7[[#This Row],[Baseline Fixture Code]], 'Tables &amp; Ranges'!$A$114:$B$132, 2, FALSE)</f>
        <v>101002</v>
      </c>
    </row>
    <row r="696" spans="2:12" ht="40" customHeight="1">
      <c r="B696" s="42">
        <v>1100</v>
      </c>
      <c r="C696" s="102" t="s">
        <v>2237</v>
      </c>
      <c r="D696" s="102" t="s">
        <v>1858</v>
      </c>
      <c r="E696" s="92" t="s">
        <v>2238</v>
      </c>
      <c r="F696" s="42">
        <v>8</v>
      </c>
      <c r="G696" s="42">
        <v>32</v>
      </c>
      <c r="H696" s="42">
        <v>230</v>
      </c>
      <c r="I696" s="42" t="s">
        <v>1743</v>
      </c>
      <c r="J696" s="103" t="s">
        <v>3611</v>
      </c>
      <c r="K696" s="42" t="s">
        <v>4037</v>
      </c>
      <c r="L696" s="42">
        <f>VLOOKUP(Table7[[#This Row],[Baseline Fixture Code]], 'Tables &amp; Ranges'!$A$114:$B$132, 2, FALSE)</f>
        <v>101002</v>
      </c>
    </row>
    <row r="697" spans="2:12" ht="40" customHeight="1">
      <c r="B697" s="42">
        <v>1078</v>
      </c>
      <c r="C697" s="102" t="s">
        <v>2239</v>
      </c>
      <c r="D697" s="102" t="s">
        <v>1858</v>
      </c>
      <c r="E697" s="92" t="s">
        <v>2240</v>
      </c>
      <c r="F697" s="42">
        <v>8</v>
      </c>
      <c r="G697" s="42">
        <v>32</v>
      </c>
      <c r="H697" s="42">
        <v>184</v>
      </c>
      <c r="I697" s="42" t="s">
        <v>1743</v>
      </c>
      <c r="J697" s="103" t="s">
        <v>3611</v>
      </c>
      <c r="K697" s="42" t="s">
        <v>4037</v>
      </c>
      <c r="L697" s="42">
        <f>VLOOKUP(Table7[[#This Row],[Baseline Fixture Code]], 'Tables &amp; Ranges'!$A$114:$B$132, 2, FALSE)</f>
        <v>101002</v>
      </c>
    </row>
    <row r="698" spans="2:12" ht="40" customHeight="1">
      <c r="B698" s="42">
        <v>1101</v>
      </c>
      <c r="C698" s="102" t="s">
        <v>2239</v>
      </c>
      <c r="D698" s="102" t="s">
        <v>1858</v>
      </c>
      <c r="E698" s="92" t="s">
        <v>2240</v>
      </c>
      <c r="F698" s="42">
        <v>8</v>
      </c>
      <c r="G698" s="42">
        <v>32</v>
      </c>
      <c r="H698" s="42">
        <v>184</v>
      </c>
      <c r="I698" s="42" t="s">
        <v>1743</v>
      </c>
      <c r="J698" s="103" t="s">
        <v>3611</v>
      </c>
      <c r="K698" s="42" t="s">
        <v>4037</v>
      </c>
      <c r="L698" s="42">
        <f>VLOOKUP(Table7[[#This Row],[Baseline Fixture Code]], 'Tables &amp; Ranges'!$A$114:$B$132, 2, FALSE)</f>
        <v>101002</v>
      </c>
    </row>
    <row r="699" spans="2:12" ht="40" customHeight="1">
      <c r="B699" s="42">
        <v>1079</v>
      </c>
      <c r="C699" s="102" t="s">
        <v>2241</v>
      </c>
      <c r="D699" s="102" t="s">
        <v>1858</v>
      </c>
      <c r="E699" s="92" t="s">
        <v>2242</v>
      </c>
      <c r="F699" s="42">
        <v>8</v>
      </c>
      <c r="G699" s="42">
        <v>32</v>
      </c>
      <c r="H699" s="42">
        <v>288</v>
      </c>
      <c r="I699" s="42" t="s">
        <v>1743</v>
      </c>
      <c r="J699" s="103" t="s">
        <v>3611</v>
      </c>
      <c r="K699" s="42" t="s">
        <v>4037</v>
      </c>
      <c r="L699" s="42">
        <f>VLOOKUP(Table7[[#This Row],[Baseline Fixture Code]], 'Tables &amp; Ranges'!$A$114:$B$132, 2, FALSE)</f>
        <v>101002</v>
      </c>
    </row>
    <row r="700" spans="2:12" ht="40" customHeight="1">
      <c r="B700" s="42">
        <v>1102</v>
      </c>
      <c r="C700" s="102" t="s">
        <v>2241</v>
      </c>
      <c r="D700" s="102" t="s">
        <v>1858</v>
      </c>
      <c r="E700" s="92" t="s">
        <v>2242</v>
      </c>
      <c r="F700" s="42">
        <v>8</v>
      </c>
      <c r="G700" s="42">
        <v>32</v>
      </c>
      <c r="H700" s="42">
        <v>288</v>
      </c>
      <c r="I700" s="42" t="s">
        <v>1743</v>
      </c>
      <c r="J700" s="103" t="s">
        <v>3611</v>
      </c>
      <c r="K700" s="42" t="s">
        <v>4037</v>
      </c>
      <c r="L700" s="42">
        <f>VLOOKUP(Table7[[#This Row],[Baseline Fixture Code]], 'Tables &amp; Ranges'!$A$114:$B$132, 2, FALSE)</f>
        <v>101002</v>
      </c>
    </row>
    <row r="701" spans="2:12" ht="40" customHeight="1">
      <c r="B701" s="42">
        <v>1080</v>
      </c>
      <c r="C701" s="102" t="s">
        <v>2243</v>
      </c>
      <c r="D701" s="102" t="s">
        <v>1858</v>
      </c>
      <c r="E701" s="92" t="s">
        <v>2244</v>
      </c>
      <c r="F701" s="42">
        <v>8</v>
      </c>
      <c r="G701" s="42">
        <v>32</v>
      </c>
      <c r="H701" s="42">
        <v>224</v>
      </c>
      <c r="I701" s="42" t="s">
        <v>147</v>
      </c>
      <c r="J701" s="103" t="s">
        <v>3611</v>
      </c>
      <c r="K701" s="42" t="s">
        <v>4037</v>
      </c>
      <c r="L701" s="42">
        <f>VLOOKUP(Table7[[#This Row],[Baseline Fixture Code]], 'Tables &amp; Ranges'!$A$114:$B$132, 2, FALSE)</f>
        <v>101002</v>
      </c>
    </row>
    <row r="702" spans="2:12" ht="40" customHeight="1">
      <c r="B702" s="42">
        <v>1103</v>
      </c>
      <c r="C702" s="102" t="s">
        <v>2243</v>
      </c>
      <c r="D702" s="102" t="s">
        <v>1858</v>
      </c>
      <c r="E702" s="92" t="s">
        <v>2244</v>
      </c>
      <c r="F702" s="42">
        <v>8</v>
      </c>
      <c r="G702" s="42">
        <v>32</v>
      </c>
      <c r="H702" s="42">
        <v>224</v>
      </c>
      <c r="I702" s="42" t="s">
        <v>147</v>
      </c>
      <c r="J702" s="103" t="s">
        <v>3611</v>
      </c>
      <c r="K702" s="42" t="s">
        <v>4037</v>
      </c>
      <c r="L702" s="42">
        <f>VLOOKUP(Table7[[#This Row],[Baseline Fixture Code]], 'Tables &amp; Ranges'!$A$114:$B$132, 2, FALSE)</f>
        <v>101002</v>
      </c>
    </row>
    <row r="703" spans="2:12" ht="40" customHeight="1">
      <c r="B703" s="42">
        <v>1081</v>
      </c>
      <c r="C703" s="102" t="s">
        <v>2245</v>
      </c>
      <c r="D703" s="102" t="s">
        <v>1858</v>
      </c>
      <c r="E703" s="92" t="s">
        <v>2246</v>
      </c>
      <c r="F703" s="42">
        <v>8</v>
      </c>
      <c r="G703" s="42">
        <v>32</v>
      </c>
      <c r="H703" s="42">
        <v>196</v>
      </c>
      <c r="I703" s="42" t="s">
        <v>147</v>
      </c>
      <c r="J703" s="103" t="s">
        <v>3611</v>
      </c>
      <c r="K703" s="42" t="s">
        <v>4037</v>
      </c>
      <c r="L703" s="42">
        <f>VLOOKUP(Table7[[#This Row],[Baseline Fixture Code]], 'Tables &amp; Ranges'!$A$114:$B$132, 2, FALSE)</f>
        <v>101002</v>
      </c>
    </row>
    <row r="704" spans="2:12" ht="40" customHeight="1">
      <c r="B704" s="42">
        <v>1104</v>
      </c>
      <c r="C704" s="102" t="s">
        <v>2245</v>
      </c>
      <c r="D704" s="102" t="s">
        <v>1858</v>
      </c>
      <c r="E704" s="92" t="s">
        <v>2246</v>
      </c>
      <c r="F704" s="42">
        <v>8</v>
      </c>
      <c r="G704" s="42">
        <v>32</v>
      </c>
      <c r="H704" s="42">
        <v>196</v>
      </c>
      <c r="I704" s="42" t="s">
        <v>147</v>
      </c>
      <c r="J704" s="103" t="s">
        <v>3611</v>
      </c>
      <c r="K704" s="42" t="s">
        <v>4037</v>
      </c>
      <c r="L704" s="42">
        <f>VLOOKUP(Table7[[#This Row],[Baseline Fixture Code]], 'Tables &amp; Ranges'!$A$114:$B$132, 2, FALSE)</f>
        <v>101002</v>
      </c>
    </row>
    <row r="705" spans="2:12" ht="40" customHeight="1">
      <c r="B705" s="42">
        <v>1082</v>
      </c>
      <c r="C705" s="102" t="s">
        <v>2247</v>
      </c>
      <c r="D705" s="102" t="s">
        <v>1858</v>
      </c>
      <c r="E705" s="92" t="s">
        <v>2244</v>
      </c>
      <c r="F705" s="42">
        <v>8</v>
      </c>
      <c r="G705" s="42">
        <v>32</v>
      </c>
      <c r="H705" s="42">
        <v>214</v>
      </c>
      <c r="I705" s="42" t="s">
        <v>1881</v>
      </c>
      <c r="J705" s="103" t="s">
        <v>3611</v>
      </c>
      <c r="K705" s="42" t="s">
        <v>4037</v>
      </c>
      <c r="L705" s="42">
        <f>VLOOKUP(Table7[[#This Row],[Baseline Fixture Code]], 'Tables &amp; Ranges'!$A$114:$B$132, 2, FALSE)</f>
        <v>101002</v>
      </c>
    </row>
    <row r="706" spans="2:12" ht="40" customHeight="1">
      <c r="B706" s="42">
        <v>1105</v>
      </c>
      <c r="C706" s="102" t="s">
        <v>2247</v>
      </c>
      <c r="D706" s="102" t="s">
        <v>1858</v>
      </c>
      <c r="E706" s="92" t="s">
        <v>2244</v>
      </c>
      <c r="F706" s="42">
        <v>8</v>
      </c>
      <c r="G706" s="42">
        <v>32</v>
      </c>
      <c r="H706" s="42">
        <v>214</v>
      </c>
      <c r="I706" s="42" t="s">
        <v>1881</v>
      </c>
      <c r="J706" s="103" t="s">
        <v>3611</v>
      </c>
      <c r="K706" s="42" t="s">
        <v>4037</v>
      </c>
      <c r="L706" s="42">
        <f>VLOOKUP(Table7[[#This Row],[Baseline Fixture Code]], 'Tables &amp; Ranges'!$A$114:$B$132, 2, FALSE)</f>
        <v>101002</v>
      </c>
    </row>
    <row r="707" spans="2:12" ht="40" customHeight="1">
      <c r="B707" s="42">
        <v>1083</v>
      </c>
      <c r="C707" s="102" t="s">
        <v>2248</v>
      </c>
      <c r="D707" s="102" t="s">
        <v>1858</v>
      </c>
      <c r="E707" s="92" t="s">
        <v>2246</v>
      </c>
      <c r="F707" s="42">
        <v>8</v>
      </c>
      <c r="G707" s="42">
        <v>32</v>
      </c>
      <c r="H707" s="42">
        <v>190</v>
      </c>
      <c r="I707" s="42" t="s">
        <v>1881</v>
      </c>
      <c r="J707" s="103" t="s">
        <v>3611</v>
      </c>
      <c r="K707" s="42" t="s">
        <v>4037</v>
      </c>
      <c r="L707" s="42">
        <f>VLOOKUP(Table7[[#This Row],[Baseline Fixture Code]], 'Tables &amp; Ranges'!$A$114:$B$132, 2, FALSE)</f>
        <v>101002</v>
      </c>
    </row>
    <row r="708" spans="2:12" ht="40" customHeight="1">
      <c r="B708" s="42">
        <v>1106</v>
      </c>
      <c r="C708" s="102" t="s">
        <v>2248</v>
      </c>
      <c r="D708" s="102" t="s">
        <v>1858</v>
      </c>
      <c r="E708" s="92" t="s">
        <v>2246</v>
      </c>
      <c r="F708" s="42">
        <v>8</v>
      </c>
      <c r="G708" s="42">
        <v>32</v>
      </c>
      <c r="H708" s="42">
        <v>190</v>
      </c>
      <c r="I708" s="42" t="s">
        <v>1881</v>
      </c>
      <c r="J708" s="103" t="s">
        <v>3611</v>
      </c>
      <c r="K708" s="42" t="s">
        <v>4037</v>
      </c>
      <c r="L708" s="42">
        <f>VLOOKUP(Table7[[#This Row],[Baseline Fixture Code]], 'Tables &amp; Ranges'!$A$114:$B$132, 2, FALSE)</f>
        <v>101002</v>
      </c>
    </row>
    <row r="709" spans="2:12" ht="40" customHeight="1">
      <c r="B709" s="42">
        <v>1084</v>
      </c>
      <c r="C709" s="102" t="s">
        <v>2249</v>
      </c>
      <c r="D709" s="102" t="s">
        <v>1858</v>
      </c>
      <c r="E709" s="92" t="s">
        <v>2250</v>
      </c>
      <c r="F709" s="42">
        <v>8</v>
      </c>
      <c r="G709" s="42">
        <v>32</v>
      </c>
      <c r="H709" s="42">
        <v>292</v>
      </c>
      <c r="I709" s="42" t="s">
        <v>1881</v>
      </c>
      <c r="J709" s="103" t="s">
        <v>3611</v>
      </c>
      <c r="K709" s="42" t="s">
        <v>4037</v>
      </c>
      <c r="L709" s="42">
        <f>VLOOKUP(Table7[[#This Row],[Baseline Fixture Code]], 'Tables &amp; Ranges'!$A$114:$B$132, 2, FALSE)</f>
        <v>101002</v>
      </c>
    </row>
    <row r="710" spans="2:12" ht="40" customHeight="1">
      <c r="B710" s="42">
        <v>1107</v>
      </c>
      <c r="C710" s="102" t="s">
        <v>2249</v>
      </c>
      <c r="D710" s="102" t="s">
        <v>1858</v>
      </c>
      <c r="E710" s="92" t="s">
        <v>2250</v>
      </c>
      <c r="F710" s="42">
        <v>8</v>
      </c>
      <c r="G710" s="42">
        <v>32</v>
      </c>
      <c r="H710" s="42">
        <v>292</v>
      </c>
      <c r="I710" s="42" t="s">
        <v>1881</v>
      </c>
      <c r="J710" s="103" t="s">
        <v>3611</v>
      </c>
      <c r="K710" s="42" t="s">
        <v>4037</v>
      </c>
      <c r="L710" s="42">
        <f>VLOOKUP(Table7[[#This Row],[Baseline Fixture Code]], 'Tables &amp; Ranges'!$A$114:$B$132, 2, FALSE)</f>
        <v>101002</v>
      </c>
    </row>
    <row r="711" spans="2:12" ht="40" customHeight="1">
      <c r="B711" s="107">
        <v>1267</v>
      </c>
      <c r="C711" s="108" t="s">
        <v>2560</v>
      </c>
      <c r="D711" s="108" t="s">
        <v>2549</v>
      </c>
      <c r="E711" s="109" t="s">
        <v>2561</v>
      </c>
      <c r="F711" s="107">
        <v>8</v>
      </c>
      <c r="G711" s="107">
        <v>32</v>
      </c>
      <c r="H711" s="107">
        <v>224</v>
      </c>
      <c r="I711" s="107" t="s">
        <v>2551</v>
      </c>
      <c r="J711" s="103" t="s">
        <v>3611</v>
      </c>
      <c r="K711" s="42" t="s">
        <v>4037</v>
      </c>
      <c r="L711" s="42">
        <f>VLOOKUP(Table7[[#This Row],[Baseline Fixture Code]], 'Tables &amp; Ranges'!$A$114:$B$132, 2, FALSE)</f>
        <v>101002</v>
      </c>
    </row>
    <row r="712" spans="2:12" ht="40" customHeight="1">
      <c r="B712" s="107">
        <v>1273</v>
      </c>
      <c r="C712" s="108" t="s">
        <v>2572</v>
      </c>
      <c r="D712" s="108" t="s">
        <v>2549</v>
      </c>
      <c r="E712" s="109" t="s">
        <v>2573</v>
      </c>
      <c r="F712" s="107">
        <v>8</v>
      </c>
      <c r="G712" s="107">
        <v>32</v>
      </c>
      <c r="H712" s="107">
        <v>224</v>
      </c>
      <c r="I712" s="107" t="s">
        <v>2551</v>
      </c>
      <c r="J712" s="103" t="s">
        <v>3611</v>
      </c>
      <c r="K712" s="42" t="s">
        <v>4037</v>
      </c>
      <c r="L712" s="42">
        <f>VLOOKUP(Table7[[#This Row],[Baseline Fixture Code]], 'Tables &amp; Ranges'!$A$114:$B$132, 2, FALSE)</f>
        <v>101002</v>
      </c>
    </row>
    <row r="713" spans="2:12" ht="40" customHeight="1">
      <c r="B713" s="107">
        <v>1279</v>
      </c>
      <c r="C713" s="108" t="s">
        <v>2584</v>
      </c>
      <c r="D713" s="108" t="s">
        <v>2549</v>
      </c>
      <c r="E713" s="109" t="s">
        <v>2585</v>
      </c>
      <c r="F713" s="107">
        <v>8</v>
      </c>
      <c r="G713" s="107">
        <v>32</v>
      </c>
      <c r="H713" s="107">
        <v>224</v>
      </c>
      <c r="I713" s="107" t="s">
        <v>2551</v>
      </c>
      <c r="J713" s="103" t="s">
        <v>3611</v>
      </c>
      <c r="K713" s="42" t="s">
        <v>4037</v>
      </c>
      <c r="L713" s="42">
        <f>VLOOKUP(Table7[[#This Row],[Baseline Fixture Code]], 'Tables &amp; Ranges'!$A$114:$B$132, 2, FALSE)</f>
        <v>101002</v>
      </c>
    </row>
    <row r="714" spans="2:12" ht="40" customHeight="1">
      <c r="B714" s="42">
        <v>1471</v>
      </c>
      <c r="C714" s="102" t="s">
        <v>2936</v>
      </c>
      <c r="D714" s="102" t="s">
        <v>2926</v>
      </c>
      <c r="E714" s="92" t="s">
        <v>2937</v>
      </c>
      <c r="F714" s="42">
        <v>1</v>
      </c>
      <c r="G714" s="42">
        <v>32</v>
      </c>
      <c r="H714" s="42">
        <v>31</v>
      </c>
      <c r="I714" s="42" t="s">
        <v>1457</v>
      </c>
      <c r="J714" s="103" t="s">
        <v>3611</v>
      </c>
      <c r="K714" s="42" t="s">
        <v>2926</v>
      </c>
      <c r="L714" s="42">
        <f>VLOOKUP(Table7[[#This Row],[Baseline Fixture Code]], 'Tables &amp; Ranges'!$A$114:$B$132, 2, FALSE)</f>
        <v>101132</v>
      </c>
    </row>
    <row r="715" spans="2:12" ht="40" customHeight="1">
      <c r="B715" s="42">
        <v>1472</v>
      </c>
      <c r="C715" s="102" t="s">
        <v>2938</v>
      </c>
      <c r="D715" s="102" t="s">
        <v>2926</v>
      </c>
      <c r="E715" s="92" t="s">
        <v>2939</v>
      </c>
      <c r="F715" s="42">
        <v>2</v>
      </c>
      <c r="G715" s="42">
        <v>32</v>
      </c>
      <c r="H715" s="42">
        <v>62</v>
      </c>
      <c r="I715" s="42" t="s">
        <v>1457</v>
      </c>
      <c r="J715" s="103" t="s">
        <v>3611</v>
      </c>
      <c r="K715" s="42" t="s">
        <v>2926</v>
      </c>
      <c r="L715" s="42">
        <f>VLOOKUP(Table7[[#This Row],[Baseline Fixture Code]], 'Tables &amp; Ranges'!$A$114:$B$132, 2, FALSE)</f>
        <v>101132</v>
      </c>
    </row>
    <row r="716" spans="2:12" ht="40" customHeight="1">
      <c r="B716" s="42">
        <v>1473</v>
      </c>
      <c r="C716" s="102" t="s">
        <v>2940</v>
      </c>
      <c r="D716" s="102" t="s">
        <v>2926</v>
      </c>
      <c r="E716" s="92" t="s">
        <v>2941</v>
      </c>
      <c r="F716" s="42">
        <v>1</v>
      </c>
      <c r="G716" s="42">
        <v>32</v>
      </c>
      <c r="H716" s="42">
        <v>40</v>
      </c>
      <c r="I716" s="42" t="s">
        <v>1457</v>
      </c>
      <c r="J716" s="103" t="s">
        <v>3611</v>
      </c>
      <c r="K716" s="42" t="s">
        <v>2926</v>
      </c>
      <c r="L716" s="42">
        <f>VLOOKUP(Table7[[#This Row],[Baseline Fixture Code]], 'Tables &amp; Ranges'!$A$114:$B$132, 2, FALSE)</f>
        <v>101132</v>
      </c>
    </row>
    <row r="717" spans="2:12" ht="40" customHeight="1">
      <c r="B717" s="42">
        <v>1475</v>
      </c>
      <c r="C717" s="102" t="s">
        <v>2944</v>
      </c>
      <c r="D717" s="102" t="s">
        <v>2926</v>
      </c>
      <c r="E717" s="92" t="s">
        <v>2941</v>
      </c>
      <c r="F717" s="42">
        <v>1</v>
      </c>
      <c r="G717" s="42">
        <v>32</v>
      </c>
      <c r="H717" s="42">
        <v>42</v>
      </c>
      <c r="I717" s="42" t="s">
        <v>1457</v>
      </c>
      <c r="J717" s="103" t="s">
        <v>3611</v>
      </c>
      <c r="K717" s="42" t="s">
        <v>2926</v>
      </c>
      <c r="L717" s="42">
        <f>VLOOKUP(Table7[[#This Row],[Baseline Fixture Code]], 'Tables &amp; Ranges'!$A$114:$B$132, 2, FALSE)</f>
        <v>101132</v>
      </c>
    </row>
    <row r="718" spans="2:12" ht="40" customHeight="1">
      <c r="B718" s="42">
        <v>1489</v>
      </c>
      <c r="C718" s="102" t="s">
        <v>2972</v>
      </c>
      <c r="D718" s="102" t="s">
        <v>2973</v>
      </c>
      <c r="E718" s="92" t="s">
        <v>2974</v>
      </c>
      <c r="F718" s="42">
        <v>1</v>
      </c>
      <c r="G718" s="42">
        <v>32</v>
      </c>
      <c r="H718" s="42">
        <v>31</v>
      </c>
      <c r="I718" s="42" t="s">
        <v>147</v>
      </c>
      <c r="J718" s="103" t="s">
        <v>3611</v>
      </c>
      <c r="K718" s="42" t="s">
        <v>2973</v>
      </c>
      <c r="L718" s="42">
        <f>VLOOKUP(Table7[[#This Row],[Baseline Fixture Code]], 'Tables &amp; Ranges'!$A$114:$B$132, 2, FALSE)</f>
        <v>101135</v>
      </c>
    </row>
    <row r="719" spans="2:12" ht="40" customHeight="1">
      <c r="B719" s="42">
        <v>1502</v>
      </c>
      <c r="C719" s="102" t="s">
        <v>2999</v>
      </c>
      <c r="D719" s="102" t="s">
        <v>2973</v>
      </c>
      <c r="E719" s="92" t="s">
        <v>3000</v>
      </c>
      <c r="F719" s="42">
        <v>1</v>
      </c>
      <c r="G719" s="42">
        <v>32</v>
      </c>
      <c r="H719" s="42">
        <v>29</v>
      </c>
      <c r="I719" s="42" t="s">
        <v>1881</v>
      </c>
      <c r="J719" s="103" t="s">
        <v>3611</v>
      </c>
      <c r="K719" s="42" t="s">
        <v>2973</v>
      </c>
      <c r="L719" s="42">
        <f>VLOOKUP(Table7[[#This Row],[Baseline Fixture Code]], 'Tables &amp; Ranges'!$A$114:$B$132, 2, FALSE)</f>
        <v>101135</v>
      </c>
    </row>
    <row r="720" spans="2:12" ht="40" customHeight="1">
      <c r="B720" s="42">
        <v>1503</v>
      </c>
      <c r="C720" s="102" t="s">
        <v>3001</v>
      </c>
      <c r="D720" s="102" t="s">
        <v>2973</v>
      </c>
      <c r="E720" s="92" t="s">
        <v>3002</v>
      </c>
      <c r="F720" s="42">
        <v>1</v>
      </c>
      <c r="G720" s="42">
        <v>32</v>
      </c>
      <c r="H720" s="42">
        <v>34</v>
      </c>
      <c r="I720" s="42" t="s">
        <v>1881</v>
      </c>
      <c r="J720" s="103" t="s">
        <v>3611</v>
      </c>
      <c r="K720" s="42" t="s">
        <v>2973</v>
      </c>
      <c r="L720" s="42">
        <f>VLOOKUP(Table7[[#This Row],[Baseline Fixture Code]], 'Tables &amp; Ranges'!$A$114:$B$132, 2, FALSE)</f>
        <v>101135</v>
      </c>
    </row>
    <row r="721" spans="2:12" ht="40" customHeight="1">
      <c r="B721" s="42">
        <v>1490</v>
      </c>
      <c r="C721" s="102" t="s">
        <v>2975</v>
      </c>
      <c r="D721" s="102" t="s">
        <v>2973</v>
      </c>
      <c r="E721" s="92" t="s">
        <v>2976</v>
      </c>
      <c r="F721" s="42">
        <v>1</v>
      </c>
      <c r="G721" s="42">
        <v>32</v>
      </c>
      <c r="H721" s="42">
        <v>32</v>
      </c>
      <c r="I721" s="42" t="s">
        <v>147</v>
      </c>
      <c r="J721" s="103" t="s">
        <v>3611</v>
      </c>
      <c r="K721" s="42" t="s">
        <v>2973</v>
      </c>
      <c r="L721" s="42">
        <f>VLOOKUP(Table7[[#This Row],[Baseline Fixture Code]], 'Tables &amp; Ranges'!$A$114:$B$132, 2, FALSE)</f>
        <v>101135</v>
      </c>
    </row>
    <row r="722" spans="2:12" ht="40" customHeight="1">
      <c r="B722" s="107">
        <v>1509</v>
      </c>
      <c r="C722" s="108" t="s">
        <v>3013</v>
      </c>
      <c r="D722" s="108" t="s">
        <v>2973</v>
      </c>
      <c r="E722" s="109" t="s">
        <v>3014</v>
      </c>
      <c r="F722" s="107">
        <v>1</v>
      </c>
      <c r="G722" s="107">
        <v>32</v>
      </c>
      <c r="H722" s="107">
        <v>32</v>
      </c>
      <c r="I722" s="107" t="s">
        <v>2551</v>
      </c>
      <c r="J722" s="103" t="s">
        <v>3611</v>
      </c>
      <c r="K722" s="42" t="s">
        <v>2973</v>
      </c>
      <c r="L722" s="42">
        <f>VLOOKUP(Table7[[#This Row],[Baseline Fixture Code]], 'Tables &amp; Ranges'!$A$114:$B$132, 2, FALSE)</f>
        <v>101135</v>
      </c>
    </row>
    <row r="723" spans="2:12" ht="40" customHeight="1">
      <c r="B723" s="42">
        <v>1492</v>
      </c>
      <c r="C723" s="102" t="s">
        <v>2979</v>
      </c>
      <c r="D723" s="102" t="s">
        <v>2973</v>
      </c>
      <c r="E723" s="92" t="s">
        <v>2980</v>
      </c>
      <c r="F723" s="42">
        <v>2</v>
      </c>
      <c r="G723" s="42">
        <v>32</v>
      </c>
      <c r="H723" s="42">
        <v>59</v>
      </c>
      <c r="I723" s="42" t="s">
        <v>147</v>
      </c>
      <c r="J723" s="103" t="s">
        <v>3611</v>
      </c>
      <c r="K723" s="42" t="s">
        <v>2973</v>
      </c>
      <c r="L723" s="42">
        <f>VLOOKUP(Table7[[#This Row],[Baseline Fixture Code]], 'Tables &amp; Ranges'!$A$114:$B$132, 2, FALSE)</f>
        <v>101135</v>
      </c>
    </row>
    <row r="724" spans="2:12" ht="40" customHeight="1">
      <c r="B724" s="42">
        <v>1495</v>
      </c>
      <c r="C724" s="102" t="s">
        <v>2985</v>
      </c>
      <c r="D724" s="102" t="s">
        <v>2973</v>
      </c>
      <c r="E724" s="92" t="s">
        <v>2986</v>
      </c>
      <c r="F724" s="42">
        <v>2</v>
      </c>
      <c r="G724" s="42">
        <v>32</v>
      </c>
      <c r="H724" s="42">
        <v>56</v>
      </c>
      <c r="I724" s="42" t="s">
        <v>147</v>
      </c>
      <c r="J724" s="103" t="s">
        <v>3611</v>
      </c>
      <c r="K724" s="42" t="s">
        <v>2973</v>
      </c>
      <c r="L724" s="42">
        <f>VLOOKUP(Table7[[#This Row],[Baseline Fixture Code]], 'Tables &amp; Ranges'!$A$114:$B$132, 2, FALSE)</f>
        <v>101135</v>
      </c>
    </row>
    <row r="725" spans="2:12" ht="40" customHeight="1">
      <c r="B725" s="42">
        <v>1496</v>
      </c>
      <c r="C725" s="102" t="s">
        <v>2987</v>
      </c>
      <c r="D725" s="102" t="s">
        <v>2973</v>
      </c>
      <c r="E725" s="92" t="s">
        <v>2988</v>
      </c>
      <c r="F725" s="42">
        <v>2</v>
      </c>
      <c r="G725" s="42">
        <v>32</v>
      </c>
      <c r="H725" s="42">
        <v>49</v>
      </c>
      <c r="I725" s="42" t="s">
        <v>147</v>
      </c>
      <c r="J725" s="103" t="s">
        <v>3611</v>
      </c>
      <c r="K725" s="42" t="s">
        <v>2973</v>
      </c>
      <c r="L725" s="42">
        <f>VLOOKUP(Table7[[#This Row],[Baseline Fixture Code]], 'Tables &amp; Ranges'!$A$114:$B$132, 2, FALSE)</f>
        <v>101135</v>
      </c>
    </row>
    <row r="726" spans="2:12" ht="40" customHeight="1">
      <c r="B726" s="42">
        <v>1493</v>
      </c>
      <c r="C726" s="102" t="s">
        <v>2981</v>
      </c>
      <c r="D726" s="102" t="s">
        <v>2973</v>
      </c>
      <c r="E726" s="92" t="s">
        <v>2982</v>
      </c>
      <c r="F726" s="42">
        <v>2</v>
      </c>
      <c r="G726" s="42">
        <v>32</v>
      </c>
      <c r="H726" s="42">
        <v>65</v>
      </c>
      <c r="I726" s="42" t="s">
        <v>147</v>
      </c>
      <c r="J726" s="103" t="s">
        <v>3611</v>
      </c>
      <c r="K726" s="42" t="s">
        <v>2973</v>
      </c>
      <c r="L726" s="42">
        <f>VLOOKUP(Table7[[#This Row],[Baseline Fixture Code]], 'Tables &amp; Ranges'!$A$114:$B$132, 2, FALSE)</f>
        <v>101135</v>
      </c>
    </row>
    <row r="727" spans="2:12" ht="40" customHeight="1">
      <c r="B727" s="42">
        <v>1494</v>
      </c>
      <c r="C727" s="102" t="s">
        <v>2983</v>
      </c>
      <c r="D727" s="102" t="s">
        <v>2973</v>
      </c>
      <c r="E727" s="92" t="s">
        <v>2984</v>
      </c>
      <c r="F727" s="42">
        <v>2</v>
      </c>
      <c r="G727" s="42">
        <v>32</v>
      </c>
      <c r="H727" s="42">
        <v>52</v>
      </c>
      <c r="I727" s="42" t="s">
        <v>147</v>
      </c>
      <c r="J727" s="103" t="s">
        <v>3611</v>
      </c>
      <c r="K727" s="42" t="s">
        <v>2973</v>
      </c>
      <c r="L727" s="42">
        <f>VLOOKUP(Table7[[#This Row],[Baseline Fixture Code]], 'Tables &amp; Ranges'!$A$114:$B$132, 2, FALSE)</f>
        <v>101135</v>
      </c>
    </row>
    <row r="728" spans="2:12" ht="40" customHeight="1">
      <c r="B728" s="42">
        <v>1504</v>
      </c>
      <c r="C728" s="102" t="s">
        <v>3003</v>
      </c>
      <c r="D728" s="102" t="s">
        <v>2973</v>
      </c>
      <c r="E728" s="92" t="s">
        <v>3004</v>
      </c>
      <c r="F728" s="42">
        <v>2</v>
      </c>
      <c r="G728" s="42">
        <v>32</v>
      </c>
      <c r="H728" s="42">
        <v>55</v>
      </c>
      <c r="I728" s="42" t="s">
        <v>1881</v>
      </c>
      <c r="J728" s="103" t="s">
        <v>3611</v>
      </c>
      <c r="K728" s="42" t="s">
        <v>2973</v>
      </c>
      <c r="L728" s="42">
        <f>VLOOKUP(Table7[[#This Row],[Baseline Fixture Code]], 'Tables &amp; Ranges'!$A$114:$B$132, 2, FALSE)</f>
        <v>101135</v>
      </c>
    </row>
    <row r="729" spans="2:12" ht="40" customHeight="1">
      <c r="B729" s="42">
        <v>1505</v>
      </c>
      <c r="C729" s="102" t="s">
        <v>3005</v>
      </c>
      <c r="D729" s="102" t="s">
        <v>2973</v>
      </c>
      <c r="E729" s="92" t="s">
        <v>3006</v>
      </c>
      <c r="F729" s="42">
        <v>2</v>
      </c>
      <c r="G729" s="42">
        <v>32</v>
      </c>
      <c r="H729" s="42">
        <v>48</v>
      </c>
      <c r="I729" s="42" t="s">
        <v>1881</v>
      </c>
      <c r="J729" s="103" t="s">
        <v>3611</v>
      </c>
      <c r="K729" s="42" t="s">
        <v>2973</v>
      </c>
      <c r="L729" s="42">
        <f>VLOOKUP(Table7[[#This Row],[Baseline Fixture Code]], 'Tables &amp; Ranges'!$A$114:$B$132, 2, FALSE)</f>
        <v>101135</v>
      </c>
    </row>
    <row r="730" spans="2:12" ht="40" customHeight="1">
      <c r="B730" s="42">
        <v>1506</v>
      </c>
      <c r="C730" s="102" t="s">
        <v>3007</v>
      </c>
      <c r="D730" s="102" t="s">
        <v>2973</v>
      </c>
      <c r="E730" s="92" t="s">
        <v>3008</v>
      </c>
      <c r="F730" s="42">
        <v>2</v>
      </c>
      <c r="G730" s="42">
        <v>32</v>
      </c>
      <c r="H730" s="42">
        <v>73</v>
      </c>
      <c r="I730" s="42" t="s">
        <v>1881</v>
      </c>
      <c r="J730" s="103" t="s">
        <v>3611</v>
      </c>
      <c r="K730" s="42" t="s">
        <v>2973</v>
      </c>
      <c r="L730" s="42">
        <f>VLOOKUP(Table7[[#This Row],[Baseline Fixture Code]], 'Tables &amp; Ranges'!$A$114:$B$132, 2, FALSE)</f>
        <v>101135</v>
      </c>
    </row>
    <row r="731" spans="2:12" ht="40" customHeight="1">
      <c r="B731" s="42">
        <v>1497</v>
      </c>
      <c r="C731" s="102" t="s">
        <v>2989</v>
      </c>
      <c r="D731" s="102" t="s">
        <v>2973</v>
      </c>
      <c r="E731" s="92" t="s">
        <v>2990</v>
      </c>
      <c r="F731" s="42">
        <v>2</v>
      </c>
      <c r="G731" s="42">
        <v>32</v>
      </c>
      <c r="H731" s="42">
        <v>60</v>
      </c>
      <c r="I731" s="42" t="s">
        <v>147</v>
      </c>
      <c r="J731" s="103" t="s">
        <v>3611</v>
      </c>
      <c r="K731" s="42" t="s">
        <v>2973</v>
      </c>
      <c r="L731" s="42">
        <f>VLOOKUP(Table7[[#This Row],[Baseline Fixture Code]], 'Tables &amp; Ranges'!$A$114:$B$132, 2, FALSE)</f>
        <v>101135</v>
      </c>
    </row>
    <row r="732" spans="2:12" ht="40" customHeight="1">
      <c r="B732" s="42">
        <v>1499</v>
      </c>
      <c r="C732" s="102" t="s">
        <v>2993</v>
      </c>
      <c r="D732" s="102" t="s">
        <v>2973</v>
      </c>
      <c r="E732" s="92" t="s">
        <v>2994</v>
      </c>
      <c r="F732" s="42">
        <v>2</v>
      </c>
      <c r="G732" s="42">
        <v>32</v>
      </c>
      <c r="H732" s="42">
        <v>59</v>
      </c>
      <c r="I732" s="42" t="s">
        <v>147</v>
      </c>
      <c r="J732" s="103" t="s">
        <v>3611</v>
      </c>
      <c r="K732" s="42" t="s">
        <v>2973</v>
      </c>
      <c r="L732" s="42">
        <f>VLOOKUP(Table7[[#This Row],[Baseline Fixture Code]], 'Tables &amp; Ranges'!$A$114:$B$132, 2, FALSE)</f>
        <v>101135</v>
      </c>
    </row>
    <row r="733" spans="2:12" ht="40" customHeight="1">
      <c r="B733" s="107">
        <v>1510</v>
      </c>
      <c r="C733" s="108" t="s">
        <v>3015</v>
      </c>
      <c r="D733" s="108" t="s">
        <v>2973</v>
      </c>
      <c r="E733" s="109" t="s">
        <v>3016</v>
      </c>
      <c r="F733" s="107">
        <v>2</v>
      </c>
      <c r="G733" s="107">
        <v>32</v>
      </c>
      <c r="H733" s="107">
        <v>60</v>
      </c>
      <c r="I733" s="107" t="s">
        <v>2551</v>
      </c>
      <c r="J733" s="103" t="s">
        <v>3611</v>
      </c>
      <c r="K733" s="42" t="s">
        <v>2973</v>
      </c>
      <c r="L733" s="42">
        <f>VLOOKUP(Table7[[#This Row],[Baseline Fixture Code]], 'Tables &amp; Ranges'!$A$114:$B$132, 2, FALSE)</f>
        <v>101135</v>
      </c>
    </row>
    <row r="734" spans="2:12" ht="40" customHeight="1">
      <c r="B734" s="42">
        <v>1500</v>
      </c>
      <c r="C734" s="102" t="s">
        <v>2995</v>
      </c>
      <c r="D734" s="102" t="s">
        <v>2973</v>
      </c>
      <c r="E734" s="92" t="s">
        <v>2996</v>
      </c>
      <c r="F734" s="42">
        <v>3</v>
      </c>
      <c r="G734" s="42">
        <v>32</v>
      </c>
      <c r="H734" s="42">
        <v>89</v>
      </c>
      <c r="I734" s="42" t="s">
        <v>147</v>
      </c>
      <c r="J734" s="103" t="s">
        <v>3611</v>
      </c>
      <c r="K734" s="42" t="s">
        <v>2973</v>
      </c>
      <c r="L734" s="42">
        <f>VLOOKUP(Table7[[#This Row],[Baseline Fixture Code]], 'Tables &amp; Ranges'!$A$114:$B$132, 2, FALSE)</f>
        <v>101135</v>
      </c>
    </row>
    <row r="735" spans="2:12" ht="40" customHeight="1">
      <c r="B735" s="42">
        <v>1501</v>
      </c>
      <c r="C735" s="102" t="s">
        <v>2997</v>
      </c>
      <c r="D735" s="102" t="s">
        <v>2973</v>
      </c>
      <c r="E735" s="92" t="s">
        <v>2998</v>
      </c>
      <c r="F735" s="42">
        <v>3</v>
      </c>
      <c r="G735" s="42">
        <v>32</v>
      </c>
      <c r="H735" s="42">
        <v>78</v>
      </c>
      <c r="I735" s="42" t="s">
        <v>147</v>
      </c>
      <c r="J735" s="103" t="s">
        <v>3611</v>
      </c>
      <c r="K735" s="42" t="s">
        <v>2973</v>
      </c>
      <c r="L735" s="42">
        <f>VLOOKUP(Table7[[#This Row],[Baseline Fixture Code]], 'Tables &amp; Ranges'!$A$114:$B$132, 2, FALSE)</f>
        <v>101135</v>
      </c>
    </row>
    <row r="736" spans="2:12" ht="40" customHeight="1">
      <c r="B736" s="42">
        <v>1507</v>
      </c>
      <c r="C736" s="102" t="s">
        <v>3009</v>
      </c>
      <c r="D736" s="102" t="s">
        <v>2973</v>
      </c>
      <c r="E736" s="92" t="s">
        <v>3010</v>
      </c>
      <c r="F736" s="42">
        <v>3</v>
      </c>
      <c r="G736" s="42">
        <v>32</v>
      </c>
      <c r="H736" s="42">
        <v>81</v>
      </c>
      <c r="I736" s="42" t="s">
        <v>1881</v>
      </c>
      <c r="J736" s="103" t="s">
        <v>3611</v>
      </c>
      <c r="K736" s="42" t="s">
        <v>2973</v>
      </c>
      <c r="L736" s="42">
        <f>VLOOKUP(Table7[[#This Row],[Baseline Fixture Code]], 'Tables &amp; Ranges'!$A$114:$B$132, 2, FALSE)</f>
        <v>101135</v>
      </c>
    </row>
    <row r="737" spans="2:12" ht="40" customHeight="1">
      <c r="B737" s="42">
        <v>1508</v>
      </c>
      <c r="C737" s="102" t="s">
        <v>3011</v>
      </c>
      <c r="D737" s="102" t="s">
        <v>2973</v>
      </c>
      <c r="E737" s="92" t="s">
        <v>3012</v>
      </c>
      <c r="F737" s="42">
        <v>3</v>
      </c>
      <c r="G737" s="42">
        <v>32</v>
      </c>
      <c r="H737" s="42">
        <v>73</v>
      </c>
      <c r="I737" s="42" t="s">
        <v>1881</v>
      </c>
      <c r="J737" s="103" t="s">
        <v>3611</v>
      </c>
      <c r="K737" s="42" t="s">
        <v>2973</v>
      </c>
      <c r="L737" s="42">
        <f>VLOOKUP(Table7[[#This Row],[Baseline Fixture Code]], 'Tables &amp; Ranges'!$A$114:$B$132, 2, FALSE)</f>
        <v>101135</v>
      </c>
    </row>
    <row r="738" spans="2:12" ht="40" customHeight="1">
      <c r="B738" s="107">
        <v>1511</v>
      </c>
      <c r="C738" s="108" t="s">
        <v>3017</v>
      </c>
      <c r="D738" s="108" t="s">
        <v>2973</v>
      </c>
      <c r="E738" s="109" t="s">
        <v>3018</v>
      </c>
      <c r="F738" s="107">
        <v>3</v>
      </c>
      <c r="G738" s="107">
        <v>32</v>
      </c>
      <c r="H738" s="107">
        <v>89</v>
      </c>
      <c r="I738" s="107" t="s">
        <v>2551</v>
      </c>
      <c r="J738" s="103" t="s">
        <v>3611</v>
      </c>
      <c r="K738" s="42" t="s">
        <v>2973</v>
      </c>
      <c r="L738" s="42">
        <f>VLOOKUP(Table7[[#This Row],[Baseline Fixture Code]], 'Tables &amp; Ranges'!$A$114:$B$132, 2, FALSE)</f>
        <v>101135</v>
      </c>
    </row>
    <row r="739" spans="2:12" ht="40" customHeight="1">
      <c r="B739" s="42">
        <v>1536</v>
      </c>
      <c r="C739" s="102" t="s">
        <v>3065</v>
      </c>
      <c r="D739" s="102" t="s">
        <v>107</v>
      </c>
      <c r="E739" s="92" t="s">
        <v>3066</v>
      </c>
      <c r="F739" s="42">
        <v>1</v>
      </c>
      <c r="G739" s="42">
        <v>32</v>
      </c>
      <c r="H739" s="42">
        <v>32</v>
      </c>
      <c r="I739" s="42" t="s">
        <v>146</v>
      </c>
      <c r="J739" s="103" t="s">
        <v>3611</v>
      </c>
      <c r="K739" s="42" t="s">
        <v>107</v>
      </c>
      <c r="L739" s="42">
        <f>VLOOKUP(Table7[[#This Row],[Baseline Fixture Code]], 'Tables &amp; Ranges'!$A$114:$B$132, 2, FALSE)</f>
        <v>101106</v>
      </c>
    </row>
    <row r="740" spans="2:12" ht="40" customHeight="1">
      <c r="B740" s="42">
        <v>1707</v>
      </c>
      <c r="C740" s="102" t="s">
        <v>3408</v>
      </c>
      <c r="D740" s="102" t="s">
        <v>3382</v>
      </c>
      <c r="E740" s="92" t="s">
        <v>3409</v>
      </c>
      <c r="F740" s="42">
        <v>1</v>
      </c>
      <c r="G740" s="42">
        <v>32</v>
      </c>
      <c r="H740" s="42">
        <v>42</v>
      </c>
      <c r="I740" s="42" t="s">
        <v>3410</v>
      </c>
      <c r="J740" s="103" t="s">
        <v>3611</v>
      </c>
      <c r="K740" s="42" t="s">
        <v>4038</v>
      </c>
      <c r="L740" s="42">
        <f>VLOOKUP(Table7[[#This Row],[Baseline Fixture Code]], 'Tables &amp; Ranges'!$A$114:$B$132, 2, FALSE)</f>
        <v>101108</v>
      </c>
    </row>
    <row r="741" spans="2:12" ht="40" customHeight="1">
      <c r="B741" s="42">
        <v>1537</v>
      </c>
      <c r="C741" s="102" t="s">
        <v>3067</v>
      </c>
      <c r="D741" s="102" t="s">
        <v>107</v>
      </c>
      <c r="E741" s="92" t="s">
        <v>3068</v>
      </c>
      <c r="F741" s="42">
        <v>1</v>
      </c>
      <c r="G741" s="42">
        <v>33</v>
      </c>
      <c r="H741" s="42">
        <v>33</v>
      </c>
      <c r="I741" s="42" t="s">
        <v>146</v>
      </c>
      <c r="J741" s="103" t="s">
        <v>3611</v>
      </c>
      <c r="K741" s="42" t="s">
        <v>107</v>
      </c>
      <c r="L741" s="42">
        <f>VLOOKUP(Table7[[#This Row],[Baseline Fixture Code]], 'Tables &amp; Ranges'!$A$114:$B$132, 2, FALSE)</f>
        <v>101106</v>
      </c>
    </row>
    <row r="742" spans="2:12" ht="40" customHeight="1">
      <c r="B742" s="42">
        <v>1335</v>
      </c>
      <c r="C742" s="102" t="s">
        <v>2686</v>
      </c>
      <c r="D742" s="102" t="s">
        <v>2623</v>
      </c>
      <c r="E742" s="92" t="s">
        <v>2687</v>
      </c>
      <c r="F742" s="42">
        <v>1</v>
      </c>
      <c r="G742" s="42">
        <v>34</v>
      </c>
      <c r="H742" s="42">
        <v>43</v>
      </c>
      <c r="I742" s="42" t="s">
        <v>2077</v>
      </c>
      <c r="J742" s="103" t="s">
        <v>131</v>
      </c>
      <c r="K742" s="42" t="s">
        <v>3712</v>
      </c>
      <c r="L742" s="42">
        <f>VLOOKUP(Table7[[#This Row],[Baseline Fixture Code]], 'Tables &amp; Ranges'!$A$114:$B$132, 2, FALSE)</f>
        <v>101001</v>
      </c>
    </row>
    <row r="743" spans="2:12" ht="40" customHeight="1">
      <c r="B743" s="42">
        <v>1336</v>
      </c>
      <c r="C743" s="102" t="s">
        <v>2688</v>
      </c>
      <c r="D743" s="102" t="s">
        <v>2623</v>
      </c>
      <c r="E743" s="92" t="s">
        <v>2689</v>
      </c>
      <c r="F743" s="42">
        <v>1</v>
      </c>
      <c r="G743" s="42">
        <v>34</v>
      </c>
      <c r="H743" s="42">
        <v>43</v>
      </c>
      <c r="I743" s="42" t="s">
        <v>2077</v>
      </c>
      <c r="J743" s="103" t="s">
        <v>131</v>
      </c>
      <c r="K743" s="42" t="s">
        <v>3712</v>
      </c>
      <c r="L743" s="42">
        <f>VLOOKUP(Table7[[#This Row],[Baseline Fixture Code]], 'Tables &amp; Ranges'!$A$114:$B$132, 2, FALSE)</f>
        <v>101001</v>
      </c>
    </row>
    <row r="744" spans="2:12" ht="40" customHeight="1">
      <c r="B744" s="42">
        <v>1337</v>
      </c>
      <c r="C744" s="102" t="s">
        <v>2690</v>
      </c>
      <c r="D744" s="102" t="s">
        <v>2623</v>
      </c>
      <c r="E744" s="92" t="s">
        <v>2691</v>
      </c>
      <c r="F744" s="42">
        <v>1</v>
      </c>
      <c r="G744" s="42">
        <v>34</v>
      </c>
      <c r="H744" s="42">
        <v>36</v>
      </c>
      <c r="I744" s="42" t="s">
        <v>2077</v>
      </c>
      <c r="J744" s="103" t="s">
        <v>131</v>
      </c>
      <c r="K744" s="42" t="s">
        <v>3712</v>
      </c>
      <c r="L744" s="42">
        <f>VLOOKUP(Table7[[#This Row],[Baseline Fixture Code]], 'Tables &amp; Ranges'!$A$114:$B$132, 2, FALSE)</f>
        <v>101001</v>
      </c>
    </row>
    <row r="745" spans="2:12" ht="40" customHeight="1">
      <c r="B745" s="42">
        <v>1338</v>
      </c>
      <c r="C745" s="102" t="s">
        <v>2692</v>
      </c>
      <c r="D745" s="102" t="s">
        <v>2623</v>
      </c>
      <c r="E745" s="92" t="s">
        <v>2693</v>
      </c>
      <c r="F745" s="42">
        <v>1</v>
      </c>
      <c r="G745" s="42">
        <v>34</v>
      </c>
      <c r="H745" s="42">
        <v>32</v>
      </c>
      <c r="I745" s="42" t="s">
        <v>147</v>
      </c>
      <c r="J745" s="103" t="s">
        <v>131</v>
      </c>
      <c r="K745" s="42" t="s">
        <v>3712</v>
      </c>
      <c r="L745" s="42">
        <f>VLOOKUP(Table7[[#This Row],[Baseline Fixture Code]], 'Tables &amp; Ranges'!$A$114:$B$132, 2, FALSE)</f>
        <v>101001</v>
      </c>
    </row>
    <row r="746" spans="2:12" ht="40" customHeight="1">
      <c r="B746" s="42">
        <v>1346</v>
      </c>
      <c r="C746" s="102" t="s">
        <v>2708</v>
      </c>
      <c r="D746" s="102" t="s">
        <v>2623</v>
      </c>
      <c r="E746" s="92" t="s">
        <v>2709</v>
      </c>
      <c r="F746" s="42">
        <v>2</v>
      </c>
      <c r="G746" s="42">
        <v>34</v>
      </c>
      <c r="H746" s="42">
        <v>72</v>
      </c>
      <c r="I746" s="42" t="s">
        <v>2077</v>
      </c>
      <c r="J746" s="103" t="s">
        <v>131</v>
      </c>
      <c r="K746" s="42" t="s">
        <v>3712</v>
      </c>
      <c r="L746" s="42">
        <f>VLOOKUP(Table7[[#This Row],[Baseline Fixture Code]], 'Tables &amp; Ranges'!$A$114:$B$132, 2, FALSE)</f>
        <v>101001</v>
      </c>
    </row>
    <row r="747" spans="2:12" ht="40" customHeight="1">
      <c r="B747" s="42">
        <v>1347</v>
      </c>
      <c r="C747" s="102" t="s">
        <v>2710</v>
      </c>
      <c r="D747" s="102" t="s">
        <v>2623</v>
      </c>
      <c r="E747" s="92" t="s">
        <v>2711</v>
      </c>
      <c r="F747" s="42">
        <v>2</v>
      </c>
      <c r="G747" s="42">
        <v>34</v>
      </c>
      <c r="H747" s="42">
        <v>86</v>
      </c>
      <c r="I747" s="42" t="s">
        <v>2077</v>
      </c>
      <c r="J747" s="103" t="s">
        <v>131</v>
      </c>
      <c r="K747" s="42" t="s">
        <v>3712</v>
      </c>
      <c r="L747" s="42">
        <f>VLOOKUP(Table7[[#This Row],[Baseline Fixture Code]], 'Tables &amp; Ranges'!$A$114:$B$132, 2, FALSE)</f>
        <v>101001</v>
      </c>
    </row>
    <row r="748" spans="2:12" ht="40" customHeight="1">
      <c r="B748" s="42">
        <v>1348</v>
      </c>
      <c r="C748" s="102" t="s">
        <v>2712</v>
      </c>
      <c r="D748" s="102" t="s">
        <v>2623</v>
      </c>
      <c r="E748" s="92" t="s">
        <v>2713</v>
      </c>
      <c r="F748" s="42">
        <v>2</v>
      </c>
      <c r="G748" s="42">
        <v>34</v>
      </c>
      <c r="H748" s="42">
        <v>76</v>
      </c>
      <c r="I748" s="42" t="s">
        <v>2077</v>
      </c>
      <c r="J748" s="103" t="s">
        <v>131</v>
      </c>
      <c r="K748" s="42" t="s">
        <v>3712</v>
      </c>
      <c r="L748" s="42">
        <f>VLOOKUP(Table7[[#This Row],[Baseline Fixture Code]], 'Tables &amp; Ranges'!$A$114:$B$132, 2, FALSE)</f>
        <v>101001</v>
      </c>
    </row>
    <row r="749" spans="2:12" ht="40" customHeight="1">
      <c r="B749" s="42">
        <v>1349</v>
      </c>
      <c r="C749" s="102" t="s">
        <v>2714</v>
      </c>
      <c r="D749" s="102" t="s">
        <v>2623</v>
      </c>
      <c r="E749" s="92" t="s">
        <v>2715</v>
      </c>
      <c r="F749" s="42">
        <v>2</v>
      </c>
      <c r="G749" s="42">
        <v>34</v>
      </c>
      <c r="H749" s="42">
        <v>60</v>
      </c>
      <c r="I749" s="42" t="s">
        <v>147</v>
      </c>
      <c r="J749" s="103" t="s">
        <v>131</v>
      </c>
      <c r="K749" s="42" t="s">
        <v>3712</v>
      </c>
      <c r="L749" s="42">
        <f>VLOOKUP(Table7[[#This Row],[Baseline Fixture Code]], 'Tables &amp; Ranges'!$A$114:$B$132, 2, FALSE)</f>
        <v>101001</v>
      </c>
    </row>
    <row r="750" spans="2:12" ht="40" customHeight="1">
      <c r="B750" s="42">
        <v>1353</v>
      </c>
      <c r="C750" s="102" t="s">
        <v>2722</v>
      </c>
      <c r="D750" s="102" t="s">
        <v>2623</v>
      </c>
      <c r="E750" s="92" t="s">
        <v>2723</v>
      </c>
      <c r="F750" s="42">
        <v>3</v>
      </c>
      <c r="G750" s="42">
        <v>34</v>
      </c>
      <c r="H750" s="42">
        <v>115</v>
      </c>
      <c r="I750" s="42" t="s">
        <v>2077</v>
      </c>
      <c r="J750" s="103" t="s">
        <v>131</v>
      </c>
      <c r="K750" s="42" t="s">
        <v>3712</v>
      </c>
      <c r="L750" s="42">
        <f>VLOOKUP(Table7[[#This Row],[Baseline Fixture Code]], 'Tables &amp; Ranges'!$A$114:$B$132, 2, FALSE)</f>
        <v>101001</v>
      </c>
    </row>
    <row r="751" spans="2:12" ht="40" customHeight="1">
      <c r="B751" s="42">
        <v>1354</v>
      </c>
      <c r="C751" s="102" t="s">
        <v>2724</v>
      </c>
      <c r="D751" s="102" t="s">
        <v>2623</v>
      </c>
      <c r="E751" s="92" t="s">
        <v>2725</v>
      </c>
      <c r="F751" s="42">
        <v>3</v>
      </c>
      <c r="G751" s="42">
        <v>34</v>
      </c>
      <c r="H751" s="42">
        <v>108</v>
      </c>
      <c r="I751" s="42" t="s">
        <v>2077</v>
      </c>
      <c r="J751" s="103" t="s">
        <v>131</v>
      </c>
      <c r="K751" s="42" t="s">
        <v>3712</v>
      </c>
      <c r="L751" s="42">
        <f>VLOOKUP(Table7[[#This Row],[Baseline Fixture Code]], 'Tables &amp; Ranges'!$A$114:$B$132, 2, FALSE)</f>
        <v>101001</v>
      </c>
    </row>
    <row r="752" spans="2:12" ht="40" customHeight="1">
      <c r="B752" s="42">
        <v>1355</v>
      </c>
      <c r="C752" s="102" t="s">
        <v>2726</v>
      </c>
      <c r="D752" s="102" t="s">
        <v>2623</v>
      </c>
      <c r="E752" s="92" t="s">
        <v>2727</v>
      </c>
      <c r="F752" s="42">
        <v>3</v>
      </c>
      <c r="G752" s="42">
        <v>34</v>
      </c>
      <c r="H752" s="42">
        <v>92</v>
      </c>
      <c r="I752" s="42" t="s">
        <v>147</v>
      </c>
      <c r="J752" s="103" t="s">
        <v>131</v>
      </c>
      <c r="K752" s="42" t="s">
        <v>3712</v>
      </c>
      <c r="L752" s="42">
        <f>VLOOKUP(Table7[[#This Row],[Baseline Fixture Code]], 'Tables &amp; Ranges'!$A$114:$B$132, 2, FALSE)</f>
        <v>101001</v>
      </c>
    </row>
    <row r="753" spans="2:12" ht="40" customHeight="1">
      <c r="B753" s="42">
        <v>1358</v>
      </c>
      <c r="C753" s="102" t="s">
        <v>2732</v>
      </c>
      <c r="D753" s="102" t="s">
        <v>2623</v>
      </c>
      <c r="E753" s="92" t="s">
        <v>2733</v>
      </c>
      <c r="F753" s="42">
        <v>4</v>
      </c>
      <c r="G753" s="42">
        <v>34</v>
      </c>
      <c r="H753" s="42">
        <v>144</v>
      </c>
      <c r="I753" s="42" t="s">
        <v>2077</v>
      </c>
      <c r="J753" s="103" t="s">
        <v>131</v>
      </c>
      <c r="K753" s="42" t="s">
        <v>3712</v>
      </c>
      <c r="L753" s="42">
        <f>VLOOKUP(Table7[[#This Row],[Baseline Fixture Code]], 'Tables &amp; Ranges'!$A$114:$B$132, 2, FALSE)</f>
        <v>101001</v>
      </c>
    </row>
    <row r="754" spans="2:12" ht="40" customHeight="1">
      <c r="B754" s="42">
        <v>1359</v>
      </c>
      <c r="C754" s="102" t="s">
        <v>2734</v>
      </c>
      <c r="D754" s="102" t="s">
        <v>2623</v>
      </c>
      <c r="E754" s="92" t="s">
        <v>2735</v>
      </c>
      <c r="F754" s="42">
        <v>4</v>
      </c>
      <c r="G754" s="42">
        <v>34</v>
      </c>
      <c r="H754" s="42">
        <v>148</v>
      </c>
      <c r="I754" s="42" t="s">
        <v>2077</v>
      </c>
      <c r="J754" s="103" t="s">
        <v>131</v>
      </c>
      <c r="K754" s="42" t="s">
        <v>3712</v>
      </c>
      <c r="L754" s="42">
        <f>VLOOKUP(Table7[[#This Row],[Baseline Fixture Code]], 'Tables &amp; Ranges'!$A$114:$B$132, 2, FALSE)</f>
        <v>101001</v>
      </c>
    </row>
    <row r="755" spans="2:12" ht="40" customHeight="1">
      <c r="B755" s="42">
        <v>1360</v>
      </c>
      <c r="C755" s="102" t="s">
        <v>2736</v>
      </c>
      <c r="D755" s="102" t="s">
        <v>2623</v>
      </c>
      <c r="E755" s="92" t="s">
        <v>2737</v>
      </c>
      <c r="F755" s="42">
        <v>4</v>
      </c>
      <c r="G755" s="42">
        <v>34</v>
      </c>
      <c r="H755" s="42">
        <v>152</v>
      </c>
      <c r="I755" s="42" t="s">
        <v>2077</v>
      </c>
      <c r="J755" s="103" t="s">
        <v>131</v>
      </c>
      <c r="K755" s="42" t="s">
        <v>3712</v>
      </c>
      <c r="L755" s="42">
        <f>VLOOKUP(Table7[[#This Row],[Baseline Fixture Code]], 'Tables &amp; Ranges'!$A$114:$B$132, 2, FALSE)</f>
        <v>101001</v>
      </c>
    </row>
    <row r="756" spans="2:12" ht="40" customHeight="1">
      <c r="B756" s="42">
        <v>1361</v>
      </c>
      <c r="C756" s="102" t="s">
        <v>2738</v>
      </c>
      <c r="D756" s="102" t="s">
        <v>2623</v>
      </c>
      <c r="E756" s="92" t="s">
        <v>2739</v>
      </c>
      <c r="F756" s="42">
        <v>4</v>
      </c>
      <c r="G756" s="42">
        <v>34</v>
      </c>
      <c r="H756" s="42">
        <v>120</v>
      </c>
      <c r="I756" s="42" t="s">
        <v>147</v>
      </c>
      <c r="J756" s="103" t="s">
        <v>131</v>
      </c>
      <c r="K756" s="42" t="s">
        <v>3712</v>
      </c>
      <c r="L756" s="42">
        <f>VLOOKUP(Table7[[#This Row],[Baseline Fixture Code]], 'Tables &amp; Ranges'!$A$114:$B$132, 2, FALSE)</f>
        <v>101001</v>
      </c>
    </row>
    <row r="757" spans="2:12" ht="40" customHeight="1">
      <c r="B757" s="42">
        <v>1363</v>
      </c>
      <c r="C757" s="102" t="s">
        <v>2742</v>
      </c>
      <c r="D757" s="102" t="s">
        <v>2623</v>
      </c>
      <c r="E757" s="92" t="s">
        <v>2743</v>
      </c>
      <c r="F757" s="42">
        <v>6</v>
      </c>
      <c r="G757" s="42">
        <v>34</v>
      </c>
      <c r="H757" s="42">
        <v>216</v>
      </c>
      <c r="I757" s="42" t="s">
        <v>2077</v>
      </c>
      <c r="J757" s="103" t="s">
        <v>131</v>
      </c>
      <c r="K757" s="42" t="s">
        <v>3712</v>
      </c>
      <c r="L757" s="42">
        <f>VLOOKUP(Table7[[#This Row],[Baseline Fixture Code]], 'Tables &amp; Ranges'!$A$114:$B$132, 2, FALSE)</f>
        <v>101001</v>
      </c>
    </row>
    <row r="758" spans="2:12" ht="40" customHeight="1">
      <c r="B758" s="42">
        <v>1364</v>
      </c>
      <c r="C758" s="102" t="s">
        <v>2744</v>
      </c>
      <c r="D758" s="102" t="s">
        <v>2623</v>
      </c>
      <c r="E758" s="92" t="s">
        <v>2743</v>
      </c>
      <c r="F758" s="42">
        <v>6</v>
      </c>
      <c r="G758" s="42">
        <v>34</v>
      </c>
      <c r="H758" s="42">
        <v>180</v>
      </c>
      <c r="I758" s="42" t="s">
        <v>147</v>
      </c>
      <c r="J758" s="103" t="s">
        <v>131</v>
      </c>
      <c r="K758" s="42" t="s">
        <v>3712</v>
      </c>
      <c r="L758" s="42">
        <f>VLOOKUP(Table7[[#This Row],[Baseline Fixture Code]], 'Tables &amp; Ranges'!$A$114:$B$132, 2, FALSE)</f>
        <v>101001</v>
      </c>
    </row>
    <row r="759" spans="2:12" ht="40" customHeight="1">
      <c r="B759" s="42">
        <v>1365</v>
      </c>
      <c r="C759" s="102" t="s">
        <v>2745</v>
      </c>
      <c r="D759" s="102" t="s">
        <v>2623</v>
      </c>
      <c r="E759" s="92" t="s">
        <v>2746</v>
      </c>
      <c r="F759" s="42">
        <v>8</v>
      </c>
      <c r="G759" s="42">
        <v>34</v>
      </c>
      <c r="H759" s="42">
        <v>288</v>
      </c>
      <c r="I759" s="42" t="s">
        <v>2077</v>
      </c>
      <c r="J759" s="103" t="s">
        <v>131</v>
      </c>
      <c r="K759" s="42" t="s">
        <v>3712</v>
      </c>
      <c r="L759" s="42">
        <f>VLOOKUP(Table7[[#This Row],[Baseline Fixture Code]], 'Tables &amp; Ranges'!$A$114:$B$132, 2, FALSE)</f>
        <v>101001</v>
      </c>
    </row>
    <row r="760" spans="2:12" ht="40" customHeight="1">
      <c r="B760" s="42">
        <v>1519</v>
      </c>
      <c r="C760" s="102" t="s">
        <v>3033</v>
      </c>
      <c r="D760" s="102" t="s">
        <v>2973</v>
      </c>
      <c r="E760" s="92" t="s">
        <v>3022</v>
      </c>
      <c r="F760" s="42">
        <v>1</v>
      </c>
      <c r="G760" s="42">
        <v>34</v>
      </c>
      <c r="H760" s="42">
        <v>43</v>
      </c>
      <c r="I760" s="42" t="s">
        <v>1457</v>
      </c>
      <c r="J760" s="103" t="s">
        <v>131</v>
      </c>
      <c r="K760" s="42" t="s">
        <v>2973</v>
      </c>
      <c r="L760" s="42">
        <f>VLOOKUP(Table7[[#This Row],[Baseline Fixture Code]], 'Tables &amp; Ranges'!$A$114:$B$132, 2, FALSE)</f>
        <v>101135</v>
      </c>
    </row>
    <row r="761" spans="2:12" ht="40" customHeight="1">
      <c r="B761" s="42">
        <v>1521</v>
      </c>
      <c r="C761" s="102" t="s">
        <v>3036</v>
      </c>
      <c r="D761" s="102" t="s">
        <v>2973</v>
      </c>
      <c r="E761" s="92" t="s">
        <v>3037</v>
      </c>
      <c r="F761" s="42">
        <v>2</v>
      </c>
      <c r="G761" s="42">
        <v>34</v>
      </c>
      <c r="H761" s="42">
        <v>63</v>
      </c>
      <c r="I761" s="42" t="s">
        <v>147</v>
      </c>
      <c r="J761" s="103" t="s">
        <v>131</v>
      </c>
      <c r="K761" s="42" t="s">
        <v>2973</v>
      </c>
      <c r="L761" s="42">
        <f>VLOOKUP(Table7[[#This Row],[Baseline Fixture Code]], 'Tables &amp; Ranges'!$A$114:$B$132, 2, FALSE)</f>
        <v>101135</v>
      </c>
    </row>
    <row r="762" spans="2:12" ht="40" customHeight="1">
      <c r="B762" s="42">
        <v>1538</v>
      </c>
      <c r="C762" s="102" t="s">
        <v>3069</v>
      </c>
      <c r="D762" s="102" t="s">
        <v>107</v>
      </c>
      <c r="E762" s="92" t="s">
        <v>3070</v>
      </c>
      <c r="F762" s="42">
        <v>1</v>
      </c>
      <c r="G762" s="42">
        <v>34</v>
      </c>
      <c r="H762" s="42">
        <v>34</v>
      </c>
      <c r="I762" s="42" t="s">
        <v>146</v>
      </c>
      <c r="J762" s="103" t="s">
        <v>3611</v>
      </c>
      <c r="K762" s="42" t="s">
        <v>107</v>
      </c>
      <c r="L762" s="42">
        <f>VLOOKUP(Table7[[#This Row],[Baseline Fixture Code]], 'Tables &amp; Ranges'!$A$114:$B$132, 2, FALSE)</f>
        <v>101106</v>
      </c>
    </row>
    <row r="763" spans="2:12" ht="40" customHeight="1">
      <c r="B763" s="42">
        <v>1305</v>
      </c>
      <c r="C763" s="102" t="s">
        <v>2637</v>
      </c>
      <c r="D763" s="102" t="s">
        <v>2623</v>
      </c>
      <c r="E763" s="92" t="s">
        <v>2638</v>
      </c>
      <c r="F763" s="42">
        <v>1</v>
      </c>
      <c r="G763" s="42">
        <v>35</v>
      </c>
      <c r="H763" s="42">
        <v>62</v>
      </c>
      <c r="I763" s="42" t="s">
        <v>1457</v>
      </c>
      <c r="J763" s="103" t="s">
        <v>3611</v>
      </c>
      <c r="K763" s="42" t="s">
        <v>3712</v>
      </c>
      <c r="L763" s="42">
        <f>VLOOKUP(Table7[[#This Row],[Baseline Fixture Code]], 'Tables &amp; Ranges'!$A$114:$B$132, 2, FALSE)</f>
        <v>101001</v>
      </c>
    </row>
    <row r="764" spans="2:12" ht="40" customHeight="1">
      <c r="B764" s="42">
        <v>1306</v>
      </c>
      <c r="C764" s="102" t="s">
        <v>2639</v>
      </c>
      <c r="D764" s="102" t="s">
        <v>2623</v>
      </c>
      <c r="E764" s="92" t="s">
        <v>2640</v>
      </c>
      <c r="F764" s="42">
        <v>2</v>
      </c>
      <c r="G764" s="42">
        <v>35</v>
      </c>
      <c r="H764" s="42">
        <v>90</v>
      </c>
      <c r="I764" s="42" t="s">
        <v>1457</v>
      </c>
      <c r="J764" s="103" t="s">
        <v>3611</v>
      </c>
      <c r="K764" s="42" t="s">
        <v>3712</v>
      </c>
      <c r="L764" s="42">
        <f>VLOOKUP(Table7[[#This Row],[Baseline Fixture Code]], 'Tables &amp; Ranges'!$A$114:$B$132, 2, FALSE)</f>
        <v>101001</v>
      </c>
    </row>
    <row r="765" spans="2:12" ht="40" customHeight="1">
      <c r="B765" s="42">
        <v>817</v>
      </c>
      <c r="C765" s="102" t="s">
        <v>1778</v>
      </c>
      <c r="D765" s="102" t="s">
        <v>1737</v>
      </c>
      <c r="E765" s="92" t="s">
        <v>1779</v>
      </c>
      <c r="F765" s="42">
        <v>1</v>
      </c>
      <c r="G765" s="42">
        <v>35</v>
      </c>
      <c r="H765" s="42">
        <v>40</v>
      </c>
      <c r="I765" s="42" t="s">
        <v>1743</v>
      </c>
      <c r="J765" s="103" t="s">
        <v>3611</v>
      </c>
      <c r="K765" s="42" t="s">
        <v>4036</v>
      </c>
      <c r="L765" s="42">
        <f>VLOOKUP(Table7[[#This Row],[Baseline Fixture Code]], 'Tables &amp; Ranges'!$A$114:$B$132, 2, FALSE)</f>
        <v>101003</v>
      </c>
    </row>
    <row r="766" spans="2:12" ht="40" customHeight="1">
      <c r="B766" s="42">
        <v>818</v>
      </c>
      <c r="C766" s="102" t="s">
        <v>1780</v>
      </c>
      <c r="D766" s="102" t="s">
        <v>1737</v>
      </c>
      <c r="E766" s="92" t="s">
        <v>1781</v>
      </c>
      <c r="F766" s="42">
        <v>2</v>
      </c>
      <c r="G766" s="42">
        <v>35</v>
      </c>
      <c r="H766" s="42">
        <v>78</v>
      </c>
      <c r="I766" s="42" t="s">
        <v>1743</v>
      </c>
      <c r="J766" s="103" t="s">
        <v>3611</v>
      </c>
      <c r="K766" s="42" t="s">
        <v>4036</v>
      </c>
      <c r="L766" s="42">
        <f>VLOOKUP(Table7[[#This Row],[Baseline Fixture Code]], 'Tables &amp; Ranges'!$A$114:$B$132, 2, FALSE)</f>
        <v>101003</v>
      </c>
    </row>
    <row r="767" spans="2:12" ht="40" customHeight="1">
      <c r="B767" s="42">
        <v>819</v>
      </c>
      <c r="C767" s="102" t="s">
        <v>1782</v>
      </c>
      <c r="D767" s="102" t="s">
        <v>1737</v>
      </c>
      <c r="E767" s="92" t="s">
        <v>1783</v>
      </c>
      <c r="F767" s="42">
        <v>3</v>
      </c>
      <c r="G767" s="42">
        <v>35</v>
      </c>
      <c r="H767" s="42">
        <v>118</v>
      </c>
      <c r="I767" s="42" t="s">
        <v>1743</v>
      </c>
      <c r="J767" s="103" t="s">
        <v>3611</v>
      </c>
      <c r="K767" s="42" t="s">
        <v>4036</v>
      </c>
      <c r="L767" s="42">
        <f>VLOOKUP(Table7[[#This Row],[Baseline Fixture Code]], 'Tables &amp; Ranges'!$A$114:$B$132, 2, FALSE)</f>
        <v>101003</v>
      </c>
    </row>
    <row r="768" spans="2:12" ht="40" customHeight="1">
      <c r="B768" s="42">
        <v>820</v>
      </c>
      <c r="C768" s="102" t="s">
        <v>1784</v>
      </c>
      <c r="D768" s="102" t="s">
        <v>1737</v>
      </c>
      <c r="E768" s="92" t="s">
        <v>1785</v>
      </c>
      <c r="F768" s="42">
        <v>4</v>
      </c>
      <c r="G768" s="42">
        <v>35</v>
      </c>
      <c r="H768" s="42">
        <v>156</v>
      </c>
      <c r="I768" s="42" t="s">
        <v>1743</v>
      </c>
      <c r="J768" s="103" t="s">
        <v>3611</v>
      </c>
      <c r="K768" s="42" t="s">
        <v>4036</v>
      </c>
      <c r="L768" s="42">
        <f>VLOOKUP(Table7[[#This Row],[Baseline Fixture Code]], 'Tables &amp; Ranges'!$A$114:$B$132, 2, FALSE)</f>
        <v>101003</v>
      </c>
    </row>
    <row r="769" spans="2:12" ht="40" customHeight="1">
      <c r="B769" s="42">
        <v>1518</v>
      </c>
      <c r="C769" s="102" t="s">
        <v>3031</v>
      </c>
      <c r="D769" s="102" t="s">
        <v>2973</v>
      </c>
      <c r="E769" s="92" t="s">
        <v>3032</v>
      </c>
      <c r="F769" s="42">
        <v>1</v>
      </c>
      <c r="G769" s="42">
        <v>35</v>
      </c>
      <c r="H769" s="42">
        <v>43</v>
      </c>
      <c r="I769" s="42" t="s">
        <v>2077</v>
      </c>
      <c r="J769" s="103" t="s">
        <v>131</v>
      </c>
      <c r="K769" s="42" t="s">
        <v>2973</v>
      </c>
      <c r="L769" s="42">
        <f>VLOOKUP(Table7[[#This Row],[Baseline Fixture Code]], 'Tables &amp; Ranges'!$A$114:$B$132, 2, FALSE)</f>
        <v>101135</v>
      </c>
    </row>
    <row r="770" spans="2:12" ht="40" customHeight="1">
      <c r="B770" s="42">
        <v>1520</v>
      </c>
      <c r="C770" s="102" t="s">
        <v>3034</v>
      </c>
      <c r="D770" s="102" t="s">
        <v>2973</v>
      </c>
      <c r="E770" s="92" t="s">
        <v>3035</v>
      </c>
      <c r="F770" s="42">
        <v>2</v>
      </c>
      <c r="G770" s="42">
        <v>35</v>
      </c>
      <c r="H770" s="42">
        <v>72</v>
      </c>
      <c r="I770" s="42" t="s">
        <v>2077</v>
      </c>
      <c r="J770" s="103" t="s">
        <v>131</v>
      </c>
      <c r="K770" s="42" t="s">
        <v>2973</v>
      </c>
      <c r="L770" s="42">
        <f>VLOOKUP(Table7[[#This Row],[Baseline Fixture Code]], 'Tables &amp; Ranges'!$A$114:$B$132, 2, FALSE)</f>
        <v>101135</v>
      </c>
    </row>
    <row r="771" spans="2:12" ht="40" customHeight="1">
      <c r="B771" s="42">
        <v>1522</v>
      </c>
      <c r="C771" s="102" t="s">
        <v>3038</v>
      </c>
      <c r="D771" s="102" t="s">
        <v>2973</v>
      </c>
      <c r="E771" s="92" t="s">
        <v>3035</v>
      </c>
      <c r="F771" s="42">
        <v>1</v>
      </c>
      <c r="G771" s="42">
        <v>35</v>
      </c>
      <c r="H771" s="42">
        <v>72</v>
      </c>
      <c r="I771" s="42" t="s">
        <v>1457</v>
      </c>
      <c r="J771" s="103" t="s">
        <v>131</v>
      </c>
      <c r="K771" s="42" t="s">
        <v>2973</v>
      </c>
      <c r="L771" s="42">
        <f>VLOOKUP(Table7[[#This Row],[Baseline Fixture Code]], 'Tables &amp; Ranges'!$A$114:$B$132, 2, FALSE)</f>
        <v>101135</v>
      </c>
    </row>
    <row r="772" spans="2:12" ht="40" customHeight="1">
      <c r="B772" s="42">
        <v>1523</v>
      </c>
      <c r="C772" s="102" t="s">
        <v>3039</v>
      </c>
      <c r="D772" s="102" t="s">
        <v>2973</v>
      </c>
      <c r="E772" s="92" t="s">
        <v>3040</v>
      </c>
      <c r="F772" s="42">
        <v>3</v>
      </c>
      <c r="G772" s="42">
        <v>35</v>
      </c>
      <c r="H772" s="42">
        <v>115</v>
      </c>
      <c r="I772" s="42" t="s">
        <v>2077</v>
      </c>
      <c r="J772" s="103" t="s">
        <v>131</v>
      </c>
      <c r="K772" s="42" t="s">
        <v>2973</v>
      </c>
      <c r="L772" s="42">
        <f>VLOOKUP(Table7[[#This Row],[Baseline Fixture Code]], 'Tables &amp; Ranges'!$A$114:$B$132, 2, FALSE)</f>
        <v>101135</v>
      </c>
    </row>
    <row r="773" spans="2:12" ht="40" customHeight="1">
      <c r="B773" s="42">
        <v>1539</v>
      </c>
      <c r="C773" s="102" t="s">
        <v>3071</v>
      </c>
      <c r="D773" s="102" t="s">
        <v>107</v>
      </c>
      <c r="E773" s="92" t="s">
        <v>3072</v>
      </c>
      <c r="F773" s="42">
        <v>1</v>
      </c>
      <c r="G773" s="42">
        <v>35</v>
      </c>
      <c r="H773" s="42">
        <v>35</v>
      </c>
      <c r="I773" s="42" t="s">
        <v>146</v>
      </c>
      <c r="J773" s="103" t="s">
        <v>3611</v>
      </c>
      <c r="K773" s="42" t="s">
        <v>107</v>
      </c>
      <c r="L773" s="42">
        <f>VLOOKUP(Table7[[#This Row],[Baseline Fixture Code]], 'Tables &amp; Ranges'!$A$114:$B$132, 2, FALSE)</f>
        <v>101106</v>
      </c>
    </row>
    <row r="774" spans="2:12" ht="40" customHeight="1">
      <c r="B774" s="42">
        <v>1694</v>
      </c>
      <c r="C774" s="102" t="s">
        <v>3381</v>
      </c>
      <c r="D774" s="102" t="s">
        <v>3382</v>
      </c>
      <c r="E774" s="92" t="s">
        <v>3383</v>
      </c>
      <c r="F774" s="42">
        <v>1</v>
      </c>
      <c r="G774" s="42">
        <v>35</v>
      </c>
      <c r="H774" s="42">
        <v>46</v>
      </c>
      <c r="I774" s="42" t="s">
        <v>146</v>
      </c>
      <c r="J774" s="103" t="s">
        <v>3611</v>
      </c>
      <c r="K774" s="42" t="s">
        <v>4038</v>
      </c>
      <c r="L774" s="42">
        <f>VLOOKUP(Table7[[#This Row],[Baseline Fixture Code]], 'Tables &amp; Ranges'!$A$114:$B$132, 2, FALSE)</f>
        <v>101108</v>
      </c>
    </row>
    <row r="775" spans="2:12" ht="40" customHeight="1">
      <c r="B775" s="42">
        <v>1540</v>
      </c>
      <c r="C775" s="102" t="s">
        <v>3073</v>
      </c>
      <c r="D775" s="102" t="s">
        <v>107</v>
      </c>
      <c r="E775" s="92" t="s">
        <v>3074</v>
      </c>
      <c r="F775" s="42">
        <v>1</v>
      </c>
      <c r="G775" s="42">
        <v>36</v>
      </c>
      <c r="H775" s="42">
        <v>36</v>
      </c>
      <c r="I775" s="42" t="s">
        <v>146</v>
      </c>
      <c r="J775" s="103" t="s">
        <v>3611</v>
      </c>
      <c r="K775" s="42" t="s">
        <v>107</v>
      </c>
      <c r="L775" s="42">
        <f>VLOOKUP(Table7[[#This Row],[Baseline Fixture Code]], 'Tables &amp; Ranges'!$A$114:$B$132, 2, FALSE)</f>
        <v>101106</v>
      </c>
    </row>
    <row r="776" spans="2:12" ht="40" customHeight="1">
      <c r="B776" s="42">
        <v>1541</v>
      </c>
      <c r="C776" s="102" t="s">
        <v>3075</v>
      </c>
      <c r="D776" s="102" t="s">
        <v>107</v>
      </c>
      <c r="E776" s="92" t="s">
        <v>3076</v>
      </c>
      <c r="F776" s="42">
        <v>1</v>
      </c>
      <c r="G776" s="42">
        <v>37</v>
      </c>
      <c r="H776" s="42">
        <v>37</v>
      </c>
      <c r="I776" s="42" t="s">
        <v>146</v>
      </c>
      <c r="J776" s="103" t="s">
        <v>3611</v>
      </c>
      <c r="K776" s="42" t="s">
        <v>107</v>
      </c>
      <c r="L776" s="42">
        <f>VLOOKUP(Table7[[#This Row],[Baseline Fixture Code]], 'Tables &amp; Ranges'!$A$114:$B$132, 2, FALSE)</f>
        <v>101106</v>
      </c>
    </row>
    <row r="777" spans="2:12" ht="40" customHeight="1">
      <c r="B777" s="42">
        <v>1542</v>
      </c>
      <c r="C777" s="102" t="s">
        <v>3077</v>
      </c>
      <c r="D777" s="102" t="s">
        <v>107</v>
      </c>
      <c r="E777" s="92" t="s">
        <v>3078</v>
      </c>
      <c r="F777" s="42">
        <v>1</v>
      </c>
      <c r="G777" s="42">
        <v>38</v>
      </c>
      <c r="H777" s="42">
        <v>38</v>
      </c>
      <c r="I777" s="42" t="s">
        <v>146</v>
      </c>
      <c r="J777" s="103" t="s">
        <v>3611</v>
      </c>
      <c r="K777" s="42" t="s">
        <v>107</v>
      </c>
      <c r="L777" s="42">
        <f>VLOOKUP(Table7[[#This Row],[Baseline Fixture Code]], 'Tables &amp; Ranges'!$A$114:$B$132, 2, FALSE)</f>
        <v>101106</v>
      </c>
    </row>
    <row r="778" spans="2:12" ht="40" customHeight="1">
      <c r="B778" s="42">
        <v>821</v>
      </c>
      <c r="C778" s="102" t="s">
        <v>1786</v>
      </c>
      <c r="D778" s="102" t="s">
        <v>1737</v>
      </c>
      <c r="E778" s="92" t="s">
        <v>1787</v>
      </c>
      <c r="F778" s="42">
        <v>1</v>
      </c>
      <c r="G778" s="42">
        <v>39</v>
      </c>
      <c r="H778" s="42">
        <v>44</v>
      </c>
      <c r="I778" s="42" t="s">
        <v>1743</v>
      </c>
      <c r="J778" s="103" t="s">
        <v>3611</v>
      </c>
      <c r="K778" s="42" t="s">
        <v>4036</v>
      </c>
      <c r="L778" s="42">
        <f>VLOOKUP(Table7[[#This Row],[Baseline Fixture Code]], 'Tables &amp; Ranges'!$A$114:$B$132, 2, FALSE)</f>
        <v>101003</v>
      </c>
    </row>
    <row r="779" spans="2:12" ht="40" customHeight="1">
      <c r="B779" s="42">
        <v>822</v>
      </c>
      <c r="C779" s="102" t="s">
        <v>1788</v>
      </c>
      <c r="D779" s="102" t="s">
        <v>1737</v>
      </c>
      <c r="E779" s="92" t="s">
        <v>1789</v>
      </c>
      <c r="F779" s="42">
        <v>2</v>
      </c>
      <c r="G779" s="42">
        <v>39</v>
      </c>
      <c r="H779" s="42">
        <v>86</v>
      </c>
      <c r="I779" s="42" t="s">
        <v>1743</v>
      </c>
      <c r="J779" s="103" t="s">
        <v>3611</v>
      </c>
      <c r="K779" s="42" t="s">
        <v>4036</v>
      </c>
      <c r="L779" s="42">
        <f>VLOOKUP(Table7[[#This Row],[Baseline Fixture Code]], 'Tables &amp; Ranges'!$A$114:$B$132, 2, FALSE)</f>
        <v>101003</v>
      </c>
    </row>
    <row r="780" spans="2:12" ht="40" customHeight="1">
      <c r="B780" s="42">
        <v>823</v>
      </c>
      <c r="C780" s="102" t="s">
        <v>1790</v>
      </c>
      <c r="D780" s="102" t="s">
        <v>1737</v>
      </c>
      <c r="E780" s="92" t="s">
        <v>1791</v>
      </c>
      <c r="F780" s="42">
        <v>3</v>
      </c>
      <c r="G780" s="42">
        <v>39</v>
      </c>
      <c r="H780" s="42">
        <v>130</v>
      </c>
      <c r="I780" s="42" t="s">
        <v>1743</v>
      </c>
      <c r="J780" s="103" t="s">
        <v>3611</v>
      </c>
      <c r="K780" s="42" t="s">
        <v>4036</v>
      </c>
      <c r="L780" s="42">
        <f>VLOOKUP(Table7[[#This Row],[Baseline Fixture Code]], 'Tables &amp; Ranges'!$A$114:$B$132, 2, FALSE)</f>
        <v>101003</v>
      </c>
    </row>
    <row r="781" spans="2:12" ht="40" customHeight="1">
      <c r="B781" s="42">
        <v>824</v>
      </c>
      <c r="C781" s="102" t="s">
        <v>1792</v>
      </c>
      <c r="D781" s="102" t="s">
        <v>1737</v>
      </c>
      <c r="E781" s="92" t="s">
        <v>1793</v>
      </c>
      <c r="F781" s="42">
        <v>4</v>
      </c>
      <c r="G781" s="42">
        <v>39</v>
      </c>
      <c r="H781" s="42">
        <v>172</v>
      </c>
      <c r="I781" s="42" t="s">
        <v>1743</v>
      </c>
      <c r="J781" s="103" t="s">
        <v>3611</v>
      </c>
      <c r="K781" s="42" t="s">
        <v>4036</v>
      </c>
      <c r="L781" s="42">
        <f>VLOOKUP(Table7[[#This Row],[Baseline Fixture Code]], 'Tables &amp; Ranges'!$A$114:$B$132, 2, FALSE)</f>
        <v>101003</v>
      </c>
    </row>
    <row r="782" spans="2:12" ht="40" customHeight="1">
      <c r="B782" s="42">
        <v>1343</v>
      </c>
      <c r="C782" s="102" t="s">
        <v>2702</v>
      </c>
      <c r="D782" s="102" t="s">
        <v>2623</v>
      </c>
      <c r="E782" s="92" t="s">
        <v>2703</v>
      </c>
      <c r="F782" s="42">
        <v>1</v>
      </c>
      <c r="G782" s="42">
        <v>39</v>
      </c>
      <c r="H782" s="42">
        <v>46</v>
      </c>
      <c r="I782" s="42" t="s">
        <v>147</v>
      </c>
      <c r="J782" s="103" t="s">
        <v>131</v>
      </c>
      <c r="K782" s="42" t="s">
        <v>3712</v>
      </c>
      <c r="L782" s="42">
        <f>VLOOKUP(Table7[[#This Row],[Baseline Fixture Code]], 'Tables &amp; Ranges'!$A$114:$B$132, 2, FALSE)</f>
        <v>101001</v>
      </c>
    </row>
    <row r="783" spans="2:12" ht="40" customHeight="1">
      <c r="B783" s="42">
        <v>1344</v>
      </c>
      <c r="C783" s="102" t="s">
        <v>2704</v>
      </c>
      <c r="D783" s="102" t="s">
        <v>2623</v>
      </c>
      <c r="E783" s="92" t="s">
        <v>2705</v>
      </c>
      <c r="F783" s="42">
        <v>1</v>
      </c>
      <c r="G783" s="42">
        <v>39</v>
      </c>
      <c r="H783" s="42">
        <v>37</v>
      </c>
      <c r="I783" s="42" t="s">
        <v>147</v>
      </c>
      <c r="J783" s="103" t="s">
        <v>131</v>
      </c>
      <c r="K783" s="42" t="s">
        <v>3712</v>
      </c>
      <c r="L783" s="42">
        <f>VLOOKUP(Table7[[#This Row],[Baseline Fixture Code]], 'Tables &amp; Ranges'!$A$114:$B$132, 2, FALSE)</f>
        <v>101001</v>
      </c>
    </row>
    <row r="784" spans="2:12" ht="40" customHeight="1">
      <c r="B784" s="42">
        <v>1352</v>
      </c>
      <c r="C784" s="102" t="s">
        <v>2720</v>
      </c>
      <c r="D784" s="102" t="s">
        <v>2623</v>
      </c>
      <c r="E784" s="92" t="s">
        <v>2721</v>
      </c>
      <c r="F784" s="42">
        <v>2</v>
      </c>
      <c r="G784" s="42">
        <v>39</v>
      </c>
      <c r="H784" s="42">
        <v>74</v>
      </c>
      <c r="I784" s="42" t="s">
        <v>147</v>
      </c>
      <c r="J784" s="103" t="s">
        <v>131</v>
      </c>
      <c r="K784" s="42" t="s">
        <v>3712</v>
      </c>
      <c r="L784" s="42">
        <f>VLOOKUP(Table7[[#This Row],[Baseline Fixture Code]], 'Tables &amp; Ranges'!$A$114:$B$132, 2, FALSE)</f>
        <v>101001</v>
      </c>
    </row>
    <row r="785" spans="2:12" ht="40" customHeight="1">
      <c r="B785" s="42">
        <v>1357</v>
      </c>
      <c r="C785" s="102" t="s">
        <v>2730</v>
      </c>
      <c r="D785" s="102" t="s">
        <v>2623</v>
      </c>
      <c r="E785" s="92" t="s">
        <v>2731</v>
      </c>
      <c r="F785" s="42">
        <v>3</v>
      </c>
      <c r="G785" s="42">
        <v>39</v>
      </c>
      <c r="H785" s="42">
        <v>120</v>
      </c>
      <c r="I785" s="42" t="s">
        <v>147</v>
      </c>
      <c r="J785" s="103" t="s">
        <v>131</v>
      </c>
      <c r="K785" s="42" t="s">
        <v>3712</v>
      </c>
      <c r="L785" s="42">
        <f>VLOOKUP(Table7[[#This Row],[Baseline Fixture Code]], 'Tables &amp; Ranges'!$A$114:$B$132, 2, FALSE)</f>
        <v>101001</v>
      </c>
    </row>
    <row r="786" spans="2:12" ht="40" customHeight="1">
      <c r="B786" s="42">
        <v>1383</v>
      </c>
      <c r="C786" s="102" t="s">
        <v>2781</v>
      </c>
      <c r="D786" s="102" t="s">
        <v>2623</v>
      </c>
      <c r="E786" s="92" t="s">
        <v>2782</v>
      </c>
      <c r="F786" s="42">
        <v>4</v>
      </c>
      <c r="G786" s="42">
        <v>39</v>
      </c>
      <c r="H786" s="42">
        <v>148</v>
      </c>
      <c r="I786" s="42" t="s">
        <v>147</v>
      </c>
      <c r="J786" s="103" t="s">
        <v>131</v>
      </c>
      <c r="K786" s="42" t="s">
        <v>3712</v>
      </c>
      <c r="L786" s="42">
        <f>VLOOKUP(Table7[[#This Row],[Baseline Fixture Code]], 'Tables &amp; Ranges'!$A$114:$B$132, 2, FALSE)</f>
        <v>101001</v>
      </c>
    </row>
    <row r="787" spans="2:12" ht="40" customHeight="1">
      <c r="B787" s="42">
        <v>1543</v>
      </c>
      <c r="C787" s="102" t="s">
        <v>3079</v>
      </c>
      <c r="D787" s="102" t="s">
        <v>107</v>
      </c>
      <c r="E787" s="92" t="s">
        <v>3080</v>
      </c>
      <c r="F787" s="42">
        <v>1</v>
      </c>
      <c r="G787" s="42">
        <v>39</v>
      </c>
      <c r="H787" s="42">
        <v>39</v>
      </c>
      <c r="I787" s="42" t="s">
        <v>146</v>
      </c>
      <c r="J787" s="103" t="s">
        <v>3611</v>
      </c>
      <c r="K787" s="42" t="s">
        <v>107</v>
      </c>
      <c r="L787" s="42">
        <f>VLOOKUP(Table7[[#This Row],[Baseline Fixture Code]], 'Tables &amp; Ranges'!$A$114:$B$132, 2, FALSE)</f>
        <v>101106</v>
      </c>
    </row>
    <row r="788" spans="2:12" ht="40" customHeight="1">
      <c r="B788" s="42">
        <v>1708</v>
      </c>
      <c r="C788" s="102" t="s">
        <v>3411</v>
      </c>
      <c r="D788" s="102" t="s">
        <v>3382</v>
      </c>
      <c r="E788" s="92" t="s">
        <v>3412</v>
      </c>
      <c r="F788" s="42">
        <v>1</v>
      </c>
      <c r="G788" s="42">
        <v>39</v>
      </c>
      <c r="H788" s="42">
        <v>51</v>
      </c>
      <c r="I788" s="42" t="s">
        <v>3410</v>
      </c>
      <c r="J788" s="103" t="s">
        <v>3611</v>
      </c>
      <c r="K788" s="42" t="s">
        <v>4038</v>
      </c>
      <c r="L788" s="42">
        <f>VLOOKUP(Table7[[#This Row],[Baseline Fixture Code]], 'Tables &amp; Ranges'!$A$114:$B$132, 2, FALSE)</f>
        <v>101108</v>
      </c>
    </row>
    <row r="789" spans="2:12" ht="40" customHeight="1">
      <c r="B789" s="42">
        <v>1709</v>
      </c>
      <c r="C789" s="102" t="s">
        <v>3413</v>
      </c>
      <c r="D789" s="102" t="s">
        <v>3382</v>
      </c>
      <c r="E789" s="92" t="s">
        <v>3414</v>
      </c>
      <c r="F789" s="42">
        <v>1</v>
      </c>
      <c r="G789" s="42">
        <v>39</v>
      </c>
      <c r="H789" s="42">
        <v>44</v>
      </c>
      <c r="I789" s="42" t="s">
        <v>147</v>
      </c>
      <c r="J789" s="103" t="s">
        <v>3611</v>
      </c>
      <c r="K789" s="42" t="s">
        <v>4038</v>
      </c>
      <c r="L789" s="42">
        <f>VLOOKUP(Table7[[#This Row],[Baseline Fixture Code]], 'Tables &amp; Ranges'!$A$114:$B$132, 2, FALSE)</f>
        <v>101108</v>
      </c>
    </row>
    <row r="790" spans="2:12" ht="40" customHeight="1">
      <c r="B790" s="42">
        <v>1345</v>
      </c>
      <c r="C790" s="102" t="s">
        <v>2706</v>
      </c>
      <c r="D790" s="102" t="s">
        <v>2623</v>
      </c>
      <c r="E790" s="92" t="s">
        <v>2707</v>
      </c>
      <c r="F790" s="42">
        <v>1</v>
      </c>
      <c r="G790" s="42">
        <v>40</v>
      </c>
      <c r="H790" s="42">
        <v>51</v>
      </c>
      <c r="I790" s="42" t="s">
        <v>1457</v>
      </c>
      <c r="J790" s="103" t="s">
        <v>3611</v>
      </c>
      <c r="K790" s="42" t="s">
        <v>3712</v>
      </c>
      <c r="L790" s="42">
        <f>VLOOKUP(Table7[[#This Row],[Baseline Fixture Code]], 'Tables &amp; Ranges'!$A$114:$B$132, 2, FALSE)</f>
        <v>101001</v>
      </c>
    </row>
    <row r="791" spans="2:12" ht="40" customHeight="1">
      <c r="B791" s="42">
        <v>1384</v>
      </c>
      <c r="C791" s="102" t="s">
        <v>2783</v>
      </c>
      <c r="D791" s="102" t="s">
        <v>2623</v>
      </c>
      <c r="E791" s="92" t="s">
        <v>2784</v>
      </c>
      <c r="F791" s="42">
        <v>6</v>
      </c>
      <c r="G791" s="42">
        <v>40</v>
      </c>
      <c r="H791" s="42">
        <v>186</v>
      </c>
      <c r="I791" s="42" t="s">
        <v>147</v>
      </c>
      <c r="J791" s="103" t="s">
        <v>131</v>
      </c>
      <c r="K791" s="42" t="s">
        <v>3712</v>
      </c>
      <c r="L791" s="42">
        <f>VLOOKUP(Table7[[#This Row],[Baseline Fixture Code]], 'Tables &amp; Ranges'!$A$114:$B$132, 2, FALSE)</f>
        <v>101001</v>
      </c>
    </row>
    <row r="792" spans="2:12" ht="40" customHeight="1">
      <c r="B792" s="42">
        <v>1225</v>
      </c>
      <c r="C792" s="102" t="s">
        <v>2474</v>
      </c>
      <c r="D792" s="102" t="s">
        <v>1858</v>
      </c>
      <c r="E792" s="92" t="s">
        <v>2475</v>
      </c>
      <c r="F792" s="42">
        <v>1</v>
      </c>
      <c r="G792" s="42">
        <v>40</v>
      </c>
      <c r="H792" s="42">
        <v>36</v>
      </c>
      <c r="I792" s="42" t="s">
        <v>147</v>
      </c>
      <c r="J792" s="103" t="s">
        <v>3611</v>
      </c>
      <c r="K792" s="42" t="s">
        <v>4037</v>
      </c>
      <c r="L792" s="42">
        <f>VLOOKUP(Table7[[#This Row],[Baseline Fixture Code]], 'Tables &amp; Ranges'!$A$114:$B$132, 2, FALSE)</f>
        <v>101002</v>
      </c>
    </row>
    <row r="793" spans="2:12" ht="40" customHeight="1">
      <c r="B793" s="42">
        <v>1227</v>
      </c>
      <c r="C793" s="102" t="s">
        <v>2478</v>
      </c>
      <c r="D793" s="102" t="s">
        <v>1858</v>
      </c>
      <c r="E793" s="92" t="s">
        <v>2479</v>
      </c>
      <c r="F793" s="42">
        <v>1</v>
      </c>
      <c r="G793" s="42">
        <v>40</v>
      </c>
      <c r="H793" s="42">
        <v>36</v>
      </c>
      <c r="I793" s="42" t="s">
        <v>147</v>
      </c>
      <c r="J793" s="103" t="s">
        <v>3611</v>
      </c>
      <c r="K793" s="42" t="s">
        <v>4037</v>
      </c>
      <c r="L793" s="42">
        <f>VLOOKUP(Table7[[#This Row],[Baseline Fixture Code]], 'Tables &amp; Ranges'!$A$114:$B$132, 2, FALSE)</f>
        <v>101002</v>
      </c>
    </row>
    <row r="794" spans="2:12" ht="40" customHeight="1">
      <c r="B794" s="42">
        <v>1228</v>
      </c>
      <c r="C794" s="102" t="s">
        <v>2480</v>
      </c>
      <c r="D794" s="102" t="s">
        <v>1858</v>
      </c>
      <c r="E794" s="92" t="s">
        <v>2481</v>
      </c>
      <c r="F794" s="42">
        <v>1</v>
      </c>
      <c r="G794" s="42">
        <v>40</v>
      </c>
      <c r="H794" s="42">
        <v>35</v>
      </c>
      <c r="I794" s="42" t="s">
        <v>147</v>
      </c>
      <c r="J794" s="103" t="s">
        <v>3611</v>
      </c>
      <c r="K794" s="42" t="s">
        <v>4037</v>
      </c>
      <c r="L794" s="42">
        <f>VLOOKUP(Table7[[#This Row],[Baseline Fixture Code]], 'Tables &amp; Ranges'!$A$114:$B$132, 2, FALSE)</f>
        <v>101002</v>
      </c>
    </row>
    <row r="795" spans="2:12" ht="40" customHeight="1">
      <c r="B795" s="42">
        <v>1229</v>
      </c>
      <c r="C795" s="102" t="s">
        <v>2482</v>
      </c>
      <c r="D795" s="102" t="s">
        <v>1858</v>
      </c>
      <c r="E795" s="92" t="s">
        <v>2483</v>
      </c>
      <c r="F795" s="42">
        <v>1</v>
      </c>
      <c r="G795" s="42">
        <v>40</v>
      </c>
      <c r="H795" s="42">
        <v>34</v>
      </c>
      <c r="I795" s="42" t="s">
        <v>147</v>
      </c>
      <c r="J795" s="103" t="s">
        <v>3611</v>
      </c>
      <c r="K795" s="42" t="s">
        <v>4037</v>
      </c>
      <c r="L795" s="42">
        <f>VLOOKUP(Table7[[#This Row],[Baseline Fixture Code]], 'Tables &amp; Ranges'!$A$114:$B$132, 2, FALSE)</f>
        <v>101002</v>
      </c>
    </row>
    <row r="796" spans="2:12" ht="40" customHeight="1">
      <c r="B796" s="42">
        <v>1226</v>
      </c>
      <c r="C796" s="102" t="s">
        <v>2476</v>
      </c>
      <c r="D796" s="102" t="s">
        <v>1858</v>
      </c>
      <c r="E796" s="92" t="s">
        <v>2477</v>
      </c>
      <c r="F796" s="42">
        <v>1</v>
      </c>
      <c r="G796" s="42">
        <v>40</v>
      </c>
      <c r="H796" s="42">
        <v>43</v>
      </c>
      <c r="I796" s="42" t="s">
        <v>147</v>
      </c>
      <c r="J796" s="103" t="s">
        <v>3611</v>
      </c>
      <c r="K796" s="42" t="s">
        <v>4037</v>
      </c>
      <c r="L796" s="42">
        <f>VLOOKUP(Table7[[#This Row],[Baseline Fixture Code]], 'Tables &amp; Ranges'!$A$114:$B$132, 2, FALSE)</f>
        <v>101002</v>
      </c>
    </row>
    <row r="797" spans="2:12" ht="40" customHeight="1">
      <c r="B797" s="42">
        <v>1230</v>
      </c>
      <c r="C797" s="102" t="s">
        <v>2484</v>
      </c>
      <c r="D797" s="102" t="s">
        <v>1858</v>
      </c>
      <c r="E797" s="92" t="s">
        <v>2485</v>
      </c>
      <c r="F797" s="42">
        <v>2</v>
      </c>
      <c r="G797" s="42">
        <v>40</v>
      </c>
      <c r="H797" s="42">
        <v>72</v>
      </c>
      <c r="I797" s="42" t="s">
        <v>147</v>
      </c>
      <c r="J797" s="103" t="s">
        <v>3611</v>
      </c>
      <c r="K797" s="42" t="s">
        <v>4037</v>
      </c>
      <c r="L797" s="42">
        <f>VLOOKUP(Table7[[#This Row],[Baseline Fixture Code]], 'Tables &amp; Ranges'!$A$114:$B$132, 2, FALSE)</f>
        <v>101002</v>
      </c>
    </row>
    <row r="798" spans="2:12" ht="40" customHeight="1">
      <c r="B798" s="42">
        <v>1233</v>
      </c>
      <c r="C798" s="102" t="s">
        <v>2490</v>
      </c>
      <c r="D798" s="102" t="s">
        <v>1858</v>
      </c>
      <c r="E798" s="92" t="s">
        <v>2491</v>
      </c>
      <c r="F798" s="42">
        <v>2</v>
      </c>
      <c r="G798" s="42">
        <v>40</v>
      </c>
      <c r="H798" s="42">
        <v>67</v>
      </c>
      <c r="I798" s="42" t="s">
        <v>147</v>
      </c>
      <c r="J798" s="103" t="s">
        <v>3611</v>
      </c>
      <c r="K798" s="42" t="s">
        <v>4037</v>
      </c>
      <c r="L798" s="42">
        <f>VLOOKUP(Table7[[#This Row],[Baseline Fixture Code]], 'Tables &amp; Ranges'!$A$114:$B$132, 2, FALSE)</f>
        <v>101002</v>
      </c>
    </row>
    <row r="799" spans="2:12" ht="40" customHeight="1">
      <c r="B799" s="42">
        <v>1231</v>
      </c>
      <c r="C799" s="102" t="s">
        <v>2486</v>
      </c>
      <c r="D799" s="102" t="s">
        <v>1858</v>
      </c>
      <c r="E799" s="92" t="s">
        <v>2487</v>
      </c>
      <c r="F799" s="42">
        <v>2</v>
      </c>
      <c r="G799" s="42">
        <v>40</v>
      </c>
      <c r="H799" s="42">
        <v>80</v>
      </c>
      <c r="I799" s="42" t="s">
        <v>147</v>
      </c>
      <c r="J799" s="103" t="s">
        <v>3611</v>
      </c>
      <c r="K799" s="42" t="s">
        <v>4037</v>
      </c>
      <c r="L799" s="42">
        <f>VLOOKUP(Table7[[#This Row],[Baseline Fixture Code]], 'Tables &amp; Ranges'!$A$114:$B$132, 2, FALSE)</f>
        <v>101002</v>
      </c>
    </row>
    <row r="800" spans="2:12" ht="40" customHeight="1">
      <c r="B800" s="42">
        <v>1232</v>
      </c>
      <c r="C800" s="102" t="s">
        <v>2488</v>
      </c>
      <c r="D800" s="102" t="s">
        <v>1858</v>
      </c>
      <c r="E800" s="92" t="s">
        <v>2489</v>
      </c>
      <c r="F800" s="42">
        <v>2</v>
      </c>
      <c r="G800" s="42">
        <v>40</v>
      </c>
      <c r="H800" s="42">
        <v>73</v>
      </c>
      <c r="I800" s="42" t="s">
        <v>147</v>
      </c>
      <c r="J800" s="103" t="s">
        <v>3611</v>
      </c>
      <c r="K800" s="42" t="s">
        <v>4037</v>
      </c>
      <c r="L800" s="42">
        <f>VLOOKUP(Table7[[#This Row],[Baseline Fixture Code]], 'Tables &amp; Ranges'!$A$114:$B$132, 2, FALSE)</f>
        <v>101002</v>
      </c>
    </row>
    <row r="801" spans="2:12" ht="40" customHeight="1">
      <c r="B801" s="42">
        <v>1234</v>
      </c>
      <c r="C801" s="102" t="s">
        <v>2492</v>
      </c>
      <c r="D801" s="102" t="s">
        <v>1858</v>
      </c>
      <c r="E801" s="92" t="s">
        <v>2493</v>
      </c>
      <c r="F801" s="42">
        <v>3</v>
      </c>
      <c r="G801" s="42">
        <v>40</v>
      </c>
      <c r="H801" s="42">
        <v>106</v>
      </c>
      <c r="I801" s="42" t="s">
        <v>147</v>
      </c>
      <c r="J801" s="103" t="s">
        <v>3611</v>
      </c>
      <c r="K801" s="42" t="s">
        <v>4037</v>
      </c>
      <c r="L801" s="42">
        <f>VLOOKUP(Table7[[#This Row],[Baseline Fixture Code]], 'Tables &amp; Ranges'!$A$114:$B$132, 2, FALSE)</f>
        <v>101002</v>
      </c>
    </row>
    <row r="802" spans="2:12" ht="40" customHeight="1">
      <c r="B802" s="42">
        <v>1235</v>
      </c>
      <c r="C802" s="102" t="s">
        <v>2494</v>
      </c>
      <c r="D802" s="102" t="s">
        <v>1858</v>
      </c>
      <c r="E802" s="92" t="s">
        <v>2495</v>
      </c>
      <c r="F802" s="42">
        <v>3</v>
      </c>
      <c r="G802" s="42">
        <v>40</v>
      </c>
      <c r="H802" s="42">
        <v>108</v>
      </c>
      <c r="I802" s="42" t="s">
        <v>147</v>
      </c>
      <c r="J802" s="103" t="s">
        <v>3611</v>
      </c>
      <c r="K802" s="42" t="s">
        <v>4037</v>
      </c>
      <c r="L802" s="42">
        <f>VLOOKUP(Table7[[#This Row],[Baseline Fixture Code]], 'Tables &amp; Ranges'!$A$114:$B$132, 2, FALSE)</f>
        <v>101002</v>
      </c>
    </row>
    <row r="803" spans="2:12" ht="40" customHeight="1">
      <c r="B803" s="42">
        <v>1236</v>
      </c>
      <c r="C803" s="102" t="s">
        <v>2496</v>
      </c>
      <c r="D803" s="102" t="s">
        <v>1858</v>
      </c>
      <c r="E803" s="92" t="s">
        <v>2497</v>
      </c>
      <c r="F803" s="42">
        <v>4</v>
      </c>
      <c r="G803" s="42">
        <v>40</v>
      </c>
      <c r="H803" s="42">
        <v>134</v>
      </c>
      <c r="I803" s="42" t="s">
        <v>147</v>
      </c>
      <c r="J803" s="103" t="s">
        <v>3611</v>
      </c>
      <c r="K803" s="42" t="s">
        <v>4037</v>
      </c>
      <c r="L803" s="42">
        <f>VLOOKUP(Table7[[#This Row],[Baseline Fixture Code]], 'Tables &amp; Ranges'!$A$114:$B$132, 2, FALSE)</f>
        <v>101002</v>
      </c>
    </row>
    <row r="804" spans="2:12" ht="40" customHeight="1">
      <c r="B804" s="42">
        <v>1237</v>
      </c>
      <c r="C804" s="102" t="s">
        <v>2498</v>
      </c>
      <c r="D804" s="102" t="s">
        <v>1858</v>
      </c>
      <c r="E804" s="92" t="s">
        <v>2499</v>
      </c>
      <c r="F804" s="42">
        <v>4</v>
      </c>
      <c r="G804" s="42">
        <v>40</v>
      </c>
      <c r="H804" s="42">
        <v>126</v>
      </c>
      <c r="I804" s="42" t="s">
        <v>147</v>
      </c>
      <c r="J804" s="103" t="s">
        <v>3611</v>
      </c>
      <c r="K804" s="42" t="s">
        <v>4037</v>
      </c>
      <c r="L804" s="42">
        <f>VLOOKUP(Table7[[#This Row],[Baseline Fixture Code]], 'Tables &amp; Ranges'!$A$114:$B$132, 2, FALSE)</f>
        <v>101002</v>
      </c>
    </row>
    <row r="805" spans="2:12" ht="40" customHeight="1">
      <c r="B805" s="42">
        <v>1474</v>
      </c>
      <c r="C805" s="102" t="s">
        <v>2942</v>
      </c>
      <c r="D805" s="102" t="s">
        <v>2926</v>
      </c>
      <c r="E805" s="92" t="s">
        <v>2943</v>
      </c>
      <c r="F805" s="42">
        <v>1</v>
      </c>
      <c r="G805" s="42">
        <v>40</v>
      </c>
      <c r="H805" s="42">
        <v>35</v>
      </c>
      <c r="I805" s="42" t="s">
        <v>1457</v>
      </c>
      <c r="J805" s="103" t="s">
        <v>3611</v>
      </c>
      <c r="K805" s="42" t="s">
        <v>2926</v>
      </c>
      <c r="L805" s="42">
        <f>VLOOKUP(Table7[[#This Row],[Baseline Fixture Code]], 'Tables &amp; Ranges'!$A$114:$B$132, 2, FALSE)</f>
        <v>101132</v>
      </c>
    </row>
    <row r="806" spans="2:12" ht="40" customHeight="1">
      <c r="B806" s="42">
        <v>1476</v>
      </c>
      <c r="C806" s="102" t="s">
        <v>2945</v>
      </c>
      <c r="D806" s="102" t="s">
        <v>2946</v>
      </c>
      <c r="E806" s="92" t="s">
        <v>2947</v>
      </c>
      <c r="F806" s="42">
        <v>1</v>
      </c>
      <c r="G806" s="42">
        <v>40</v>
      </c>
      <c r="H806" s="42">
        <v>44</v>
      </c>
      <c r="I806" s="42" t="s">
        <v>147</v>
      </c>
      <c r="J806" s="103" t="s">
        <v>3611</v>
      </c>
      <c r="K806" s="42" t="s">
        <v>4045</v>
      </c>
      <c r="L806" s="42">
        <f>VLOOKUP(Table7[[#This Row],[Baseline Fixture Code]], 'Tables &amp; Ranges'!$A$114:$B$132, 2, FALSE)</f>
        <v>101113</v>
      </c>
    </row>
    <row r="807" spans="2:12" ht="40" customHeight="1">
      <c r="B807" s="42">
        <v>1512</v>
      </c>
      <c r="C807" s="102" t="s">
        <v>3019</v>
      </c>
      <c r="D807" s="102" t="s">
        <v>2973</v>
      </c>
      <c r="E807" s="92" t="s">
        <v>3020</v>
      </c>
      <c r="F807" s="42">
        <v>1</v>
      </c>
      <c r="G807" s="42">
        <v>40</v>
      </c>
      <c r="H807" s="42">
        <v>43</v>
      </c>
      <c r="I807" s="42" t="s">
        <v>2077</v>
      </c>
      <c r="J807" s="103" t="s">
        <v>131</v>
      </c>
      <c r="K807" s="42" t="s">
        <v>2973</v>
      </c>
      <c r="L807" s="42">
        <f>VLOOKUP(Table7[[#This Row],[Baseline Fixture Code]], 'Tables &amp; Ranges'!$A$114:$B$132, 2, FALSE)</f>
        <v>101135</v>
      </c>
    </row>
    <row r="808" spans="2:12" ht="40" customHeight="1">
      <c r="B808" s="42">
        <v>1513</v>
      </c>
      <c r="C808" s="102" t="s">
        <v>3021</v>
      </c>
      <c r="D808" s="102" t="s">
        <v>2973</v>
      </c>
      <c r="E808" s="92" t="s">
        <v>3022</v>
      </c>
      <c r="F808" s="42">
        <v>1</v>
      </c>
      <c r="G808" s="42">
        <v>40</v>
      </c>
      <c r="H808" s="42">
        <v>43</v>
      </c>
      <c r="I808" s="42" t="s">
        <v>1457</v>
      </c>
      <c r="J808" s="103" t="s">
        <v>131</v>
      </c>
      <c r="K808" s="42" t="s">
        <v>2973</v>
      </c>
      <c r="L808" s="42">
        <f>VLOOKUP(Table7[[#This Row],[Baseline Fixture Code]], 'Tables &amp; Ranges'!$A$114:$B$132, 2, FALSE)</f>
        <v>101135</v>
      </c>
    </row>
    <row r="809" spans="2:12" ht="40" customHeight="1">
      <c r="B809" s="42">
        <v>1514</v>
      </c>
      <c r="C809" s="102" t="s">
        <v>3023</v>
      </c>
      <c r="D809" s="102" t="s">
        <v>2973</v>
      </c>
      <c r="E809" s="92" t="s">
        <v>3024</v>
      </c>
      <c r="F809" s="42">
        <v>2</v>
      </c>
      <c r="G809" s="42">
        <v>40</v>
      </c>
      <c r="H809" s="42">
        <v>72</v>
      </c>
      <c r="I809" s="42" t="s">
        <v>2077</v>
      </c>
      <c r="J809" s="103" t="s">
        <v>131</v>
      </c>
      <c r="K809" s="42" t="s">
        <v>2973</v>
      </c>
      <c r="L809" s="42">
        <f>VLOOKUP(Table7[[#This Row],[Baseline Fixture Code]], 'Tables &amp; Ranges'!$A$114:$B$132, 2, FALSE)</f>
        <v>101135</v>
      </c>
    </row>
    <row r="810" spans="2:12" ht="40" customHeight="1">
      <c r="B810" s="42">
        <v>1515</v>
      </c>
      <c r="C810" s="102" t="s">
        <v>3025</v>
      </c>
      <c r="D810" s="102" t="s">
        <v>2973</v>
      </c>
      <c r="E810" s="92" t="s">
        <v>3026</v>
      </c>
      <c r="F810" s="42">
        <v>2</v>
      </c>
      <c r="G810" s="42">
        <v>40</v>
      </c>
      <c r="H810" s="42">
        <v>63</v>
      </c>
      <c r="I810" s="42" t="s">
        <v>147</v>
      </c>
      <c r="J810" s="103" t="s">
        <v>131</v>
      </c>
      <c r="K810" s="42" t="s">
        <v>2973</v>
      </c>
      <c r="L810" s="42">
        <f>VLOOKUP(Table7[[#This Row],[Baseline Fixture Code]], 'Tables &amp; Ranges'!$A$114:$B$132, 2, FALSE)</f>
        <v>101135</v>
      </c>
    </row>
    <row r="811" spans="2:12" ht="40" customHeight="1">
      <c r="B811" s="42">
        <v>1516</v>
      </c>
      <c r="C811" s="102" t="s">
        <v>3027</v>
      </c>
      <c r="D811" s="102" t="s">
        <v>2973</v>
      </c>
      <c r="E811" s="92" t="s">
        <v>3028</v>
      </c>
      <c r="F811" s="42">
        <v>2</v>
      </c>
      <c r="G811" s="42">
        <v>40</v>
      </c>
      <c r="H811" s="42">
        <v>72</v>
      </c>
      <c r="I811" s="42" t="s">
        <v>1457</v>
      </c>
      <c r="J811" s="103" t="s">
        <v>131</v>
      </c>
      <c r="K811" s="42" t="s">
        <v>2973</v>
      </c>
      <c r="L811" s="42">
        <f>VLOOKUP(Table7[[#This Row],[Baseline Fixture Code]], 'Tables &amp; Ranges'!$A$114:$B$132, 2, FALSE)</f>
        <v>101135</v>
      </c>
    </row>
    <row r="812" spans="2:12" ht="40" customHeight="1">
      <c r="B812" s="42">
        <v>1517</v>
      </c>
      <c r="C812" s="102" t="s">
        <v>3029</v>
      </c>
      <c r="D812" s="102" t="s">
        <v>2973</v>
      </c>
      <c r="E812" s="92" t="s">
        <v>3030</v>
      </c>
      <c r="F812" s="42">
        <v>3</v>
      </c>
      <c r="G812" s="42">
        <v>40</v>
      </c>
      <c r="H812" s="42">
        <v>115</v>
      </c>
      <c r="I812" s="42" t="s">
        <v>2077</v>
      </c>
      <c r="J812" s="103" t="s">
        <v>131</v>
      </c>
      <c r="K812" s="42" t="s">
        <v>2973</v>
      </c>
      <c r="L812" s="42">
        <f>VLOOKUP(Table7[[#This Row],[Baseline Fixture Code]], 'Tables &amp; Ranges'!$A$114:$B$132, 2, FALSE)</f>
        <v>101135</v>
      </c>
    </row>
    <row r="813" spans="2:12" ht="40" customHeight="1">
      <c r="B813" s="42">
        <v>1544</v>
      </c>
      <c r="C813" s="102" t="s">
        <v>3081</v>
      </c>
      <c r="D813" s="102" t="s">
        <v>107</v>
      </c>
      <c r="E813" s="92" t="s">
        <v>3082</v>
      </c>
      <c r="F813" s="42">
        <v>1</v>
      </c>
      <c r="G813" s="42">
        <v>40</v>
      </c>
      <c r="H813" s="42">
        <v>40</v>
      </c>
      <c r="I813" s="42" t="s">
        <v>146</v>
      </c>
      <c r="J813" s="103" t="s">
        <v>3611</v>
      </c>
      <c r="K813" s="42" t="s">
        <v>107</v>
      </c>
      <c r="L813" s="42">
        <f>VLOOKUP(Table7[[#This Row],[Baseline Fixture Code]], 'Tables &amp; Ranges'!$A$114:$B$132, 2, FALSE)</f>
        <v>101106</v>
      </c>
    </row>
    <row r="814" spans="2:12" ht="40" customHeight="1">
      <c r="B814" s="42">
        <v>1743</v>
      </c>
      <c r="C814" s="102" t="s">
        <v>3481</v>
      </c>
      <c r="D814" s="102" t="s">
        <v>3382</v>
      </c>
      <c r="E814" s="92" t="s">
        <v>3482</v>
      </c>
      <c r="F814" s="42">
        <v>1</v>
      </c>
      <c r="G814" s="42">
        <v>40</v>
      </c>
      <c r="H814" s="42">
        <v>50</v>
      </c>
      <c r="I814" s="42" t="s">
        <v>146</v>
      </c>
      <c r="J814" s="103" t="s">
        <v>3611</v>
      </c>
      <c r="K814" s="42" t="s">
        <v>4043</v>
      </c>
      <c r="L814" s="42">
        <f>VLOOKUP(Table7[[#This Row],[Baseline Fixture Code]], 'Tables &amp; Ranges'!$A$114:$B$132, 2, FALSE)</f>
        <v>101110</v>
      </c>
    </row>
    <row r="815" spans="2:12" ht="40" customHeight="1">
      <c r="B815" s="42">
        <v>1545</v>
      </c>
      <c r="C815" s="102" t="s">
        <v>3083</v>
      </c>
      <c r="D815" s="102" t="s">
        <v>107</v>
      </c>
      <c r="E815" s="92" t="s">
        <v>3084</v>
      </c>
      <c r="F815" s="42">
        <v>1</v>
      </c>
      <c r="G815" s="42">
        <v>41</v>
      </c>
      <c r="H815" s="42">
        <v>41</v>
      </c>
      <c r="I815" s="42" t="s">
        <v>146</v>
      </c>
      <c r="J815" s="103" t="s">
        <v>3611</v>
      </c>
      <c r="K815" s="42" t="s">
        <v>107</v>
      </c>
      <c r="L815" s="42">
        <f>VLOOKUP(Table7[[#This Row],[Baseline Fixture Code]], 'Tables &amp; Ranges'!$A$114:$B$132, 2, FALSE)</f>
        <v>101106</v>
      </c>
    </row>
    <row r="816" spans="2:12" ht="40" customHeight="1">
      <c r="B816" s="42">
        <v>1546</v>
      </c>
      <c r="C816" s="102" t="s">
        <v>3085</v>
      </c>
      <c r="D816" s="102" t="s">
        <v>107</v>
      </c>
      <c r="E816" s="92" t="s">
        <v>3086</v>
      </c>
      <c r="F816" s="42">
        <v>1</v>
      </c>
      <c r="G816" s="42">
        <v>42</v>
      </c>
      <c r="H816" s="42">
        <v>42</v>
      </c>
      <c r="I816" s="42" t="s">
        <v>146</v>
      </c>
      <c r="J816" s="103" t="s">
        <v>3611</v>
      </c>
      <c r="K816" s="42" t="s">
        <v>107</v>
      </c>
      <c r="L816" s="42">
        <f>VLOOKUP(Table7[[#This Row],[Baseline Fixture Code]], 'Tables &amp; Ranges'!$A$114:$B$132, 2, FALSE)</f>
        <v>101106</v>
      </c>
    </row>
    <row r="817" spans="2:12" ht="40" customHeight="1">
      <c r="B817" s="42">
        <v>1547</v>
      </c>
      <c r="C817" s="102" t="s">
        <v>3087</v>
      </c>
      <c r="D817" s="102" t="s">
        <v>107</v>
      </c>
      <c r="E817" s="92" t="s">
        <v>3088</v>
      </c>
      <c r="F817" s="42">
        <v>1</v>
      </c>
      <c r="G817" s="42">
        <v>43</v>
      </c>
      <c r="H817" s="42">
        <v>43</v>
      </c>
      <c r="I817" s="42" t="s">
        <v>146</v>
      </c>
      <c r="J817" s="103" t="s">
        <v>3611</v>
      </c>
      <c r="K817" s="42" t="s">
        <v>107</v>
      </c>
      <c r="L817" s="42">
        <f>VLOOKUP(Table7[[#This Row],[Baseline Fixture Code]], 'Tables &amp; Ranges'!$A$114:$B$132, 2, FALSE)</f>
        <v>101106</v>
      </c>
    </row>
    <row r="818" spans="2:12" ht="40" customHeight="1">
      <c r="B818" s="42">
        <v>1238</v>
      </c>
      <c r="C818" s="102" t="s">
        <v>2500</v>
      </c>
      <c r="D818" s="102" t="s">
        <v>1858</v>
      </c>
      <c r="E818" s="92" t="s">
        <v>2501</v>
      </c>
      <c r="F818" s="42">
        <v>1</v>
      </c>
      <c r="G818" s="42">
        <v>44</v>
      </c>
      <c r="H818" s="42">
        <v>59</v>
      </c>
      <c r="I818" s="42" t="s">
        <v>147</v>
      </c>
      <c r="J818" s="103" t="s">
        <v>3611</v>
      </c>
      <c r="K818" s="42" t="s">
        <v>4037</v>
      </c>
      <c r="L818" s="42">
        <f>VLOOKUP(Table7[[#This Row],[Baseline Fixture Code]], 'Tables &amp; Ranges'!$A$114:$B$132, 2, FALSE)</f>
        <v>101002</v>
      </c>
    </row>
    <row r="819" spans="2:12" ht="40" customHeight="1">
      <c r="B819" s="42">
        <v>1239</v>
      </c>
      <c r="C819" s="102" t="s">
        <v>2502</v>
      </c>
      <c r="D819" s="102" t="s">
        <v>1858</v>
      </c>
      <c r="E819" s="92" t="s">
        <v>2503</v>
      </c>
      <c r="F819" s="42">
        <v>2</v>
      </c>
      <c r="G819" s="42">
        <v>44</v>
      </c>
      <c r="H819" s="42">
        <v>98</v>
      </c>
      <c r="I819" s="42" t="s">
        <v>147</v>
      </c>
      <c r="J819" s="103" t="s">
        <v>3611</v>
      </c>
      <c r="K819" s="42" t="s">
        <v>4037</v>
      </c>
      <c r="L819" s="42">
        <f>VLOOKUP(Table7[[#This Row],[Baseline Fixture Code]], 'Tables &amp; Ranges'!$A$114:$B$132, 2, FALSE)</f>
        <v>101002</v>
      </c>
    </row>
    <row r="820" spans="2:12" ht="40" customHeight="1">
      <c r="B820" s="42">
        <v>1240</v>
      </c>
      <c r="C820" s="102" t="s">
        <v>2504</v>
      </c>
      <c r="D820" s="102" t="s">
        <v>1858</v>
      </c>
      <c r="E820" s="92" t="s">
        <v>2505</v>
      </c>
      <c r="F820" s="42">
        <v>3</v>
      </c>
      <c r="G820" s="42">
        <v>44</v>
      </c>
      <c r="H820" s="42">
        <v>141</v>
      </c>
      <c r="I820" s="42" t="s">
        <v>147</v>
      </c>
      <c r="J820" s="103" t="s">
        <v>3611</v>
      </c>
      <c r="K820" s="42" t="s">
        <v>4037</v>
      </c>
      <c r="L820" s="42">
        <f>VLOOKUP(Table7[[#This Row],[Baseline Fixture Code]], 'Tables &amp; Ranges'!$A$114:$B$132, 2, FALSE)</f>
        <v>101002</v>
      </c>
    </row>
    <row r="821" spans="2:12" ht="40" customHeight="1">
      <c r="B821" s="42">
        <v>1241</v>
      </c>
      <c r="C821" s="102" t="s">
        <v>2506</v>
      </c>
      <c r="D821" s="102" t="s">
        <v>1858</v>
      </c>
      <c r="E821" s="92" t="s">
        <v>2507</v>
      </c>
      <c r="F821" s="42">
        <v>4</v>
      </c>
      <c r="G821" s="42">
        <v>44</v>
      </c>
      <c r="H821" s="42">
        <v>168</v>
      </c>
      <c r="I821" s="42" t="s">
        <v>147</v>
      </c>
      <c r="J821" s="103" t="s">
        <v>3611</v>
      </c>
      <c r="K821" s="42" t="s">
        <v>4037</v>
      </c>
      <c r="L821" s="42">
        <f>VLOOKUP(Table7[[#This Row],[Baseline Fixture Code]], 'Tables &amp; Ranges'!$A$114:$B$132, 2, FALSE)</f>
        <v>101002</v>
      </c>
    </row>
    <row r="822" spans="2:12" ht="40" customHeight="1">
      <c r="B822" s="42">
        <v>1548</v>
      </c>
      <c r="C822" s="102" t="s">
        <v>3089</v>
      </c>
      <c r="D822" s="102" t="s">
        <v>107</v>
      </c>
      <c r="E822" s="92" t="s">
        <v>3090</v>
      </c>
      <c r="F822" s="42">
        <v>1</v>
      </c>
      <c r="G822" s="42">
        <v>44</v>
      </c>
      <c r="H822" s="42">
        <v>44</v>
      </c>
      <c r="I822" s="42" t="s">
        <v>146</v>
      </c>
      <c r="J822" s="103" t="s">
        <v>3611</v>
      </c>
      <c r="K822" s="42" t="s">
        <v>107</v>
      </c>
      <c r="L822" s="42">
        <f>VLOOKUP(Table7[[#This Row],[Baseline Fixture Code]], 'Tables &amp; Ranges'!$A$114:$B$132, 2, FALSE)</f>
        <v>101106</v>
      </c>
    </row>
    <row r="823" spans="2:12" ht="40" customHeight="1">
      <c r="B823" s="42">
        <v>1549</v>
      </c>
      <c r="C823" s="102" t="s">
        <v>3091</v>
      </c>
      <c r="D823" s="102" t="s">
        <v>107</v>
      </c>
      <c r="E823" s="92" t="s">
        <v>3092</v>
      </c>
      <c r="F823" s="42">
        <v>1</v>
      </c>
      <c r="G823" s="42">
        <v>45</v>
      </c>
      <c r="H823" s="42">
        <v>45</v>
      </c>
      <c r="I823" s="42" t="s">
        <v>146</v>
      </c>
      <c r="J823" s="103" t="s">
        <v>3611</v>
      </c>
      <c r="K823" s="42" t="s">
        <v>107</v>
      </c>
      <c r="L823" s="42">
        <f>VLOOKUP(Table7[[#This Row],[Baseline Fixture Code]], 'Tables &amp; Ranges'!$A$114:$B$132, 2, FALSE)</f>
        <v>101106</v>
      </c>
    </row>
    <row r="824" spans="2:12" ht="40" customHeight="1">
      <c r="B824" s="42">
        <v>1550</v>
      </c>
      <c r="C824" s="102" t="s">
        <v>3093</v>
      </c>
      <c r="D824" s="102" t="s">
        <v>107</v>
      </c>
      <c r="E824" s="92" t="s">
        <v>3094</v>
      </c>
      <c r="F824" s="42">
        <v>1</v>
      </c>
      <c r="G824" s="42">
        <v>46</v>
      </c>
      <c r="H824" s="42">
        <v>46</v>
      </c>
      <c r="I824" s="42" t="s">
        <v>146</v>
      </c>
      <c r="J824" s="103" t="s">
        <v>3611</v>
      </c>
      <c r="K824" s="42" t="s">
        <v>107</v>
      </c>
      <c r="L824" s="42">
        <f>VLOOKUP(Table7[[#This Row],[Baseline Fixture Code]], 'Tables &amp; Ranges'!$A$114:$B$132, 2, FALSE)</f>
        <v>101106</v>
      </c>
    </row>
    <row r="825" spans="2:12" ht="40" customHeight="1">
      <c r="B825" s="42">
        <v>1551</v>
      </c>
      <c r="C825" s="102" t="s">
        <v>3095</v>
      </c>
      <c r="D825" s="102" t="s">
        <v>107</v>
      </c>
      <c r="E825" s="92" t="s">
        <v>3096</v>
      </c>
      <c r="F825" s="42">
        <v>1</v>
      </c>
      <c r="G825" s="42">
        <v>47</v>
      </c>
      <c r="H825" s="42">
        <v>47</v>
      </c>
      <c r="I825" s="42" t="s">
        <v>146</v>
      </c>
      <c r="J825" s="103" t="s">
        <v>3611</v>
      </c>
      <c r="K825" s="42" t="s">
        <v>107</v>
      </c>
      <c r="L825" s="42">
        <f>VLOOKUP(Table7[[#This Row],[Baseline Fixture Code]], 'Tables &amp; Ranges'!$A$114:$B$132, 2, FALSE)</f>
        <v>101106</v>
      </c>
    </row>
    <row r="826" spans="2:12" ht="40" customHeight="1">
      <c r="B826" s="42">
        <v>1552</v>
      </c>
      <c r="C826" s="102" t="s">
        <v>3097</v>
      </c>
      <c r="D826" s="102" t="s">
        <v>107</v>
      </c>
      <c r="E826" s="92" t="s">
        <v>3098</v>
      </c>
      <c r="F826" s="42">
        <v>1</v>
      </c>
      <c r="G826" s="42">
        <v>48</v>
      </c>
      <c r="H826" s="42">
        <v>48</v>
      </c>
      <c r="I826" s="42" t="s">
        <v>146</v>
      </c>
      <c r="J826" s="103" t="s">
        <v>3611</v>
      </c>
      <c r="K826" s="42" t="s">
        <v>107</v>
      </c>
      <c r="L826" s="42">
        <f>VLOOKUP(Table7[[#This Row],[Baseline Fixture Code]], 'Tables &amp; Ranges'!$A$114:$B$132, 2, FALSE)</f>
        <v>101106</v>
      </c>
    </row>
    <row r="827" spans="2:12" ht="40" customHeight="1">
      <c r="B827" s="42">
        <v>1553</v>
      </c>
      <c r="C827" s="102" t="s">
        <v>3099</v>
      </c>
      <c r="D827" s="102" t="s">
        <v>107</v>
      </c>
      <c r="E827" s="92" t="s">
        <v>3100</v>
      </c>
      <c r="F827" s="42">
        <v>1</v>
      </c>
      <c r="G827" s="42">
        <v>49</v>
      </c>
      <c r="H827" s="42">
        <v>49</v>
      </c>
      <c r="I827" s="42" t="s">
        <v>146</v>
      </c>
      <c r="J827" s="103" t="s">
        <v>3611</v>
      </c>
      <c r="K827" s="42" t="s">
        <v>107</v>
      </c>
      <c r="L827" s="42">
        <f>VLOOKUP(Table7[[#This Row],[Baseline Fixture Code]], 'Tables &amp; Ranges'!$A$114:$B$132, 2, FALSE)</f>
        <v>101106</v>
      </c>
    </row>
    <row r="828" spans="2:12" ht="40" customHeight="1">
      <c r="B828" s="42">
        <v>1312</v>
      </c>
      <c r="C828" s="102" t="s">
        <v>2649</v>
      </c>
      <c r="D828" s="102" t="s">
        <v>2623</v>
      </c>
      <c r="E828" s="92" t="s">
        <v>2650</v>
      </c>
      <c r="F828" s="42">
        <v>1</v>
      </c>
      <c r="G828" s="42">
        <v>50</v>
      </c>
      <c r="H828" s="42">
        <v>70</v>
      </c>
      <c r="I828" s="42" t="s">
        <v>1457</v>
      </c>
      <c r="J828" s="103" t="s">
        <v>3611</v>
      </c>
      <c r="K828" s="42" t="s">
        <v>3712</v>
      </c>
      <c r="L828" s="42">
        <f>VLOOKUP(Table7[[#This Row],[Baseline Fixture Code]], 'Tables &amp; Ranges'!$A$114:$B$132, 2, FALSE)</f>
        <v>101001</v>
      </c>
    </row>
    <row r="829" spans="2:12" ht="40" customHeight="1">
      <c r="B829" s="42">
        <v>1321</v>
      </c>
      <c r="C829" s="102" t="s">
        <v>2664</v>
      </c>
      <c r="D829" s="102" t="s">
        <v>2623</v>
      </c>
      <c r="E829" s="92" t="s">
        <v>2665</v>
      </c>
      <c r="F829" s="42">
        <v>2</v>
      </c>
      <c r="G829" s="42">
        <v>50</v>
      </c>
      <c r="H829" s="42">
        <v>114</v>
      </c>
      <c r="I829" s="42" t="s">
        <v>1457</v>
      </c>
      <c r="J829" s="103" t="s">
        <v>3611</v>
      </c>
      <c r="K829" s="42" t="s">
        <v>3712</v>
      </c>
      <c r="L829" s="42">
        <f>VLOOKUP(Table7[[#This Row],[Baseline Fixture Code]], 'Tables &amp; Ranges'!$A$114:$B$132, 2, FALSE)</f>
        <v>101001</v>
      </c>
    </row>
    <row r="830" spans="2:12" ht="40" customHeight="1">
      <c r="B830" s="42">
        <v>850</v>
      </c>
      <c r="C830" s="102" t="s">
        <v>1845</v>
      </c>
      <c r="D830" s="102" t="s">
        <v>1737</v>
      </c>
      <c r="E830" s="92" t="s">
        <v>1846</v>
      </c>
      <c r="F830" s="42">
        <v>10</v>
      </c>
      <c r="G830" s="42">
        <v>50</v>
      </c>
      <c r="H830" s="42">
        <v>537</v>
      </c>
      <c r="I830" s="42" t="s">
        <v>1743</v>
      </c>
      <c r="J830" s="103" t="s">
        <v>3611</v>
      </c>
      <c r="K830" s="42" t="s">
        <v>4036</v>
      </c>
      <c r="L830" s="42">
        <f>VLOOKUP(Table7[[#This Row],[Baseline Fixture Code]], 'Tables &amp; Ranges'!$A$114:$B$132, 2, FALSE)</f>
        <v>101003</v>
      </c>
    </row>
    <row r="831" spans="2:12" ht="40" customHeight="1">
      <c r="B831" s="42">
        <v>851</v>
      </c>
      <c r="C831" s="102" t="s">
        <v>1847</v>
      </c>
      <c r="D831" s="102" t="s">
        <v>1737</v>
      </c>
      <c r="E831" s="92" t="s">
        <v>1848</v>
      </c>
      <c r="F831" s="42">
        <v>10</v>
      </c>
      <c r="G831" s="42">
        <v>50</v>
      </c>
      <c r="H831" s="42">
        <v>545</v>
      </c>
      <c r="I831" s="42" t="s">
        <v>1743</v>
      </c>
      <c r="J831" s="103" t="s">
        <v>3611</v>
      </c>
      <c r="K831" s="42" t="s">
        <v>4036</v>
      </c>
      <c r="L831" s="42">
        <f>VLOOKUP(Table7[[#This Row],[Baseline Fixture Code]], 'Tables &amp; Ranges'!$A$114:$B$132, 2, FALSE)</f>
        <v>101003</v>
      </c>
    </row>
    <row r="832" spans="2:12" ht="40" customHeight="1">
      <c r="B832" s="42">
        <v>852</v>
      </c>
      <c r="C832" s="102" t="s">
        <v>1849</v>
      </c>
      <c r="D832" s="102" t="s">
        <v>1737</v>
      </c>
      <c r="E832" s="92" t="s">
        <v>1850</v>
      </c>
      <c r="F832" s="42">
        <v>12</v>
      </c>
      <c r="G832" s="42">
        <v>50</v>
      </c>
      <c r="H832" s="42">
        <v>642</v>
      </c>
      <c r="I832" s="42" t="s">
        <v>1743</v>
      </c>
      <c r="J832" s="103" t="s">
        <v>3611</v>
      </c>
      <c r="K832" s="42" t="s">
        <v>4036</v>
      </c>
      <c r="L832" s="42">
        <f>VLOOKUP(Table7[[#This Row],[Baseline Fixture Code]], 'Tables &amp; Ranges'!$A$114:$B$132, 2, FALSE)</f>
        <v>101003</v>
      </c>
    </row>
    <row r="833" spans="2:12" ht="40" customHeight="1">
      <c r="B833" s="42">
        <v>853</v>
      </c>
      <c r="C833" s="102" t="s">
        <v>1851</v>
      </c>
      <c r="D833" s="102" t="s">
        <v>1737</v>
      </c>
      <c r="E833" s="92" t="s">
        <v>1852</v>
      </c>
      <c r="F833" s="42">
        <v>12</v>
      </c>
      <c r="G833" s="42">
        <v>50</v>
      </c>
      <c r="H833" s="42">
        <v>654</v>
      </c>
      <c r="I833" s="42" t="s">
        <v>1743</v>
      </c>
      <c r="J833" s="103" t="s">
        <v>3611</v>
      </c>
      <c r="K833" s="42" t="s">
        <v>4036</v>
      </c>
      <c r="L833" s="42">
        <f>VLOOKUP(Table7[[#This Row],[Baseline Fixture Code]], 'Tables &amp; Ranges'!$A$114:$B$132, 2, FALSE)</f>
        <v>101003</v>
      </c>
    </row>
    <row r="834" spans="2:12" ht="40" customHeight="1">
      <c r="B834" s="42">
        <v>848</v>
      </c>
      <c r="C834" s="102" t="s">
        <v>1841</v>
      </c>
      <c r="D834" s="102" t="s">
        <v>1737</v>
      </c>
      <c r="E834" s="92" t="s">
        <v>1842</v>
      </c>
      <c r="F834" s="42">
        <v>8</v>
      </c>
      <c r="G834" s="42">
        <v>50</v>
      </c>
      <c r="H834" s="42">
        <v>428</v>
      </c>
      <c r="I834" s="42" t="s">
        <v>1743</v>
      </c>
      <c r="J834" s="103" t="s">
        <v>3611</v>
      </c>
      <c r="K834" s="42" t="s">
        <v>4036</v>
      </c>
      <c r="L834" s="42">
        <f>VLOOKUP(Table7[[#This Row],[Baseline Fixture Code]], 'Tables &amp; Ranges'!$A$114:$B$132, 2, FALSE)</f>
        <v>101003</v>
      </c>
    </row>
    <row r="835" spans="2:12" ht="40" customHeight="1">
      <c r="B835" s="42">
        <v>849</v>
      </c>
      <c r="C835" s="102" t="s">
        <v>1843</v>
      </c>
      <c r="D835" s="102" t="s">
        <v>1737</v>
      </c>
      <c r="E835" s="92" t="s">
        <v>1844</v>
      </c>
      <c r="F835" s="42">
        <v>8</v>
      </c>
      <c r="G835" s="42">
        <v>50</v>
      </c>
      <c r="H835" s="42">
        <v>436</v>
      </c>
      <c r="I835" s="42" t="s">
        <v>1743</v>
      </c>
      <c r="J835" s="103" t="s">
        <v>3611</v>
      </c>
      <c r="K835" s="42" t="s">
        <v>4036</v>
      </c>
      <c r="L835" s="42">
        <f>VLOOKUP(Table7[[#This Row],[Baseline Fixture Code]], 'Tables &amp; Ranges'!$A$114:$B$132, 2, FALSE)</f>
        <v>101003</v>
      </c>
    </row>
    <row r="836" spans="2:12" ht="40" customHeight="1">
      <c r="B836" s="42">
        <v>1385</v>
      </c>
      <c r="C836" s="102" t="s">
        <v>2785</v>
      </c>
      <c r="D836" s="102" t="s">
        <v>2623</v>
      </c>
      <c r="E836" s="92" t="s">
        <v>2786</v>
      </c>
      <c r="F836" s="42">
        <v>1</v>
      </c>
      <c r="G836" s="42">
        <v>50</v>
      </c>
      <c r="H836" s="42">
        <v>44</v>
      </c>
      <c r="I836" s="42" t="s">
        <v>147</v>
      </c>
      <c r="J836" s="103" t="s">
        <v>3611</v>
      </c>
      <c r="K836" s="42" t="s">
        <v>3712</v>
      </c>
      <c r="L836" s="42">
        <f>VLOOKUP(Table7[[#This Row],[Baseline Fixture Code]], 'Tables &amp; Ranges'!$A$114:$B$132, 2, FALSE)</f>
        <v>101001</v>
      </c>
    </row>
    <row r="837" spans="2:12" ht="40" customHeight="1">
      <c r="B837" s="42">
        <v>1386</v>
      </c>
      <c r="C837" s="102" t="s">
        <v>2787</v>
      </c>
      <c r="D837" s="102" t="s">
        <v>2623</v>
      </c>
      <c r="E837" s="92" t="s">
        <v>2786</v>
      </c>
      <c r="F837" s="42">
        <v>1</v>
      </c>
      <c r="G837" s="42">
        <v>50</v>
      </c>
      <c r="H837" s="42">
        <v>63</v>
      </c>
      <c r="I837" s="42" t="s">
        <v>1457</v>
      </c>
      <c r="J837" s="103" t="s">
        <v>3611</v>
      </c>
      <c r="K837" s="42" t="s">
        <v>3712</v>
      </c>
      <c r="L837" s="42">
        <f>VLOOKUP(Table7[[#This Row],[Baseline Fixture Code]], 'Tables &amp; Ranges'!$A$114:$B$132, 2, FALSE)</f>
        <v>101001</v>
      </c>
    </row>
    <row r="838" spans="2:12" ht="40" customHeight="1">
      <c r="B838" s="42">
        <v>1387</v>
      </c>
      <c r="C838" s="102" t="s">
        <v>2788</v>
      </c>
      <c r="D838" s="102" t="s">
        <v>2623</v>
      </c>
      <c r="E838" s="92" t="s">
        <v>2789</v>
      </c>
      <c r="F838" s="42">
        <v>2</v>
      </c>
      <c r="G838" s="42">
        <v>50</v>
      </c>
      <c r="H838" s="42">
        <v>88</v>
      </c>
      <c r="I838" s="42" t="s">
        <v>147</v>
      </c>
      <c r="J838" s="103" t="s">
        <v>3611</v>
      </c>
      <c r="K838" s="42" t="s">
        <v>3712</v>
      </c>
      <c r="L838" s="42">
        <f>VLOOKUP(Table7[[#This Row],[Baseline Fixture Code]], 'Tables &amp; Ranges'!$A$114:$B$132, 2, FALSE)</f>
        <v>101001</v>
      </c>
    </row>
    <row r="839" spans="2:12" ht="40" customHeight="1">
      <c r="B839" s="42">
        <v>1388</v>
      </c>
      <c r="C839" s="102" t="s">
        <v>2790</v>
      </c>
      <c r="D839" s="102" t="s">
        <v>2623</v>
      </c>
      <c r="E839" s="92" t="s">
        <v>2789</v>
      </c>
      <c r="F839" s="42">
        <v>2</v>
      </c>
      <c r="G839" s="42">
        <v>50</v>
      </c>
      <c r="H839" s="42">
        <v>128</v>
      </c>
      <c r="I839" s="42" t="s">
        <v>1457</v>
      </c>
      <c r="J839" s="103" t="s">
        <v>3611</v>
      </c>
      <c r="K839" s="42" t="s">
        <v>3712</v>
      </c>
      <c r="L839" s="42">
        <f>VLOOKUP(Table7[[#This Row],[Baseline Fixture Code]], 'Tables &amp; Ranges'!$A$114:$B$132, 2, FALSE)</f>
        <v>101001</v>
      </c>
    </row>
    <row r="840" spans="2:12" ht="40" customHeight="1">
      <c r="B840" s="42">
        <v>1554</v>
      </c>
      <c r="C840" s="102" t="s">
        <v>3101</v>
      </c>
      <c r="D840" s="102" t="s">
        <v>107</v>
      </c>
      <c r="E840" s="92" t="s">
        <v>3102</v>
      </c>
      <c r="F840" s="42">
        <v>1</v>
      </c>
      <c r="G840" s="42">
        <v>50</v>
      </c>
      <c r="H840" s="42">
        <v>50</v>
      </c>
      <c r="I840" s="42" t="s">
        <v>146</v>
      </c>
      <c r="J840" s="103" t="s">
        <v>3611</v>
      </c>
      <c r="K840" s="42" t="s">
        <v>107</v>
      </c>
      <c r="L840" s="42">
        <f>VLOOKUP(Table7[[#This Row],[Baseline Fixture Code]], 'Tables &amp; Ranges'!$A$114:$B$132, 2, FALSE)</f>
        <v>101106</v>
      </c>
    </row>
    <row r="841" spans="2:12" ht="40" customHeight="1">
      <c r="B841" s="42">
        <v>1695</v>
      </c>
      <c r="C841" s="102" t="s">
        <v>3384</v>
      </c>
      <c r="D841" s="102" t="s">
        <v>3382</v>
      </c>
      <c r="E841" s="92" t="s">
        <v>3385</v>
      </c>
      <c r="F841" s="42">
        <v>1</v>
      </c>
      <c r="G841" s="42">
        <v>50</v>
      </c>
      <c r="H841" s="42">
        <v>66</v>
      </c>
      <c r="I841" s="42" t="s">
        <v>146</v>
      </c>
      <c r="J841" s="103" t="s">
        <v>3611</v>
      </c>
      <c r="K841" s="95" t="s">
        <v>4044</v>
      </c>
      <c r="L841" s="42">
        <f>VLOOKUP(Table7[[#This Row],[Baseline Fixture Code]], 'Tables &amp; Ranges'!$A$114:$B$132, 2, FALSE)</f>
        <v>101136</v>
      </c>
    </row>
    <row r="842" spans="2:12" ht="40" customHeight="1">
      <c r="B842" s="42">
        <v>1710</v>
      </c>
      <c r="C842" s="102" t="s">
        <v>3415</v>
      </c>
      <c r="D842" s="102" t="s">
        <v>3382</v>
      </c>
      <c r="E842" s="92" t="s">
        <v>3416</v>
      </c>
      <c r="F842" s="42">
        <v>1</v>
      </c>
      <c r="G842" s="42">
        <v>50</v>
      </c>
      <c r="H842" s="42">
        <v>64</v>
      </c>
      <c r="I842" s="42" t="s">
        <v>3410</v>
      </c>
      <c r="J842" s="103" t="s">
        <v>3611</v>
      </c>
      <c r="K842" s="42" t="s">
        <v>4038</v>
      </c>
      <c r="L842" s="42">
        <f>VLOOKUP(Table7[[#This Row],[Baseline Fixture Code]], 'Tables &amp; Ranges'!$A$114:$B$132, 2, FALSE)</f>
        <v>101108</v>
      </c>
    </row>
    <row r="843" spans="2:12" ht="40" customHeight="1">
      <c r="B843" s="42">
        <v>1711</v>
      </c>
      <c r="C843" s="102" t="s">
        <v>3417</v>
      </c>
      <c r="D843" s="102" t="s">
        <v>3382</v>
      </c>
      <c r="E843" s="92" t="s">
        <v>3418</v>
      </c>
      <c r="F843" s="42">
        <v>1</v>
      </c>
      <c r="G843" s="42">
        <v>50</v>
      </c>
      <c r="H843" s="42">
        <v>56</v>
      </c>
      <c r="I843" s="42" t="s">
        <v>147</v>
      </c>
      <c r="J843" s="103" t="s">
        <v>3611</v>
      </c>
      <c r="K843" s="42" t="s">
        <v>4038</v>
      </c>
      <c r="L843" s="42">
        <f>VLOOKUP(Table7[[#This Row],[Baseline Fixture Code]], 'Tables &amp; Ranges'!$A$114:$B$132, 2, FALSE)</f>
        <v>101108</v>
      </c>
    </row>
    <row r="844" spans="2:12" ht="40" customHeight="1">
      <c r="B844" s="42">
        <v>1744</v>
      </c>
      <c r="C844" s="102" t="s">
        <v>3483</v>
      </c>
      <c r="D844" s="102" t="s">
        <v>3382</v>
      </c>
      <c r="E844" s="92" t="s">
        <v>3484</v>
      </c>
      <c r="F844" s="42">
        <v>1</v>
      </c>
      <c r="G844" s="42">
        <v>50</v>
      </c>
      <c r="H844" s="42">
        <v>74</v>
      </c>
      <c r="I844" s="42" t="s">
        <v>146</v>
      </c>
      <c r="J844" s="103" t="s">
        <v>3611</v>
      </c>
      <c r="K844" s="42" t="s">
        <v>4043</v>
      </c>
      <c r="L844" s="42">
        <f>VLOOKUP(Table7[[#This Row],[Baseline Fixture Code]], 'Tables &amp; Ranges'!$A$114:$B$132, 2, FALSE)</f>
        <v>101110</v>
      </c>
    </row>
    <row r="845" spans="2:12" ht="40" customHeight="1">
      <c r="B845" s="42">
        <v>1555</v>
      </c>
      <c r="C845" s="102" t="s">
        <v>3103</v>
      </c>
      <c r="D845" s="102" t="s">
        <v>107</v>
      </c>
      <c r="E845" s="92" t="s">
        <v>3104</v>
      </c>
      <c r="F845" s="42">
        <v>1</v>
      </c>
      <c r="G845" s="42">
        <v>51</v>
      </c>
      <c r="H845" s="42">
        <v>51</v>
      </c>
      <c r="I845" s="42" t="s">
        <v>146</v>
      </c>
      <c r="J845" s="103" t="s">
        <v>3611</v>
      </c>
      <c r="K845" s="42" t="s">
        <v>107</v>
      </c>
      <c r="L845" s="42">
        <f>VLOOKUP(Table7[[#This Row],[Baseline Fixture Code]], 'Tables &amp; Ranges'!$A$114:$B$132, 2, FALSE)</f>
        <v>101106</v>
      </c>
    </row>
    <row r="846" spans="2:12" ht="40" customHeight="1">
      <c r="B846" s="42">
        <v>1556</v>
      </c>
      <c r="C846" s="102" t="s">
        <v>3105</v>
      </c>
      <c r="D846" s="102" t="s">
        <v>107</v>
      </c>
      <c r="E846" s="92" t="s">
        <v>3106</v>
      </c>
      <c r="F846" s="42">
        <v>1</v>
      </c>
      <c r="G846" s="42">
        <v>52</v>
      </c>
      <c r="H846" s="42">
        <v>52</v>
      </c>
      <c r="I846" s="42" t="s">
        <v>146</v>
      </c>
      <c r="J846" s="103" t="s">
        <v>3611</v>
      </c>
      <c r="K846" s="42" t="s">
        <v>107</v>
      </c>
      <c r="L846" s="42">
        <f>VLOOKUP(Table7[[#This Row],[Baseline Fixture Code]], 'Tables &amp; Ranges'!$A$114:$B$132, 2, FALSE)</f>
        <v>101106</v>
      </c>
    </row>
    <row r="847" spans="2:12" ht="40" customHeight="1">
      <c r="B847" s="42">
        <v>1557</v>
      </c>
      <c r="C847" s="102" t="s">
        <v>3107</v>
      </c>
      <c r="D847" s="102" t="s">
        <v>107</v>
      </c>
      <c r="E847" s="92" t="s">
        <v>3108</v>
      </c>
      <c r="F847" s="42">
        <v>1</v>
      </c>
      <c r="G847" s="42">
        <v>53</v>
      </c>
      <c r="H847" s="42">
        <v>53</v>
      </c>
      <c r="I847" s="42" t="s">
        <v>146</v>
      </c>
      <c r="J847" s="103" t="s">
        <v>3611</v>
      </c>
      <c r="K847" s="42" t="s">
        <v>107</v>
      </c>
      <c r="L847" s="42">
        <f>VLOOKUP(Table7[[#This Row],[Baseline Fixture Code]], 'Tables &amp; Ranges'!$A$114:$B$132, 2, FALSE)</f>
        <v>101106</v>
      </c>
    </row>
    <row r="848" spans="2:12" ht="40" customHeight="1">
      <c r="B848" s="42">
        <v>840</v>
      </c>
      <c r="C848" s="102" t="s">
        <v>1825</v>
      </c>
      <c r="D848" s="102" t="s">
        <v>1737</v>
      </c>
      <c r="E848" s="92" t="s">
        <v>1826</v>
      </c>
      <c r="F848" s="42">
        <v>10</v>
      </c>
      <c r="G848" s="42">
        <v>54</v>
      </c>
      <c r="H848" s="42">
        <v>577</v>
      </c>
      <c r="I848" s="42" t="s">
        <v>1743</v>
      </c>
      <c r="J848" s="103" t="s">
        <v>3611</v>
      </c>
      <c r="K848" s="42" t="s">
        <v>4036</v>
      </c>
      <c r="L848" s="42">
        <f>VLOOKUP(Table7[[#This Row],[Baseline Fixture Code]], 'Tables &amp; Ranges'!$A$114:$B$132, 2, FALSE)</f>
        <v>101003</v>
      </c>
    </row>
    <row r="849" spans="2:12" ht="40" customHeight="1">
      <c r="B849" s="42">
        <v>841</v>
      </c>
      <c r="C849" s="102" t="s">
        <v>1827</v>
      </c>
      <c r="D849" s="102" t="s">
        <v>1737</v>
      </c>
      <c r="E849" s="92" t="s">
        <v>1828</v>
      </c>
      <c r="F849" s="42">
        <v>10</v>
      </c>
      <c r="G849" s="42">
        <v>54</v>
      </c>
      <c r="H849" s="42">
        <v>585</v>
      </c>
      <c r="I849" s="42" t="s">
        <v>1743</v>
      </c>
      <c r="J849" s="103" t="s">
        <v>3611</v>
      </c>
      <c r="K849" s="42" t="s">
        <v>4036</v>
      </c>
      <c r="L849" s="42">
        <f>VLOOKUP(Table7[[#This Row],[Baseline Fixture Code]], 'Tables &amp; Ranges'!$A$114:$B$132, 2, FALSE)</f>
        <v>101003</v>
      </c>
    </row>
    <row r="850" spans="2:12" ht="40" customHeight="1">
      <c r="B850" s="42">
        <v>842</v>
      </c>
      <c r="C850" s="102" t="s">
        <v>1829</v>
      </c>
      <c r="D850" s="102" t="s">
        <v>1737</v>
      </c>
      <c r="E850" s="92" t="s">
        <v>1830</v>
      </c>
      <c r="F850" s="42">
        <v>12</v>
      </c>
      <c r="G850" s="42">
        <v>54</v>
      </c>
      <c r="H850" s="42">
        <v>690</v>
      </c>
      <c r="I850" s="42" t="s">
        <v>1743</v>
      </c>
      <c r="J850" s="103" t="s">
        <v>3611</v>
      </c>
      <c r="K850" s="42" t="s">
        <v>4036</v>
      </c>
      <c r="L850" s="42">
        <f>VLOOKUP(Table7[[#This Row],[Baseline Fixture Code]], 'Tables &amp; Ranges'!$A$114:$B$132, 2, FALSE)</f>
        <v>101003</v>
      </c>
    </row>
    <row r="851" spans="2:12" ht="40" customHeight="1">
      <c r="B851" s="42">
        <v>843</v>
      </c>
      <c r="C851" s="102" t="s">
        <v>1831</v>
      </c>
      <c r="D851" s="102" t="s">
        <v>1737</v>
      </c>
      <c r="E851" s="92" t="s">
        <v>1832</v>
      </c>
      <c r="F851" s="42">
        <v>12</v>
      </c>
      <c r="G851" s="42">
        <v>54</v>
      </c>
      <c r="H851" s="42">
        <v>702</v>
      </c>
      <c r="I851" s="42" t="s">
        <v>1743</v>
      </c>
      <c r="J851" s="103" t="s">
        <v>3611</v>
      </c>
      <c r="K851" s="42" t="s">
        <v>4036</v>
      </c>
      <c r="L851" s="42">
        <f>VLOOKUP(Table7[[#This Row],[Baseline Fixture Code]], 'Tables &amp; Ranges'!$A$114:$B$132, 2, FALSE)</f>
        <v>101003</v>
      </c>
    </row>
    <row r="852" spans="2:12" ht="40" customHeight="1">
      <c r="B852" s="42">
        <v>828</v>
      </c>
      <c r="C852" s="102" t="s">
        <v>1800</v>
      </c>
      <c r="D852" s="102" t="s">
        <v>1737</v>
      </c>
      <c r="E852" s="92" t="s">
        <v>1801</v>
      </c>
      <c r="F852" s="42">
        <v>1</v>
      </c>
      <c r="G852" s="42">
        <v>54</v>
      </c>
      <c r="H852" s="42">
        <v>59</v>
      </c>
      <c r="I852" s="42" t="s">
        <v>1743</v>
      </c>
      <c r="J852" s="103" t="s">
        <v>3611</v>
      </c>
      <c r="K852" s="42" t="s">
        <v>4036</v>
      </c>
      <c r="L852" s="42">
        <f>VLOOKUP(Table7[[#This Row],[Baseline Fixture Code]], 'Tables &amp; Ranges'!$A$114:$B$132, 2, FALSE)</f>
        <v>101003</v>
      </c>
    </row>
    <row r="853" spans="2:12" ht="40" customHeight="1">
      <c r="B853" s="42">
        <v>827</v>
      </c>
      <c r="C853" s="102" t="s">
        <v>1798</v>
      </c>
      <c r="D853" s="102" t="s">
        <v>1737</v>
      </c>
      <c r="E853" s="92" t="s">
        <v>1799</v>
      </c>
      <c r="F853" s="42">
        <v>1</v>
      </c>
      <c r="G853" s="42">
        <v>54</v>
      </c>
      <c r="H853" s="42">
        <v>64</v>
      </c>
      <c r="I853" s="42" t="s">
        <v>1743</v>
      </c>
      <c r="J853" s="103" t="s">
        <v>3611</v>
      </c>
      <c r="K853" s="42" t="s">
        <v>4036</v>
      </c>
      <c r="L853" s="42">
        <f>VLOOKUP(Table7[[#This Row],[Baseline Fixture Code]], 'Tables &amp; Ranges'!$A$114:$B$132, 2, FALSE)</f>
        <v>101003</v>
      </c>
    </row>
    <row r="854" spans="2:12" ht="40" customHeight="1">
      <c r="B854" s="42">
        <v>829</v>
      </c>
      <c r="C854" s="102" t="s">
        <v>1802</v>
      </c>
      <c r="D854" s="102" t="s">
        <v>1737</v>
      </c>
      <c r="E854" s="92" t="s">
        <v>1803</v>
      </c>
      <c r="F854" s="42">
        <v>2</v>
      </c>
      <c r="G854" s="42">
        <v>54</v>
      </c>
      <c r="H854" s="42">
        <v>117</v>
      </c>
      <c r="I854" s="42" t="s">
        <v>1743</v>
      </c>
      <c r="J854" s="103" t="s">
        <v>3611</v>
      </c>
      <c r="K854" s="42" t="s">
        <v>4036</v>
      </c>
      <c r="L854" s="42">
        <f>VLOOKUP(Table7[[#This Row],[Baseline Fixture Code]], 'Tables &amp; Ranges'!$A$114:$B$132, 2, FALSE)</f>
        <v>101003</v>
      </c>
    </row>
    <row r="855" spans="2:12" ht="40" customHeight="1">
      <c r="B855" s="42">
        <v>831</v>
      </c>
      <c r="C855" s="102" t="s">
        <v>1806</v>
      </c>
      <c r="D855" s="102" t="s">
        <v>1737</v>
      </c>
      <c r="E855" s="92" t="s">
        <v>1807</v>
      </c>
      <c r="F855" s="42">
        <v>3</v>
      </c>
      <c r="G855" s="42">
        <v>54</v>
      </c>
      <c r="H855" s="42">
        <v>181</v>
      </c>
      <c r="I855" s="42" t="s">
        <v>1743</v>
      </c>
      <c r="J855" s="103" t="s">
        <v>3611</v>
      </c>
      <c r="K855" s="42" t="s">
        <v>4036</v>
      </c>
      <c r="L855" s="42">
        <f>VLOOKUP(Table7[[#This Row],[Baseline Fixture Code]], 'Tables &amp; Ranges'!$A$114:$B$132, 2, FALSE)</f>
        <v>101003</v>
      </c>
    </row>
    <row r="856" spans="2:12" ht="40" customHeight="1">
      <c r="B856" s="42">
        <v>830</v>
      </c>
      <c r="C856" s="102" t="s">
        <v>1804</v>
      </c>
      <c r="D856" s="102" t="s">
        <v>1737</v>
      </c>
      <c r="E856" s="92" t="s">
        <v>1805</v>
      </c>
      <c r="F856" s="42">
        <v>3</v>
      </c>
      <c r="G856" s="42">
        <v>54</v>
      </c>
      <c r="H856" s="42">
        <v>181</v>
      </c>
      <c r="I856" s="42" t="s">
        <v>1743</v>
      </c>
      <c r="J856" s="103" t="s">
        <v>3611</v>
      </c>
      <c r="K856" s="42" t="s">
        <v>4036</v>
      </c>
      <c r="L856" s="42">
        <f>VLOOKUP(Table7[[#This Row],[Baseline Fixture Code]], 'Tables &amp; Ranges'!$A$114:$B$132, 2, FALSE)</f>
        <v>101003</v>
      </c>
    </row>
    <row r="857" spans="2:12" ht="40" customHeight="1">
      <c r="B857" s="42">
        <v>833</v>
      </c>
      <c r="C857" s="102" t="s">
        <v>1810</v>
      </c>
      <c r="D857" s="102" t="s">
        <v>1737</v>
      </c>
      <c r="E857" s="92" t="s">
        <v>1811</v>
      </c>
      <c r="F857" s="42">
        <v>4</v>
      </c>
      <c r="G857" s="42">
        <v>54</v>
      </c>
      <c r="H857" s="42">
        <v>234</v>
      </c>
      <c r="I857" s="42" t="s">
        <v>1743</v>
      </c>
      <c r="J857" s="103" t="s">
        <v>3611</v>
      </c>
      <c r="K857" s="42" t="s">
        <v>4036</v>
      </c>
      <c r="L857" s="42">
        <f>VLOOKUP(Table7[[#This Row],[Baseline Fixture Code]], 'Tables &amp; Ranges'!$A$114:$B$132, 2, FALSE)</f>
        <v>101003</v>
      </c>
    </row>
    <row r="858" spans="2:12" ht="40" customHeight="1">
      <c r="B858" s="42">
        <v>832</v>
      </c>
      <c r="C858" s="102" t="s">
        <v>1808</v>
      </c>
      <c r="D858" s="102" t="s">
        <v>1737</v>
      </c>
      <c r="E858" s="92" t="s">
        <v>1809</v>
      </c>
      <c r="F858" s="42">
        <v>4</v>
      </c>
      <c r="G858" s="42">
        <v>54</v>
      </c>
      <c r="H858" s="42">
        <v>230</v>
      </c>
      <c r="I858" s="42" t="s">
        <v>1743</v>
      </c>
      <c r="J858" s="103" t="s">
        <v>3611</v>
      </c>
      <c r="K858" s="42" t="s">
        <v>4036</v>
      </c>
      <c r="L858" s="42">
        <f>VLOOKUP(Table7[[#This Row],[Baseline Fixture Code]], 'Tables &amp; Ranges'!$A$114:$B$132, 2, FALSE)</f>
        <v>101003</v>
      </c>
    </row>
    <row r="859" spans="2:12" ht="40" customHeight="1">
      <c r="B859" s="42">
        <v>834</v>
      </c>
      <c r="C859" s="102" t="s">
        <v>1812</v>
      </c>
      <c r="D859" s="102" t="s">
        <v>1737</v>
      </c>
      <c r="E859" s="92" t="s">
        <v>1813</v>
      </c>
      <c r="F859" s="42">
        <v>5</v>
      </c>
      <c r="G859" s="42">
        <v>54</v>
      </c>
      <c r="H859" s="42">
        <v>298</v>
      </c>
      <c r="I859" s="42" t="s">
        <v>1743</v>
      </c>
      <c r="J859" s="103" t="s">
        <v>3611</v>
      </c>
      <c r="K859" s="42" t="s">
        <v>4036</v>
      </c>
      <c r="L859" s="42">
        <f>VLOOKUP(Table7[[#This Row],[Baseline Fixture Code]], 'Tables &amp; Ranges'!$A$114:$B$132, 2, FALSE)</f>
        <v>101003</v>
      </c>
    </row>
    <row r="860" spans="2:12" ht="40" customHeight="1">
      <c r="B860" s="42">
        <v>836</v>
      </c>
      <c r="C860" s="102" t="s">
        <v>1817</v>
      </c>
      <c r="D860" s="102" t="s">
        <v>1737</v>
      </c>
      <c r="E860" s="92" t="s">
        <v>1818</v>
      </c>
      <c r="F860" s="42">
        <v>6</v>
      </c>
      <c r="G860" s="42">
        <v>54</v>
      </c>
      <c r="H860" s="42">
        <v>362</v>
      </c>
      <c r="I860" s="42" t="s">
        <v>1743</v>
      </c>
      <c r="J860" s="103" t="s">
        <v>3611</v>
      </c>
      <c r="K860" s="42" t="s">
        <v>4036</v>
      </c>
      <c r="L860" s="42">
        <f>VLOOKUP(Table7[[#This Row],[Baseline Fixture Code]], 'Tables &amp; Ranges'!$A$114:$B$132, 2, FALSE)</f>
        <v>101003</v>
      </c>
    </row>
    <row r="861" spans="2:12" ht="40" customHeight="1">
      <c r="B861" s="42">
        <v>837</v>
      </c>
      <c r="C861" s="102" t="s">
        <v>1819</v>
      </c>
      <c r="D861" s="102" t="s">
        <v>1737</v>
      </c>
      <c r="E861" s="92" t="s">
        <v>1820</v>
      </c>
      <c r="F861" s="42">
        <v>6</v>
      </c>
      <c r="G861" s="42">
        <v>54</v>
      </c>
      <c r="H861" s="42">
        <v>351</v>
      </c>
      <c r="I861" s="42" t="s">
        <v>1743</v>
      </c>
      <c r="J861" s="103" t="s">
        <v>3611</v>
      </c>
      <c r="K861" s="42" t="s">
        <v>4036</v>
      </c>
      <c r="L861" s="42">
        <f>VLOOKUP(Table7[[#This Row],[Baseline Fixture Code]], 'Tables &amp; Ranges'!$A$114:$B$132, 2, FALSE)</f>
        <v>101003</v>
      </c>
    </row>
    <row r="862" spans="2:12" ht="40" customHeight="1">
      <c r="B862" s="42">
        <v>825</v>
      </c>
      <c r="C862" s="102" t="s">
        <v>1794</v>
      </c>
      <c r="D862" s="102" t="s">
        <v>1737</v>
      </c>
      <c r="E862" s="92" t="s">
        <v>1795</v>
      </c>
      <c r="F862" s="42">
        <v>6</v>
      </c>
      <c r="G862" s="42">
        <v>54</v>
      </c>
      <c r="H862" s="42">
        <v>332</v>
      </c>
      <c r="I862" s="42" t="s">
        <v>1743</v>
      </c>
      <c r="J862" s="103" t="s">
        <v>3611</v>
      </c>
      <c r="K862" s="42" t="s">
        <v>4036</v>
      </c>
      <c r="L862" s="42">
        <f>VLOOKUP(Table7[[#This Row],[Baseline Fixture Code]], 'Tables &amp; Ranges'!$A$114:$B$132, 2, FALSE)</f>
        <v>101003</v>
      </c>
    </row>
    <row r="863" spans="2:12" ht="40" customHeight="1">
      <c r="B863" s="42">
        <v>826</v>
      </c>
      <c r="C863" s="102" t="s">
        <v>1796</v>
      </c>
      <c r="D863" s="102" t="s">
        <v>1737</v>
      </c>
      <c r="E863" s="92" t="s">
        <v>1797</v>
      </c>
      <c r="F863" s="42">
        <v>6</v>
      </c>
      <c r="G863" s="42">
        <v>54</v>
      </c>
      <c r="H863" s="42">
        <v>330</v>
      </c>
      <c r="I863" s="42" t="s">
        <v>1743</v>
      </c>
      <c r="J863" s="103" t="s">
        <v>3611</v>
      </c>
      <c r="K863" s="42" t="s">
        <v>4036</v>
      </c>
      <c r="L863" s="42">
        <f>VLOOKUP(Table7[[#This Row],[Baseline Fixture Code]], 'Tables &amp; Ranges'!$A$114:$B$132, 2, FALSE)</f>
        <v>101003</v>
      </c>
    </row>
    <row r="864" spans="2:12" ht="40" customHeight="1">
      <c r="B864" s="42">
        <v>838</v>
      </c>
      <c r="C864" s="102" t="s">
        <v>1821</v>
      </c>
      <c r="D864" s="102" t="s">
        <v>1737</v>
      </c>
      <c r="E864" s="92" t="s">
        <v>1822</v>
      </c>
      <c r="F864" s="42">
        <v>8</v>
      </c>
      <c r="G864" s="42">
        <v>54</v>
      </c>
      <c r="H864" s="42">
        <v>460</v>
      </c>
      <c r="I864" s="42" t="s">
        <v>1743</v>
      </c>
      <c r="J864" s="103" t="s">
        <v>3611</v>
      </c>
      <c r="K864" s="42" t="s">
        <v>4036</v>
      </c>
      <c r="L864" s="42">
        <f>VLOOKUP(Table7[[#This Row],[Baseline Fixture Code]], 'Tables &amp; Ranges'!$A$114:$B$132, 2, FALSE)</f>
        <v>101003</v>
      </c>
    </row>
    <row r="865" spans="2:12" ht="40" customHeight="1">
      <c r="B865" s="42">
        <v>839</v>
      </c>
      <c r="C865" s="102" t="s">
        <v>1823</v>
      </c>
      <c r="D865" s="102" t="s">
        <v>1737</v>
      </c>
      <c r="E865" s="92" t="s">
        <v>1824</v>
      </c>
      <c r="F865" s="42">
        <v>8</v>
      </c>
      <c r="G865" s="42">
        <v>54</v>
      </c>
      <c r="H865" s="42">
        <v>468</v>
      </c>
      <c r="I865" s="42" t="s">
        <v>1743</v>
      </c>
      <c r="J865" s="103" t="s">
        <v>3611</v>
      </c>
      <c r="K865" s="42" t="s">
        <v>4036</v>
      </c>
      <c r="L865" s="42">
        <f>VLOOKUP(Table7[[#This Row],[Baseline Fixture Code]], 'Tables &amp; Ranges'!$A$114:$B$132, 2, FALSE)</f>
        <v>101003</v>
      </c>
    </row>
    <row r="866" spans="2:12" ht="40" customHeight="1">
      <c r="B866" s="42">
        <v>1260</v>
      </c>
      <c r="C866" s="102" t="s">
        <v>2544</v>
      </c>
      <c r="D866" s="102" t="s">
        <v>1858</v>
      </c>
      <c r="E866" s="92" t="s">
        <v>2545</v>
      </c>
      <c r="F866" s="42">
        <v>1</v>
      </c>
      <c r="G866" s="42">
        <v>54</v>
      </c>
      <c r="H866" s="42">
        <v>61</v>
      </c>
      <c r="I866" s="42" t="s">
        <v>1881</v>
      </c>
      <c r="J866" s="103" t="s">
        <v>3611</v>
      </c>
      <c r="K866" s="42" t="s">
        <v>4037</v>
      </c>
      <c r="L866" s="42">
        <f>VLOOKUP(Table7[[#This Row],[Baseline Fixture Code]], 'Tables &amp; Ranges'!$A$114:$B$132, 2, FALSE)</f>
        <v>101002</v>
      </c>
    </row>
    <row r="867" spans="2:12" ht="40" customHeight="1">
      <c r="B867" s="42">
        <v>1261</v>
      </c>
      <c r="C867" s="102" t="s">
        <v>2546</v>
      </c>
      <c r="D867" s="102" t="s">
        <v>1858</v>
      </c>
      <c r="E867" s="92" t="s">
        <v>2547</v>
      </c>
      <c r="F867" s="42">
        <v>2</v>
      </c>
      <c r="G867" s="42">
        <v>54</v>
      </c>
      <c r="H867" s="42">
        <v>93</v>
      </c>
      <c r="I867" s="42" t="s">
        <v>1881</v>
      </c>
      <c r="J867" s="103" t="s">
        <v>3611</v>
      </c>
      <c r="K867" s="42" t="s">
        <v>4037</v>
      </c>
      <c r="L867" s="42">
        <f>VLOOKUP(Table7[[#This Row],[Baseline Fixture Code]], 'Tables &amp; Ranges'!$A$114:$B$132, 2, FALSE)</f>
        <v>101002</v>
      </c>
    </row>
    <row r="868" spans="2:12" ht="40" customHeight="1">
      <c r="B868" s="42">
        <v>1558</v>
      </c>
      <c r="C868" s="102" t="s">
        <v>3109</v>
      </c>
      <c r="D868" s="102" t="s">
        <v>107</v>
      </c>
      <c r="E868" s="92" t="s">
        <v>3110</v>
      </c>
      <c r="F868" s="42">
        <v>1</v>
      </c>
      <c r="G868" s="42">
        <v>54</v>
      </c>
      <c r="H868" s="42">
        <v>54</v>
      </c>
      <c r="I868" s="42" t="s">
        <v>146</v>
      </c>
      <c r="J868" s="103" t="s">
        <v>3611</v>
      </c>
      <c r="K868" s="42" t="s">
        <v>107</v>
      </c>
      <c r="L868" s="42">
        <f>VLOOKUP(Table7[[#This Row],[Baseline Fixture Code]], 'Tables &amp; Ranges'!$A$114:$B$132, 2, FALSE)</f>
        <v>101106</v>
      </c>
    </row>
    <row r="869" spans="2:12" ht="40" customHeight="1">
      <c r="B869" s="42">
        <v>1376</v>
      </c>
      <c r="C869" s="102" t="s">
        <v>2767</v>
      </c>
      <c r="D869" s="102" t="s">
        <v>2623</v>
      </c>
      <c r="E869" s="92" t="s">
        <v>2768</v>
      </c>
      <c r="F869" s="42">
        <v>1</v>
      </c>
      <c r="G869" s="42">
        <v>55</v>
      </c>
      <c r="H869" s="42">
        <v>80</v>
      </c>
      <c r="I869" s="42" t="s">
        <v>1457</v>
      </c>
      <c r="J869" s="103" t="s">
        <v>131</v>
      </c>
      <c r="K869" s="42" t="s">
        <v>3712</v>
      </c>
      <c r="L869" s="42">
        <f>VLOOKUP(Table7[[#This Row],[Baseline Fixture Code]], 'Tables &amp; Ranges'!$A$114:$B$132, 2, FALSE)</f>
        <v>101001</v>
      </c>
    </row>
    <row r="870" spans="2:12" ht="40" customHeight="1">
      <c r="B870" s="42">
        <v>1366</v>
      </c>
      <c r="C870" s="102" t="s">
        <v>2747</v>
      </c>
      <c r="D870" s="102" t="s">
        <v>2623</v>
      </c>
      <c r="E870" s="92" t="s">
        <v>2748</v>
      </c>
      <c r="F870" s="42">
        <v>2</v>
      </c>
      <c r="G870" s="42">
        <v>55</v>
      </c>
      <c r="H870" s="42">
        <v>135</v>
      </c>
      <c r="I870" s="42" t="s">
        <v>1457</v>
      </c>
      <c r="J870" s="103" t="s">
        <v>3611</v>
      </c>
      <c r="K870" s="42" t="s">
        <v>3712</v>
      </c>
      <c r="L870" s="42">
        <f>VLOOKUP(Table7[[#This Row],[Baseline Fixture Code]], 'Tables &amp; Ranges'!$A$114:$B$132, 2, FALSE)</f>
        <v>101001</v>
      </c>
    </row>
    <row r="871" spans="2:12" ht="40" customHeight="1">
      <c r="B871" s="42">
        <v>1367</v>
      </c>
      <c r="C871" s="102" t="s">
        <v>2749</v>
      </c>
      <c r="D871" s="102" t="s">
        <v>2623</v>
      </c>
      <c r="E871" s="92" t="s">
        <v>2750</v>
      </c>
      <c r="F871" s="42">
        <v>3</v>
      </c>
      <c r="G871" s="42">
        <v>55</v>
      </c>
      <c r="H871" s="42">
        <v>215</v>
      </c>
      <c r="I871" s="42" t="s">
        <v>1457</v>
      </c>
      <c r="J871" s="103" t="s">
        <v>3611</v>
      </c>
      <c r="K871" s="42" t="s">
        <v>3712</v>
      </c>
      <c r="L871" s="42">
        <f>VLOOKUP(Table7[[#This Row],[Baseline Fixture Code]], 'Tables &amp; Ranges'!$A$114:$B$132, 2, FALSE)</f>
        <v>101001</v>
      </c>
    </row>
    <row r="872" spans="2:12" ht="40" customHeight="1">
      <c r="B872" s="42">
        <v>1377</v>
      </c>
      <c r="C872" s="102" t="s">
        <v>2769</v>
      </c>
      <c r="D872" s="102" t="s">
        <v>2623</v>
      </c>
      <c r="E872" s="92" t="s">
        <v>2770</v>
      </c>
      <c r="F872" s="42">
        <v>4</v>
      </c>
      <c r="G872" s="42">
        <v>55</v>
      </c>
      <c r="H872" s="42">
        <v>270</v>
      </c>
      <c r="I872" s="42" t="s">
        <v>1457</v>
      </c>
      <c r="J872" s="103" t="s">
        <v>131</v>
      </c>
      <c r="K872" s="42" t="s">
        <v>3712</v>
      </c>
      <c r="L872" s="42">
        <f>VLOOKUP(Table7[[#This Row],[Baseline Fixture Code]], 'Tables &amp; Ranges'!$A$114:$B$132, 2, FALSE)</f>
        <v>101001</v>
      </c>
    </row>
    <row r="873" spans="2:12" ht="40" customHeight="1">
      <c r="B873" s="42">
        <v>1397</v>
      </c>
      <c r="C873" s="102" t="s">
        <v>2803</v>
      </c>
      <c r="D873" s="102" t="s">
        <v>2623</v>
      </c>
      <c r="E873" s="92" t="s">
        <v>2804</v>
      </c>
      <c r="F873" s="42">
        <v>1</v>
      </c>
      <c r="G873" s="42">
        <v>55</v>
      </c>
      <c r="H873" s="42">
        <v>68</v>
      </c>
      <c r="I873" s="42" t="s">
        <v>147</v>
      </c>
      <c r="J873" s="103" t="s">
        <v>3611</v>
      </c>
      <c r="K873" s="42" t="s">
        <v>3712</v>
      </c>
      <c r="L873" s="42">
        <f>VLOOKUP(Table7[[#This Row],[Baseline Fixture Code]], 'Tables &amp; Ranges'!$A$114:$B$132, 2, FALSE)</f>
        <v>101001</v>
      </c>
    </row>
    <row r="874" spans="2:12" ht="40" customHeight="1">
      <c r="B874" s="42">
        <v>1399</v>
      </c>
      <c r="C874" s="102" t="s">
        <v>2807</v>
      </c>
      <c r="D874" s="102" t="s">
        <v>2623</v>
      </c>
      <c r="E874" s="92" t="s">
        <v>2808</v>
      </c>
      <c r="F874" s="42">
        <v>1</v>
      </c>
      <c r="G874" s="42">
        <v>55</v>
      </c>
      <c r="H874" s="42">
        <v>76</v>
      </c>
      <c r="I874" s="42" t="s">
        <v>1457</v>
      </c>
      <c r="J874" s="103" t="s">
        <v>3611</v>
      </c>
      <c r="K874" s="42" t="s">
        <v>3712</v>
      </c>
      <c r="L874" s="42">
        <f>VLOOKUP(Table7[[#This Row],[Baseline Fixture Code]], 'Tables &amp; Ranges'!$A$114:$B$132, 2, FALSE)</f>
        <v>101001</v>
      </c>
    </row>
    <row r="875" spans="2:12" ht="40" customHeight="1">
      <c r="B875" s="42">
        <v>1400</v>
      </c>
      <c r="C875" s="102" t="s">
        <v>2809</v>
      </c>
      <c r="D875" s="102" t="s">
        <v>2623</v>
      </c>
      <c r="E875" s="92" t="s">
        <v>2810</v>
      </c>
      <c r="F875" s="42">
        <v>2</v>
      </c>
      <c r="G875" s="42">
        <v>55</v>
      </c>
      <c r="H875" s="42">
        <v>108</v>
      </c>
      <c r="I875" s="42" t="s">
        <v>147</v>
      </c>
      <c r="J875" s="103" t="s">
        <v>3611</v>
      </c>
      <c r="K875" s="42" t="s">
        <v>3712</v>
      </c>
      <c r="L875" s="42">
        <f>VLOOKUP(Table7[[#This Row],[Baseline Fixture Code]], 'Tables &amp; Ranges'!$A$114:$B$132, 2, FALSE)</f>
        <v>101001</v>
      </c>
    </row>
    <row r="876" spans="2:12" ht="40" customHeight="1">
      <c r="B876" s="42">
        <v>1401</v>
      </c>
      <c r="C876" s="102" t="s">
        <v>2811</v>
      </c>
      <c r="D876" s="102" t="s">
        <v>2623</v>
      </c>
      <c r="E876" s="92" t="s">
        <v>2812</v>
      </c>
      <c r="F876" s="42">
        <v>2</v>
      </c>
      <c r="G876" s="42">
        <v>55</v>
      </c>
      <c r="H876" s="42">
        <v>122</v>
      </c>
      <c r="I876" s="42" t="s">
        <v>2077</v>
      </c>
      <c r="J876" s="103" t="s">
        <v>3611</v>
      </c>
      <c r="K876" s="42" t="s">
        <v>3712</v>
      </c>
      <c r="L876" s="42">
        <f>VLOOKUP(Table7[[#This Row],[Baseline Fixture Code]], 'Tables &amp; Ranges'!$A$114:$B$132, 2, FALSE)</f>
        <v>101001</v>
      </c>
    </row>
    <row r="877" spans="2:12" ht="40" customHeight="1">
      <c r="B877" s="42">
        <v>1405</v>
      </c>
      <c r="C877" s="102" t="s">
        <v>2817</v>
      </c>
      <c r="D877" s="102" t="s">
        <v>2623</v>
      </c>
      <c r="E877" s="92" t="s">
        <v>2812</v>
      </c>
      <c r="F877" s="42">
        <v>2</v>
      </c>
      <c r="G877" s="42">
        <v>55</v>
      </c>
      <c r="H877" s="42">
        <v>108</v>
      </c>
      <c r="I877" s="42" t="s">
        <v>147</v>
      </c>
      <c r="J877" s="103" t="s">
        <v>3611</v>
      </c>
      <c r="K877" s="42" t="s">
        <v>3712</v>
      </c>
      <c r="L877" s="42">
        <f>VLOOKUP(Table7[[#This Row],[Baseline Fixture Code]], 'Tables &amp; Ranges'!$A$114:$B$132, 2, FALSE)</f>
        <v>101001</v>
      </c>
    </row>
    <row r="878" spans="2:12" ht="40" customHeight="1">
      <c r="B878" s="42">
        <v>1406</v>
      </c>
      <c r="C878" s="102" t="s">
        <v>2818</v>
      </c>
      <c r="D878" s="102" t="s">
        <v>2623</v>
      </c>
      <c r="E878" s="92" t="s">
        <v>2812</v>
      </c>
      <c r="F878" s="42">
        <v>2</v>
      </c>
      <c r="G878" s="42">
        <v>55</v>
      </c>
      <c r="H878" s="42">
        <v>142</v>
      </c>
      <c r="I878" s="42" t="s">
        <v>1457</v>
      </c>
      <c r="J878" s="103" t="s">
        <v>3611</v>
      </c>
      <c r="K878" s="42" t="s">
        <v>3712</v>
      </c>
      <c r="L878" s="42">
        <f>VLOOKUP(Table7[[#This Row],[Baseline Fixture Code]], 'Tables &amp; Ranges'!$A$114:$B$132, 2, FALSE)</f>
        <v>101001</v>
      </c>
    </row>
    <row r="879" spans="2:12" ht="40" customHeight="1">
      <c r="B879" s="42">
        <v>1407</v>
      </c>
      <c r="C879" s="102" t="s">
        <v>2819</v>
      </c>
      <c r="D879" s="102" t="s">
        <v>2623</v>
      </c>
      <c r="E879" s="92" t="s">
        <v>2820</v>
      </c>
      <c r="F879" s="42">
        <v>3</v>
      </c>
      <c r="G879" s="42">
        <v>55</v>
      </c>
      <c r="H879" s="42">
        <v>176</v>
      </c>
      <c r="I879" s="42" t="s">
        <v>147</v>
      </c>
      <c r="J879" s="103" t="s">
        <v>3611</v>
      </c>
      <c r="K879" s="42" t="s">
        <v>3712</v>
      </c>
      <c r="L879" s="42">
        <f>VLOOKUP(Table7[[#This Row],[Baseline Fixture Code]], 'Tables &amp; Ranges'!$A$114:$B$132, 2, FALSE)</f>
        <v>101001</v>
      </c>
    </row>
    <row r="880" spans="2:12" ht="40" customHeight="1">
      <c r="B880" s="42">
        <v>1408</v>
      </c>
      <c r="C880" s="102" t="s">
        <v>2821</v>
      </c>
      <c r="D880" s="102" t="s">
        <v>2623</v>
      </c>
      <c r="E880" s="92" t="s">
        <v>2822</v>
      </c>
      <c r="F880" s="42">
        <v>3</v>
      </c>
      <c r="G880" s="42">
        <v>55</v>
      </c>
      <c r="H880" s="42">
        <v>202</v>
      </c>
      <c r="I880" s="42" t="s">
        <v>1457</v>
      </c>
      <c r="J880" s="103" t="s">
        <v>3611</v>
      </c>
      <c r="K880" s="42" t="s">
        <v>3712</v>
      </c>
      <c r="L880" s="42">
        <f>VLOOKUP(Table7[[#This Row],[Baseline Fixture Code]], 'Tables &amp; Ranges'!$A$114:$B$132, 2, FALSE)</f>
        <v>101001</v>
      </c>
    </row>
    <row r="881" spans="2:12" ht="40" customHeight="1">
      <c r="B881" s="42">
        <v>1409</v>
      </c>
      <c r="C881" s="102" t="s">
        <v>2823</v>
      </c>
      <c r="D881" s="102" t="s">
        <v>2623</v>
      </c>
      <c r="E881" s="92" t="s">
        <v>2824</v>
      </c>
      <c r="F881" s="42">
        <v>4</v>
      </c>
      <c r="G881" s="42">
        <v>55</v>
      </c>
      <c r="H881" s="42">
        <v>216</v>
      </c>
      <c r="I881" s="42" t="s">
        <v>147</v>
      </c>
      <c r="J881" s="103" t="s">
        <v>3611</v>
      </c>
      <c r="K881" s="42" t="s">
        <v>3712</v>
      </c>
      <c r="L881" s="42">
        <f>VLOOKUP(Table7[[#This Row],[Baseline Fixture Code]], 'Tables &amp; Ranges'!$A$114:$B$132, 2, FALSE)</f>
        <v>101001</v>
      </c>
    </row>
    <row r="882" spans="2:12" ht="40" customHeight="1">
      <c r="B882" s="42">
        <v>1410</v>
      </c>
      <c r="C882" s="102" t="s">
        <v>2825</v>
      </c>
      <c r="D882" s="102" t="s">
        <v>2623</v>
      </c>
      <c r="E882" s="92" t="s">
        <v>2826</v>
      </c>
      <c r="F882" s="42">
        <v>4</v>
      </c>
      <c r="G882" s="42">
        <v>55</v>
      </c>
      <c r="H882" s="42">
        <v>244</v>
      </c>
      <c r="I882" s="42" t="s">
        <v>2077</v>
      </c>
      <c r="J882" s="103" t="s">
        <v>3611</v>
      </c>
      <c r="K882" s="42" t="s">
        <v>3712</v>
      </c>
      <c r="L882" s="42">
        <f>VLOOKUP(Table7[[#This Row],[Baseline Fixture Code]], 'Tables &amp; Ranges'!$A$114:$B$132, 2, FALSE)</f>
        <v>101001</v>
      </c>
    </row>
    <row r="883" spans="2:12" ht="40" customHeight="1">
      <c r="B883" s="42">
        <v>1477</v>
      </c>
      <c r="C883" s="102" t="s">
        <v>2948</v>
      </c>
      <c r="D883" s="102" t="s">
        <v>2946</v>
      </c>
      <c r="E883" s="92" t="s">
        <v>2949</v>
      </c>
      <c r="F883" s="42">
        <v>1</v>
      </c>
      <c r="G883" s="42">
        <v>55</v>
      </c>
      <c r="H883" s="42">
        <v>59</v>
      </c>
      <c r="I883" s="42" t="s">
        <v>147</v>
      </c>
      <c r="J883" s="103" t="s">
        <v>3611</v>
      </c>
      <c r="K883" s="42" t="s">
        <v>4045</v>
      </c>
      <c r="L883" s="42">
        <f>VLOOKUP(Table7[[#This Row],[Baseline Fixture Code]], 'Tables &amp; Ranges'!$A$114:$B$132, 2, FALSE)</f>
        <v>101113</v>
      </c>
    </row>
    <row r="884" spans="2:12" ht="40" customHeight="1">
      <c r="B884" s="42">
        <v>1559</v>
      </c>
      <c r="C884" s="102" t="s">
        <v>3111</v>
      </c>
      <c r="D884" s="102" t="s">
        <v>107</v>
      </c>
      <c r="E884" s="92" t="s">
        <v>3112</v>
      </c>
      <c r="F884" s="42">
        <v>1</v>
      </c>
      <c r="G884" s="42">
        <v>55</v>
      </c>
      <c r="H884" s="42">
        <v>55</v>
      </c>
      <c r="I884" s="42" t="s">
        <v>146</v>
      </c>
      <c r="J884" s="103" t="s">
        <v>3611</v>
      </c>
      <c r="K884" s="42" t="s">
        <v>107</v>
      </c>
      <c r="L884" s="42">
        <f>VLOOKUP(Table7[[#This Row],[Baseline Fixture Code]], 'Tables &amp; Ranges'!$A$114:$B$132, 2, FALSE)</f>
        <v>101106</v>
      </c>
    </row>
    <row r="885" spans="2:12" ht="40" customHeight="1">
      <c r="B885" s="42">
        <v>1411</v>
      </c>
      <c r="C885" s="102" t="s">
        <v>2827</v>
      </c>
      <c r="D885" s="102" t="s">
        <v>2623</v>
      </c>
      <c r="E885" s="92" t="s">
        <v>2826</v>
      </c>
      <c r="F885" s="42">
        <v>4</v>
      </c>
      <c r="G885" s="42">
        <v>56</v>
      </c>
      <c r="H885" s="42">
        <v>244</v>
      </c>
      <c r="I885" s="42" t="s">
        <v>1457</v>
      </c>
      <c r="J885" s="103" t="s">
        <v>3611</v>
      </c>
      <c r="K885" s="42" t="s">
        <v>3712</v>
      </c>
      <c r="L885" s="42">
        <f>VLOOKUP(Table7[[#This Row],[Baseline Fixture Code]], 'Tables &amp; Ranges'!$A$114:$B$132, 2, FALSE)</f>
        <v>101001</v>
      </c>
    </row>
    <row r="886" spans="2:12" ht="40" customHeight="1">
      <c r="B886" s="42">
        <v>1560</v>
      </c>
      <c r="C886" s="102" t="s">
        <v>3113</v>
      </c>
      <c r="D886" s="102" t="s">
        <v>107</v>
      </c>
      <c r="E886" s="92" t="s">
        <v>3114</v>
      </c>
      <c r="F886" s="42">
        <v>1</v>
      </c>
      <c r="G886" s="42">
        <v>56</v>
      </c>
      <c r="H886" s="42">
        <v>56</v>
      </c>
      <c r="I886" s="42" t="s">
        <v>146</v>
      </c>
      <c r="J886" s="103" t="s">
        <v>3611</v>
      </c>
      <c r="K886" s="42" t="s">
        <v>107</v>
      </c>
      <c r="L886" s="42">
        <f>VLOOKUP(Table7[[#This Row],[Baseline Fixture Code]], 'Tables &amp; Ranges'!$A$114:$B$132, 2, FALSE)</f>
        <v>101106</v>
      </c>
    </row>
    <row r="887" spans="2:12" ht="40" customHeight="1">
      <c r="B887" s="42">
        <v>1561</v>
      </c>
      <c r="C887" s="102" t="s">
        <v>3115</v>
      </c>
      <c r="D887" s="102" t="s">
        <v>107</v>
      </c>
      <c r="E887" s="92" t="s">
        <v>3116</v>
      </c>
      <c r="F887" s="42">
        <v>1</v>
      </c>
      <c r="G887" s="42">
        <v>57</v>
      </c>
      <c r="H887" s="42">
        <v>57</v>
      </c>
      <c r="I887" s="42" t="s">
        <v>146</v>
      </c>
      <c r="J887" s="103" t="s">
        <v>3611</v>
      </c>
      <c r="K887" s="42" t="s">
        <v>107</v>
      </c>
      <c r="L887" s="42">
        <f>VLOOKUP(Table7[[#This Row],[Baseline Fixture Code]], 'Tables &amp; Ranges'!$A$114:$B$132, 2, FALSE)</f>
        <v>101106</v>
      </c>
    </row>
    <row r="888" spans="2:12" ht="40" customHeight="1">
      <c r="B888" s="42">
        <v>1562</v>
      </c>
      <c r="C888" s="102" t="s">
        <v>3117</v>
      </c>
      <c r="D888" s="102" t="s">
        <v>107</v>
      </c>
      <c r="E888" s="92" t="s">
        <v>3118</v>
      </c>
      <c r="F888" s="42">
        <v>1</v>
      </c>
      <c r="G888" s="42">
        <v>58</v>
      </c>
      <c r="H888" s="42">
        <v>58</v>
      </c>
      <c r="I888" s="42" t="s">
        <v>146</v>
      </c>
      <c r="J888" s="103" t="s">
        <v>3611</v>
      </c>
      <c r="K888" s="42" t="s">
        <v>107</v>
      </c>
      <c r="L888" s="42">
        <f>VLOOKUP(Table7[[#This Row],[Baseline Fixture Code]], 'Tables &amp; Ranges'!$A$114:$B$132, 2, FALSE)</f>
        <v>101106</v>
      </c>
    </row>
    <row r="889" spans="2:12" ht="40" customHeight="1">
      <c r="B889" s="42">
        <v>1242</v>
      </c>
      <c r="C889" s="102" t="s">
        <v>2508</v>
      </c>
      <c r="D889" s="102" t="s">
        <v>1858</v>
      </c>
      <c r="E889" s="92" t="s">
        <v>2509</v>
      </c>
      <c r="F889" s="42">
        <v>1</v>
      </c>
      <c r="G889" s="42">
        <v>59</v>
      </c>
      <c r="H889" s="42">
        <v>69</v>
      </c>
      <c r="I889" s="42" t="s">
        <v>147</v>
      </c>
      <c r="J889" s="103" t="s">
        <v>3611</v>
      </c>
      <c r="K889" s="42" t="s">
        <v>4037</v>
      </c>
      <c r="L889" s="42">
        <f>VLOOKUP(Table7[[#This Row],[Baseline Fixture Code]], 'Tables &amp; Ranges'!$A$114:$B$132, 2, FALSE)</f>
        <v>101002</v>
      </c>
    </row>
    <row r="890" spans="2:12" ht="40" customHeight="1">
      <c r="B890" s="42">
        <v>1246</v>
      </c>
      <c r="C890" s="102" t="s">
        <v>2516</v>
      </c>
      <c r="D890" s="102" t="s">
        <v>1858</v>
      </c>
      <c r="E890" s="92" t="s">
        <v>2517</v>
      </c>
      <c r="F890" s="42">
        <v>1</v>
      </c>
      <c r="G890" s="42">
        <v>59</v>
      </c>
      <c r="H890" s="42">
        <v>55</v>
      </c>
      <c r="I890" s="42" t="s">
        <v>147</v>
      </c>
      <c r="J890" s="103" t="s">
        <v>3611</v>
      </c>
      <c r="K890" s="42" t="s">
        <v>4037</v>
      </c>
      <c r="L890" s="42">
        <f>VLOOKUP(Table7[[#This Row],[Baseline Fixture Code]], 'Tables &amp; Ranges'!$A$114:$B$132, 2, FALSE)</f>
        <v>101002</v>
      </c>
    </row>
    <row r="891" spans="2:12" ht="40" customHeight="1">
      <c r="B891" s="42">
        <v>1247</v>
      </c>
      <c r="C891" s="102" t="s">
        <v>2518</v>
      </c>
      <c r="D891" s="102" t="s">
        <v>1858</v>
      </c>
      <c r="E891" s="92" t="s">
        <v>2519</v>
      </c>
      <c r="F891" s="42">
        <v>1</v>
      </c>
      <c r="G891" s="42">
        <v>59</v>
      </c>
      <c r="H891" s="42">
        <v>50</v>
      </c>
      <c r="I891" s="42" t="s">
        <v>147</v>
      </c>
      <c r="J891" s="103" t="s">
        <v>3611</v>
      </c>
      <c r="K891" s="42" t="s">
        <v>4037</v>
      </c>
      <c r="L891" s="42">
        <f>VLOOKUP(Table7[[#This Row],[Baseline Fixture Code]], 'Tables &amp; Ranges'!$A$114:$B$132, 2, FALSE)</f>
        <v>101002</v>
      </c>
    </row>
    <row r="892" spans="2:12" ht="40" customHeight="1">
      <c r="B892" s="42">
        <v>1243</v>
      </c>
      <c r="C892" s="102" t="s">
        <v>2510</v>
      </c>
      <c r="D892" s="102" t="s">
        <v>1858</v>
      </c>
      <c r="E892" s="92" t="s">
        <v>2511</v>
      </c>
      <c r="F892" s="42">
        <v>1</v>
      </c>
      <c r="G892" s="42">
        <v>59</v>
      </c>
      <c r="H892" s="42">
        <v>70</v>
      </c>
      <c r="I892" s="42" t="s">
        <v>147</v>
      </c>
      <c r="J892" s="103" t="s">
        <v>3611</v>
      </c>
      <c r="K892" s="42" t="s">
        <v>4037</v>
      </c>
      <c r="L892" s="42">
        <f>VLOOKUP(Table7[[#This Row],[Baseline Fixture Code]], 'Tables &amp; Ranges'!$A$114:$B$132, 2, FALSE)</f>
        <v>101002</v>
      </c>
    </row>
    <row r="893" spans="2:12" ht="40" customHeight="1">
      <c r="B893" s="42">
        <v>1244</v>
      </c>
      <c r="C893" s="102" t="s">
        <v>2512</v>
      </c>
      <c r="D893" s="102" t="s">
        <v>1858</v>
      </c>
      <c r="E893" s="92" t="s">
        <v>2513</v>
      </c>
      <c r="F893" s="42">
        <v>1</v>
      </c>
      <c r="G893" s="42">
        <v>59</v>
      </c>
      <c r="H893" s="42">
        <v>67</v>
      </c>
      <c r="I893" s="42" t="s">
        <v>147</v>
      </c>
      <c r="J893" s="103" t="s">
        <v>3611</v>
      </c>
      <c r="K893" s="42" t="s">
        <v>4037</v>
      </c>
      <c r="L893" s="42">
        <f>VLOOKUP(Table7[[#This Row],[Baseline Fixture Code]], 'Tables &amp; Ranges'!$A$114:$B$132, 2, FALSE)</f>
        <v>101002</v>
      </c>
    </row>
    <row r="894" spans="2:12" ht="40" customHeight="1">
      <c r="B894" s="42">
        <v>1245</v>
      </c>
      <c r="C894" s="102" t="s">
        <v>2514</v>
      </c>
      <c r="D894" s="102" t="s">
        <v>1858</v>
      </c>
      <c r="E894" s="92" t="s">
        <v>2515</v>
      </c>
      <c r="F894" s="42">
        <v>1</v>
      </c>
      <c r="G894" s="42">
        <v>59</v>
      </c>
      <c r="H894" s="42">
        <v>72</v>
      </c>
      <c r="I894" s="42" t="s">
        <v>147</v>
      </c>
      <c r="J894" s="103" t="s">
        <v>3611</v>
      </c>
      <c r="K894" s="42" t="s">
        <v>4037</v>
      </c>
      <c r="L894" s="42">
        <f>VLOOKUP(Table7[[#This Row],[Baseline Fixture Code]], 'Tables &amp; Ranges'!$A$114:$B$132, 2, FALSE)</f>
        <v>101002</v>
      </c>
    </row>
    <row r="895" spans="2:12" ht="40" customHeight="1">
      <c r="B895" s="42">
        <v>1248</v>
      </c>
      <c r="C895" s="102" t="s">
        <v>2520</v>
      </c>
      <c r="D895" s="102" t="s">
        <v>1858</v>
      </c>
      <c r="E895" s="92" t="s">
        <v>2521</v>
      </c>
      <c r="F895" s="42">
        <v>1</v>
      </c>
      <c r="G895" s="42">
        <v>59</v>
      </c>
      <c r="H895" s="42">
        <v>67</v>
      </c>
      <c r="I895" s="42" t="s">
        <v>1881</v>
      </c>
      <c r="J895" s="103" t="s">
        <v>3611</v>
      </c>
      <c r="K895" s="42" t="s">
        <v>4037</v>
      </c>
      <c r="L895" s="42">
        <f>VLOOKUP(Table7[[#This Row],[Baseline Fixture Code]], 'Tables &amp; Ranges'!$A$114:$B$132, 2, FALSE)</f>
        <v>101002</v>
      </c>
    </row>
    <row r="896" spans="2:12" ht="40" customHeight="1">
      <c r="B896" s="107">
        <v>1280</v>
      </c>
      <c r="C896" s="108" t="s">
        <v>2586</v>
      </c>
      <c r="D896" s="108" t="s">
        <v>2549</v>
      </c>
      <c r="E896" s="109" t="s">
        <v>2587</v>
      </c>
      <c r="F896" s="107">
        <v>1</v>
      </c>
      <c r="G896" s="107">
        <v>59</v>
      </c>
      <c r="H896" s="107">
        <v>69</v>
      </c>
      <c r="I896" s="107" t="s">
        <v>2551</v>
      </c>
      <c r="J896" s="103" t="s">
        <v>3611</v>
      </c>
      <c r="K896" s="42" t="s">
        <v>3712</v>
      </c>
      <c r="L896" s="42">
        <f>VLOOKUP(Table7[[#This Row],[Baseline Fixture Code]], 'Tables &amp; Ranges'!$A$114:$B$132, 2, FALSE)</f>
        <v>101001</v>
      </c>
    </row>
    <row r="897" spans="2:12" ht="40" customHeight="1">
      <c r="B897" s="42">
        <v>1249</v>
      </c>
      <c r="C897" s="102" t="s">
        <v>2522</v>
      </c>
      <c r="D897" s="102" t="s">
        <v>1858</v>
      </c>
      <c r="E897" s="92" t="s">
        <v>2523</v>
      </c>
      <c r="F897" s="42">
        <v>2</v>
      </c>
      <c r="G897" s="42">
        <v>59</v>
      </c>
      <c r="H897" s="42">
        <v>110</v>
      </c>
      <c r="I897" s="42" t="s">
        <v>147</v>
      </c>
      <c r="J897" s="103" t="s">
        <v>3611</v>
      </c>
      <c r="K897" s="42" t="s">
        <v>4037</v>
      </c>
      <c r="L897" s="42">
        <f>VLOOKUP(Table7[[#This Row],[Baseline Fixture Code]], 'Tables &amp; Ranges'!$A$114:$B$132, 2, FALSE)</f>
        <v>101002</v>
      </c>
    </row>
    <row r="898" spans="2:12" ht="40" customHeight="1">
      <c r="B898" s="42">
        <v>1250</v>
      </c>
      <c r="C898" s="102" t="s">
        <v>2524</v>
      </c>
      <c r="D898" s="102" t="s">
        <v>1858</v>
      </c>
      <c r="E898" s="92" t="s">
        <v>2525</v>
      </c>
      <c r="F898" s="42">
        <v>2</v>
      </c>
      <c r="G898" s="42">
        <v>59</v>
      </c>
      <c r="H898" s="42">
        <v>100</v>
      </c>
      <c r="I898" s="42" t="s">
        <v>147</v>
      </c>
      <c r="J898" s="103" t="s">
        <v>3611</v>
      </c>
      <c r="K898" s="42" t="s">
        <v>4037</v>
      </c>
      <c r="L898" s="42">
        <f>VLOOKUP(Table7[[#This Row],[Baseline Fixture Code]], 'Tables &amp; Ranges'!$A$114:$B$132, 2, FALSE)</f>
        <v>101002</v>
      </c>
    </row>
    <row r="899" spans="2:12" ht="40" customHeight="1">
      <c r="B899" s="42">
        <v>1251</v>
      </c>
      <c r="C899" s="102" t="s">
        <v>2526</v>
      </c>
      <c r="D899" s="102" t="s">
        <v>1858</v>
      </c>
      <c r="E899" s="92" t="s">
        <v>2527</v>
      </c>
      <c r="F899" s="42">
        <v>2</v>
      </c>
      <c r="G899" s="42">
        <v>59</v>
      </c>
      <c r="H899" s="42">
        <v>149</v>
      </c>
      <c r="I899" s="42" t="s">
        <v>147</v>
      </c>
      <c r="J899" s="103" t="s">
        <v>3611</v>
      </c>
      <c r="K899" s="42" t="s">
        <v>4037</v>
      </c>
      <c r="L899" s="42">
        <f>VLOOKUP(Table7[[#This Row],[Baseline Fixture Code]], 'Tables &amp; Ranges'!$A$114:$B$132, 2, FALSE)</f>
        <v>101002</v>
      </c>
    </row>
    <row r="900" spans="2:12" ht="40" customHeight="1">
      <c r="B900" s="42">
        <v>1252</v>
      </c>
      <c r="C900" s="102" t="s">
        <v>2528</v>
      </c>
      <c r="D900" s="102" t="s">
        <v>1858</v>
      </c>
      <c r="E900" s="92" t="s">
        <v>2529</v>
      </c>
      <c r="F900" s="42">
        <v>2</v>
      </c>
      <c r="G900" s="42">
        <v>59</v>
      </c>
      <c r="H900" s="42">
        <v>107</v>
      </c>
      <c r="I900" s="42" t="s">
        <v>1881</v>
      </c>
      <c r="J900" s="103" t="s">
        <v>3611</v>
      </c>
      <c r="K900" s="42" t="s">
        <v>4037</v>
      </c>
      <c r="L900" s="42">
        <f>VLOOKUP(Table7[[#This Row],[Baseline Fixture Code]], 'Tables &amp; Ranges'!$A$114:$B$132, 2, FALSE)</f>
        <v>101002</v>
      </c>
    </row>
    <row r="901" spans="2:12" ht="40" customHeight="1">
      <c r="B901" s="107">
        <v>1281</v>
      </c>
      <c r="C901" s="108" t="s">
        <v>2588</v>
      </c>
      <c r="D901" s="108" t="s">
        <v>2549</v>
      </c>
      <c r="E901" s="109" t="s">
        <v>2589</v>
      </c>
      <c r="F901" s="107">
        <v>2</v>
      </c>
      <c r="G901" s="107">
        <v>59</v>
      </c>
      <c r="H901" s="107">
        <v>110</v>
      </c>
      <c r="I901" s="107" t="s">
        <v>2551</v>
      </c>
      <c r="J901" s="103" t="s">
        <v>3611</v>
      </c>
      <c r="K901" s="42" t="s">
        <v>3712</v>
      </c>
      <c r="L901" s="42">
        <f>VLOOKUP(Table7[[#This Row],[Baseline Fixture Code]], 'Tables &amp; Ranges'!$A$114:$B$132, 2, FALSE)</f>
        <v>101001</v>
      </c>
    </row>
    <row r="902" spans="2:12" ht="40" customHeight="1">
      <c r="B902" s="42">
        <v>1253</v>
      </c>
      <c r="C902" s="102" t="s">
        <v>2530</v>
      </c>
      <c r="D902" s="102" t="s">
        <v>1858</v>
      </c>
      <c r="E902" s="92" t="s">
        <v>2531</v>
      </c>
      <c r="F902" s="42">
        <v>3</v>
      </c>
      <c r="G902" s="42">
        <v>59</v>
      </c>
      <c r="H902" s="42">
        <v>179</v>
      </c>
      <c r="I902" s="42" t="s">
        <v>147</v>
      </c>
      <c r="J902" s="103" t="s">
        <v>3611</v>
      </c>
      <c r="K902" s="42" t="s">
        <v>4037</v>
      </c>
      <c r="L902" s="42">
        <f>VLOOKUP(Table7[[#This Row],[Baseline Fixture Code]], 'Tables &amp; Ranges'!$A$114:$B$132, 2, FALSE)</f>
        <v>101002</v>
      </c>
    </row>
    <row r="903" spans="2:12" ht="40" customHeight="1">
      <c r="B903" s="107">
        <v>1282</v>
      </c>
      <c r="C903" s="108" t="s">
        <v>2590</v>
      </c>
      <c r="D903" s="108" t="s">
        <v>2549</v>
      </c>
      <c r="E903" s="109" t="s">
        <v>2591</v>
      </c>
      <c r="F903" s="107">
        <v>3</v>
      </c>
      <c r="G903" s="107">
        <v>59</v>
      </c>
      <c r="H903" s="107">
        <v>179</v>
      </c>
      <c r="I903" s="107" t="s">
        <v>2551</v>
      </c>
      <c r="J903" s="103" t="s">
        <v>3611</v>
      </c>
      <c r="K903" s="42" t="s">
        <v>3712</v>
      </c>
      <c r="L903" s="42">
        <f>VLOOKUP(Table7[[#This Row],[Baseline Fixture Code]], 'Tables &amp; Ranges'!$A$114:$B$132, 2, FALSE)</f>
        <v>101001</v>
      </c>
    </row>
    <row r="904" spans="2:12" ht="40" customHeight="1">
      <c r="B904" s="42">
        <v>1254</v>
      </c>
      <c r="C904" s="102" t="s">
        <v>2532</v>
      </c>
      <c r="D904" s="102" t="s">
        <v>1858</v>
      </c>
      <c r="E904" s="92" t="s">
        <v>2533</v>
      </c>
      <c r="F904" s="42">
        <v>4</v>
      </c>
      <c r="G904" s="42">
        <v>59</v>
      </c>
      <c r="H904" s="42">
        <v>219</v>
      </c>
      <c r="I904" s="42" t="s">
        <v>147</v>
      </c>
      <c r="J904" s="103" t="s">
        <v>3611</v>
      </c>
      <c r="K904" s="42" t="s">
        <v>4037</v>
      </c>
      <c r="L904" s="42">
        <f>VLOOKUP(Table7[[#This Row],[Baseline Fixture Code]], 'Tables &amp; Ranges'!$A$114:$B$132, 2, FALSE)</f>
        <v>101002</v>
      </c>
    </row>
    <row r="905" spans="2:12" ht="40" customHeight="1">
      <c r="B905" s="42">
        <v>1255</v>
      </c>
      <c r="C905" s="102" t="s">
        <v>2534</v>
      </c>
      <c r="D905" s="102" t="s">
        <v>1858</v>
      </c>
      <c r="E905" s="92" t="s">
        <v>2535</v>
      </c>
      <c r="F905" s="42">
        <v>4</v>
      </c>
      <c r="G905" s="42">
        <v>59</v>
      </c>
      <c r="H905" s="42">
        <v>298</v>
      </c>
      <c r="I905" s="42" t="s">
        <v>147</v>
      </c>
      <c r="J905" s="103" t="s">
        <v>3611</v>
      </c>
      <c r="K905" s="42" t="s">
        <v>4037</v>
      </c>
      <c r="L905" s="42">
        <f>VLOOKUP(Table7[[#This Row],[Baseline Fixture Code]], 'Tables &amp; Ranges'!$A$114:$B$132, 2, FALSE)</f>
        <v>101002</v>
      </c>
    </row>
    <row r="906" spans="2:12" ht="40" customHeight="1">
      <c r="B906" s="107">
        <v>1283</v>
      </c>
      <c r="C906" s="108" t="s">
        <v>2592</v>
      </c>
      <c r="D906" s="108" t="s">
        <v>2549</v>
      </c>
      <c r="E906" s="109" t="s">
        <v>2593</v>
      </c>
      <c r="F906" s="107">
        <v>4</v>
      </c>
      <c r="G906" s="107">
        <v>59</v>
      </c>
      <c r="H906" s="107">
        <v>219</v>
      </c>
      <c r="I906" s="107" t="s">
        <v>2551</v>
      </c>
      <c r="J906" s="103" t="s">
        <v>3611</v>
      </c>
      <c r="K906" s="42" t="s">
        <v>3712</v>
      </c>
      <c r="L906" s="42">
        <f>VLOOKUP(Table7[[#This Row],[Baseline Fixture Code]], 'Tables &amp; Ranges'!$A$114:$B$132, 2, FALSE)</f>
        <v>101001</v>
      </c>
    </row>
    <row r="907" spans="2:12" ht="40" customHeight="1">
      <c r="B907" s="42">
        <v>1256</v>
      </c>
      <c r="C907" s="102" t="s">
        <v>2536</v>
      </c>
      <c r="D907" s="102" t="s">
        <v>1858</v>
      </c>
      <c r="E907" s="92" t="s">
        <v>2537</v>
      </c>
      <c r="F907" s="42">
        <v>6</v>
      </c>
      <c r="G907" s="42">
        <v>59</v>
      </c>
      <c r="H907" s="42">
        <v>330</v>
      </c>
      <c r="I907" s="42" t="s">
        <v>147</v>
      </c>
      <c r="J907" s="103" t="s">
        <v>3611</v>
      </c>
      <c r="K907" s="42" t="s">
        <v>4037</v>
      </c>
      <c r="L907" s="42">
        <f>VLOOKUP(Table7[[#This Row],[Baseline Fixture Code]], 'Tables &amp; Ranges'!$A$114:$B$132, 2, FALSE)</f>
        <v>101002</v>
      </c>
    </row>
    <row r="908" spans="2:12" ht="40" customHeight="1">
      <c r="B908" s="107">
        <v>1284</v>
      </c>
      <c r="C908" s="108" t="s">
        <v>2594</v>
      </c>
      <c r="D908" s="108" t="s">
        <v>2549</v>
      </c>
      <c r="E908" s="109" t="s">
        <v>2595</v>
      </c>
      <c r="F908" s="107">
        <v>6</v>
      </c>
      <c r="G908" s="107">
        <v>59</v>
      </c>
      <c r="H908" s="107">
        <v>330</v>
      </c>
      <c r="I908" s="107" t="s">
        <v>2551</v>
      </c>
      <c r="J908" s="103" t="s">
        <v>3611</v>
      </c>
      <c r="K908" s="42" t="s">
        <v>3712</v>
      </c>
      <c r="L908" s="42">
        <f>VLOOKUP(Table7[[#This Row],[Baseline Fixture Code]], 'Tables &amp; Ranges'!$A$114:$B$132, 2, FALSE)</f>
        <v>101001</v>
      </c>
    </row>
    <row r="909" spans="2:12" ht="40" customHeight="1">
      <c r="B909" s="107">
        <v>1285</v>
      </c>
      <c r="C909" s="108" t="s">
        <v>2596</v>
      </c>
      <c r="D909" s="108" t="s">
        <v>2549</v>
      </c>
      <c r="E909" s="109" t="s">
        <v>2597</v>
      </c>
      <c r="F909" s="107">
        <v>8</v>
      </c>
      <c r="G909" s="107">
        <v>59</v>
      </c>
      <c r="H909" s="107">
        <v>438</v>
      </c>
      <c r="I909" s="107" t="s">
        <v>2551</v>
      </c>
      <c r="J909" s="103" t="s">
        <v>3611</v>
      </c>
      <c r="K909" s="42" t="s">
        <v>3712</v>
      </c>
      <c r="L909" s="42">
        <f>VLOOKUP(Table7[[#This Row],[Baseline Fixture Code]], 'Tables &amp; Ranges'!$A$114:$B$132, 2, FALSE)</f>
        <v>101001</v>
      </c>
    </row>
    <row r="910" spans="2:12" ht="40" customHeight="1">
      <c r="B910" s="42">
        <v>1563</v>
      </c>
      <c r="C910" s="102" t="s">
        <v>3119</v>
      </c>
      <c r="D910" s="102" t="s">
        <v>107</v>
      </c>
      <c r="E910" s="92" t="s">
        <v>3120</v>
      </c>
      <c r="F910" s="42">
        <v>1</v>
      </c>
      <c r="G910" s="42">
        <v>59</v>
      </c>
      <c r="H910" s="42">
        <v>59</v>
      </c>
      <c r="I910" s="42" t="s">
        <v>146</v>
      </c>
      <c r="J910" s="103" t="s">
        <v>3611</v>
      </c>
      <c r="K910" s="42" t="s">
        <v>107</v>
      </c>
      <c r="L910" s="42">
        <f>VLOOKUP(Table7[[#This Row],[Baseline Fixture Code]], 'Tables &amp; Ranges'!$A$114:$B$132, 2, FALSE)</f>
        <v>101106</v>
      </c>
    </row>
    <row r="911" spans="2:12" ht="40" customHeight="1">
      <c r="B911" s="42">
        <v>1372</v>
      </c>
      <c r="C911" s="102" t="s">
        <v>2759</v>
      </c>
      <c r="D911" s="102" t="s">
        <v>2623</v>
      </c>
      <c r="E911" s="92" t="s">
        <v>2760</v>
      </c>
      <c r="F911" s="42">
        <v>1</v>
      </c>
      <c r="G911" s="42">
        <v>60</v>
      </c>
      <c r="H911" s="42">
        <v>85</v>
      </c>
      <c r="I911" s="42" t="s">
        <v>1457</v>
      </c>
      <c r="J911" s="103" t="s">
        <v>131</v>
      </c>
      <c r="K911" s="42" t="s">
        <v>3712</v>
      </c>
      <c r="L911" s="42">
        <f>VLOOKUP(Table7[[#This Row],[Baseline Fixture Code]], 'Tables &amp; Ranges'!$A$114:$B$132, 2, FALSE)</f>
        <v>101001</v>
      </c>
    </row>
    <row r="912" spans="2:12" ht="40" customHeight="1">
      <c r="B912" s="42">
        <v>1373</v>
      </c>
      <c r="C912" s="102" t="s">
        <v>2761</v>
      </c>
      <c r="D912" s="102" t="s">
        <v>2623</v>
      </c>
      <c r="E912" s="92" t="s">
        <v>2762</v>
      </c>
      <c r="F912" s="42">
        <v>2</v>
      </c>
      <c r="G912" s="42">
        <v>60</v>
      </c>
      <c r="H912" s="42">
        <v>145</v>
      </c>
      <c r="I912" s="42" t="s">
        <v>1457</v>
      </c>
      <c r="J912" s="103" t="s">
        <v>131</v>
      </c>
      <c r="K912" s="42" t="s">
        <v>3712</v>
      </c>
      <c r="L912" s="42">
        <f>VLOOKUP(Table7[[#This Row],[Baseline Fixture Code]], 'Tables &amp; Ranges'!$A$114:$B$132, 2, FALSE)</f>
        <v>101001</v>
      </c>
    </row>
    <row r="913" spans="2:12" ht="40" customHeight="1">
      <c r="B913" s="42">
        <v>1374</v>
      </c>
      <c r="C913" s="102" t="s">
        <v>2763</v>
      </c>
      <c r="D913" s="102" t="s">
        <v>2623</v>
      </c>
      <c r="E913" s="92" t="s">
        <v>2764</v>
      </c>
      <c r="F913" s="42">
        <v>3</v>
      </c>
      <c r="G913" s="42">
        <v>60</v>
      </c>
      <c r="H913" s="42">
        <v>230</v>
      </c>
      <c r="I913" s="42" t="s">
        <v>1457</v>
      </c>
      <c r="J913" s="103" t="s">
        <v>131</v>
      </c>
      <c r="K913" s="42" t="s">
        <v>3712</v>
      </c>
      <c r="L913" s="42">
        <f>VLOOKUP(Table7[[#This Row],[Baseline Fixture Code]], 'Tables &amp; Ranges'!$A$114:$B$132, 2, FALSE)</f>
        <v>101001</v>
      </c>
    </row>
    <row r="914" spans="2:12" ht="40" customHeight="1">
      <c r="B914" s="42">
        <v>1375</v>
      </c>
      <c r="C914" s="102" t="s">
        <v>2765</v>
      </c>
      <c r="D914" s="102" t="s">
        <v>2623</v>
      </c>
      <c r="E914" s="92" t="s">
        <v>2766</v>
      </c>
      <c r="F914" s="42">
        <v>4</v>
      </c>
      <c r="G914" s="42">
        <v>60</v>
      </c>
      <c r="H914" s="42">
        <v>290</v>
      </c>
      <c r="I914" s="42" t="s">
        <v>1457</v>
      </c>
      <c r="J914" s="103" t="s">
        <v>131</v>
      </c>
      <c r="K914" s="42" t="s">
        <v>3712</v>
      </c>
      <c r="L914" s="42">
        <f>VLOOKUP(Table7[[#This Row],[Baseline Fixture Code]], 'Tables &amp; Ranges'!$A$114:$B$132, 2, FALSE)</f>
        <v>101001</v>
      </c>
    </row>
    <row r="915" spans="2:12" ht="40" customHeight="1">
      <c r="B915" s="42">
        <v>1417</v>
      </c>
      <c r="C915" s="102" t="s">
        <v>2838</v>
      </c>
      <c r="D915" s="102" t="s">
        <v>2623</v>
      </c>
      <c r="E915" s="92" t="s">
        <v>2839</v>
      </c>
      <c r="F915" s="42">
        <v>1</v>
      </c>
      <c r="G915" s="42">
        <v>60</v>
      </c>
      <c r="H915" s="42">
        <v>75</v>
      </c>
      <c r="I915" s="42" t="s">
        <v>2077</v>
      </c>
      <c r="J915" s="103" t="s">
        <v>131</v>
      </c>
      <c r="K915" s="42" t="s">
        <v>3712</v>
      </c>
      <c r="L915" s="42">
        <f>VLOOKUP(Table7[[#This Row],[Baseline Fixture Code]], 'Tables &amp; Ranges'!$A$114:$B$132, 2, FALSE)</f>
        <v>101001</v>
      </c>
    </row>
    <row r="916" spans="2:12" ht="40" customHeight="1">
      <c r="B916" s="42">
        <v>1418</v>
      </c>
      <c r="C916" s="102" t="s">
        <v>2840</v>
      </c>
      <c r="D916" s="102" t="s">
        <v>2623</v>
      </c>
      <c r="E916" s="92" t="s">
        <v>2841</v>
      </c>
      <c r="F916" s="42">
        <v>1</v>
      </c>
      <c r="G916" s="42">
        <v>60</v>
      </c>
      <c r="H916" s="42">
        <v>62</v>
      </c>
      <c r="I916" s="42" t="s">
        <v>2077</v>
      </c>
      <c r="J916" s="103" t="s">
        <v>131</v>
      </c>
      <c r="K916" s="42" t="s">
        <v>3712</v>
      </c>
      <c r="L916" s="42">
        <f>VLOOKUP(Table7[[#This Row],[Baseline Fixture Code]], 'Tables &amp; Ranges'!$A$114:$B$132, 2, FALSE)</f>
        <v>101001</v>
      </c>
    </row>
    <row r="917" spans="2:12" ht="40" customHeight="1">
      <c r="B917" s="42">
        <v>1421</v>
      </c>
      <c r="C917" s="102" t="s">
        <v>2845</v>
      </c>
      <c r="D917" s="102" t="s">
        <v>2623</v>
      </c>
      <c r="E917" s="92" t="s">
        <v>2846</v>
      </c>
      <c r="F917" s="42">
        <v>1</v>
      </c>
      <c r="G917" s="42">
        <v>60</v>
      </c>
      <c r="H917" s="42">
        <v>69</v>
      </c>
      <c r="I917" s="42" t="s">
        <v>147</v>
      </c>
      <c r="J917" s="103" t="s">
        <v>131</v>
      </c>
      <c r="K917" s="42" t="s">
        <v>3712</v>
      </c>
      <c r="L917" s="42">
        <f>VLOOKUP(Table7[[#This Row],[Baseline Fixture Code]], 'Tables &amp; Ranges'!$A$114:$B$132, 2, FALSE)</f>
        <v>101001</v>
      </c>
    </row>
    <row r="918" spans="2:12" ht="40" customHeight="1">
      <c r="B918" s="42">
        <v>1422</v>
      </c>
      <c r="C918" s="102" t="s">
        <v>2847</v>
      </c>
      <c r="D918" s="102" t="s">
        <v>2623</v>
      </c>
      <c r="E918" s="92" t="s">
        <v>2841</v>
      </c>
      <c r="F918" s="42">
        <v>1</v>
      </c>
      <c r="G918" s="42">
        <v>60</v>
      </c>
      <c r="H918" s="42">
        <v>55</v>
      </c>
      <c r="I918" s="42" t="s">
        <v>147</v>
      </c>
      <c r="J918" s="103" t="s">
        <v>3611</v>
      </c>
      <c r="K918" s="42" t="s">
        <v>3712</v>
      </c>
      <c r="L918" s="42">
        <f>VLOOKUP(Table7[[#This Row],[Baseline Fixture Code]], 'Tables &amp; Ranges'!$A$114:$B$132, 2, FALSE)</f>
        <v>101001</v>
      </c>
    </row>
    <row r="919" spans="2:12" ht="40" customHeight="1">
      <c r="B919" s="42">
        <v>1429</v>
      </c>
      <c r="C919" s="102" t="s">
        <v>2861</v>
      </c>
      <c r="D919" s="102" t="s">
        <v>2623</v>
      </c>
      <c r="E919" s="92" t="s">
        <v>2862</v>
      </c>
      <c r="F919" s="42">
        <v>2</v>
      </c>
      <c r="G919" s="42">
        <v>60</v>
      </c>
      <c r="H919" s="42">
        <v>123</v>
      </c>
      <c r="I919" s="42" t="s">
        <v>2077</v>
      </c>
      <c r="J919" s="103" t="s">
        <v>131</v>
      </c>
      <c r="K919" s="42" t="s">
        <v>3712</v>
      </c>
      <c r="L919" s="42">
        <f>VLOOKUP(Table7[[#This Row],[Baseline Fixture Code]], 'Tables &amp; Ranges'!$A$114:$B$132, 2, FALSE)</f>
        <v>101001</v>
      </c>
    </row>
    <row r="920" spans="2:12" ht="40" customHeight="1">
      <c r="B920" s="42">
        <v>1433</v>
      </c>
      <c r="C920" s="102" t="s">
        <v>2867</v>
      </c>
      <c r="D920" s="102" t="s">
        <v>2623</v>
      </c>
      <c r="E920" s="92" t="s">
        <v>2862</v>
      </c>
      <c r="F920" s="42">
        <v>2</v>
      </c>
      <c r="G920" s="42">
        <v>60</v>
      </c>
      <c r="H920" s="42">
        <v>110</v>
      </c>
      <c r="I920" s="42" t="s">
        <v>147</v>
      </c>
      <c r="J920" s="103" t="s">
        <v>131</v>
      </c>
      <c r="K920" s="42" t="s">
        <v>3712</v>
      </c>
      <c r="L920" s="42">
        <f>VLOOKUP(Table7[[#This Row],[Baseline Fixture Code]], 'Tables &amp; Ranges'!$A$114:$B$132, 2, FALSE)</f>
        <v>101001</v>
      </c>
    </row>
    <row r="921" spans="2:12" ht="40" customHeight="1">
      <c r="B921" s="42">
        <v>1440</v>
      </c>
      <c r="C921" s="102" t="s">
        <v>2878</v>
      </c>
      <c r="D921" s="102" t="s">
        <v>2623</v>
      </c>
      <c r="E921" s="92" t="s">
        <v>2879</v>
      </c>
      <c r="F921" s="42">
        <v>3</v>
      </c>
      <c r="G921" s="42">
        <v>60</v>
      </c>
      <c r="H921" s="42">
        <v>198</v>
      </c>
      <c r="I921" s="42" t="s">
        <v>2077</v>
      </c>
      <c r="J921" s="103" t="s">
        <v>131</v>
      </c>
      <c r="K921" s="42" t="s">
        <v>3712</v>
      </c>
      <c r="L921" s="42">
        <f>VLOOKUP(Table7[[#This Row],[Baseline Fixture Code]], 'Tables &amp; Ranges'!$A$114:$B$132, 2, FALSE)</f>
        <v>101001</v>
      </c>
    </row>
    <row r="922" spans="2:12" ht="40" customHeight="1">
      <c r="B922" s="42">
        <v>1443</v>
      </c>
      <c r="C922" s="102" t="s">
        <v>2885</v>
      </c>
      <c r="D922" s="102" t="s">
        <v>2623</v>
      </c>
      <c r="E922" s="92" t="s">
        <v>2879</v>
      </c>
      <c r="F922" s="42">
        <v>3</v>
      </c>
      <c r="G922" s="42">
        <v>60</v>
      </c>
      <c r="H922" s="42">
        <v>179</v>
      </c>
      <c r="I922" s="42" t="s">
        <v>147</v>
      </c>
      <c r="J922" s="103" t="s">
        <v>131</v>
      </c>
      <c r="K922" s="42" t="s">
        <v>3712</v>
      </c>
      <c r="L922" s="42">
        <f>VLOOKUP(Table7[[#This Row],[Baseline Fixture Code]], 'Tables &amp; Ranges'!$A$114:$B$132, 2, FALSE)</f>
        <v>101001</v>
      </c>
    </row>
    <row r="923" spans="2:12" ht="40" customHeight="1">
      <c r="B923" s="42">
        <v>1449</v>
      </c>
      <c r="C923" s="102" t="s">
        <v>2895</v>
      </c>
      <c r="D923" s="102" t="s">
        <v>2623</v>
      </c>
      <c r="E923" s="92" t="s">
        <v>2896</v>
      </c>
      <c r="F923" s="42">
        <v>4</v>
      </c>
      <c r="G923" s="42">
        <v>60</v>
      </c>
      <c r="H923" s="42">
        <v>246</v>
      </c>
      <c r="I923" s="42" t="s">
        <v>2077</v>
      </c>
      <c r="J923" s="103" t="s">
        <v>131</v>
      </c>
      <c r="K923" s="42" t="s">
        <v>3712</v>
      </c>
      <c r="L923" s="42">
        <f>VLOOKUP(Table7[[#This Row],[Baseline Fixture Code]], 'Tables &amp; Ranges'!$A$114:$B$132, 2, FALSE)</f>
        <v>101001</v>
      </c>
    </row>
    <row r="924" spans="2:12" ht="40" customHeight="1">
      <c r="B924" s="42">
        <v>1453</v>
      </c>
      <c r="C924" s="102" t="s">
        <v>2901</v>
      </c>
      <c r="D924" s="102" t="s">
        <v>2623</v>
      </c>
      <c r="E924" s="92" t="s">
        <v>2896</v>
      </c>
      <c r="F924" s="42">
        <v>4</v>
      </c>
      <c r="G924" s="42">
        <v>60</v>
      </c>
      <c r="H924" s="42">
        <v>220</v>
      </c>
      <c r="I924" s="42" t="s">
        <v>147</v>
      </c>
      <c r="J924" s="103" t="s">
        <v>131</v>
      </c>
      <c r="K924" s="42" t="s">
        <v>3712</v>
      </c>
      <c r="L924" s="42">
        <f>VLOOKUP(Table7[[#This Row],[Baseline Fixture Code]], 'Tables &amp; Ranges'!$A$114:$B$132, 2, FALSE)</f>
        <v>101001</v>
      </c>
    </row>
    <row r="925" spans="2:12" ht="40" customHeight="1">
      <c r="B925" s="42">
        <v>1460</v>
      </c>
      <c r="C925" s="102" t="s">
        <v>2912</v>
      </c>
      <c r="D925" s="102" t="s">
        <v>2623</v>
      </c>
      <c r="E925" s="92" t="s">
        <v>2913</v>
      </c>
      <c r="F925" s="42">
        <v>6</v>
      </c>
      <c r="G925" s="42">
        <v>60</v>
      </c>
      <c r="H925" s="42">
        <v>369</v>
      </c>
      <c r="I925" s="42" t="s">
        <v>2077</v>
      </c>
      <c r="J925" s="103" t="s">
        <v>131</v>
      </c>
      <c r="K925" s="42" t="s">
        <v>3712</v>
      </c>
      <c r="L925" s="42">
        <f>VLOOKUP(Table7[[#This Row],[Baseline Fixture Code]], 'Tables &amp; Ranges'!$A$114:$B$132, 2, FALSE)</f>
        <v>101001</v>
      </c>
    </row>
    <row r="926" spans="2:12" ht="40" customHeight="1">
      <c r="B926" s="42">
        <v>1564</v>
      </c>
      <c r="C926" s="102" t="s">
        <v>3121</v>
      </c>
      <c r="D926" s="102" t="s">
        <v>107</v>
      </c>
      <c r="E926" s="92" t="s">
        <v>3122</v>
      </c>
      <c r="F926" s="42">
        <v>1</v>
      </c>
      <c r="G926" s="42">
        <v>60</v>
      </c>
      <c r="H926" s="42">
        <v>60</v>
      </c>
      <c r="I926" s="42" t="s">
        <v>146</v>
      </c>
      <c r="J926" s="103" t="s">
        <v>3611</v>
      </c>
      <c r="K926" s="42" t="s">
        <v>107</v>
      </c>
      <c r="L926" s="42">
        <f>VLOOKUP(Table7[[#This Row],[Baseline Fixture Code]], 'Tables &amp; Ranges'!$A$114:$B$132, 2, FALSE)</f>
        <v>101106</v>
      </c>
    </row>
    <row r="927" spans="2:12" ht="40" customHeight="1">
      <c r="B927" s="42">
        <v>1565</v>
      </c>
      <c r="C927" s="102" t="s">
        <v>3123</v>
      </c>
      <c r="D927" s="102" t="s">
        <v>107</v>
      </c>
      <c r="E927" s="92" t="s">
        <v>3124</v>
      </c>
      <c r="F927" s="42">
        <v>1</v>
      </c>
      <c r="G927" s="42">
        <v>61</v>
      </c>
      <c r="H927" s="42">
        <v>61</v>
      </c>
      <c r="I927" s="42" t="s">
        <v>146</v>
      </c>
      <c r="J927" s="103" t="s">
        <v>3611</v>
      </c>
      <c r="K927" s="42" t="s">
        <v>107</v>
      </c>
      <c r="L927" s="42">
        <f>VLOOKUP(Table7[[#This Row],[Baseline Fixture Code]], 'Tables &amp; Ranges'!$A$114:$B$132, 2, FALSE)</f>
        <v>101106</v>
      </c>
    </row>
    <row r="928" spans="2:12" ht="40" customHeight="1">
      <c r="B928" s="42">
        <v>1566</v>
      </c>
      <c r="C928" s="102" t="s">
        <v>3125</v>
      </c>
      <c r="D928" s="102" t="s">
        <v>107</v>
      </c>
      <c r="E928" s="92" t="s">
        <v>3126</v>
      </c>
      <c r="F928" s="42">
        <v>1</v>
      </c>
      <c r="G928" s="42">
        <v>62</v>
      </c>
      <c r="H928" s="42">
        <v>62</v>
      </c>
      <c r="I928" s="42" t="s">
        <v>146</v>
      </c>
      <c r="J928" s="103" t="s">
        <v>3611</v>
      </c>
      <c r="K928" s="42" t="s">
        <v>107</v>
      </c>
      <c r="L928" s="42">
        <f>VLOOKUP(Table7[[#This Row],[Baseline Fixture Code]], 'Tables &amp; Ranges'!$A$114:$B$132, 2, FALSE)</f>
        <v>101106</v>
      </c>
    </row>
    <row r="929" spans="2:12" ht="40" customHeight="1">
      <c r="B929" s="42">
        <v>1567</v>
      </c>
      <c r="C929" s="102" t="s">
        <v>3127</v>
      </c>
      <c r="D929" s="102" t="s">
        <v>107</v>
      </c>
      <c r="E929" s="92" t="s">
        <v>3128</v>
      </c>
      <c r="F929" s="42">
        <v>1</v>
      </c>
      <c r="G929" s="42">
        <v>63</v>
      </c>
      <c r="H929" s="42">
        <v>63</v>
      </c>
      <c r="I929" s="42" t="s">
        <v>146</v>
      </c>
      <c r="J929" s="103" t="s">
        <v>3611</v>
      </c>
      <c r="K929" s="42" t="s">
        <v>107</v>
      </c>
      <c r="L929" s="42">
        <f>VLOOKUP(Table7[[#This Row],[Baseline Fixture Code]], 'Tables &amp; Ranges'!$A$114:$B$132, 2, FALSE)</f>
        <v>101106</v>
      </c>
    </row>
    <row r="930" spans="2:12" ht="40" customHeight="1">
      <c r="B930" s="42">
        <v>1568</v>
      </c>
      <c r="C930" s="102" t="s">
        <v>3129</v>
      </c>
      <c r="D930" s="102" t="s">
        <v>107</v>
      </c>
      <c r="E930" s="92" t="s">
        <v>3130</v>
      </c>
      <c r="F930" s="42">
        <v>1</v>
      </c>
      <c r="G930" s="42">
        <v>64</v>
      </c>
      <c r="H930" s="42">
        <v>64</v>
      </c>
      <c r="I930" s="42" t="s">
        <v>146</v>
      </c>
      <c r="J930" s="103" t="s">
        <v>3611</v>
      </c>
      <c r="K930" s="42" t="s">
        <v>107</v>
      </c>
      <c r="L930" s="42">
        <f>VLOOKUP(Table7[[#This Row],[Baseline Fixture Code]], 'Tables &amp; Ranges'!$A$114:$B$132, 2, FALSE)</f>
        <v>101106</v>
      </c>
    </row>
    <row r="931" spans="2:12" ht="40" customHeight="1">
      <c r="B931" s="42">
        <v>1569</v>
      </c>
      <c r="C931" s="102" t="s">
        <v>3131</v>
      </c>
      <c r="D931" s="102" t="s">
        <v>107</v>
      </c>
      <c r="E931" s="92" t="s">
        <v>3132</v>
      </c>
      <c r="F931" s="42">
        <v>1</v>
      </c>
      <c r="G931" s="42">
        <v>65</v>
      </c>
      <c r="H931" s="42">
        <v>65</v>
      </c>
      <c r="I931" s="42" t="s">
        <v>146</v>
      </c>
      <c r="J931" s="103" t="s">
        <v>3611</v>
      </c>
      <c r="K931" s="42" t="s">
        <v>107</v>
      </c>
      <c r="L931" s="42">
        <f>VLOOKUP(Table7[[#This Row],[Baseline Fixture Code]], 'Tables &amp; Ranges'!$A$114:$B$132, 2, FALSE)</f>
        <v>101106</v>
      </c>
    </row>
    <row r="932" spans="2:12" ht="40" customHeight="1">
      <c r="B932" s="42">
        <v>1570</v>
      </c>
      <c r="C932" s="102" t="s">
        <v>3133</v>
      </c>
      <c r="D932" s="102" t="s">
        <v>107</v>
      </c>
      <c r="E932" s="92" t="s">
        <v>3134</v>
      </c>
      <c r="F932" s="42">
        <v>1</v>
      </c>
      <c r="G932" s="42">
        <v>66</v>
      </c>
      <c r="H932" s="42">
        <v>66</v>
      </c>
      <c r="I932" s="42" t="s">
        <v>146</v>
      </c>
      <c r="J932" s="103" t="s">
        <v>3611</v>
      </c>
      <c r="K932" s="42" t="s">
        <v>107</v>
      </c>
      <c r="L932" s="42">
        <f>VLOOKUP(Table7[[#This Row],[Baseline Fixture Code]], 'Tables &amp; Ranges'!$A$114:$B$132, 2, FALSE)</f>
        <v>101106</v>
      </c>
    </row>
    <row r="933" spans="2:12" ht="40" customHeight="1">
      <c r="B933" s="42">
        <v>1571</v>
      </c>
      <c r="C933" s="102" t="s">
        <v>3135</v>
      </c>
      <c r="D933" s="102" t="s">
        <v>107</v>
      </c>
      <c r="E933" s="92" t="s">
        <v>3136</v>
      </c>
      <c r="F933" s="42">
        <v>1</v>
      </c>
      <c r="G933" s="42">
        <v>67</v>
      </c>
      <c r="H933" s="42">
        <v>67</v>
      </c>
      <c r="I933" s="42" t="s">
        <v>146</v>
      </c>
      <c r="J933" s="103" t="s">
        <v>3611</v>
      </c>
      <c r="K933" s="42" t="s">
        <v>107</v>
      </c>
      <c r="L933" s="42">
        <f>VLOOKUP(Table7[[#This Row],[Baseline Fixture Code]], 'Tables &amp; Ranges'!$A$114:$B$132, 2, FALSE)</f>
        <v>101106</v>
      </c>
    </row>
    <row r="934" spans="2:12" ht="40" customHeight="1">
      <c r="B934" s="42">
        <v>1572</v>
      </c>
      <c r="C934" s="102" t="s">
        <v>3137</v>
      </c>
      <c r="D934" s="102" t="s">
        <v>107</v>
      </c>
      <c r="E934" s="92" t="s">
        <v>3138</v>
      </c>
      <c r="F934" s="42">
        <v>1</v>
      </c>
      <c r="G934" s="42">
        <v>68</v>
      </c>
      <c r="H934" s="42">
        <v>68</v>
      </c>
      <c r="I934" s="42" t="s">
        <v>146</v>
      </c>
      <c r="J934" s="103" t="s">
        <v>3611</v>
      </c>
      <c r="K934" s="42" t="s">
        <v>107</v>
      </c>
      <c r="L934" s="42">
        <f>VLOOKUP(Table7[[#This Row],[Baseline Fixture Code]], 'Tables &amp; Ranges'!$A$114:$B$132, 2, FALSE)</f>
        <v>101106</v>
      </c>
    </row>
    <row r="935" spans="2:12" ht="40" customHeight="1">
      <c r="B935" s="42">
        <v>1573</v>
      </c>
      <c r="C935" s="102" t="s">
        <v>3139</v>
      </c>
      <c r="D935" s="102" t="s">
        <v>107</v>
      </c>
      <c r="E935" s="92" t="s">
        <v>3140</v>
      </c>
      <c r="F935" s="42">
        <v>1</v>
      </c>
      <c r="G935" s="42">
        <v>69</v>
      </c>
      <c r="H935" s="42">
        <v>69</v>
      </c>
      <c r="I935" s="42" t="s">
        <v>146</v>
      </c>
      <c r="J935" s="103" t="s">
        <v>3611</v>
      </c>
      <c r="K935" s="42" t="s">
        <v>107</v>
      </c>
      <c r="L935" s="42">
        <f>VLOOKUP(Table7[[#This Row],[Baseline Fixture Code]], 'Tables &amp; Ranges'!$A$114:$B$132, 2, FALSE)</f>
        <v>101106</v>
      </c>
    </row>
    <row r="936" spans="2:12" ht="40" customHeight="1">
      <c r="B936" s="42">
        <v>1478</v>
      </c>
      <c r="C936" s="102" t="s">
        <v>2950</v>
      </c>
      <c r="D936" s="102" t="s">
        <v>2946</v>
      </c>
      <c r="E936" s="92" t="s">
        <v>2951</v>
      </c>
      <c r="F936" s="42">
        <v>1</v>
      </c>
      <c r="G936" s="42">
        <v>70</v>
      </c>
      <c r="H936" s="42">
        <v>74</v>
      </c>
      <c r="I936" s="42" t="s">
        <v>147</v>
      </c>
      <c r="J936" s="103" t="s">
        <v>3611</v>
      </c>
      <c r="K936" s="95" t="s">
        <v>4045</v>
      </c>
      <c r="L936" s="42">
        <f>VLOOKUP(Table7[[#This Row],[Baseline Fixture Code]], 'Tables &amp; Ranges'!$A$114:$B$132, 2, FALSE)</f>
        <v>101113</v>
      </c>
    </row>
    <row r="937" spans="2:12" ht="40" customHeight="1">
      <c r="B937" s="42">
        <v>1574</v>
      </c>
      <c r="C937" s="102" t="s">
        <v>3141</v>
      </c>
      <c r="D937" s="102" t="s">
        <v>107</v>
      </c>
      <c r="E937" s="92" t="s">
        <v>3142</v>
      </c>
      <c r="F937" s="42">
        <v>1</v>
      </c>
      <c r="G937" s="42">
        <v>70</v>
      </c>
      <c r="H937" s="42">
        <v>70</v>
      </c>
      <c r="I937" s="42" t="s">
        <v>146</v>
      </c>
      <c r="J937" s="103" t="s">
        <v>3611</v>
      </c>
      <c r="K937" s="42" t="s">
        <v>107</v>
      </c>
      <c r="L937" s="42">
        <f>VLOOKUP(Table7[[#This Row],[Baseline Fixture Code]], 'Tables &amp; Ranges'!$A$114:$B$132, 2, FALSE)</f>
        <v>101106</v>
      </c>
    </row>
    <row r="938" spans="2:12" ht="40" customHeight="1">
      <c r="B938" s="42">
        <v>1696</v>
      </c>
      <c r="C938" s="102" t="s">
        <v>3386</v>
      </c>
      <c r="D938" s="102" t="s">
        <v>3382</v>
      </c>
      <c r="E938" s="92" t="s">
        <v>3387</v>
      </c>
      <c r="F938" s="42">
        <v>1</v>
      </c>
      <c r="G938" s="42">
        <v>70</v>
      </c>
      <c r="H938" s="42">
        <v>95</v>
      </c>
      <c r="I938" s="42" t="s">
        <v>146</v>
      </c>
      <c r="J938" s="103" t="s">
        <v>3611</v>
      </c>
      <c r="K938" s="95" t="s">
        <v>4044</v>
      </c>
      <c r="L938" s="42">
        <f>VLOOKUP(Table7[[#This Row],[Baseline Fixture Code]], 'Tables &amp; Ranges'!$A$114:$B$132, 2, FALSE)</f>
        <v>101136</v>
      </c>
    </row>
    <row r="939" spans="2:12" ht="40" customHeight="1">
      <c r="B939" s="42">
        <v>1712</v>
      </c>
      <c r="C939" s="102" t="s">
        <v>3419</v>
      </c>
      <c r="D939" s="102" t="s">
        <v>3382</v>
      </c>
      <c r="E939" s="92" t="s">
        <v>3420</v>
      </c>
      <c r="F939" s="42">
        <v>1</v>
      </c>
      <c r="G939" s="42">
        <v>70</v>
      </c>
      <c r="H939" s="42">
        <v>91</v>
      </c>
      <c r="I939" s="42" t="s">
        <v>3410</v>
      </c>
      <c r="J939" s="103" t="s">
        <v>3611</v>
      </c>
      <c r="K939" s="42" t="s">
        <v>4038</v>
      </c>
      <c r="L939" s="42">
        <f>VLOOKUP(Table7[[#This Row],[Baseline Fixture Code]], 'Tables &amp; Ranges'!$A$114:$B$132, 2, FALSE)</f>
        <v>101108</v>
      </c>
    </row>
    <row r="940" spans="2:12" ht="40" customHeight="1">
      <c r="B940" s="42">
        <v>1713</v>
      </c>
      <c r="C940" s="102" t="s">
        <v>3421</v>
      </c>
      <c r="D940" s="102" t="s">
        <v>3382</v>
      </c>
      <c r="E940" s="92" t="s">
        <v>3422</v>
      </c>
      <c r="F940" s="42">
        <v>1</v>
      </c>
      <c r="G940" s="42">
        <v>70</v>
      </c>
      <c r="H940" s="42">
        <v>78</v>
      </c>
      <c r="I940" s="42" t="s">
        <v>147</v>
      </c>
      <c r="J940" s="103" t="s">
        <v>3611</v>
      </c>
      <c r="K940" s="42" t="s">
        <v>4038</v>
      </c>
      <c r="L940" s="42">
        <f>VLOOKUP(Table7[[#This Row],[Baseline Fixture Code]], 'Tables &amp; Ranges'!$A$114:$B$132, 2, FALSE)</f>
        <v>101108</v>
      </c>
    </row>
    <row r="941" spans="2:12" ht="40" customHeight="1">
      <c r="B941" s="42">
        <v>1575</v>
      </c>
      <c r="C941" s="102" t="s">
        <v>3143</v>
      </c>
      <c r="D941" s="102" t="s">
        <v>107</v>
      </c>
      <c r="E941" s="92" t="s">
        <v>3144</v>
      </c>
      <c r="F941" s="42">
        <v>1</v>
      </c>
      <c r="G941" s="42">
        <v>71</v>
      </c>
      <c r="H941" s="42">
        <v>71</v>
      </c>
      <c r="I941" s="42" t="s">
        <v>146</v>
      </c>
      <c r="J941" s="103" t="s">
        <v>3611</v>
      </c>
      <c r="K941" s="42" t="s">
        <v>107</v>
      </c>
      <c r="L941" s="42">
        <f>VLOOKUP(Table7[[#This Row],[Baseline Fixture Code]], 'Tables &amp; Ranges'!$A$114:$B$132, 2, FALSE)</f>
        <v>101106</v>
      </c>
    </row>
    <row r="942" spans="2:12" ht="40" customHeight="1">
      <c r="B942" s="42">
        <v>1576</v>
      </c>
      <c r="C942" s="102" t="s">
        <v>3145</v>
      </c>
      <c r="D942" s="102" t="s">
        <v>107</v>
      </c>
      <c r="E942" s="92" t="s">
        <v>3146</v>
      </c>
      <c r="F942" s="42">
        <v>1</v>
      </c>
      <c r="G942" s="42">
        <v>72</v>
      </c>
      <c r="H942" s="42">
        <v>72</v>
      </c>
      <c r="I942" s="42" t="s">
        <v>146</v>
      </c>
      <c r="J942" s="103" t="s">
        <v>3611</v>
      </c>
      <c r="K942" s="42" t="s">
        <v>107</v>
      </c>
      <c r="L942" s="42">
        <f>VLOOKUP(Table7[[#This Row],[Baseline Fixture Code]], 'Tables &amp; Ranges'!$A$114:$B$132, 2, FALSE)</f>
        <v>101106</v>
      </c>
    </row>
    <row r="943" spans="2:12" ht="40" customHeight="1">
      <c r="B943" s="42">
        <v>1577</v>
      </c>
      <c r="C943" s="102" t="s">
        <v>3147</v>
      </c>
      <c r="D943" s="102" t="s">
        <v>107</v>
      </c>
      <c r="E943" s="92" t="s">
        <v>3148</v>
      </c>
      <c r="F943" s="42">
        <v>1</v>
      </c>
      <c r="G943" s="42">
        <v>73</v>
      </c>
      <c r="H943" s="42">
        <v>73</v>
      </c>
      <c r="I943" s="42" t="s">
        <v>146</v>
      </c>
      <c r="J943" s="103" t="s">
        <v>3611</v>
      </c>
      <c r="K943" s="42" t="s">
        <v>107</v>
      </c>
      <c r="L943" s="42">
        <f>VLOOKUP(Table7[[#This Row],[Baseline Fixture Code]], 'Tables &amp; Ranges'!$A$114:$B$132, 2, FALSE)</f>
        <v>101106</v>
      </c>
    </row>
    <row r="944" spans="2:12" ht="40" customHeight="1">
      <c r="B944" s="42">
        <v>1578</v>
      </c>
      <c r="C944" s="102" t="s">
        <v>3149</v>
      </c>
      <c r="D944" s="102" t="s">
        <v>107</v>
      </c>
      <c r="E944" s="92" t="s">
        <v>3150</v>
      </c>
      <c r="F944" s="42">
        <v>1</v>
      </c>
      <c r="G944" s="42">
        <v>74</v>
      </c>
      <c r="H944" s="42">
        <v>74</v>
      </c>
      <c r="I944" s="42" t="s">
        <v>146</v>
      </c>
      <c r="J944" s="103" t="s">
        <v>3611</v>
      </c>
      <c r="K944" s="42" t="s">
        <v>107</v>
      </c>
      <c r="L944" s="42">
        <f>VLOOKUP(Table7[[#This Row],[Baseline Fixture Code]], 'Tables &amp; Ranges'!$A$114:$B$132, 2, FALSE)</f>
        <v>101106</v>
      </c>
    </row>
    <row r="945" spans="2:12" ht="40" customHeight="1">
      <c r="B945" s="42">
        <v>1389</v>
      </c>
      <c r="C945" s="102" t="s">
        <v>2791</v>
      </c>
      <c r="D945" s="102" t="s">
        <v>2623</v>
      </c>
      <c r="E945" s="92" t="s">
        <v>2792</v>
      </c>
      <c r="F945" s="42">
        <v>1</v>
      </c>
      <c r="G945" s="42">
        <v>75</v>
      </c>
      <c r="H945" s="42">
        <v>88</v>
      </c>
      <c r="I945" s="42" t="s">
        <v>2077</v>
      </c>
      <c r="J945" s="103" t="s">
        <v>3611</v>
      </c>
      <c r="K945" s="42" t="s">
        <v>3712</v>
      </c>
      <c r="L945" s="42">
        <f>VLOOKUP(Table7[[#This Row],[Baseline Fixture Code]], 'Tables &amp; Ranges'!$A$114:$B$132, 2, FALSE)</f>
        <v>101001</v>
      </c>
    </row>
    <row r="946" spans="2:12" ht="40" customHeight="1">
      <c r="B946" s="42">
        <v>1390</v>
      </c>
      <c r="C946" s="102" t="s">
        <v>2793</v>
      </c>
      <c r="D946" s="102" t="s">
        <v>2623</v>
      </c>
      <c r="E946" s="92" t="s">
        <v>2792</v>
      </c>
      <c r="F946" s="42">
        <v>1</v>
      </c>
      <c r="G946" s="42">
        <v>75</v>
      </c>
      <c r="H946" s="42">
        <v>69</v>
      </c>
      <c r="I946" s="42" t="s">
        <v>147</v>
      </c>
      <c r="J946" s="103" t="s">
        <v>3611</v>
      </c>
      <c r="K946" s="42" t="s">
        <v>3712</v>
      </c>
      <c r="L946" s="42">
        <f>VLOOKUP(Table7[[#This Row],[Baseline Fixture Code]], 'Tables &amp; Ranges'!$A$114:$B$132, 2, FALSE)</f>
        <v>101001</v>
      </c>
    </row>
    <row r="947" spans="2:12" ht="40" customHeight="1">
      <c r="B947" s="42">
        <v>1391</v>
      </c>
      <c r="C947" s="102" t="s">
        <v>2794</v>
      </c>
      <c r="D947" s="102" t="s">
        <v>2623</v>
      </c>
      <c r="E947" s="92" t="s">
        <v>2792</v>
      </c>
      <c r="F947" s="42">
        <v>1</v>
      </c>
      <c r="G947" s="42">
        <v>75</v>
      </c>
      <c r="H947" s="42">
        <v>92</v>
      </c>
      <c r="I947" s="42" t="s">
        <v>1457</v>
      </c>
      <c r="J947" s="103" t="s">
        <v>3611</v>
      </c>
      <c r="K947" s="42" t="s">
        <v>3712</v>
      </c>
      <c r="L947" s="42">
        <f>VLOOKUP(Table7[[#This Row],[Baseline Fixture Code]], 'Tables &amp; Ranges'!$A$114:$B$132, 2, FALSE)</f>
        <v>101001</v>
      </c>
    </row>
    <row r="948" spans="2:12" ht="40" customHeight="1">
      <c r="B948" s="42">
        <v>1393</v>
      </c>
      <c r="C948" s="102" t="s">
        <v>2797</v>
      </c>
      <c r="D948" s="102" t="s">
        <v>2623</v>
      </c>
      <c r="E948" s="92" t="s">
        <v>2798</v>
      </c>
      <c r="F948" s="42">
        <v>2</v>
      </c>
      <c r="G948" s="42">
        <v>75</v>
      </c>
      <c r="H948" s="42">
        <v>176</v>
      </c>
      <c r="I948" s="42" t="s">
        <v>2077</v>
      </c>
      <c r="J948" s="103" t="s">
        <v>3611</v>
      </c>
      <c r="K948" s="42" t="s">
        <v>3712</v>
      </c>
      <c r="L948" s="42">
        <f>VLOOKUP(Table7[[#This Row],[Baseline Fixture Code]], 'Tables &amp; Ranges'!$A$114:$B$132, 2, FALSE)</f>
        <v>101001</v>
      </c>
    </row>
    <row r="949" spans="2:12" ht="40" customHeight="1">
      <c r="B949" s="42">
        <v>1394</v>
      </c>
      <c r="C949" s="102" t="s">
        <v>2799</v>
      </c>
      <c r="D949" s="102" t="s">
        <v>2623</v>
      </c>
      <c r="E949" s="92" t="s">
        <v>2798</v>
      </c>
      <c r="F949" s="42">
        <v>2</v>
      </c>
      <c r="G949" s="42">
        <v>75</v>
      </c>
      <c r="H949" s="42">
        <v>138</v>
      </c>
      <c r="I949" s="42" t="s">
        <v>147</v>
      </c>
      <c r="J949" s="103" t="s">
        <v>3611</v>
      </c>
      <c r="K949" s="42" t="s">
        <v>3712</v>
      </c>
      <c r="L949" s="42">
        <f>VLOOKUP(Table7[[#This Row],[Baseline Fixture Code]], 'Tables &amp; Ranges'!$A$114:$B$132, 2, FALSE)</f>
        <v>101001</v>
      </c>
    </row>
    <row r="950" spans="2:12" ht="40" customHeight="1">
      <c r="B950" s="42">
        <v>1395</v>
      </c>
      <c r="C950" s="102" t="s">
        <v>2800</v>
      </c>
      <c r="D950" s="102" t="s">
        <v>2623</v>
      </c>
      <c r="E950" s="92" t="s">
        <v>2798</v>
      </c>
      <c r="F950" s="42">
        <v>2</v>
      </c>
      <c r="G950" s="42">
        <v>75</v>
      </c>
      <c r="H950" s="42">
        <v>168</v>
      </c>
      <c r="I950" s="42" t="s">
        <v>1457</v>
      </c>
      <c r="J950" s="103" t="s">
        <v>3611</v>
      </c>
      <c r="K950" s="42" t="s">
        <v>3712</v>
      </c>
      <c r="L950" s="42">
        <f>VLOOKUP(Table7[[#This Row],[Baseline Fixture Code]], 'Tables &amp; Ranges'!$A$114:$B$132, 2, FALSE)</f>
        <v>101001</v>
      </c>
    </row>
    <row r="951" spans="2:12" ht="40" customHeight="1">
      <c r="B951" s="42">
        <v>1426</v>
      </c>
      <c r="C951" s="102" t="s">
        <v>2855</v>
      </c>
      <c r="D951" s="102" t="s">
        <v>2623</v>
      </c>
      <c r="E951" s="92" t="s">
        <v>2856</v>
      </c>
      <c r="F951" s="42">
        <v>1</v>
      </c>
      <c r="G951" s="42">
        <v>75</v>
      </c>
      <c r="H951" s="42">
        <v>69</v>
      </c>
      <c r="I951" s="42" t="s">
        <v>147</v>
      </c>
      <c r="J951" s="103" t="s">
        <v>131</v>
      </c>
      <c r="K951" s="42" t="s">
        <v>3712</v>
      </c>
      <c r="L951" s="42">
        <f>VLOOKUP(Table7[[#This Row],[Baseline Fixture Code]], 'Tables &amp; Ranges'!$A$114:$B$132, 2, FALSE)</f>
        <v>101001</v>
      </c>
    </row>
    <row r="952" spans="2:12" ht="40" customHeight="1">
      <c r="B952" s="42">
        <v>1427</v>
      </c>
      <c r="C952" s="102" t="s">
        <v>2857</v>
      </c>
      <c r="D952" s="102" t="s">
        <v>2623</v>
      </c>
      <c r="E952" s="92" t="s">
        <v>2858</v>
      </c>
      <c r="F952" s="42">
        <v>1</v>
      </c>
      <c r="G952" s="42">
        <v>75</v>
      </c>
      <c r="H952" s="42">
        <v>55</v>
      </c>
      <c r="I952" s="42" t="s">
        <v>147</v>
      </c>
      <c r="J952" s="103" t="s">
        <v>3611</v>
      </c>
      <c r="K952" s="42" t="s">
        <v>3712</v>
      </c>
      <c r="L952" s="42">
        <f>VLOOKUP(Table7[[#This Row],[Baseline Fixture Code]], 'Tables &amp; Ranges'!$A$114:$B$132, 2, FALSE)</f>
        <v>101001</v>
      </c>
    </row>
    <row r="953" spans="2:12" ht="40" customHeight="1">
      <c r="B953" s="42">
        <v>1438</v>
      </c>
      <c r="C953" s="102" t="s">
        <v>2874</v>
      </c>
      <c r="D953" s="102" t="s">
        <v>2623</v>
      </c>
      <c r="E953" s="92" t="s">
        <v>2875</v>
      </c>
      <c r="F953" s="42">
        <v>2</v>
      </c>
      <c r="G953" s="42">
        <v>75</v>
      </c>
      <c r="H953" s="42">
        <v>110</v>
      </c>
      <c r="I953" s="42" t="s">
        <v>147</v>
      </c>
      <c r="J953" s="103" t="s">
        <v>131</v>
      </c>
      <c r="K953" s="42" t="s">
        <v>3712</v>
      </c>
      <c r="L953" s="42">
        <f>VLOOKUP(Table7[[#This Row],[Baseline Fixture Code]], 'Tables &amp; Ranges'!$A$114:$B$132, 2, FALSE)</f>
        <v>101001</v>
      </c>
    </row>
    <row r="954" spans="2:12" ht="40" customHeight="1">
      <c r="B954" s="42">
        <v>1447</v>
      </c>
      <c r="C954" s="102" t="s">
        <v>2891</v>
      </c>
      <c r="D954" s="102" t="s">
        <v>2623</v>
      </c>
      <c r="E954" s="92" t="s">
        <v>2892</v>
      </c>
      <c r="F954" s="42">
        <v>3</v>
      </c>
      <c r="G954" s="42">
        <v>75</v>
      </c>
      <c r="H954" s="42">
        <v>179</v>
      </c>
      <c r="I954" s="42" t="s">
        <v>147</v>
      </c>
      <c r="J954" s="103" t="s">
        <v>131</v>
      </c>
      <c r="K954" s="42" t="s">
        <v>3712</v>
      </c>
      <c r="L954" s="42">
        <f>VLOOKUP(Table7[[#This Row],[Baseline Fixture Code]], 'Tables &amp; Ranges'!$A$114:$B$132, 2, FALSE)</f>
        <v>101001</v>
      </c>
    </row>
    <row r="955" spans="2:12" ht="40" customHeight="1">
      <c r="B955" s="42">
        <v>1458</v>
      </c>
      <c r="C955" s="102" t="s">
        <v>2908</v>
      </c>
      <c r="D955" s="102" t="s">
        <v>2623</v>
      </c>
      <c r="E955" s="92" t="s">
        <v>2909</v>
      </c>
      <c r="F955" s="42">
        <v>4</v>
      </c>
      <c r="G955" s="42">
        <v>75</v>
      </c>
      <c r="H955" s="42">
        <v>220</v>
      </c>
      <c r="I955" s="42" t="s">
        <v>147</v>
      </c>
      <c r="J955" s="103" t="s">
        <v>131</v>
      </c>
      <c r="K955" s="42" t="s">
        <v>3712</v>
      </c>
      <c r="L955" s="42">
        <f>VLOOKUP(Table7[[#This Row],[Baseline Fixture Code]], 'Tables &amp; Ranges'!$A$114:$B$132, 2, FALSE)</f>
        <v>101001</v>
      </c>
    </row>
    <row r="956" spans="2:12" ht="40" customHeight="1">
      <c r="B956" s="42">
        <v>1579</v>
      </c>
      <c r="C956" s="102" t="s">
        <v>3151</v>
      </c>
      <c r="D956" s="102" t="s">
        <v>107</v>
      </c>
      <c r="E956" s="92" t="s">
        <v>3152</v>
      </c>
      <c r="F956" s="42">
        <v>1</v>
      </c>
      <c r="G956" s="42">
        <v>75</v>
      </c>
      <c r="H956" s="42">
        <v>75</v>
      </c>
      <c r="I956" s="42" t="s">
        <v>146</v>
      </c>
      <c r="J956" s="103" t="s">
        <v>3611</v>
      </c>
      <c r="K956" s="42" t="s">
        <v>107</v>
      </c>
      <c r="L956" s="42">
        <f>VLOOKUP(Table7[[#This Row],[Baseline Fixture Code]], 'Tables &amp; Ranges'!$A$114:$B$132, 2, FALSE)</f>
        <v>101106</v>
      </c>
    </row>
    <row r="957" spans="2:12" ht="40" customHeight="1">
      <c r="B957" s="42">
        <v>1745</v>
      </c>
      <c r="C957" s="102" t="s">
        <v>3485</v>
      </c>
      <c r="D957" s="102" t="s">
        <v>3382</v>
      </c>
      <c r="E957" s="92" t="s">
        <v>3486</v>
      </c>
      <c r="F957" s="42">
        <v>1</v>
      </c>
      <c r="G957" s="42">
        <v>75</v>
      </c>
      <c r="H957" s="42">
        <v>93</v>
      </c>
      <c r="I957" s="42" t="s">
        <v>146</v>
      </c>
      <c r="J957" s="103" t="s">
        <v>3611</v>
      </c>
      <c r="K957" s="42" t="s">
        <v>4043</v>
      </c>
      <c r="L957" s="42">
        <f>VLOOKUP(Table7[[#This Row],[Baseline Fixture Code]], 'Tables &amp; Ranges'!$A$114:$B$132, 2, FALSE)</f>
        <v>101110</v>
      </c>
    </row>
    <row r="958" spans="2:12" ht="40" customHeight="1">
      <c r="B958" s="42">
        <v>854</v>
      </c>
      <c r="C958" s="102" t="s">
        <v>1853</v>
      </c>
      <c r="D958" s="102" t="s">
        <v>1737</v>
      </c>
      <c r="E958" s="92" t="s">
        <v>1854</v>
      </c>
      <c r="F958" s="42">
        <v>1</v>
      </c>
      <c r="G958" s="42">
        <v>80</v>
      </c>
      <c r="H958" s="42">
        <v>90</v>
      </c>
      <c r="I958" s="42" t="s">
        <v>1743</v>
      </c>
      <c r="J958" s="103" t="s">
        <v>3611</v>
      </c>
      <c r="K958" s="42" t="s">
        <v>4036</v>
      </c>
      <c r="L958" s="42">
        <f>VLOOKUP(Table7[[#This Row],[Baseline Fixture Code]], 'Tables &amp; Ranges'!$A$114:$B$132, 2, FALSE)</f>
        <v>101003</v>
      </c>
    </row>
    <row r="959" spans="2:12" ht="40" customHeight="1">
      <c r="B959" s="42">
        <v>855</v>
      </c>
      <c r="C959" s="102" t="s">
        <v>1855</v>
      </c>
      <c r="D959" s="102" t="s">
        <v>1737</v>
      </c>
      <c r="E959" s="92" t="s">
        <v>1856</v>
      </c>
      <c r="F959" s="42">
        <v>2</v>
      </c>
      <c r="G959" s="42">
        <v>80</v>
      </c>
      <c r="H959" s="42">
        <v>180</v>
      </c>
      <c r="I959" s="42" t="s">
        <v>1743</v>
      </c>
      <c r="J959" s="103" t="s">
        <v>3611</v>
      </c>
      <c r="K959" s="42" t="s">
        <v>4036</v>
      </c>
      <c r="L959" s="42">
        <f>VLOOKUP(Table7[[#This Row],[Baseline Fixture Code]], 'Tables &amp; Ranges'!$A$114:$B$132, 2, FALSE)</f>
        <v>101003</v>
      </c>
    </row>
    <row r="960" spans="2:12" ht="40" customHeight="1">
      <c r="B960" s="42">
        <v>1479</v>
      </c>
      <c r="C960" s="102" t="s">
        <v>2952</v>
      </c>
      <c r="D960" s="102" t="s">
        <v>2946</v>
      </c>
      <c r="E960" s="92" t="s">
        <v>2953</v>
      </c>
      <c r="F960" s="42">
        <v>1</v>
      </c>
      <c r="G960" s="42">
        <v>80</v>
      </c>
      <c r="H960" s="42">
        <v>84</v>
      </c>
      <c r="I960" s="42" t="s">
        <v>147</v>
      </c>
      <c r="J960" s="103" t="s">
        <v>3611</v>
      </c>
      <c r="K960" s="95" t="s">
        <v>4045</v>
      </c>
      <c r="L960" s="42">
        <f>VLOOKUP(Table7[[#This Row],[Baseline Fixture Code]], 'Tables &amp; Ranges'!$A$114:$B$132, 2, FALSE)</f>
        <v>101113</v>
      </c>
    </row>
    <row r="961" spans="2:12" ht="40" customHeight="1">
      <c r="B961" s="42">
        <v>1580</v>
      </c>
      <c r="C961" s="102" t="s">
        <v>3153</v>
      </c>
      <c r="D961" s="102" t="s">
        <v>107</v>
      </c>
      <c r="E961" s="92" t="s">
        <v>3154</v>
      </c>
      <c r="F961" s="42">
        <v>1</v>
      </c>
      <c r="G961" s="42">
        <v>80</v>
      </c>
      <c r="H961" s="42">
        <v>80</v>
      </c>
      <c r="I961" s="42" t="s">
        <v>146</v>
      </c>
      <c r="J961" s="103" t="s">
        <v>3611</v>
      </c>
      <c r="K961" s="42" t="s">
        <v>107</v>
      </c>
      <c r="L961" s="42">
        <f>VLOOKUP(Table7[[#This Row],[Baseline Fixture Code]], 'Tables &amp; Ranges'!$A$114:$B$132, 2, FALSE)</f>
        <v>101106</v>
      </c>
    </row>
    <row r="962" spans="2:12" ht="40" customHeight="1">
      <c r="B962" s="42">
        <v>1398</v>
      </c>
      <c r="C962" s="102" t="s">
        <v>2805</v>
      </c>
      <c r="D962" s="102" t="s">
        <v>2623</v>
      </c>
      <c r="E962" s="92" t="s">
        <v>2806</v>
      </c>
      <c r="F962" s="42">
        <v>1</v>
      </c>
      <c r="G962" s="42">
        <v>85</v>
      </c>
      <c r="H962" s="42">
        <v>106</v>
      </c>
      <c r="I962" s="42" t="s">
        <v>1457</v>
      </c>
      <c r="J962" s="103" t="s">
        <v>3611</v>
      </c>
      <c r="K962" s="42" t="s">
        <v>3712</v>
      </c>
      <c r="L962" s="42">
        <f>VLOOKUP(Table7[[#This Row],[Baseline Fixture Code]], 'Tables &amp; Ranges'!$A$114:$B$132, 2, FALSE)</f>
        <v>101001</v>
      </c>
    </row>
    <row r="963" spans="2:12" ht="40" customHeight="1">
      <c r="B963" s="42">
        <v>1402</v>
      </c>
      <c r="C963" s="102" t="s">
        <v>2813</v>
      </c>
      <c r="D963" s="102" t="s">
        <v>2623</v>
      </c>
      <c r="E963" s="92" t="s">
        <v>2814</v>
      </c>
      <c r="F963" s="42">
        <v>2</v>
      </c>
      <c r="G963" s="42">
        <v>85</v>
      </c>
      <c r="H963" s="42">
        <v>194</v>
      </c>
      <c r="I963" s="42" t="s">
        <v>2077</v>
      </c>
      <c r="J963" s="103" t="s">
        <v>3611</v>
      </c>
      <c r="K963" s="42" t="s">
        <v>3712</v>
      </c>
      <c r="L963" s="42">
        <f>VLOOKUP(Table7[[#This Row],[Baseline Fixture Code]], 'Tables &amp; Ranges'!$A$114:$B$132, 2, FALSE)</f>
        <v>101001</v>
      </c>
    </row>
    <row r="964" spans="2:12" ht="40" customHeight="1">
      <c r="B964" s="42">
        <v>1403</v>
      </c>
      <c r="C964" s="102" t="s">
        <v>2815</v>
      </c>
      <c r="D964" s="102" t="s">
        <v>2623</v>
      </c>
      <c r="E964" s="92" t="s">
        <v>2814</v>
      </c>
      <c r="F964" s="42">
        <v>2</v>
      </c>
      <c r="G964" s="42">
        <v>85</v>
      </c>
      <c r="H964" s="42">
        <v>167</v>
      </c>
      <c r="I964" s="42" t="s">
        <v>147</v>
      </c>
      <c r="J964" s="103" t="s">
        <v>3611</v>
      </c>
      <c r="K964" s="42" t="s">
        <v>3712</v>
      </c>
      <c r="L964" s="42">
        <f>VLOOKUP(Table7[[#This Row],[Baseline Fixture Code]], 'Tables &amp; Ranges'!$A$114:$B$132, 2, FALSE)</f>
        <v>101001</v>
      </c>
    </row>
    <row r="965" spans="2:12" ht="40" customHeight="1">
      <c r="B965" s="42">
        <v>1404</v>
      </c>
      <c r="C965" s="102" t="s">
        <v>2816</v>
      </c>
      <c r="D965" s="102" t="s">
        <v>2623</v>
      </c>
      <c r="E965" s="92" t="s">
        <v>2814</v>
      </c>
      <c r="F965" s="42">
        <v>2</v>
      </c>
      <c r="G965" s="42">
        <v>85</v>
      </c>
      <c r="H965" s="42">
        <v>200</v>
      </c>
      <c r="I965" s="42" t="s">
        <v>1457</v>
      </c>
      <c r="J965" s="103" t="s">
        <v>3611</v>
      </c>
      <c r="K965" s="42" t="s">
        <v>3712</v>
      </c>
      <c r="L965" s="42">
        <f>VLOOKUP(Table7[[#This Row],[Baseline Fixture Code]], 'Tables &amp; Ranges'!$A$114:$B$132, 2, FALSE)</f>
        <v>101001</v>
      </c>
    </row>
    <row r="966" spans="2:12" ht="40" customHeight="1">
      <c r="B966" s="42">
        <v>1412</v>
      </c>
      <c r="C966" s="102" t="s">
        <v>2828</v>
      </c>
      <c r="D966" s="102" t="s">
        <v>2623</v>
      </c>
      <c r="E966" s="92" t="s">
        <v>2829</v>
      </c>
      <c r="F966" s="42">
        <v>4</v>
      </c>
      <c r="G966" s="42">
        <v>85</v>
      </c>
      <c r="H966" s="42">
        <v>388</v>
      </c>
      <c r="I966" s="42" t="s">
        <v>2077</v>
      </c>
      <c r="J966" s="103" t="s">
        <v>3611</v>
      </c>
      <c r="K966" s="42" t="s">
        <v>3712</v>
      </c>
      <c r="L966" s="42">
        <f>VLOOKUP(Table7[[#This Row],[Baseline Fixture Code]], 'Tables &amp; Ranges'!$A$114:$B$132, 2, FALSE)</f>
        <v>101001</v>
      </c>
    </row>
    <row r="967" spans="2:12" ht="40" customHeight="1">
      <c r="B967" s="42">
        <v>1480</v>
      </c>
      <c r="C967" s="102" t="s">
        <v>2954</v>
      </c>
      <c r="D967" s="102" t="s">
        <v>2946</v>
      </c>
      <c r="E967" s="92" t="s">
        <v>2955</v>
      </c>
      <c r="F967" s="42">
        <v>1</v>
      </c>
      <c r="G967" s="42">
        <v>85</v>
      </c>
      <c r="H967" s="42">
        <v>89</v>
      </c>
      <c r="I967" s="42" t="s">
        <v>147</v>
      </c>
      <c r="J967" s="103" t="s">
        <v>3611</v>
      </c>
      <c r="K967" s="95" t="s">
        <v>4045</v>
      </c>
      <c r="L967" s="42">
        <f>VLOOKUP(Table7[[#This Row],[Baseline Fixture Code]], 'Tables &amp; Ranges'!$A$114:$B$132, 2, FALSE)</f>
        <v>101113</v>
      </c>
    </row>
    <row r="968" spans="2:12" ht="40" customHeight="1">
      <c r="B968" s="42">
        <v>1257</v>
      </c>
      <c r="C968" s="102" t="s">
        <v>2538</v>
      </c>
      <c r="D968" s="102" t="s">
        <v>1858</v>
      </c>
      <c r="E968" s="92" t="s">
        <v>2539</v>
      </c>
      <c r="F968" s="42">
        <v>1</v>
      </c>
      <c r="G968" s="42">
        <v>86</v>
      </c>
      <c r="H968" s="42">
        <v>80</v>
      </c>
      <c r="I968" s="42" t="s">
        <v>147</v>
      </c>
      <c r="J968" s="103" t="s">
        <v>3611</v>
      </c>
      <c r="K968" s="42" t="s">
        <v>4037</v>
      </c>
      <c r="L968" s="42">
        <f>VLOOKUP(Table7[[#This Row],[Baseline Fixture Code]], 'Tables &amp; Ranges'!$A$114:$B$132, 2, FALSE)</f>
        <v>101002</v>
      </c>
    </row>
    <row r="969" spans="2:12" ht="40" customHeight="1">
      <c r="B969" s="107">
        <v>1286</v>
      </c>
      <c r="C969" s="108" t="s">
        <v>2598</v>
      </c>
      <c r="D969" s="108" t="s">
        <v>2549</v>
      </c>
      <c r="E969" s="109" t="s">
        <v>2599</v>
      </c>
      <c r="F969" s="107">
        <v>1</v>
      </c>
      <c r="G969" s="107">
        <v>86</v>
      </c>
      <c r="H969" s="107">
        <v>101</v>
      </c>
      <c r="I969" s="107" t="s">
        <v>2551</v>
      </c>
      <c r="J969" s="103" t="s">
        <v>3611</v>
      </c>
      <c r="K969" s="42" t="s">
        <v>3712</v>
      </c>
      <c r="L969" s="42">
        <f>VLOOKUP(Table7[[#This Row],[Baseline Fixture Code]], 'Tables &amp; Ranges'!$A$114:$B$132, 2, FALSE)</f>
        <v>101001</v>
      </c>
    </row>
    <row r="970" spans="2:12" ht="40" customHeight="1">
      <c r="B970" s="107">
        <v>1292</v>
      </c>
      <c r="C970" s="108" t="s">
        <v>2610</v>
      </c>
      <c r="D970" s="108" t="s">
        <v>2549</v>
      </c>
      <c r="E970" s="109" t="s">
        <v>2611</v>
      </c>
      <c r="F970" s="107">
        <v>1</v>
      </c>
      <c r="G970" s="107">
        <v>86</v>
      </c>
      <c r="H970" s="107">
        <v>101</v>
      </c>
      <c r="I970" s="107" t="s">
        <v>2551</v>
      </c>
      <c r="J970" s="103" t="s">
        <v>3611</v>
      </c>
      <c r="K970" s="42" t="s">
        <v>3712</v>
      </c>
      <c r="L970" s="42">
        <f>VLOOKUP(Table7[[#This Row],[Baseline Fixture Code]], 'Tables &amp; Ranges'!$A$114:$B$132, 2, FALSE)</f>
        <v>101001</v>
      </c>
    </row>
    <row r="971" spans="2:12" ht="40" customHeight="1">
      <c r="B971" s="42">
        <v>1258</v>
      </c>
      <c r="C971" s="102" t="s">
        <v>2540</v>
      </c>
      <c r="D971" s="102" t="s">
        <v>1858</v>
      </c>
      <c r="E971" s="92" t="s">
        <v>2541</v>
      </c>
      <c r="F971" s="42">
        <v>2</v>
      </c>
      <c r="G971" s="42">
        <v>86</v>
      </c>
      <c r="H971" s="42">
        <v>160</v>
      </c>
      <c r="I971" s="42" t="s">
        <v>147</v>
      </c>
      <c r="J971" s="103" t="s">
        <v>3611</v>
      </c>
      <c r="K971" s="42" t="s">
        <v>4037</v>
      </c>
      <c r="L971" s="42">
        <f>VLOOKUP(Table7[[#This Row],[Baseline Fixture Code]], 'Tables &amp; Ranges'!$A$114:$B$132, 2, FALSE)</f>
        <v>101002</v>
      </c>
    </row>
    <row r="972" spans="2:12" ht="40" customHeight="1">
      <c r="B972" s="107">
        <v>1287</v>
      </c>
      <c r="C972" s="108" t="s">
        <v>2600</v>
      </c>
      <c r="D972" s="108" t="s">
        <v>2549</v>
      </c>
      <c r="E972" s="109" t="s">
        <v>2601</v>
      </c>
      <c r="F972" s="107">
        <v>2</v>
      </c>
      <c r="G972" s="107">
        <v>86</v>
      </c>
      <c r="H972" s="107">
        <v>160</v>
      </c>
      <c r="I972" s="107" t="s">
        <v>2551</v>
      </c>
      <c r="J972" s="103" t="s">
        <v>3611</v>
      </c>
      <c r="K972" s="42" t="s">
        <v>3712</v>
      </c>
      <c r="L972" s="42">
        <f>VLOOKUP(Table7[[#This Row],[Baseline Fixture Code]], 'Tables &amp; Ranges'!$A$114:$B$132, 2, FALSE)</f>
        <v>101001</v>
      </c>
    </row>
    <row r="973" spans="2:12" ht="40" customHeight="1">
      <c r="B973" s="107">
        <v>1293</v>
      </c>
      <c r="C973" s="108" t="s">
        <v>2612</v>
      </c>
      <c r="D973" s="108" t="s">
        <v>2549</v>
      </c>
      <c r="E973" s="109" t="s">
        <v>2613</v>
      </c>
      <c r="F973" s="107">
        <v>2</v>
      </c>
      <c r="G973" s="107">
        <v>86</v>
      </c>
      <c r="H973" s="107">
        <v>160</v>
      </c>
      <c r="I973" s="107" t="s">
        <v>2551</v>
      </c>
      <c r="J973" s="103" t="s">
        <v>3611</v>
      </c>
      <c r="K973" s="42" t="s">
        <v>3712</v>
      </c>
      <c r="L973" s="42">
        <f>VLOOKUP(Table7[[#This Row],[Baseline Fixture Code]], 'Tables &amp; Ranges'!$A$114:$B$132, 2, FALSE)</f>
        <v>101001</v>
      </c>
    </row>
    <row r="974" spans="2:12" ht="40" customHeight="1">
      <c r="B974" s="107">
        <v>1288</v>
      </c>
      <c r="C974" s="108" t="s">
        <v>2602</v>
      </c>
      <c r="D974" s="108" t="s">
        <v>2549</v>
      </c>
      <c r="E974" s="109" t="s">
        <v>2603</v>
      </c>
      <c r="F974" s="107">
        <v>3</v>
      </c>
      <c r="G974" s="107">
        <v>86</v>
      </c>
      <c r="H974" s="107">
        <v>261</v>
      </c>
      <c r="I974" s="107" t="s">
        <v>2551</v>
      </c>
      <c r="J974" s="103" t="s">
        <v>3611</v>
      </c>
      <c r="K974" s="42" t="s">
        <v>3712</v>
      </c>
      <c r="L974" s="42">
        <f>VLOOKUP(Table7[[#This Row],[Baseline Fixture Code]], 'Tables &amp; Ranges'!$A$114:$B$132, 2, FALSE)</f>
        <v>101001</v>
      </c>
    </row>
    <row r="975" spans="2:12" ht="40" customHeight="1">
      <c r="B975" s="107">
        <v>1294</v>
      </c>
      <c r="C975" s="108" t="s">
        <v>2614</v>
      </c>
      <c r="D975" s="108" t="s">
        <v>2549</v>
      </c>
      <c r="E975" s="109" t="s">
        <v>2615</v>
      </c>
      <c r="F975" s="107">
        <v>3</v>
      </c>
      <c r="G975" s="107">
        <v>86</v>
      </c>
      <c r="H975" s="107">
        <v>261</v>
      </c>
      <c r="I975" s="107" t="s">
        <v>2551</v>
      </c>
      <c r="J975" s="103" t="s">
        <v>3611</v>
      </c>
      <c r="K975" s="42" t="s">
        <v>3712</v>
      </c>
      <c r="L975" s="42">
        <f>VLOOKUP(Table7[[#This Row],[Baseline Fixture Code]], 'Tables &amp; Ranges'!$A$114:$B$132, 2, FALSE)</f>
        <v>101001</v>
      </c>
    </row>
    <row r="976" spans="2:12" ht="40" customHeight="1">
      <c r="B976" s="42">
        <v>1259</v>
      </c>
      <c r="C976" s="102" t="s">
        <v>2542</v>
      </c>
      <c r="D976" s="102" t="s">
        <v>1858</v>
      </c>
      <c r="E976" s="92" t="s">
        <v>2543</v>
      </c>
      <c r="F976" s="42">
        <v>4</v>
      </c>
      <c r="G976" s="42">
        <v>86</v>
      </c>
      <c r="H976" s="42">
        <v>320</v>
      </c>
      <c r="I976" s="42" t="s">
        <v>147</v>
      </c>
      <c r="J976" s="103" t="s">
        <v>3611</v>
      </c>
      <c r="K976" s="42" t="s">
        <v>4037</v>
      </c>
      <c r="L976" s="42">
        <f>VLOOKUP(Table7[[#This Row],[Baseline Fixture Code]], 'Tables &amp; Ranges'!$A$114:$B$132, 2, FALSE)</f>
        <v>101002</v>
      </c>
    </row>
    <row r="977" spans="2:12" ht="40" customHeight="1">
      <c r="B977" s="107">
        <v>1289</v>
      </c>
      <c r="C977" s="108" t="s">
        <v>2604</v>
      </c>
      <c r="D977" s="108" t="s">
        <v>2549</v>
      </c>
      <c r="E977" s="109" t="s">
        <v>2605</v>
      </c>
      <c r="F977" s="107">
        <v>4</v>
      </c>
      <c r="G977" s="107">
        <v>86</v>
      </c>
      <c r="H977" s="107">
        <v>319</v>
      </c>
      <c r="I977" s="107" t="s">
        <v>2551</v>
      </c>
      <c r="J977" s="103" t="s">
        <v>3611</v>
      </c>
      <c r="K977" s="42" t="s">
        <v>3712</v>
      </c>
      <c r="L977" s="42">
        <f>VLOOKUP(Table7[[#This Row],[Baseline Fixture Code]], 'Tables &amp; Ranges'!$A$114:$B$132, 2, FALSE)</f>
        <v>101001</v>
      </c>
    </row>
    <row r="978" spans="2:12" ht="40" customHeight="1">
      <c r="B978" s="107">
        <v>1295</v>
      </c>
      <c r="C978" s="108" t="s">
        <v>2616</v>
      </c>
      <c r="D978" s="108" t="s">
        <v>2549</v>
      </c>
      <c r="E978" s="109" t="s">
        <v>2617</v>
      </c>
      <c r="F978" s="107">
        <v>4</v>
      </c>
      <c r="G978" s="107">
        <v>86</v>
      </c>
      <c r="H978" s="107">
        <v>319</v>
      </c>
      <c r="I978" s="107" t="s">
        <v>2551</v>
      </c>
      <c r="J978" s="103" t="s">
        <v>3611</v>
      </c>
      <c r="K978" s="42" t="s">
        <v>3712</v>
      </c>
      <c r="L978" s="42">
        <f>VLOOKUP(Table7[[#This Row],[Baseline Fixture Code]], 'Tables &amp; Ranges'!$A$114:$B$132, 2, FALSE)</f>
        <v>101001</v>
      </c>
    </row>
    <row r="979" spans="2:12" ht="40" customHeight="1">
      <c r="B979" s="107">
        <v>1290</v>
      </c>
      <c r="C979" s="108" t="s">
        <v>2606</v>
      </c>
      <c r="D979" s="108" t="s">
        <v>2549</v>
      </c>
      <c r="E979" s="109" t="s">
        <v>2607</v>
      </c>
      <c r="F979" s="107">
        <v>6</v>
      </c>
      <c r="G979" s="107">
        <v>86</v>
      </c>
      <c r="H979" s="107">
        <v>481</v>
      </c>
      <c r="I979" s="107" t="s">
        <v>2551</v>
      </c>
      <c r="J979" s="103" t="s">
        <v>3611</v>
      </c>
      <c r="K979" s="42" t="s">
        <v>3712</v>
      </c>
      <c r="L979" s="42">
        <f>VLOOKUP(Table7[[#This Row],[Baseline Fixture Code]], 'Tables &amp; Ranges'!$A$114:$B$132, 2, FALSE)</f>
        <v>101001</v>
      </c>
    </row>
    <row r="980" spans="2:12" ht="40" customHeight="1">
      <c r="B980" s="107">
        <v>1296</v>
      </c>
      <c r="C980" s="108" t="s">
        <v>2618</v>
      </c>
      <c r="D980" s="108" t="s">
        <v>2549</v>
      </c>
      <c r="E980" s="109" t="s">
        <v>2619</v>
      </c>
      <c r="F980" s="107">
        <v>6</v>
      </c>
      <c r="G980" s="107">
        <v>86</v>
      </c>
      <c r="H980" s="107">
        <v>481</v>
      </c>
      <c r="I980" s="107" t="s">
        <v>2551</v>
      </c>
      <c r="J980" s="103" t="s">
        <v>3611</v>
      </c>
      <c r="K980" s="42" t="s">
        <v>3712</v>
      </c>
      <c r="L980" s="42">
        <f>VLOOKUP(Table7[[#This Row],[Baseline Fixture Code]], 'Tables &amp; Ranges'!$A$114:$B$132, 2, FALSE)</f>
        <v>101001</v>
      </c>
    </row>
    <row r="981" spans="2:12" ht="40" customHeight="1">
      <c r="B981" s="107">
        <v>1291</v>
      </c>
      <c r="C981" s="108" t="s">
        <v>2608</v>
      </c>
      <c r="D981" s="108" t="s">
        <v>2549</v>
      </c>
      <c r="E981" s="109" t="s">
        <v>2609</v>
      </c>
      <c r="F981" s="107">
        <v>8</v>
      </c>
      <c r="G981" s="107">
        <v>86</v>
      </c>
      <c r="H981" s="107">
        <v>638</v>
      </c>
      <c r="I981" s="107" t="s">
        <v>2551</v>
      </c>
      <c r="J981" s="103" t="s">
        <v>3611</v>
      </c>
      <c r="K981" s="42" t="s">
        <v>3712</v>
      </c>
      <c r="L981" s="42">
        <f>VLOOKUP(Table7[[#This Row],[Baseline Fixture Code]], 'Tables &amp; Ranges'!$A$114:$B$132, 2, FALSE)</f>
        <v>101001</v>
      </c>
    </row>
    <row r="982" spans="2:12" ht="40" customHeight="1">
      <c r="B982" s="107">
        <v>1297</v>
      </c>
      <c r="C982" s="108" t="s">
        <v>2620</v>
      </c>
      <c r="D982" s="108" t="s">
        <v>2549</v>
      </c>
      <c r="E982" s="109" t="s">
        <v>2621</v>
      </c>
      <c r="F982" s="107">
        <v>8</v>
      </c>
      <c r="G982" s="107">
        <v>86</v>
      </c>
      <c r="H982" s="107">
        <v>638</v>
      </c>
      <c r="I982" s="107" t="s">
        <v>2551</v>
      </c>
      <c r="J982" s="103" t="s">
        <v>3611</v>
      </c>
      <c r="K982" s="42" t="s">
        <v>3712</v>
      </c>
      <c r="L982" s="42">
        <f>VLOOKUP(Table7[[#This Row],[Baseline Fixture Code]], 'Tables &amp; Ranges'!$A$114:$B$132, 2, FALSE)</f>
        <v>101001</v>
      </c>
    </row>
    <row r="983" spans="2:12" ht="40" customHeight="1">
      <c r="B983" s="42">
        <v>1581</v>
      </c>
      <c r="C983" s="102" t="s">
        <v>3155</v>
      </c>
      <c r="D983" s="102" t="s">
        <v>107</v>
      </c>
      <c r="E983" s="92" t="s">
        <v>3156</v>
      </c>
      <c r="F983" s="42">
        <v>1</v>
      </c>
      <c r="G983" s="42">
        <v>90</v>
      </c>
      <c r="H983" s="42">
        <v>90</v>
      </c>
      <c r="I983" s="42" t="s">
        <v>146</v>
      </c>
      <c r="J983" s="103" t="s">
        <v>3611</v>
      </c>
      <c r="K983" s="42" t="s">
        <v>107</v>
      </c>
      <c r="L983" s="42">
        <f>VLOOKUP(Table7[[#This Row],[Baseline Fixture Code]], 'Tables &amp; Ranges'!$A$114:$B$132, 2, FALSE)</f>
        <v>101106</v>
      </c>
    </row>
    <row r="984" spans="2:12" ht="40" customHeight="1">
      <c r="B984" s="42">
        <v>1419</v>
      </c>
      <c r="C984" s="102" t="s">
        <v>2842</v>
      </c>
      <c r="D984" s="102" t="s">
        <v>2623</v>
      </c>
      <c r="E984" s="92" t="s">
        <v>2843</v>
      </c>
      <c r="F984" s="42">
        <v>1</v>
      </c>
      <c r="G984" s="42">
        <v>95</v>
      </c>
      <c r="H984" s="42">
        <v>80</v>
      </c>
      <c r="I984" s="42" t="s">
        <v>147</v>
      </c>
      <c r="J984" s="103" t="s">
        <v>131</v>
      </c>
      <c r="K984" s="42" t="s">
        <v>3712</v>
      </c>
      <c r="L984" s="42">
        <f>VLOOKUP(Table7[[#This Row],[Baseline Fixture Code]], 'Tables &amp; Ranges'!$A$114:$B$132, 2, FALSE)</f>
        <v>101001</v>
      </c>
    </row>
    <row r="985" spans="2:12" ht="40" customHeight="1">
      <c r="B985" s="42">
        <v>1420</v>
      </c>
      <c r="C985" s="102" t="s">
        <v>2844</v>
      </c>
      <c r="D985" s="102" t="s">
        <v>2623</v>
      </c>
      <c r="E985" s="92" t="s">
        <v>2843</v>
      </c>
      <c r="F985" s="42">
        <v>1</v>
      </c>
      <c r="G985" s="42">
        <v>95</v>
      </c>
      <c r="H985" s="42">
        <v>113</v>
      </c>
      <c r="I985" s="42" t="s">
        <v>1457</v>
      </c>
      <c r="J985" s="103" t="s">
        <v>131</v>
      </c>
      <c r="K985" s="42" t="s">
        <v>3712</v>
      </c>
      <c r="L985" s="42">
        <f>VLOOKUP(Table7[[#This Row],[Baseline Fixture Code]], 'Tables &amp; Ranges'!$A$114:$B$132, 2, FALSE)</f>
        <v>101001</v>
      </c>
    </row>
    <row r="986" spans="2:12" ht="40" customHeight="1">
      <c r="B986" s="42">
        <v>1430</v>
      </c>
      <c r="C986" s="102" t="s">
        <v>2863</v>
      </c>
      <c r="D986" s="102" t="s">
        <v>2623</v>
      </c>
      <c r="E986" s="92" t="s">
        <v>2864</v>
      </c>
      <c r="F986" s="42">
        <v>2</v>
      </c>
      <c r="G986" s="42">
        <v>95</v>
      </c>
      <c r="H986" s="42">
        <v>207</v>
      </c>
      <c r="I986" s="42" t="s">
        <v>2077</v>
      </c>
      <c r="J986" s="103" t="s">
        <v>131</v>
      </c>
      <c r="K986" s="42" t="s">
        <v>3712</v>
      </c>
      <c r="L986" s="42">
        <f>VLOOKUP(Table7[[#This Row],[Baseline Fixture Code]], 'Tables &amp; Ranges'!$A$114:$B$132, 2, FALSE)</f>
        <v>101001</v>
      </c>
    </row>
    <row r="987" spans="2:12" ht="40" customHeight="1">
      <c r="B987" s="42">
        <v>1431</v>
      </c>
      <c r="C987" s="102" t="s">
        <v>2865</v>
      </c>
      <c r="D987" s="102" t="s">
        <v>2623</v>
      </c>
      <c r="E987" s="92" t="s">
        <v>2864</v>
      </c>
      <c r="F987" s="42">
        <v>2</v>
      </c>
      <c r="G987" s="42">
        <v>95</v>
      </c>
      <c r="H987" s="42">
        <v>173</v>
      </c>
      <c r="I987" s="42" t="s">
        <v>147</v>
      </c>
      <c r="J987" s="103" t="s">
        <v>131</v>
      </c>
      <c r="K987" s="42" t="s">
        <v>3712</v>
      </c>
      <c r="L987" s="42">
        <f>VLOOKUP(Table7[[#This Row],[Baseline Fixture Code]], 'Tables &amp; Ranges'!$A$114:$B$132, 2, FALSE)</f>
        <v>101001</v>
      </c>
    </row>
    <row r="988" spans="2:12" ht="40" customHeight="1">
      <c r="B988" s="42">
        <v>1432</v>
      </c>
      <c r="C988" s="102" t="s">
        <v>2866</v>
      </c>
      <c r="D988" s="102" t="s">
        <v>2623</v>
      </c>
      <c r="E988" s="92" t="s">
        <v>2864</v>
      </c>
      <c r="F988" s="42">
        <v>2</v>
      </c>
      <c r="G988" s="42">
        <v>95</v>
      </c>
      <c r="H988" s="42">
        <v>207</v>
      </c>
      <c r="I988" s="42" t="s">
        <v>1457</v>
      </c>
      <c r="J988" s="103" t="s">
        <v>131</v>
      </c>
      <c r="K988" s="42" t="s">
        <v>3712</v>
      </c>
      <c r="L988" s="42">
        <f>VLOOKUP(Table7[[#This Row],[Baseline Fixture Code]], 'Tables &amp; Ranges'!$A$114:$B$132, 2, FALSE)</f>
        <v>101001</v>
      </c>
    </row>
    <row r="989" spans="2:12" ht="40" customHeight="1">
      <c r="B989" s="42">
        <v>1441</v>
      </c>
      <c r="C989" s="102" t="s">
        <v>2880</v>
      </c>
      <c r="D989" s="102" t="s">
        <v>2623</v>
      </c>
      <c r="E989" s="92" t="s">
        <v>2881</v>
      </c>
      <c r="F989" s="42">
        <v>3</v>
      </c>
      <c r="G989" s="42">
        <v>95</v>
      </c>
      <c r="H989" s="42">
        <v>319</v>
      </c>
      <c r="I989" s="42" t="s">
        <v>2882</v>
      </c>
      <c r="J989" s="103" t="s">
        <v>131</v>
      </c>
      <c r="K989" s="42" t="s">
        <v>3712</v>
      </c>
      <c r="L989" s="42">
        <f>VLOOKUP(Table7[[#This Row],[Baseline Fixture Code]], 'Tables &amp; Ranges'!$A$114:$B$132, 2, FALSE)</f>
        <v>101001</v>
      </c>
    </row>
    <row r="990" spans="2:12" ht="40" customHeight="1">
      <c r="B990" s="42">
        <v>1442</v>
      </c>
      <c r="C990" s="102" t="s">
        <v>2883</v>
      </c>
      <c r="D990" s="102" t="s">
        <v>2623</v>
      </c>
      <c r="E990" s="92" t="s">
        <v>2884</v>
      </c>
      <c r="F990" s="42">
        <v>3</v>
      </c>
      <c r="G990" s="42">
        <v>95</v>
      </c>
      <c r="H990" s="42">
        <v>319</v>
      </c>
      <c r="I990" s="42" t="s">
        <v>1457</v>
      </c>
      <c r="J990" s="103" t="s">
        <v>131</v>
      </c>
      <c r="K990" s="42" t="s">
        <v>3712</v>
      </c>
      <c r="L990" s="42">
        <f>VLOOKUP(Table7[[#This Row],[Baseline Fixture Code]], 'Tables &amp; Ranges'!$A$114:$B$132, 2, FALSE)</f>
        <v>101001</v>
      </c>
    </row>
    <row r="991" spans="2:12" ht="40" customHeight="1">
      <c r="B991" s="42">
        <v>1450</v>
      </c>
      <c r="C991" s="102" t="s">
        <v>2897</v>
      </c>
      <c r="D991" s="102" t="s">
        <v>2623</v>
      </c>
      <c r="E991" s="92" t="s">
        <v>2898</v>
      </c>
      <c r="F991" s="42">
        <v>4</v>
      </c>
      <c r="G991" s="42">
        <v>95</v>
      </c>
      <c r="H991" s="42">
        <v>414</v>
      </c>
      <c r="I991" s="42" t="s">
        <v>2077</v>
      </c>
      <c r="J991" s="103" t="s">
        <v>131</v>
      </c>
      <c r="K991" s="42" t="s">
        <v>3712</v>
      </c>
      <c r="L991" s="42">
        <f>VLOOKUP(Table7[[#This Row],[Baseline Fixture Code]], 'Tables &amp; Ranges'!$A$114:$B$132, 2, FALSE)</f>
        <v>101001</v>
      </c>
    </row>
    <row r="992" spans="2:12" ht="40" customHeight="1">
      <c r="B992" s="42">
        <v>1451</v>
      </c>
      <c r="C992" s="102" t="s">
        <v>2899</v>
      </c>
      <c r="D992" s="102" t="s">
        <v>2623</v>
      </c>
      <c r="E992" s="92" t="s">
        <v>2898</v>
      </c>
      <c r="F992" s="42">
        <v>4</v>
      </c>
      <c r="G992" s="42">
        <v>95</v>
      </c>
      <c r="H992" s="42">
        <v>346</v>
      </c>
      <c r="I992" s="42" t="s">
        <v>147</v>
      </c>
      <c r="J992" s="103" t="s">
        <v>131</v>
      </c>
      <c r="K992" s="42" t="s">
        <v>3712</v>
      </c>
      <c r="L992" s="42">
        <f>VLOOKUP(Table7[[#This Row],[Baseline Fixture Code]], 'Tables &amp; Ranges'!$A$114:$B$132, 2, FALSE)</f>
        <v>101001</v>
      </c>
    </row>
    <row r="993" spans="2:12" ht="40" customHeight="1">
      <c r="B993" s="42">
        <v>1452</v>
      </c>
      <c r="C993" s="102" t="s">
        <v>2900</v>
      </c>
      <c r="D993" s="102" t="s">
        <v>2623</v>
      </c>
      <c r="E993" s="92" t="s">
        <v>2898</v>
      </c>
      <c r="F993" s="42">
        <v>4</v>
      </c>
      <c r="G993" s="42">
        <v>95</v>
      </c>
      <c r="H993" s="42">
        <v>414</v>
      </c>
      <c r="I993" s="42" t="s">
        <v>1457</v>
      </c>
      <c r="J993" s="103" t="s">
        <v>131</v>
      </c>
      <c r="K993" s="42" t="s">
        <v>3712</v>
      </c>
      <c r="L993" s="42">
        <f>VLOOKUP(Table7[[#This Row],[Baseline Fixture Code]], 'Tables &amp; Ranges'!$A$114:$B$132, 2, FALSE)</f>
        <v>101001</v>
      </c>
    </row>
    <row r="994" spans="2:12" ht="40" customHeight="1">
      <c r="B994" s="42">
        <v>1461</v>
      </c>
      <c r="C994" s="102" t="s">
        <v>2914</v>
      </c>
      <c r="D994" s="102" t="s">
        <v>2623</v>
      </c>
      <c r="E994" s="92" t="s">
        <v>2915</v>
      </c>
      <c r="F994" s="42">
        <v>6</v>
      </c>
      <c r="G994" s="42">
        <v>95</v>
      </c>
      <c r="H994" s="42">
        <v>519</v>
      </c>
      <c r="I994" s="42" t="s">
        <v>1457</v>
      </c>
      <c r="J994" s="103" t="s">
        <v>131</v>
      </c>
      <c r="K994" s="42" t="s">
        <v>3712</v>
      </c>
      <c r="L994" s="42">
        <f>VLOOKUP(Table7[[#This Row],[Baseline Fixture Code]], 'Tables &amp; Ranges'!$A$114:$B$132, 2, FALSE)</f>
        <v>101001</v>
      </c>
    </row>
    <row r="995" spans="2:12" ht="40" customHeight="1">
      <c r="B995" s="42">
        <v>1462</v>
      </c>
      <c r="C995" s="102" t="s">
        <v>2916</v>
      </c>
      <c r="D995" s="102" t="s">
        <v>2623</v>
      </c>
      <c r="E995" s="92" t="s">
        <v>2917</v>
      </c>
      <c r="F995" s="42">
        <v>8</v>
      </c>
      <c r="G995" s="42">
        <v>95</v>
      </c>
      <c r="H995" s="42">
        <v>828</v>
      </c>
      <c r="I995" s="42" t="s">
        <v>2077</v>
      </c>
      <c r="J995" s="103" t="s">
        <v>131</v>
      </c>
      <c r="K995" s="42" t="s">
        <v>3712</v>
      </c>
      <c r="L995" s="42">
        <f>VLOOKUP(Table7[[#This Row],[Baseline Fixture Code]], 'Tables &amp; Ranges'!$A$114:$B$132, 2, FALSE)</f>
        <v>101001</v>
      </c>
    </row>
    <row r="996" spans="2:12" ht="40" customHeight="1">
      <c r="B996" s="42">
        <v>1382</v>
      </c>
      <c r="C996" s="102" t="s">
        <v>2779</v>
      </c>
      <c r="D996" s="102" t="s">
        <v>2623</v>
      </c>
      <c r="E996" s="92" t="s">
        <v>2780</v>
      </c>
      <c r="F996" s="42">
        <v>4</v>
      </c>
      <c r="G996" s="42">
        <v>100</v>
      </c>
      <c r="H996" s="42">
        <v>420</v>
      </c>
      <c r="I996" s="42" t="s">
        <v>1457</v>
      </c>
      <c r="J996" s="103" t="s">
        <v>131</v>
      </c>
      <c r="K996" s="42" t="s">
        <v>3712</v>
      </c>
      <c r="L996" s="42">
        <f>VLOOKUP(Table7[[#This Row],[Baseline Fixture Code]], 'Tables &amp; Ranges'!$A$114:$B$132, 2, FALSE)</f>
        <v>101001</v>
      </c>
    </row>
    <row r="997" spans="2:12" ht="40" customHeight="1">
      <c r="B997" s="42">
        <v>1415</v>
      </c>
      <c r="C997" s="102" t="s">
        <v>2834</v>
      </c>
      <c r="D997" s="102" t="s">
        <v>2623</v>
      </c>
      <c r="E997" s="92" t="s">
        <v>2835</v>
      </c>
      <c r="F997" s="42">
        <v>1</v>
      </c>
      <c r="G997" s="42">
        <v>100</v>
      </c>
      <c r="H997" s="42">
        <v>104</v>
      </c>
      <c r="I997" s="42" t="s">
        <v>2077</v>
      </c>
      <c r="J997" s="103" t="s">
        <v>3611</v>
      </c>
      <c r="K997" s="42" t="s">
        <v>3712</v>
      </c>
      <c r="L997" s="42">
        <f>VLOOKUP(Table7[[#This Row],[Baseline Fixture Code]], 'Tables &amp; Ranges'!$A$114:$B$132, 2, FALSE)</f>
        <v>101001</v>
      </c>
    </row>
    <row r="998" spans="2:12" ht="40" customHeight="1">
      <c r="B998" s="42">
        <v>1416</v>
      </c>
      <c r="C998" s="102" t="s">
        <v>2836</v>
      </c>
      <c r="D998" s="102" t="s">
        <v>2623</v>
      </c>
      <c r="E998" s="92" t="s">
        <v>2837</v>
      </c>
      <c r="F998" s="42">
        <v>2</v>
      </c>
      <c r="G998" s="42">
        <v>100</v>
      </c>
      <c r="H998" s="42">
        <v>198</v>
      </c>
      <c r="I998" s="42" t="s">
        <v>2077</v>
      </c>
      <c r="J998" s="103" t="s">
        <v>3611</v>
      </c>
      <c r="K998" s="42" t="s">
        <v>3712</v>
      </c>
      <c r="L998" s="42">
        <f>VLOOKUP(Table7[[#This Row],[Baseline Fixture Code]], 'Tables &amp; Ranges'!$A$114:$B$132, 2, FALSE)</f>
        <v>101001</v>
      </c>
    </row>
    <row r="999" spans="2:12" ht="40" customHeight="1">
      <c r="B999" s="42">
        <v>1481</v>
      </c>
      <c r="C999" s="102" t="s">
        <v>2956</v>
      </c>
      <c r="D999" s="102" t="s">
        <v>2946</v>
      </c>
      <c r="E999" s="92" t="s">
        <v>2957</v>
      </c>
      <c r="F999" s="42">
        <v>1</v>
      </c>
      <c r="G999" s="42">
        <v>100</v>
      </c>
      <c r="H999" s="42">
        <v>105</v>
      </c>
      <c r="I999" s="42" t="s">
        <v>147</v>
      </c>
      <c r="J999" s="103" t="s">
        <v>3611</v>
      </c>
      <c r="K999" s="95" t="s">
        <v>4045</v>
      </c>
      <c r="L999" s="42">
        <f>VLOOKUP(Table7[[#This Row],[Baseline Fixture Code]], 'Tables &amp; Ranges'!$A$114:$B$132, 2, FALSE)</f>
        <v>101113</v>
      </c>
    </row>
    <row r="1000" spans="2:12" ht="40" customHeight="1">
      <c r="B1000" s="42">
        <v>1582</v>
      </c>
      <c r="C1000" s="102" t="s">
        <v>3157</v>
      </c>
      <c r="D1000" s="102" t="s">
        <v>107</v>
      </c>
      <c r="E1000" s="92" t="s">
        <v>3158</v>
      </c>
      <c r="F1000" s="42">
        <v>1</v>
      </c>
      <c r="G1000" s="42">
        <v>100</v>
      </c>
      <c r="H1000" s="42">
        <v>100</v>
      </c>
      <c r="I1000" s="42" t="s">
        <v>146</v>
      </c>
      <c r="J1000" s="103" t="s">
        <v>3611</v>
      </c>
      <c r="K1000" s="42" t="s">
        <v>107</v>
      </c>
      <c r="L1000" s="42">
        <f>VLOOKUP(Table7[[#This Row],[Baseline Fixture Code]], 'Tables &amp; Ranges'!$A$114:$B$132, 2, FALSE)</f>
        <v>101106</v>
      </c>
    </row>
    <row r="1001" spans="2:12" ht="40" customHeight="1">
      <c r="B1001" s="42">
        <v>1697</v>
      </c>
      <c r="C1001" s="102" t="s">
        <v>3388</v>
      </c>
      <c r="D1001" s="102" t="s">
        <v>3382</v>
      </c>
      <c r="E1001" s="92" t="s">
        <v>3389</v>
      </c>
      <c r="F1001" s="42">
        <v>1</v>
      </c>
      <c r="G1001" s="42">
        <v>100</v>
      </c>
      <c r="H1001" s="42">
        <v>138</v>
      </c>
      <c r="I1001" s="42" t="s">
        <v>146</v>
      </c>
      <c r="J1001" s="103" t="s">
        <v>3611</v>
      </c>
      <c r="K1001" s="95" t="s">
        <v>4044</v>
      </c>
      <c r="L1001" s="42">
        <f>VLOOKUP(Table7[[#This Row],[Baseline Fixture Code]], 'Tables &amp; Ranges'!$A$114:$B$132, 2, FALSE)</f>
        <v>101136</v>
      </c>
    </row>
    <row r="1002" spans="2:12" ht="40" customHeight="1">
      <c r="B1002" s="42">
        <v>1714</v>
      </c>
      <c r="C1002" s="102" t="s">
        <v>3423</v>
      </c>
      <c r="D1002" s="102" t="s">
        <v>3382</v>
      </c>
      <c r="E1002" s="92" t="s">
        <v>3424</v>
      </c>
      <c r="F1002" s="42">
        <v>1</v>
      </c>
      <c r="G1002" s="42">
        <v>100</v>
      </c>
      <c r="H1002" s="42">
        <v>124</v>
      </c>
      <c r="I1002" s="42" t="s">
        <v>3410</v>
      </c>
      <c r="J1002" s="103" t="s">
        <v>3611</v>
      </c>
      <c r="K1002" s="42" t="s">
        <v>4038</v>
      </c>
      <c r="L1002" s="42">
        <f>VLOOKUP(Table7[[#This Row],[Baseline Fixture Code]], 'Tables &amp; Ranges'!$A$114:$B$132, 2, FALSE)</f>
        <v>101108</v>
      </c>
    </row>
    <row r="1003" spans="2:12" ht="40" customHeight="1">
      <c r="B1003" s="42">
        <v>1715</v>
      </c>
      <c r="C1003" s="102" t="s">
        <v>3425</v>
      </c>
      <c r="D1003" s="102" t="s">
        <v>3382</v>
      </c>
      <c r="E1003" s="92" t="s">
        <v>3426</v>
      </c>
      <c r="F1003" s="42">
        <v>1</v>
      </c>
      <c r="G1003" s="42">
        <v>100</v>
      </c>
      <c r="H1003" s="42">
        <v>108</v>
      </c>
      <c r="I1003" s="42" t="s">
        <v>147</v>
      </c>
      <c r="J1003" s="103" t="s">
        <v>3611</v>
      </c>
      <c r="K1003" s="42" t="s">
        <v>4038</v>
      </c>
      <c r="L1003" s="42">
        <f>VLOOKUP(Table7[[#This Row],[Baseline Fixture Code]], 'Tables &amp; Ranges'!$A$114:$B$132, 2, FALSE)</f>
        <v>101108</v>
      </c>
    </row>
    <row r="1004" spans="2:12" ht="40" customHeight="1">
      <c r="B1004" s="42">
        <v>1746</v>
      </c>
      <c r="C1004" s="102" t="s">
        <v>3487</v>
      </c>
      <c r="D1004" s="102" t="s">
        <v>3382</v>
      </c>
      <c r="E1004" s="92" t="s">
        <v>3488</v>
      </c>
      <c r="F1004" s="42">
        <v>1</v>
      </c>
      <c r="G1004" s="42">
        <v>100</v>
      </c>
      <c r="H1004" s="42">
        <v>125</v>
      </c>
      <c r="I1004" s="42" t="s">
        <v>146</v>
      </c>
      <c r="J1004" s="103" t="s">
        <v>3611</v>
      </c>
      <c r="K1004" s="42" t="s">
        <v>4043</v>
      </c>
      <c r="L1004" s="42">
        <f>VLOOKUP(Table7[[#This Row],[Baseline Fixture Code]], 'Tables &amp; Ranges'!$A$114:$B$132, 2, FALSE)</f>
        <v>101110</v>
      </c>
    </row>
    <row r="1005" spans="2:12" ht="40" customHeight="1">
      <c r="B1005" s="42">
        <v>1378</v>
      </c>
      <c r="C1005" s="102" t="s">
        <v>2771</v>
      </c>
      <c r="D1005" s="102" t="s">
        <v>2623</v>
      </c>
      <c r="E1005" s="92" t="s">
        <v>2772</v>
      </c>
      <c r="F1005" s="42">
        <v>1</v>
      </c>
      <c r="G1005" s="42">
        <v>110</v>
      </c>
      <c r="H1005" s="42">
        <v>140</v>
      </c>
      <c r="I1005" s="42" t="s">
        <v>1457</v>
      </c>
      <c r="J1005" s="103" t="s">
        <v>131</v>
      </c>
      <c r="K1005" s="42" t="s">
        <v>3712</v>
      </c>
      <c r="L1005" s="42">
        <f>VLOOKUP(Table7[[#This Row],[Baseline Fixture Code]], 'Tables &amp; Ranges'!$A$114:$B$132, 2, FALSE)</f>
        <v>101001</v>
      </c>
    </row>
    <row r="1006" spans="2:12" ht="40" customHeight="1">
      <c r="B1006" s="42">
        <v>1379</v>
      </c>
      <c r="C1006" s="102" t="s">
        <v>2773</v>
      </c>
      <c r="D1006" s="102" t="s">
        <v>2623</v>
      </c>
      <c r="E1006" s="92" t="s">
        <v>2774</v>
      </c>
      <c r="F1006" s="42">
        <v>2</v>
      </c>
      <c r="G1006" s="42">
        <v>110</v>
      </c>
      <c r="H1006" s="42">
        <v>252</v>
      </c>
      <c r="I1006" s="42" t="s">
        <v>1457</v>
      </c>
      <c r="J1006" s="103" t="s">
        <v>131</v>
      </c>
      <c r="K1006" s="42" t="s">
        <v>3712</v>
      </c>
      <c r="L1006" s="42">
        <f>VLOOKUP(Table7[[#This Row],[Baseline Fixture Code]], 'Tables &amp; Ranges'!$A$114:$B$132, 2, FALSE)</f>
        <v>101001</v>
      </c>
    </row>
    <row r="1007" spans="2:12" ht="40" customHeight="1">
      <c r="B1007" s="42">
        <v>1380</v>
      </c>
      <c r="C1007" s="102" t="s">
        <v>2775</v>
      </c>
      <c r="D1007" s="102" t="s">
        <v>2623</v>
      </c>
      <c r="E1007" s="92" t="s">
        <v>2776</v>
      </c>
      <c r="F1007" s="42">
        <v>3</v>
      </c>
      <c r="G1007" s="42">
        <v>110</v>
      </c>
      <c r="H1007" s="42">
        <v>377</v>
      </c>
      <c r="I1007" s="42" t="s">
        <v>1457</v>
      </c>
      <c r="J1007" s="103" t="s">
        <v>131</v>
      </c>
      <c r="K1007" s="42" t="s">
        <v>3712</v>
      </c>
      <c r="L1007" s="42">
        <f>VLOOKUP(Table7[[#This Row],[Baseline Fixture Code]], 'Tables &amp; Ranges'!$A$114:$B$132, 2, FALSE)</f>
        <v>101001</v>
      </c>
    </row>
    <row r="1008" spans="2:12" ht="40" customHeight="1">
      <c r="B1008" s="42">
        <v>1381</v>
      </c>
      <c r="C1008" s="102" t="s">
        <v>2777</v>
      </c>
      <c r="D1008" s="102" t="s">
        <v>2623</v>
      </c>
      <c r="E1008" s="92" t="s">
        <v>2778</v>
      </c>
      <c r="F1008" s="42">
        <v>4</v>
      </c>
      <c r="G1008" s="42">
        <v>110</v>
      </c>
      <c r="H1008" s="42">
        <v>484</v>
      </c>
      <c r="I1008" s="42" t="s">
        <v>1457</v>
      </c>
      <c r="J1008" s="103" t="s">
        <v>131</v>
      </c>
      <c r="K1008" s="42" t="s">
        <v>3712</v>
      </c>
      <c r="L1008" s="42">
        <f>VLOOKUP(Table7[[#This Row],[Baseline Fixture Code]], 'Tables &amp; Ranges'!$A$114:$B$132, 2, FALSE)</f>
        <v>101001</v>
      </c>
    </row>
    <row r="1009" spans="2:12" ht="40" customHeight="1">
      <c r="B1009" s="42">
        <v>1425</v>
      </c>
      <c r="C1009" s="102" t="s">
        <v>2853</v>
      </c>
      <c r="D1009" s="102" t="s">
        <v>2623</v>
      </c>
      <c r="E1009" s="92" t="s">
        <v>2854</v>
      </c>
      <c r="F1009" s="42">
        <v>1</v>
      </c>
      <c r="G1009" s="42">
        <v>110</v>
      </c>
      <c r="H1009" s="42">
        <v>121</v>
      </c>
      <c r="I1009" s="42" t="s">
        <v>1457</v>
      </c>
      <c r="J1009" s="103" t="s">
        <v>131</v>
      </c>
      <c r="K1009" s="42" t="s">
        <v>3712</v>
      </c>
      <c r="L1009" s="42">
        <f>VLOOKUP(Table7[[#This Row],[Baseline Fixture Code]], 'Tables &amp; Ranges'!$A$114:$B$132, 2, FALSE)</f>
        <v>101001</v>
      </c>
    </row>
    <row r="1010" spans="2:12" ht="40" customHeight="1">
      <c r="B1010" s="42">
        <v>1435</v>
      </c>
      <c r="C1010" s="102" t="s">
        <v>2870</v>
      </c>
      <c r="D1010" s="102" t="s">
        <v>2623</v>
      </c>
      <c r="E1010" s="92" t="s">
        <v>2871</v>
      </c>
      <c r="F1010" s="42">
        <v>2</v>
      </c>
      <c r="G1010" s="42">
        <v>110</v>
      </c>
      <c r="H1010" s="42">
        <v>207</v>
      </c>
      <c r="I1010" s="42" t="s">
        <v>2077</v>
      </c>
      <c r="J1010" s="103" t="s">
        <v>131</v>
      </c>
      <c r="K1010" s="42" t="s">
        <v>3712</v>
      </c>
      <c r="L1010" s="42">
        <f>VLOOKUP(Table7[[#This Row],[Baseline Fixture Code]], 'Tables &amp; Ranges'!$A$114:$B$132, 2, FALSE)</f>
        <v>101001</v>
      </c>
    </row>
    <row r="1011" spans="2:12" ht="40" customHeight="1">
      <c r="B1011" s="42">
        <v>1436</v>
      </c>
      <c r="C1011" s="102" t="s">
        <v>2872</v>
      </c>
      <c r="D1011" s="102" t="s">
        <v>2623</v>
      </c>
      <c r="E1011" s="92" t="s">
        <v>2871</v>
      </c>
      <c r="F1011" s="42">
        <v>2</v>
      </c>
      <c r="G1011" s="42">
        <v>110</v>
      </c>
      <c r="H1011" s="42">
        <v>173</v>
      </c>
      <c r="I1011" s="42" t="s">
        <v>147</v>
      </c>
      <c r="J1011" s="103" t="s">
        <v>131</v>
      </c>
      <c r="K1011" s="42" t="s">
        <v>3712</v>
      </c>
      <c r="L1011" s="42">
        <f>VLOOKUP(Table7[[#This Row],[Baseline Fixture Code]], 'Tables &amp; Ranges'!$A$114:$B$132, 2, FALSE)</f>
        <v>101001</v>
      </c>
    </row>
    <row r="1012" spans="2:12" ht="40" customHeight="1">
      <c r="B1012" s="42">
        <v>1437</v>
      </c>
      <c r="C1012" s="102" t="s">
        <v>2873</v>
      </c>
      <c r="D1012" s="102" t="s">
        <v>2623</v>
      </c>
      <c r="E1012" s="92" t="s">
        <v>2871</v>
      </c>
      <c r="F1012" s="42">
        <v>2</v>
      </c>
      <c r="G1012" s="42">
        <v>110</v>
      </c>
      <c r="H1012" s="42">
        <v>207</v>
      </c>
      <c r="I1012" s="42" t="s">
        <v>1457</v>
      </c>
      <c r="J1012" s="103" t="s">
        <v>131</v>
      </c>
      <c r="K1012" s="42" t="s">
        <v>3712</v>
      </c>
      <c r="L1012" s="42">
        <f>VLOOKUP(Table7[[#This Row],[Baseline Fixture Code]], 'Tables &amp; Ranges'!$A$114:$B$132, 2, FALSE)</f>
        <v>101001</v>
      </c>
    </row>
    <row r="1013" spans="2:12" ht="40" customHeight="1">
      <c r="B1013" s="42">
        <v>1445</v>
      </c>
      <c r="C1013" s="102" t="s">
        <v>2888</v>
      </c>
      <c r="D1013" s="102" t="s">
        <v>2623</v>
      </c>
      <c r="E1013" s="92" t="s">
        <v>2889</v>
      </c>
      <c r="F1013" s="42">
        <v>3</v>
      </c>
      <c r="G1013" s="42">
        <v>110</v>
      </c>
      <c r="H1013" s="42">
        <v>319</v>
      </c>
      <c r="I1013" s="42" t="s">
        <v>2077</v>
      </c>
      <c r="J1013" s="103" t="s">
        <v>131</v>
      </c>
      <c r="K1013" s="42" t="s">
        <v>3712</v>
      </c>
      <c r="L1013" s="42">
        <f>VLOOKUP(Table7[[#This Row],[Baseline Fixture Code]], 'Tables &amp; Ranges'!$A$114:$B$132, 2, FALSE)</f>
        <v>101001</v>
      </c>
    </row>
    <row r="1014" spans="2:12" ht="40" customHeight="1">
      <c r="B1014" s="42">
        <v>1446</v>
      </c>
      <c r="C1014" s="102" t="s">
        <v>2890</v>
      </c>
      <c r="D1014" s="102" t="s">
        <v>2623</v>
      </c>
      <c r="E1014" s="92" t="s">
        <v>2889</v>
      </c>
      <c r="F1014" s="42">
        <v>3</v>
      </c>
      <c r="G1014" s="42">
        <v>110</v>
      </c>
      <c r="H1014" s="42">
        <v>319</v>
      </c>
      <c r="I1014" s="42" t="s">
        <v>1457</v>
      </c>
      <c r="J1014" s="103" t="s">
        <v>131</v>
      </c>
      <c r="K1014" s="42" t="s">
        <v>3712</v>
      </c>
      <c r="L1014" s="42">
        <f>VLOOKUP(Table7[[#This Row],[Baseline Fixture Code]], 'Tables &amp; Ranges'!$A$114:$B$132, 2, FALSE)</f>
        <v>101001</v>
      </c>
    </row>
    <row r="1015" spans="2:12" ht="40" customHeight="1">
      <c r="B1015" s="42">
        <v>1455</v>
      </c>
      <c r="C1015" s="102" t="s">
        <v>2904</v>
      </c>
      <c r="D1015" s="102" t="s">
        <v>2623</v>
      </c>
      <c r="E1015" s="92" t="s">
        <v>2905</v>
      </c>
      <c r="F1015" s="42">
        <v>4</v>
      </c>
      <c r="G1015" s="42">
        <v>110</v>
      </c>
      <c r="H1015" s="42">
        <v>414</v>
      </c>
      <c r="I1015" s="42" t="s">
        <v>2077</v>
      </c>
      <c r="J1015" s="103" t="s">
        <v>131</v>
      </c>
      <c r="K1015" s="42" t="s">
        <v>3712</v>
      </c>
      <c r="L1015" s="42">
        <f>VLOOKUP(Table7[[#This Row],[Baseline Fixture Code]], 'Tables &amp; Ranges'!$A$114:$B$132, 2, FALSE)</f>
        <v>101001</v>
      </c>
    </row>
    <row r="1016" spans="2:12" ht="40" customHeight="1">
      <c r="B1016" s="42">
        <v>1456</v>
      </c>
      <c r="C1016" s="102" t="s">
        <v>2906</v>
      </c>
      <c r="D1016" s="102" t="s">
        <v>2623</v>
      </c>
      <c r="E1016" s="92" t="s">
        <v>2905</v>
      </c>
      <c r="F1016" s="42">
        <v>4</v>
      </c>
      <c r="G1016" s="42">
        <v>110</v>
      </c>
      <c r="H1016" s="42">
        <v>346</v>
      </c>
      <c r="I1016" s="42" t="s">
        <v>147</v>
      </c>
      <c r="J1016" s="103" t="s">
        <v>131</v>
      </c>
      <c r="K1016" s="42" t="s">
        <v>3712</v>
      </c>
      <c r="L1016" s="42">
        <f>VLOOKUP(Table7[[#This Row],[Baseline Fixture Code]], 'Tables &amp; Ranges'!$A$114:$B$132, 2, FALSE)</f>
        <v>101001</v>
      </c>
    </row>
    <row r="1017" spans="2:12" ht="40" customHeight="1">
      <c r="B1017" s="42">
        <v>1457</v>
      </c>
      <c r="C1017" s="102" t="s">
        <v>2907</v>
      </c>
      <c r="D1017" s="102" t="s">
        <v>2623</v>
      </c>
      <c r="E1017" s="92" t="s">
        <v>2905</v>
      </c>
      <c r="F1017" s="42">
        <v>4</v>
      </c>
      <c r="G1017" s="42">
        <v>110</v>
      </c>
      <c r="H1017" s="42">
        <v>414</v>
      </c>
      <c r="I1017" s="42" t="s">
        <v>1457</v>
      </c>
      <c r="J1017" s="103" t="s">
        <v>131</v>
      </c>
      <c r="K1017" s="42" t="s">
        <v>3712</v>
      </c>
      <c r="L1017" s="42">
        <f>VLOOKUP(Table7[[#This Row],[Baseline Fixture Code]], 'Tables &amp; Ranges'!$A$114:$B$132, 2, FALSE)</f>
        <v>101001</v>
      </c>
    </row>
    <row r="1018" spans="2:12" ht="40" customHeight="1">
      <c r="B1018" s="42">
        <v>1463</v>
      </c>
      <c r="C1018" s="102" t="s">
        <v>2918</v>
      </c>
      <c r="D1018" s="102" t="s">
        <v>2623</v>
      </c>
      <c r="E1018" s="92" t="s">
        <v>2919</v>
      </c>
      <c r="F1018" s="42">
        <v>8</v>
      </c>
      <c r="G1018" s="42">
        <v>110</v>
      </c>
      <c r="H1018" s="42">
        <v>828</v>
      </c>
      <c r="I1018" s="42" t="s">
        <v>1457</v>
      </c>
      <c r="J1018" s="103" t="s">
        <v>131</v>
      </c>
      <c r="K1018" s="42" t="s">
        <v>3712</v>
      </c>
      <c r="L1018" s="42">
        <f>VLOOKUP(Table7[[#This Row],[Baseline Fixture Code]], 'Tables &amp; Ranges'!$A$114:$B$132, 2, FALSE)</f>
        <v>101001</v>
      </c>
    </row>
    <row r="1019" spans="2:12" ht="40" customHeight="1">
      <c r="B1019" s="42">
        <v>1482</v>
      </c>
      <c r="C1019" s="102" t="s">
        <v>2958</v>
      </c>
      <c r="D1019" s="102" t="s">
        <v>2946</v>
      </c>
      <c r="E1019" s="92" t="s">
        <v>2959</v>
      </c>
      <c r="F1019" s="42">
        <v>1</v>
      </c>
      <c r="G1019" s="42">
        <v>125</v>
      </c>
      <c r="H1019" s="42">
        <v>131</v>
      </c>
      <c r="I1019" s="42" t="s">
        <v>147</v>
      </c>
      <c r="J1019" s="103" t="s">
        <v>3611</v>
      </c>
      <c r="K1019" s="95" t="s">
        <v>4045</v>
      </c>
      <c r="L1019" s="42">
        <f>VLOOKUP(Table7[[#This Row],[Baseline Fixture Code]], 'Tables &amp; Ranges'!$A$114:$B$132, 2, FALSE)</f>
        <v>101113</v>
      </c>
    </row>
    <row r="1020" spans="2:12" ht="40" customHeight="1">
      <c r="B1020" s="42">
        <v>1716</v>
      </c>
      <c r="C1020" s="102" t="s">
        <v>3427</v>
      </c>
      <c r="D1020" s="102" t="s">
        <v>3382</v>
      </c>
      <c r="E1020" s="92" t="s">
        <v>3428</v>
      </c>
      <c r="F1020" s="42">
        <v>1</v>
      </c>
      <c r="G1020" s="42">
        <v>125</v>
      </c>
      <c r="H1020" s="42">
        <v>148</v>
      </c>
      <c r="I1020" s="42" t="s">
        <v>3410</v>
      </c>
      <c r="J1020" s="103" t="s">
        <v>3611</v>
      </c>
      <c r="K1020" s="42" t="s">
        <v>4038</v>
      </c>
      <c r="L1020" s="42">
        <f>VLOOKUP(Table7[[#This Row],[Baseline Fixture Code]], 'Tables &amp; Ranges'!$A$114:$B$132, 2, FALSE)</f>
        <v>101108</v>
      </c>
    </row>
    <row r="1021" spans="2:12" ht="40" customHeight="1">
      <c r="B1021" s="42">
        <v>1392</v>
      </c>
      <c r="C1021" s="102" t="s">
        <v>2795</v>
      </c>
      <c r="D1021" s="102" t="s">
        <v>2623</v>
      </c>
      <c r="E1021" s="92" t="s">
        <v>2796</v>
      </c>
      <c r="F1021" s="42">
        <v>1</v>
      </c>
      <c r="G1021" s="42">
        <v>135</v>
      </c>
      <c r="H1021" s="42">
        <v>165</v>
      </c>
      <c r="I1021" s="42" t="s">
        <v>1457</v>
      </c>
      <c r="J1021" s="103" t="s">
        <v>3611</v>
      </c>
      <c r="K1021" s="42" t="s">
        <v>3712</v>
      </c>
      <c r="L1021" s="42">
        <f>VLOOKUP(Table7[[#This Row],[Baseline Fixture Code]], 'Tables &amp; Ranges'!$A$114:$B$132, 2, FALSE)</f>
        <v>101001</v>
      </c>
    </row>
    <row r="1022" spans="2:12" ht="40" customHeight="1">
      <c r="B1022" s="42">
        <v>1396</v>
      </c>
      <c r="C1022" s="102" t="s">
        <v>2801</v>
      </c>
      <c r="D1022" s="102" t="s">
        <v>2623</v>
      </c>
      <c r="E1022" s="92" t="s">
        <v>2802</v>
      </c>
      <c r="F1022" s="42">
        <v>2</v>
      </c>
      <c r="G1022" s="42">
        <v>135</v>
      </c>
      <c r="H1022" s="42">
        <v>310</v>
      </c>
      <c r="I1022" s="42" t="s">
        <v>1457</v>
      </c>
      <c r="J1022" s="103" t="s">
        <v>3611</v>
      </c>
      <c r="K1022" s="42" t="s">
        <v>3712</v>
      </c>
      <c r="L1022" s="42">
        <f>VLOOKUP(Table7[[#This Row],[Baseline Fixture Code]], 'Tables &amp; Ranges'!$A$114:$B$132, 2, FALSE)</f>
        <v>101001</v>
      </c>
    </row>
    <row r="1023" spans="2:12" ht="40" customHeight="1">
      <c r="B1023" s="42">
        <v>1483</v>
      </c>
      <c r="C1023" s="102" t="s">
        <v>2960</v>
      </c>
      <c r="D1023" s="102" t="s">
        <v>2946</v>
      </c>
      <c r="E1023" s="92" t="s">
        <v>2961</v>
      </c>
      <c r="F1023" s="42">
        <v>1</v>
      </c>
      <c r="G1023" s="42">
        <v>150</v>
      </c>
      <c r="H1023" s="42">
        <v>157</v>
      </c>
      <c r="I1023" s="42" t="s">
        <v>147</v>
      </c>
      <c r="J1023" s="103" t="s">
        <v>3611</v>
      </c>
      <c r="K1023" s="95" t="s">
        <v>4045</v>
      </c>
      <c r="L1023" s="42">
        <f>VLOOKUP(Table7[[#This Row],[Baseline Fixture Code]], 'Tables &amp; Ranges'!$A$114:$B$132, 2, FALSE)</f>
        <v>101113</v>
      </c>
    </row>
    <row r="1024" spans="2:12" ht="40" customHeight="1">
      <c r="B1024" s="42">
        <v>1583</v>
      </c>
      <c r="C1024" s="102" t="s">
        <v>3159</v>
      </c>
      <c r="D1024" s="102" t="s">
        <v>107</v>
      </c>
      <c r="E1024" s="92" t="s">
        <v>3160</v>
      </c>
      <c r="F1024" s="42">
        <v>1</v>
      </c>
      <c r="G1024" s="42">
        <v>150</v>
      </c>
      <c r="H1024" s="42">
        <v>150</v>
      </c>
      <c r="I1024" s="42" t="s">
        <v>146</v>
      </c>
      <c r="J1024" s="103" t="s">
        <v>3611</v>
      </c>
      <c r="K1024" s="42" t="s">
        <v>107</v>
      </c>
      <c r="L1024" s="42">
        <f>VLOOKUP(Table7[[#This Row],[Baseline Fixture Code]], 'Tables &amp; Ranges'!$A$114:$B$132, 2, FALSE)</f>
        <v>101106</v>
      </c>
    </row>
    <row r="1025" spans="2:12" ht="40" customHeight="1">
      <c r="B1025" s="42">
        <v>1698</v>
      </c>
      <c r="C1025" s="102" t="s">
        <v>3390</v>
      </c>
      <c r="D1025" s="102" t="s">
        <v>3382</v>
      </c>
      <c r="E1025" s="92" t="s">
        <v>3391</v>
      </c>
      <c r="F1025" s="42">
        <v>1</v>
      </c>
      <c r="G1025" s="42">
        <v>150</v>
      </c>
      <c r="H1025" s="42">
        <v>188</v>
      </c>
      <c r="I1025" s="42" t="s">
        <v>146</v>
      </c>
      <c r="J1025" s="103" t="s">
        <v>3611</v>
      </c>
      <c r="K1025" s="95" t="s">
        <v>4044</v>
      </c>
      <c r="L1025" s="42">
        <f>VLOOKUP(Table7[[#This Row],[Baseline Fixture Code]], 'Tables &amp; Ranges'!$A$114:$B$132, 2, FALSE)</f>
        <v>101136</v>
      </c>
    </row>
    <row r="1026" spans="2:12" ht="40" customHeight="1">
      <c r="B1026" s="42">
        <v>1717</v>
      </c>
      <c r="C1026" s="102" t="s">
        <v>3429</v>
      </c>
      <c r="D1026" s="102" t="s">
        <v>3382</v>
      </c>
      <c r="E1026" s="92" t="s">
        <v>3430</v>
      </c>
      <c r="F1026" s="42">
        <v>1</v>
      </c>
      <c r="G1026" s="42">
        <v>150</v>
      </c>
      <c r="H1026" s="42">
        <v>183</v>
      </c>
      <c r="I1026" s="42" t="s">
        <v>3410</v>
      </c>
      <c r="J1026" s="103" t="s">
        <v>3611</v>
      </c>
      <c r="K1026" s="42" t="s">
        <v>4038</v>
      </c>
      <c r="L1026" s="42">
        <f>VLOOKUP(Table7[[#This Row],[Baseline Fixture Code]], 'Tables &amp; Ranges'!$A$114:$B$132, 2, FALSE)</f>
        <v>101108</v>
      </c>
    </row>
    <row r="1027" spans="2:12" ht="40" customHeight="1">
      <c r="B1027" s="42">
        <v>1718</v>
      </c>
      <c r="C1027" s="102" t="s">
        <v>3431</v>
      </c>
      <c r="D1027" s="102" t="s">
        <v>3382</v>
      </c>
      <c r="E1027" s="92" t="s">
        <v>3432</v>
      </c>
      <c r="F1027" s="42">
        <v>1</v>
      </c>
      <c r="G1027" s="42">
        <v>150</v>
      </c>
      <c r="H1027" s="42">
        <v>163</v>
      </c>
      <c r="I1027" s="42" t="s">
        <v>147</v>
      </c>
      <c r="J1027" s="103" t="s">
        <v>3611</v>
      </c>
      <c r="K1027" s="42" t="s">
        <v>4038</v>
      </c>
      <c r="L1027" s="42">
        <f>VLOOKUP(Table7[[#This Row],[Baseline Fixture Code]], 'Tables &amp; Ranges'!$A$114:$B$132, 2, FALSE)</f>
        <v>101108</v>
      </c>
    </row>
    <row r="1028" spans="2:12" ht="40" customHeight="1">
      <c r="B1028" s="42">
        <v>1413</v>
      </c>
      <c r="C1028" s="102" t="s">
        <v>2830</v>
      </c>
      <c r="D1028" s="102" t="s">
        <v>2623</v>
      </c>
      <c r="E1028" s="92" t="s">
        <v>2831</v>
      </c>
      <c r="F1028" s="42">
        <v>1</v>
      </c>
      <c r="G1028" s="42">
        <v>160</v>
      </c>
      <c r="H1028" s="42">
        <v>180</v>
      </c>
      <c r="I1028" s="42" t="s">
        <v>1457</v>
      </c>
      <c r="J1028" s="103" t="s">
        <v>3611</v>
      </c>
      <c r="K1028" s="42" t="s">
        <v>3712</v>
      </c>
      <c r="L1028" s="42">
        <f>VLOOKUP(Table7[[#This Row],[Baseline Fixture Code]], 'Tables &amp; Ranges'!$A$114:$B$132, 2, FALSE)</f>
        <v>101001</v>
      </c>
    </row>
    <row r="1029" spans="2:12" ht="40" customHeight="1">
      <c r="B1029" s="42">
        <v>1414</v>
      </c>
      <c r="C1029" s="102" t="s">
        <v>2832</v>
      </c>
      <c r="D1029" s="102" t="s">
        <v>2623</v>
      </c>
      <c r="E1029" s="92" t="s">
        <v>2833</v>
      </c>
      <c r="F1029" s="42">
        <v>2</v>
      </c>
      <c r="G1029" s="42">
        <v>160</v>
      </c>
      <c r="H1029" s="42">
        <v>330</v>
      </c>
      <c r="I1029" s="42" t="s">
        <v>1457</v>
      </c>
      <c r="J1029" s="103" t="s">
        <v>3611</v>
      </c>
      <c r="K1029" s="42" t="s">
        <v>3712</v>
      </c>
      <c r="L1029" s="42">
        <f>VLOOKUP(Table7[[#This Row],[Baseline Fixture Code]], 'Tables &amp; Ranges'!$A$114:$B$132, 2, FALSE)</f>
        <v>101001</v>
      </c>
    </row>
    <row r="1030" spans="2:12" ht="40" customHeight="1">
      <c r="B1030" s="42">
        <v>1747</v>
      </c>
      <c r="C1030" s="102" t="s">
        <v>3489</v>
      </c>
      <c r="D1030" s="102" t="s">
        <v>3382</v>
      </c>
      <c r="E1030" s="92" t="s">
        <v>3490</v>
      </c>
      <c r="F1030" s="42">
        <v>1</v>
      </c>
      <c r="G1030" s="42">
        <v>160</v>
      </c>
      <c r="H1030" s="42">
        <v>160</v>
      </c>
      <c r="I1030" s="42" t="s">
        <v>146</v>
      </c>
      <c r="J1030" s="103" t="s">
        <v>3611</v>
      </c>
      <c r="K1030" s="42" t="s">
        <v>4043</v>
      </c>
      <c r="L1030" s="42">
        <f>VLOOKUP(Table7[[#This Row],[Baseline Fixture Code]], 'Tables &amp; Ranges'!$A$114:$B$132, 2, FALSE)</f>
        <v>101110</v>
      </c>
    </row>
    <row r="1031" spans="2:12" ht="40" customHeight="1">
      <c r="B1031" s="42">
        <v>1484</v>
      </c>
      <c r="C1031" s="102" t="s">
        <v>2962</v>
      </c>
      <c r="D1031" s="102" t="s">
        <v>2946</v>
      </c>
      <c r="E1031" s="92" t="s">
        <v>2963</v>
      </c>
      <c r="F1031" s="42">
        <v>1</v>
      </c>
      <c r="G1031" s="42">
        <v>165</v>
      </c>
      <c r="H1031" s="42">
        <v>173</v>
      </c>
      <c r="I1031" s="42" t="s">
        <v>147</v>
      </c>
      <c r="J1031" s="103" t="s">
        <v>3611</v>
      </c>
      <c r="K1031" s="95" t="s">
        <v>4045</v>
      </c>
      <c r="L1031" s="42">
        <f>VLOOKUP(Table7[[#This Row],[Baseline Fixture Code]], 'Tables &amp; Ranges'!$A$114:$B$132, 2, FALSE)</f>
        <v>101113</v>
      </c>
    </row>
    <row r="1032" spans="2:12" ht="40" customHeight="1">
      <c r="B1032" s="42">
        <v>1719</v>
      </c>
      <c r="C1032" s="102" t="s">
        <v>3433</v>
      </c>
      <c r="D1032" s="102" t="s">
        <v>3382</v>
      </c>
      <c r="E1032" s="92" t="s">
        <v>3434</v>
      </c>
      <c r="F1032" s="42">
        <v>1</v>
      </c>
      <c r="G1032" s="42">
        <v>175</v>
      </c>
      <c r="H1032" s="42">
        <v>208</v>
      </c>
      <c r="I1032" s="42" t="s">
        <v>3410</v>
      </c>
      <c r="J1032" s="103" t="s">
        <v>3611</v>
      </c>
      <c r="K1032" s="42" t="s">
        <v>4038</v>
      </c>
      <c r="L1032" s="42">
        <f>VLOOKUP(Table7[[#This Row],[Baseline Fixture Code]], 'Tables &amp; Ranges'!$A$114:$B$132, 2, FALSE)</f>
        <v>101108</v>
      </c>
    </row>
    <row r="1033" spans="2:12" ht="40" customHeight="1">
      <c r="B1033" s="42">
        <v>1720</v>
      </c>
      <c r="C1033" s="102" t="s">
        <v>3435</v>
      </c>
      <c r="D1033" s="102" t="s">
        <v>3382</v>
      </c>
      <c r="E1033" s="92" t="s">
        <v>3436</v>
      </c>
      <c r="F1033" s="42">
        <v>1</v>
      </c>
      <c r="G1033" s="42">
        <v>175</v>
      </c>
      <c r="H1033" s="42">
        <v>196</v>
      </c>
      <c r="I1033" s="42" t="s">
        <v>147</v>
      </c>
      <c r="J1033" s="103" t="s">
        <v>3611</v>
      </c>
      <c r="K1033" s="42" t="s">
        <v>4038</v>
      </c>
      <c r="L1033" s="42">
        <f>VLOOKUP(Table7[[#This Row],[Baseline Fixture Code]], 'Tables &amp; Ranges'!$A$114:$B$132, 2, FALSE)</f>
        <v>101108</v>
      </c>
    </row>
    <row r="1034" spans="2:12" ht="40" customHeight="1">
      <c r="B1034" s="42">
        <v>1748</v>
      </c>
      <c r="C1034" s="102" t="s">
        <v>3491</v>
      </c>
      <c r="D1034" s="102" t="s">
        <v>3382</v>
      </c>
      <c r="E1034" s="92" t="s">
        <v>3492</v>
      </c>
      <c r="F1034" s="42">
        <v>1</v>
      </c>
      <c r="G1034" s="42">
        <v>175</v>
      </c>
      <c r="H1034" s="42">
        <v>205</v>
      </c>
      <c r="I1034" s="42" t="s">
        <v>146</v>
      </c>
      <c r="J1034" s="103" t="s">
        <v>3611</v>
      </c>
      <c r="K1034" s="42" t="s">
        <v>4043</v>
      </c>
      <c r="L1034" s="42">
        <f>VLOOKUP(Table7[[#This Row],[Baseline Fixture Code]], 'Tables &amp; Ranges'!$A$114:$B$132, 2, FALSE)</f>
        <v>101110</v>
      </c>
    </row>
    <row r="1035" spans="2:12" ht="40" customHeight="1">
      <c r="B1035" s="42">
        <v>1423</v>
      </c>
      <c r="C1035" s="102" t="s">
        <v>2848</v>
      </c>
      <c r="D1035" s="102" t="s">
        <v>2623</v>
      </c>
      <c r="E1035" s="92" t="s">
        <v>2849</v>
      </c>
      <c r="F1035" s="42">
        <v>1</v>
      </c>
      <c r="G1035" s="42">
        <v>185</v>
      </c>
      <c r="H1035" s="42">
        <v>205</v>
      </c>
      <c r="I1035" s="42" t="s">
        <v>1457</v>
      </c>
      <c r="J1035" s="103" t="s">
        <v>131</v>
      </c>
      <c r="K1035" s="42" t="s">
        <v>3712</v>
      </c>
      <c r="L1035" s="42">
        <f>VLOOKUP(Table7[[#This Row],[Baseline Fixture Code]], 'Tables &amp; Ranges'!$A$114:$B$132, 2, FALSE)</f>
        <v>101001</v>
      </c>
    </row>
    <row r="1036" spans="2:12" ht="40" customHeight="1">
      <c r="B1036" s="42">
        <v>1444</v>
      </c>
      <c r="C1036" s="102" t="s">
        <v>2886</v>
      </c>
      <c r="D1036" s="102" t="s">
        <v>2623</v>
      </c>
      <c r="E1036" s="92" t="s">
        <v>2887</v>
      </c>
      <c r="F1036" s="42">
        <v>3</v>
      </c>
      <c r="G1036" s="42">
        <v>185</v>
      </c>
      <c r="H1036" s="42">
        <v>585</v>
      </c>
      <c r="I1036" s="42" t="s">
        <v>1457</v>
      </c>
      <c r="J1036" s="103" t="s">
        <v>131</v>
      </c>
      <c r="K1036" s="42" t="s">
        <v>3712</v>
      </c>
      <c r="L1036" s="42">
        <f>VLOOKUP(Table7[[#This Row],[Baseline Fixture Code]], 'Tables &amp; Ranges'!$A$114:$B$132, 2, FALSE)</f>
        <v>101001</v>
      </c>
    </row>
    <row r="1037" spans="2:12" ht="40" customHeight="1">
      <c r="B1037" s="42">
        <v>1454</v>
      </c>
      <c r="C1037" s="102" t="s">
        <v>2902</v>
      </c>
      <c r="D1037" s="102" t="s">
        <v>2623</v>
      </c>
      <c r="E1037" s="92" t="s">
        <v>2903</v>
      </c>
      <c r="F1037" s="42">
        <v>4</v>
      </c>
      <c r="G1037" s="42">
        <v>185</v>
      </c>
      <c r="H1037" s="42">
        <v>760</v>
      </c>
      <c r="I1037" s="42" t="s">
        <v>1457</v>
      </c>
      <c r="J1037" s="103" t="s">
        <v>131</v>
      </c>
      <c r="K1037" s="42" t="s">
        <v>3712</v>
      </c>
      <c r="L1037" s="42">
        <f>VLOOKUP(Table7[[#This Row],[Baseline Fixture Code]], 'Tables &amp; Ranges'!$A$114:$B$132, 2, FALSE)</f>
        <v>101001</v>
      </c>
    </row>
    <row r="1038" spans="2:12" ht="40" customHeight="1">
      <c r="B1038" s="42">
        <v>1434</v>
      </c>
      <c r="C1038" s="102" t="s">
        <v>2868</v>
      </c>
      <c r="D1038" s="102" t="s">
        <v>2623</v>
      </c>
      <c r="E1038" s="92" t="s">
        <v>2869</v>
      </c>
      <c r="F1038" s="42">
        <v>2</v>
      </c>
      <c r="G1038" s="42">
        <v>195</v>
      </c>
      <c r="H1038" s="42">
        <v>380</v>
      </c>
      <c r="I1038" s="42" t="s">
        <v>1457</v>
      </c>
      <c r="J1038" s="103" t="s">
        <v>131</v>
      </c>
      <c r="K1038" s="42" t="s">
        <v>3712</v>
      </c>
      <c r="L1038" s="42">
        <f>VLOOKUP(Table7[[#This Row],[Baseline Fixture Code]], 'Tables &amp; Ranges'!$A$114:$B$132, 2, FALSE)</f>
        <v>101001</v>
      </c>
    </row>
    <row r="1039" spans="2:12" ht="40" customHeight="1">
      <c r="B1039" s="42">
        <v>1485</v>
      </c>
      <c r="C1039" s="102" t="s">
        <v>2964</v>
      </c>
      <c r="D1039" s="102" t="s">
        <v>2946</v>
      </c>
      <c r="E1039" s="92" t="s">
        <v>2965</v>
      </c>
      <c r="F1039" s="42">
        <v>1</v>
      </c>
      <c r="G1039" s="42">
        <v>200</v>
      </c>
      <c r="H1039" s="42">
        <v>210</v>
      </c>
      <c r="I1039" s="42" t="s">
        <v>147</v>
      </c>
      <c r="J1039" s="103" t="s">
        <v>3611</v>
      </c>
      <c r="K1039" s="95" t="s">
        <v>4045</v>
      </c>
      <c r="L1039" s="42">
        <f>VLOOKUP(Table7[[#This Row],[Baseline Fixture Code]], 'Tables &amp; Ranges'!$A$114:$B$132, 2, FALSE)</f>
        <v>101113</v>
      </c>
    </row>
    <row r="1040" spans="2:12" s="86" customFormat="1" ht="40" customHeight="1">
      <c r="B1040" s="104">
        <v>1588</v>
      </c>
      <c r="C1040" s="105" t="s">
        <v>3169</v>
      </c>
      <c r="D1040" s="105" t="s">
        <v>108</v>
      </c>
      <c r="E1040" s="106" t="s">
        <v>3170</v>
      </c>
      <c r="F1040" s="104">
        <v>1</v>
      </c>
      <c r="G1040" s="104">
        <v>10</v>
      </c>
      <c r="H1040" s="104">
        <v>10</v>
      </c>
      <c r="I1040" s="104" t="s">
        <v>146</v>
      </c>
      <c r="J1040" s="104" t="s">
        <v>3611</v>
      </c>
      <c r="K1040" s="42" t="s">
        <v>108</v>
      </c>
      <c r="L1040" s="104" t="str">
        <f>VLOOKUP(Table7[[#This Row],[Baseline Fixture Code]], 'Tables &amp; Ranges'!$A$114:$B$132, 2, FALSE)</f>
        <v>N/A</v>
      </c>
    </row>
    <row r="1041" spans="2:12" ht="40" customHeight="1">
      <c r="B1041" s="42">
        <v>1668</v>
      </c>
      <c r="C1041" s="102" t="s">
        <v>3329</v>
      </c>
      <c r="D1041" s="102" t="s">
        <v>108</v>
      </c>
      <c r="E1041" s="92" t="s">
        <v>3330</v>
      </c>
      <c r="F1041" s="42">
        <v>1</v>
      </c>
      <c r="G1041" s="42">
        <v>72</v>
      </c>
      <c r="H1041" s="42">
        <v>72</v>
      </c>
      <c r="I1041" s="42" t="s">
        <v>146</v>
      </c>
      <c r="J1041" s="103" t="s">
        <v>3611</v>
      </c>
      <c r="K1041" s="42" t="s">
        <v>108</v>
      </c>
      <c r="L1041" s="42" t="str">
        <f>VLOOKUP(Table7[[#This Row],[Baseline Fixture Code]], 'Tables &amp; Ranges'!$A$114:$B$132, 2, FALSE)</f>
        <v>N/A</v>
      </c>
    </row>
    <row r="1042" spans="2:12" s="86" customFormat="1" ht="40" customHeight="1">
      <c r="B1042" s="104">
        <v>1691</v>
      </c>
      <c r="C1042" s="105" t="s">
        <v>3375</v>
      </c>
      <c r="D1042" s="105" t="s">
        <v>108</v>
      </c>
      <c r="E1042" s="106" t="s">
        <v>3376</v>
      </c>
      <c r="F1042" s="104">
        <v>1</v>
      </c>
      <c r="G1042" s="104">
        <v>1000</v>
      </c>
      <c r="H1042" s="104">
        <v>1000</v>
      </c>
      <c r="I1042" s="104" t="s">
        <v>146</v>
      </c>
      <c r="J1042" s="104" t="s">
        <v>3611</v>
      </c>
      <c r="K1042" s="42" t="s">
        <v>108</v>
      </c>
      <c r="L1042" s="104" t="str">
        <f>VLOOKUP(Table7[[#This Row],[Baseline Fixture Code]], 'Tables &amp; Ranges'!$A$114:$B$132, 2, FALSE)</f>
        <v>N/A</v>
      </c>
    </row>
    <row r="1043" spans="2:12" s="86" customFormat="1" ht="40" customHeight="1">
      <c r="B1043" s="104">
        <v>1670</v>
      </c>
      <c r="C1043" s="105" t="s">
        <v>3333</v>
      </c>
      <c r="D1043" s="105" t="s">
        <v>108</v>
      </c>
      <c r="E1043" s="106" t="s">
        <v>3334</v>
      </c>
      <c r="F1043" s="104">
        <v>1</v>
      </c>
      <c r="G1043" s="104">
        <v>90</v>
      </c>
      <c r="H1043" s="104">
        <v>90</v>
      </c>
      <c r="I1043" s="104" t="s">
        <v>146</v>
      </c>
      <c r="J1043" s="104" t="s">
        <v>131</v>
      </c>
      <c r="K1043" s="42" t="s">
        <v>108</v>
      </c>
      <c r="L1043" s="104" t="str">
        <f>VLOOKUP(Table7[[#This Row],[Baseline Fixture Code]], 'Tables &amp; Ranges'!$A$114:$B$132, 2, FALSE)</f>
        <v>N/A</v>
      </c>
    </row>
    <row r="1044" spans="2:12" s="86" customFormat="1" ht="40" customHeight="1">
      <c r="B1044" s="104">
        <v>1671</v>
      </c>
      <c r="C1044" s="105" t="s">
        <v>3335</v>
      </c>
      <c r="D1044" s="105" t="s">
        <v>108</v>
      </c>
      <c r="E1044" s="106" t="s">
        <v>3336</v>
      </c>
      <c r="F1044" s="104">
        <v>1</v>
      </c>
      <c r="G1044" s="104">
        <v>90</v>
      </c>
      <c r="H1044" s="104">
        <v>90</v>
      </c>
      <c r="I1044" s="104" t="s">
        <v>146</v>
      </c>
      <c r="J1044" s="104" t="s">
        <v>131</v>
      </c>
      <c r="K1044" s="42" t="s">
        <v>108</v>
      </c>
      <c r="L1044" s="104" t="str">
        <f>VLOOKUP(Table7[[#This Row],[Baseline Fixture Code]], 'Tables &amp; Ranges'!$A$114:$B$132, 2, FALSE)</f>
        <v>N/A</v>
      </c>
    </row>
    <row r="1045" spans="2:12" s="86" customFormat="1" ht="40" customHeight="1">
      <c r="B1045" s="104">
        <v>1669</v>
      </c>
      <c r="C1045" s="105" t="s">
        <v>3331</v>
      </c>
      <c r="D1045" s="105" t="s">
        <v>108</v>
      </c>
      <c r="E1045" s="106" t="s">
        <v>3332</v>
      </c>
      <c r="F1045" s="104">
        <v>1</v>
      </c>
      <c r="G1045" s="104">
        <v>100</v>
      </c>
      <c r="H1045" s="104">
        <v>100</v>
      </c>
      <c r="I1045" s="104" t="s">
        <v>146</v>
      </c>
      <c r="J1045" s="104" t="s">
        <v>3611</v>
      </c>
      <c r="K1045" s="42" t="s">
        <v>108</v>
      </c>
      <c r="L1045" s="104" t="str">
        <f>VLOOKUP(Table7[[#This Row],[Baseline Fixture Code]], 'Tables &amp; Ranges'!$A$114:$B$132, 2, FALSE)</f>
        <v>N/A</v>
      </c>
    </row>
    <row r="1046" spans="2:12" s="86" customFormat="1" ht="40" customHeight="1">
      <c r="B1046" s="104">
        <v>1589</v>
      </c>
      <c r="C1046" s="105" t="s">
        <v>3171</v>
      </c>
      <c r="D1046" s="105" t="s">
        <v>108</v>
      </c>
      <c r="E1046" s="106" t="s">
        <v>3172</v>
      </c>
      <c r="F1046" s="104">
        <v>1</v>
      </c>
      <c r="G1046" s="104">
        <v>11</v>
      </c>
      <c r="H1046" s="104">
        <v>11</v>
      </c>
      <c r="I1046" s="104" t="s">
        <v>146</v>
      </c>
      <c r="J1046" s="104" t="s">
        <v>3611</v>
      </c>
      <c r="K1046" s="42" t="s">
        <v>108</v>
      </c>
      <c r="L1046" s="104" t="str">
        <f>VLOOKUP(Table7[[#This Row],[Baseline Fixture Code]], 'Tables &amp; Ranges'!$A$114:$B$132, 2, FALSE)</f>
        <v>N/A</v>
      </c>
    </row>
    <row r="1047" spans="2:12" s="86" customFormat="1" ht="40" customHeight="1">
      <c r="B1047" s="104">
        <v>1672</v>
      </c>
      <c r="C1047" s="105" t="s">
        <v>3337</v>
      </c>
      <c r="D1047" s="105" t="s">
        <v>108</v>
      </c>
      <c r="E1047" s="106" t="s">
        <v>3338</v>
      </c>
      <c r="F1047" s="104">
        <v>1</v>
      </c>
      <c r="G1047" s="104">
        <v>110</v>
      </c>
      <c r="H1047" s="104">
        <v>110</v>
      </c>
      <c r="I1047" s="104" t="s">
        <v>146</v>
      </c>
      <c r="J1047" s="104" t="s">
        <v>3611</v>
      </c>
      <c r="K1047" s="42" t="s">
        <v>108</v>
      </c>
      <c r="L1047" s="104" t="str">
        <f>VLOOKUP(Table7[[#This Row],[Baseline Fixture Code]], 'Tables &amp; Ranges'!$A$114:$B$132, 2, FALSE)</f>
        <v>N/A</v>
      </c>
    </row>
    <row r="1048" spans="2:12" s="86" customFormat="1" ht="40" customHeight="1">
      <c r="B1048" s="104">
        <v>1673</v>
      </c>
      <c r="C1048" s="105" t="s">
        <v>3339</v>
      </c>
      <c r="D1048" s="105" t="s">
        <v>108</v>
      </c>
      <c r="E1048" s="106" t="s">
        <v>3340</v>
      </c>
      <c r="F1048" s="104">
        <v>1</v>
      </c>
      <c r="G1048" s="104">
        <v>116</v>
      </c>
      <c r="H1048" s="104">
        <v>116</v>
      </c>
      <c r="I1048" s="104" t="s">
        <v>146</v>
      </c>
      <c r="J1048" s="104" t="s">
        <v>3611</v>
      </c>
      <c r="K1048" s="42" t="s">
        <v>108</v>
      </c>
      <c r="L1048" s="104" t="str">
        <f>VLOOKUP(Table7[[#This Row],[Baseline Fixture Code]], 'Tables &amp; Ranges'!$A$114:$B$132, 2, FALSE)</f>
        <v>N/A</v>
      </c>
    </row>
    <row r="1049" spans="2:12" s="86" customFormat="1" ht="40" customHeight="1">
      <c r="B1049" s="104">
        <v>1590</v>
      </c>
      <c r="C1049" s="105" t="s">
        <v>3173</v>
      </c>
      <c r="D1049" s="105" t="s">
        <v>108</v>
      </c>
      <c r="E1049" s="106" t="s">
        <v>3174</v>
      </c>
      <c r="F1049" s="104">
        <v>1</v>
      </c>
      <c r="G1049" s="104">
        <v>12</v>
      </c>
      <c r="H1049" s="104">
        <v>12</v>
      </c>
      <c r="I1049" s="104" t="s">
        <v>146</v>
      </c>
      <c r="J1049" s="104" t="s">
        <v>3611</v>
      </c>
      <c r="K1049" s="42" t="s">
        <v>108</v>
      </c>
      <c r="L1049" s="104" t="str">
        <f>VLOOKUP(Table7[[#This Row],[Baseline Fixture Code]], 'Tables &amp; Ranges'!$A$114:$B$132, 2, FALSE)</f>
        <v>N/A</v>
      </c>
    </row>
    <row r="1050" spans="2:12" s="86" customFormat="1" ht="40" customHeight="1">
      <c r="B1050" s="104">
        <v>1674</v>
      </c>
      <c r="C1050" s="105" t="s">
        <v>3341</v>
      </c>
      <c r="D1050" s="105" t="s">
        <v>108</v>
      </c>
      <c r="E1050" s="106" t="s">
        <v>3342</v>
      </c>
      <c r="F1050" s="104">
        <v>1</v>
      </c>
      <c r="G1050" s="104">
        <v>120</v>
      </c>
      <c r="H1050" s="104">
        <v>120</v>
      </c>
      <c r="I1050" s="104" t="s">
        <v>146</v>
      </c>
      <c r="J1050" s="104" t="s">
        <v>3611</v>
      </c>
      <c r="K1050" s="42" t="s">
        <v>108</v>
      </c>
      <c r="L1050" s="104" t="str">
        <f>VLOOKUP(Table7[[#This Row],[Baseline Fixture Code]], 'Tables &amp; Ranges'!$A$114:$B$132, 2, FALSE)</f>
        <v>N/A</v>
      </c>
    </row>
    <row r="1051" spans="2:12" s="86" customFormat="1" ht="40" customHeight="1">
      <c r="B1051" s="104">
        <v>1675</v>
      </c>
      <c r="C1051" s="105" t="s">
        <v>3343</v>
      </c>
      <c r="D1051" s="105" t="s">
        <v>108</v>
      </c>
      <c r="E1051" s="106" t="s">
        <v>3344</v>
      </c>
      <c r="F1051" s="104">
        <v>1</v>
      </c>
      <c r="G1051" s="104">
        <v>125</v>
      </c>
      <c r="H1051" s="104">
        <v>125</v>
      </c>
      <c r="I1051" s="104" t="s">
        <v>146</v>
      </c>
      <c r="J1051" s="104" t="s">
        <v>3611</v>
      </c>
      <c r="K1051" s="42" t="s">
        <v>108</v>
      </c>
      <c r="L1051" s="104" t="str">
        <f>VLOOKUP(Table7[[#This Row],[Baseline Fixture Code]], 'Tables &amp; Ranges'!$A$114:$B$132, 2, FALSE)</f>
        <v>N/A</v>
      </c>
    </row>
    <row r="1052" spans="2:12" s="86" customFormat="1" ht="40" customHeight="1">
      <c r="B1052" s="104">
        <v>1591</v>
      </c>
      <c r="C1052" s="105" t="s">
        <v>3175</v>
      </c>
      <c r="D1052" s="105" t="s">
        <v>108</v>
      </c>
      <c r="E1052" s="106" t="s">
        <v>3176</v>
      </c>
      <c r="F1052" s="104">
        <v>1</v>
      </c>
      <c r="G1052" s="104">
        <v>13</v>
      </c>
      <c r="H1052" s="104">
        <v>13</v>
      </c>
      <c r="I1052" s="104" t="s">
        <v>146</v>
      </c>
      <c r="J1052" s="104" t="s">
        <v>3611</v>
      </c>
      <c r="K1052" s="42" t="s">
        <v>108</v>
      </c>
      <c r="L1052" s="104" t="str">
        <f>VLOOKUP(Table7[[#This Row],[Baseline Fixture Code]], 'Tables &amp; Ranges'!$A$114:$B$132, 2, FALSE)</f>
        <v>N/A</v>
      </c>
    </row>
    <row r="1053" spans="2:12" s="86" customFormat="1" ht="40" customHeight="1">
      <c r="B1053" s="104">
        <v>1676</v>
      </c>
      <c r="C1053" s="105" t="s">
        <v>3345</v>
      </c>
      <c r="D1053" s="105" t="s">
        <v>108</v>
      </c>
      <c r="E1053" s="106" t="s">
        <v>3346</v>
      </c>
      <c r="F1053" s="104">
        <v>1</v>
      </c>
      <c r="G1053" s="104">
        <v>130</v>
      </c>
      <c r="H1053" s="104">
        <v>130</v>
      </c>
      <c r="I1053" s="104" t="s">
        <v>146</v>
      </c>
      <c r="J1053" s="104" t="s">
        <v>3611</v>
      </c>
      <c r="K1053" s="42" t="s">
        <v>108</v>
      </c>
      <c r="L1053" s="104" t="str">
        <f>VLOOKUP(Table7[[#This Row],[Baseline Fixture Code]], 'Tables &amp; Ranges'!$A$114:$B$132, 2, FALSE)</f>
        <v>N/A</v>
      </c>
    </row>
    <row r="1054" spans="2:12" s="86" customFormat="1" ht="40" customHeight="1">
      <c r="B1054" s="104">
        <v>1677</v>
      </c>
      <c r="C1054" s="105" t="s">
        <v>3347</v>
      </c>
      <c r="D1054" s="105" t="s">
        <v>108</v>
      </c>
      <c r="E1054" s="106" t="s">
        <v>3348</v>
      </c>
      <c r="F1054" s="104">
        <v>1</v>
      </c>
      <c r="G1054" s="104">
        <v>135</v>
      </c>
      <c r="H1054" s="104">
        <v>135</v>
      </c>
      <c r="I1054" s="104" t="s">
        <v>146</v>
      </c>
      <c r="J1054" s="104" t="s">
        <v>3611</v>
      </c>
      <c r="K1054" s="42" t="s">
        <v>108</v>
      </c>
      <c r="L1054" s="104" t="str">
        <f>VLOOKUP(Table7[[#This Row],[Baseline Fixture Code]], 'Tables &amp; Ranges'!$A$114:$B$132, 2, FALSE)</f>
        <v>N/A</v>
      </c>
    </row>
    <row r="1055" spans="2:12" s="86" customFormat="1" ht="40" customHeight="1">
      <c r="B1055" s="104">
        <v>1592</v>
      </c>
      <c r="C1055" s="105" t="s">
        <v>3177</v>
      </c>
      <c r="D1055" s="105" t="s">
        <v>108</v>
      </c>
      <c r="E1055" s="106" t="s">
        <v>3178</v>
      </c>
      <c r="F1055" s="104">
        <v>1</v>
      </c>
      <c r="G1055" s="104">
        <v>14</v>
      </c>
      <c r="H1055" s="104">
        <v>14</v>
      </c>
      <c r="I1055" s="104" t="s">
        <v>146</v>
      </c>
      <c r="J1055" s="104" t="s">
        <v>3611</v>
      </c>
      <c r="K1055" s="42" t="s">
        <v>108</v>
      </c>
      <c r="L1055" s="104" t="str">
        <f>VLOOKUP(Table7[[#This Row],[Baseline Fixture Code]], 'Tables &amp; Ranges'!$A$114:$B$132, 2, FALSE)</f>
        <v>N/A</v>
      </c>
    </row>
    <row r="1056" spans="2:12" s="86" customFormat="1" ht="40" customHeight="1">
      <c r="B1056" s="104">
        <v>1593</v>
      </c>
      <c r="C1056" s="105" t="s">
        <v>3179</v>
      </c>
      <c r="D1056" s="105" t="s">
        <v>108</v>
      </c>
      <c r="E1056" s="106" t="s">
        <v>3180</v>
      </c>
      <c r="F1056" s="104">
        <v>1</v>
      </c>
      <c r="G1056" s="104">
        <v>15</v>
      </c>
      <c r="H1056" s="104">
        <v>15</v>
      </c>
      <c r="I1056" s="104" t="s">
        <v>146</v>
      </c>
      <c r="J1056" s="104" t="s">
        <v>3611</v>
      </c>
      <c r="K1056" s="42" t="s">
        <v>108</v>
      </c>
      <c r="L1056" s="104" t="str">
        <f>VLOOKUP(Table7[[#This Row],[Baseline Fixture Code]], 'Tables &amp; Ranges'!$A$114:$B$132, 2, FALSE)</f>
        <v>N/A</v>
      </c>
    </row>
    <row r="1057" spans="2:12" s="86" customFormat="1" ht="40" customHeight="1">
      <c r="B1057" s="104">
        <v>1678</v>
      </c>
      <c r="C1057" s="105" t="s">
        <v>3349</v>
      </c>
      <c r="D1057" s="105" t="s">
        <v>108</v>
      </c>
      <c r="E1057" s="106" t="s">
        <v>3350</v>
      </c>
      <c r="F1057" s="104">
        <v>1</v>
      </c>
      <c r="G1057" s="104">
        <v>150</v>
      </c>
      <c r="H1057" s="104">
        <v>150</v>
      </c>
      <c r="I1057" s="104" t="s">
        <v>146</v>
      </c>
      <c r="J1057" s="104" t="s">
        <v>3611</v>
      </c>
      <c r="K1057" s="42" t="s">
        <v>108</v>
      </c>
      <c r="L1057" s="104" t="str">
        <f>VLOOKUP(Table7[[#This Row],[Baseline Fixture Code]], 'Tables &amp; Ranges'!$A$114:$B$132, 2, FALSE)</f>
        <v>N/A</v>
      </c>
    </row>
    <row r="1058" spans="2:12" s="86" customFormat="1" ht="40" customHeight="1">
      <c r="B1058" s="104">
        <v>1692</v>
      </c>
      <c r="C1058" s="105" t="s">
        <v>3377</v>
      </c>
      <c r="D1058" s="105" t="s">
        <v>108</v>
      </c>
      <c r="E1058" s="106" t="s">
        <v>3378</v>
      </c>
      <c r="F1058" s="104">
        <v>1</v>
      </c>
      <c r="G1058" s="104">
        <v>1500</v>
      </c>
      <c r="H1058" s="104">
        <v>1500</v>
      </c>
      <c r="I1058" s="104" t="s">
        <v>146</v>
      </c>
      <c r="J1058" s="104" t="s">
        <v>3611</v>
      </c>
      <c r="K1058" s="42" t="s">
        <v>108</v>
      </c>
      <c r="L1058" s="104" t="str">
        <f>VLOOKUP(Table7[[#This Row],[Baseline Fixture Code]], 'Tables &amp; Ranges'!$A$114:$B$132, 2, FALSE)</f>
        <v>N/A</v>
      </c>
    </row>
    <row r="1059" spans="2:12" s="86" customFormat="1" ht="40" customHeight="1">
      <c r="B1059" s="104">
        <v>1679</v>
      </c>
      <c r="C1059" s="105" t="s">
        <v>3351</v>
      </c>
      <c r="D1059" s="105" t="s">
        <v>108</v>
      </c>
      <c r="E1059" s="106" t="s">
        <v>3352</v>
      </c>
      <c r="F1059" s="104">
        <v>1</v>
      </c>
      <c r="G1059" s="104">
        <v>135</v>
      </c>
      <c r="H1059" s="104">
        <v>135</v>
      </c>
      <c r="I1059" s="104" t="s">
        <v>146</v>
      </c>
      <c r="J1059" s="104" t="s">
        <v>3611</v>
      </c>
      <c r="K1059" s="42" t="s">
        <v>108</v>
      </c>
      <c r="L1059" s="104" t="str">
        <f>VLOOKUP(Table7[[#This Row],[Baseline Fixture Code]], 'Tables &amp; Ranges'!$A$114:$B$132, 2, FALSE)</f>
        <v>N/A</v>
      </c>
    </row>
    <row r="1060" spans="2:12" s="86" customFormat="1" ht="40" customHeight="1">
      <c r="B1060" s="104">
        <v>1680</v>
      </c>
      <c r="C1060" s="105" t="s">
        <v>3353</v>
      </c>
      <c r="D1060" s="105" t="s">
        <v>108</v>
      </c>
      <c r="E1060" s="106" t="s">
        <v>3354</v>
      </c>
      <c r="F1060" s="104">
        <v>1</v>
      </c>
      <c r="G1060" s="104">
        <v>135</v>
      </c>
      <c r="H1060" s="104">
        <v>135</v>
      </c>
      <c r="I1060" s="104" t="s">
        <v>146</v>
      </c>
      <c r="J1060" s="104" t="s">
        <v>3611</v>
      </c>
      <c r="K1060" s="42" t="s">
        <v>108</v>
      </c>
      <c r="L1060" s="104" t="str">
        <f>VLOOKUP(Table7[[#This Row],[Baseline Fixture Code]], 'Tables &amp; Ranges'!$A$114:$B$132, 2, FALSE)</f>
        <v>N/A</v>
      </c>
    </row>
    <row r="1061" spans="2:12" s="86" customFormat="1" ht="40" customHeight="1">
      <c r="B1061" s="104">
        <v>1594</v>
      </c>
      <c r="C1061" s="105" t="s">
        <v>3181</v>
      </c>
      <c r="D1061" s="105" t="s">
        <v>108</v>
      </c>
      <c r="E1061" s="106" t="s">
        <v>3182</v>
      </c>
      <c r="F1061" s="104">
        <v>1</v>
      </c>
      <c r="G1061" s="104">
        <v>16</v>
      </c>
      <c r="H1061" s="104">
        <v>16</v>
      </c>
      <c r="I1061" s="104" t="s">
        <v>146</v>
      </c>
      <c r="J1061" s="104" t="s">
        <v>3611</v>
      </c>
      <c r="K1061" s="42" t="s">
        <v>108</v>
      </c>
      <c r="L1061" s="104" t="str">
        <f>VLOOKUP(Table7[[#This Row],[Baseline Fixture Code]], 'Tables &amp; Ranges'!$A$114:$B$132, 2, FALSE)</f>
        <v>N/A</v>
      </c>
    </row>
    <row r="1062" spans="2:12" s="86" customFormat="1" ht="40" customHeight="1">
      <c r="B1062" s="104">
        <v>1681</v>
      </c>
      <c r="C1062" s="105" t="s">
        <v>3355</v>
      </c>
      <c r="D1062" s="105" t="s">
        <v>108</v>
      </c>
      <c r="E1062" s="106" t="s">
        <v>3356</v>
      </c>
      <c r="F1062" s="104">
        <v>1</v>
      </c>
      <c r="G1062" s="104">
        <v>160</v>
      </c>
      <c r="H1062" s="104">
        <v>160</v>
      </c>
      <c r="I1062" s="104" t="s">
        <v>146</v>
      </c>
      <c r="J1062" s="104" t="s">
        <v>3611</v>
      </c>
      <c r="K1062" s="42" t="s">
        <v>108</v>
      </c>
      <c r="L1062" s="104" t="str">
        <f>VLOOKUP(Table7[[#This Row],[Baseline Fixture Code]], 'Tables &amp; Ranges'!$A$114:$B$132, 2, FALSE)</f>
        <v>N/A</v>
      </c>
    </row>
    <row r="1063" spans="2:12" s="86" customFormat="1" ht="40" customHeight="1">
      <c r="B1063" s="104">
        <v>1595</v>
      </c>
      <c r="C1063" s="105" t="s">
        <v>3183</v>
      </c>
      <c r="D1063" s="105" t="s">
        <v>108</v>
      </c>
      <c r="E1063" s="106" t="s">
        <v>3184</v>
      </c>
      <c r="F1063" s="104">
        <v>1</v>
      </c>
      <c r="G1063" s="104">
        <v>17</v>
      </c>
      <c r="H1063" s="104">
        <v>17</v>
      </c>
      <c r="I1063" s="104" t="s">
        <v>146</v>
      </c>
      <c r="J1063" s="104" t="s">
        <v>3611</v>
      </c>
      <c r="K1063" s="42" t="s">
        <v>108</v>
      </c>
      <c r="L1063" s="104" t="str">
        <f>VLOOKUP(Table7[[#This Row],[Baseline Fixture Code]], 'Tables &amp; Ranges'!$A$114:$B$132, 2, FALSE)</f>
        <v>N/A</v>
      </c>
    </row>
    <row r="1064" spans="2:12" s="86" customFormat="1" ht="40" customHeight="1">
      <c r="B1064" s="104">
        <v>1682</v>
      </c>
      <c r="C1064" s="105" t="s">
        <v>3357</v>
      </c>
      <c r="D1064" s="105" t="s">
        <v>108</v>
      </c>
      <c r="E1064" s="106" t="s">
        <v>3358</v>
      </c>
      <c r="F1064" s="104">
        <v>1</v>
      </c>
      <c r="G1064" s="104">
        <v>170</v>
      </c>
      <c r="H1064" s="104">
        <v>170</v>
      </c>
      <c r="I1064" s="104" t="s">
        <v>146</v>
      </c>
      <c r="J1064" s="104" t="s">
        <v>3611</v>
      </c>
      <c r="K1064" s="42" t="s">
        <v>108</v>
      </c>
      <c r="L1064" s="104" t="str">
        <f>VLOOKUP(Table7[[#This Row],[Baseline Fixture Code]], 'Tables &amp; Ranges'!$A$114:$B$132, 2, FALSE)</f>
        <v>N/A</v>
      </c>
    </row>
    <row r="1065" spans="2:12" s="86" customFormat="1" ht="40" customHeight="1">
      <c r="B1065" s="104">
        <v>1596</v>
      </c>
      <c r="C1065" s="105" t="s">
        <v>3185</v>
      </c>
      <c r="D1065" s="105" t="s">
        <v>108</v>
      </c>
      <c r="E1065" s="106" t="s">
        <v>3186</v>
      </c>
      <c r="F1065" s="104">
        <v>1</v>
      </c>
      <c r="G1065" s="104">
        <v>18</v>
      </c>
      <c r="H1065" s="104">
        <v>18</v>
      </c>
      <c r="I1065" s="104" t="s">
        <v>146</v>
      </c>
      <c r="J1065" s="104" t="s">
        <v>3611</v>
      </c>
      <c r="K1065" s="42" t="s">
        <v>108</v>
      </c>
      <c r="L1065" s="104" t="str">
        <f>VLOOKUP(Table7[[#This Row],[Baseline Fixture Code]], 'Tables &amp; Ranges'!$A$114:$B$132, 2, FALSE)</f>
        <v>N/A</v>
      </c>
    </row>
    <row r="1066" spans="2:12" s="86" customFormat="1" ht="40" customHeight="1">
      <c r="B1066" s="104">
        <v>1597</v>
      </c>
      <c r="C1066" s="105" t="s">
        <v>3187</v>
      </c>
      <c r="D1066" s="105" t="s">
        <v>108</v>
      </c>
      <c r="E1066" s="106" t="s">
        <v>3188</v>
      </c>
      <c r="F1066" s="104">
        <v>1</v>
      </c>
      <c r="G1066" s="104">
        <v>19</v>
      </c>
      <c r="H1066" s="104">
        <v>19</v>
      </c>
      <c r="I1066" s="104" t="s">
        <v>146</v>
      </c>
      <c r="J1066" s="104" t="s">
        <v>3611</v>
      </c>
      <c r="K1066" s="42" t="s">
        <v>108</v>
      </c>
      <c r="L1066" s="104" t="str">
        <f>VLOOKUP(Table7[[#This Row],[Baseline Fixture Code]], 'Tables &amp; Ranges'!$A$114:$B$132, 2, FALSE)</f>
        <v>N/A</v>
      </c>
    </row>
    <row r="1067" spans="2:12" s="86" customFormat="1" ht="40" customHeight="1">
      <c r="B1067" s="104">
        <v>1598</v>
      </c>
      <c r="C1067" s="105" t="s">
        <v>3189</v>
      </c>
      <c r="D1067" s="105" t="s">
        <v>108</v>
      </c>
      <c r="E1067" s="106" t="s">
        <v>3190</v>
      </c>
      <c r="F1067" s="104">
        <v>1</v>
      </c>
      <c r="G1067" s="104">
        <v>20</v>
      </c>
      <c r="H1067" s="104">
        <v>20</v>
      </c>
      <c r="I1067" s="104" t="s">
        <v>146</v>
      </c>
      <c r="J1067" s="104" t="s">
        <v>3611</v>
      </c>
      <c r="K1067" s="42" t="s">
        <v>108</v>
      </c>
      <c r="L1067" s="104" t="str">
        <f>VLOOKUP(Table7[[#This Row],[Baseline Fixture Code]], 'Tables &amp; Ranges'!$A$114:$B$132, 2, FALSE)</f>
        <v>N/A</v>
      </c>
    </row>
    <row r="1068" spans="2:12" s="86" customFormat="1" ht="40" customHeight="1">
      <c r="B1068" s="104">
        <v>1683</v>
      </c>
      <c r="C1068" s="105" t="s">
        <v>3359</v>
      </c>
      <c r="D1068" s="105" t="s">
        <v>108</v>
      </c>
      <c r="E1068" s="106" t="s">
        <v>3360</v>
      </c>
      <c r="F1068" s="104">
        <v>1</v>
      </c>
      <c r="G1068" s="104">
        <v>200</v>
      </c>
      <c r="H1068" s="104">
        <v>200</v>
      </c>
      <c r="I1068" s="104" t="s">
        <v>146</v>
      </c>
      <c r="J1068" s="104" t="s">
        <v>3611</v>
      </c>
      <c r="K1068" s="42" t="s">
        <v>108</v>
      </c>
      <c r="L1068" s="104" t="str">
        <f>VLOOKUP(Table7[[#This Row],[Baseline Fixture Code]], 'Tables &amp; Ranges'!$A$114:$B$132, 2, FALSE)</f>
        <v>N/A</v>
      </c>
    </row>
    <row r="1069" spans="2:12" s="86" customFormat="1" ht="40" customHeight="1">
      <c r="B1069" s="104">
        <v>1693</v>
      </c>
      <c r="C1069" s="105" t="s">
        <v>3379</v>
      </c>
      <c r="D1069" s="105" t="s">
        <v>108</v>
      </c>
      <c r="E1069" s="106" t="s">
        <v>3380</v>
      </c>
      <c r="F1069" s="104">
        <v>1</v>
      </c>
      <c r="G1069" s="104">
        <v>2000</v>
      </c>
      <c r="H1069" s="104">
        <v>2000</v>
      </c>
      <c r="I1069" s="104" t="s">
        <v>146</v>
      </c>
      <c r="J1069" s="104" t="s">
        <v>3611</v>
      </c>
      <c r="K1069" s="42" t="s">
        <v>108</v>
      </c>
      <c r="L1069" s="104" t="str">
        <f>VLOOKUP(Table7[[#This Row],[Baseline Fixture Code]], 'Tables &amp; Ranges'!$A$114:$B$132, 2, FALSE)</f>
        <v>N/A</v>
      </c>
    </row>
    <row r="1070" spans="2:12" s="86" customFormat="1" ht="40" customHeight="1">
      <c r="B1070" s="104">
        <v>1684</v>
      </c>
      <c r="C1070" s="105" t="s">
        <v>3361</v>
      </c>
      <c r="D1070" s="105" t="s">
        <v>108</v>
      </c>
      <c r="E1070" s="106" t="s">
        <v>3362</v>
      </c>
      <c r="F1070" s="104">
        <v>1</v>
      </c>
      <c r="G1070" s="104">
        <v>200</v>
      </c>
      <c r="H1070" s="104">
        <v>200</v>
      </c>
      <c r="I1070" s="104" t="s">
        <v>146</v>
      </c>
      <c r="J1070" s="104" t="s">
        <v>3611</v>
      </c>
      <c r="K1070" s="42" t="s">
        <v>108</v>
      </c>
      <c r="L1070" s="104" t="str">
        <f>VLOOKUP(Table7[[#This Row],[Baseline Fixture Code]], 'Tables &amp; Ranges'!$A$114:$B$132, 2, FALSE)</f>
        <v>N/A</v>
      </c>
    </row>
    <row r="1071" spans="2:12" s="86" customFormat="1" ht="40" customHeight="1">
      <c r="B1071" s="104">
        <v>1599</v>
      </c>
      <c r="C1071" s="105" t="s">
        <v>3191</v>
      </c>
      <c r="D1071" s="105" t="s">
        <v>108</v>
      </c>
      <c r="E1071" s="106" t="s">
        <v>3192</v>
      </c>
      <c r="F1071" s="104">
        <v>1</v>
      </c>
      <c r="G1071" s="104">
        <v>21</v>
      </c>
      <c r="H1071" s="104">
        <v>21</v>
      </c>
      <c r="I1071" s="104" t="s">
        <v>146</v>
      </c>
      <c r="J1071" s="104" t="s">
        <v>3611</v>
      </c>
      <c r="K1071" s="42" t="s">
        <v>108</v>
      </c>
      <c r="L1071" s="104" t="str">
        <f>VLOOKUP(Table7[[#This Row],[Baseline Fixture Code]], 'Tables &amp; Ranges'!$A$114:$B$132, 2, FALSE)</f>
        <v>N/A</v>
      </c>
    </row>
    <row r="1072" spans="2:12" s="86" customFormat="1" ht="40" customHeight="1">
      <c r="B1072" s="104">
        <v>1600</v>
      </c>
      <c r="C1072" s="105" t="s">
        <v>3193</v>
      </c>
      <c r="D1072" s="105" t="s">
        <v>108</v>
      </c>
      <c r="E1072" s="106" t="s">
        <v>3194</v>
      </c>
      <c r="F1072" s="104">
        <v>1</v>
      </c>
      <c r="G1072" s="104">
        <v>22</v>
      </c>
      <c r="H1072" s="104">
        <v>22</v>
      </c>
      <c r="I1072" s="104" t="s">
        <v>146</v>
      </c>
      <c r="J1072" s="104" t="s">
        <v>3611</v>
      </c>
      <c r="K1072" s="42" t="s">
        <v>108</v>
      </c>
      <c r="L1072" s="104" t="str">
        <f>VLOOKUP(Table7[[#This Row],[Baseline Fixture Code]], 'Tables &amp; Ranges'!$A$114:$B$132, 2, FALSE)</f>
        <v>N/A</v>
      </c>
    </row>
    <row r="1073" spans="2:12" s="86" customFormat="1" ht="40" customHeight="1">
      <c r="B1073" s="104">
        <v>1601</v>
      </c>
      <c r="C1073" s="105" t="s">
        <v>3195</v>
      </c>
      <c r="D1073" s="105" t="s">
        <v>108</v>
      </c>
      <c r="E1073" s="106" t="s">
        <v>3196</v>
      </c>
      <c r="F1073" s="104">
        <v>1</v>
      </c>
      <c r="G1073" s="104">
        <v>23</v>
      </c>
      <c r="H1073" s="104">
        <v>23</v>
      </c>
      <c r="I1073" s="104" t="s">
        <v>146</v>
      </c>
      <c r="J1073" s="104" t="s">
        <v>3611</v>
      </c>
      <c r="K1073" s="42" t="s">
        <v>108</v>
      </c>
      <c r="L1073" s="104" t="str">
        <f>VLOOKUP(Table7[[#This Row],[Baseline Fixture Code]], 'Tables &amp; Ranges'!$A$114:$B$132, 2, FALSE)</f>
        <v>N/A</v>
      </c>
    </row>
    <row r="1074" spans="2:12" s="86" customFormat="1" ht="40" customHeight="1">
      <c r="B1074" s="104">
        <v>1602</v>
      </c>
      <c r="C1074" s="105" t="s">
        <v>3197</v>
      </c>
      <c r="D1074" s="105" t="s">
        <v>108</v>
      </c>
      <c r="E1074" s="106" t="s">
        <v>3198</v>
      </c>
      <c r="F1074" s="104">
        <v>1</v>
      </c>
      <c r="G1074" s="104">
        <v>24</v>
      </c>
      <c r="H1074" s="104">
        <v>24</v>
      </c>
      <c r="I1074" s="104" t="s">
        <v>146</v>
      </c>
      <c r="J1074" s="104" t="s">
        <v>3611</v>
      </c>
      <c r="K1074" s="42" t="s">
        <v>108</v>
      </c>
      <c r="L1074" s="104" t="str">
        <f>VLOOKUP(Table7[[#This Row],[Baseline Fixture Code]], 'Tables &amp; Ranges'!$A$114:$B$132, 2, FALSE)</f>
        <v>N/A</v>
      </c>
    </row>
    <row r="1075" spans="2:12" s="86" customFormat="1" ht="40" customHeight="1">
      <c r="B1075" s="104">
        <v>1603</v>
      </c>
      <c r="C1075" s="105" t="s">
        <v>3199</v>
      </c>
      <c r="D1075" s="105" t="s">
        <v>108</v>
      </c>
      <c r="E1075" s="106" t="s">
        <v>3200</v>
      </c>
      <c r="F1075" s="104">
        <v>1</v>
      </c>
      <c r="G1075" s="104">
        <v>25</v>
      </c>
      <c r="H1075" s="104">
        <v>25</v>
      </c>
      <c r="I1075" s="104" t="s">
        <v>146</v>
      </c>
      <c r="J1075" s="104" t="s">
        <v>3611</v>
      </c>
      <c r="K1075" s="42" t="s">
        <v>108</v>
      </c>
      <c r="L1075" s="104" t="str">
        <f>VLOOKUP(Table7[[#This Row],[Baseline Fixture Code]], 'Tables &amp; Ranges'!$A$114:$B$132, 2, FALSE)</f>
        <v>N/A</v>
      </c>
    </row>
    <row r="1076" spans="2:12" s="86" customFormat="1" ht="40" customHeight="1">
      <c r="B1076" s="104">
        <v>1685</v>
      </c>
      <c r="C1076" s="105" t="s">
        <v>3363</v>
      </c>
      <c r="D1076" s="105" t="s">
        <v>108</v>
      </c>
      <c r="E1076" s="106" t="s">
        <v>3364</v>
      </c>
      <c r="F1076" s="104">
        <v>1</v>
      </c>
      <c r="G1076" s="104">
        <v>250</v>
      </c>
      <c r="H1076" s="104">
        <v>250</v>
      </c>
      <c r="I1076" s="104" t="s">
        <v>146</v>
      </c>
      <c r="J1076" s="104" t="s">
        <v>3611</v>
      </c>
      <c r="K1076" s="42" t="s">
        <v>108</v>
      </c>
      <c r="L1076" s="104" t="str">
        <f>VLOOKUP(Table7[[#This Row],[Baseline Fixture Code]], 'Tables &amp; Ranges'!$A$114:$B$132, 2, FALSE)</f>
        <v>N/A</v>
      </c>
    </row>
    <row r="1077" spans="2:12" s="86" customFormat="1" ht="40" customHeight="1">
      <c r="B1077" s="104">
        <v>1604</v>
      </c>
      <c r="C1077" s="105" t="s">
        <v>3201</v>
      </c>
      <c r="D1077" s="105" t="s">
        <v>108</v>
      </c>
      <c r="E1077" s="106" t="s">
        <v>3202</v>
      </c>
      <c r="F1077" s="104">
        <v>1</v>
      </c>
      <c r="G1077" s="104">
        <v>26</v>
      </c>
      <c r="H1077" s="104">
        <v>26</v>
      </c>
      <c r="I1077" s="104" t="s">
        <v>146</v>
      </c>
      <c r="J1077" s="104" t="s">
        <v>3611</v>
      </c>
      <c r="K1077" s="42" t="s">
        <v>108</v>
      </c>
      <c r="L1077" s="104" t="str">
        <f>VLOOKUP(Table7[[#This Row],[Baseline Fixture Code]], 'Tables &amp; Ranges'!$A$114:$B$132, 2, FALSE)</f>
        <v>N/A</v>
      </c>
    </row>
    <row r="1078" spans="2:12" s="86" customFormat="1" ht="40" customHeight="1">
      <c r="B1078" s="104">
        <v>1605</v>
      </c>
      <c r="C1078" s="105" t="s">
        <v>3203</v>
      </c>
      <c r="D1078" s="105" t="s">
        <v>108</v>
      </c>
      <c r="E1078" s="106" t="s">
        <v>3204</v>
      </c>
      <c r="F1078" s="104">
        <v>1</v>
      </c>
      <c r="G1078" s="104">
        <v>27</v>
      </c>
      <c r="H1078" s="104">
        <v>27</v>
      </c>
      <c r="I1078" s="104" t="s">
        <v>146</v>
      </c>
      <c r="J1078" s="104" t="s">
        <v>3611</v>
      </c>
      <c r="K1078" s="42" t="s">
        <v>108</v>
      </c>
      <c r="L1078" s="104" t="str">
        <f>VLOOKUP(Table7[[#This Row],[Baseline Fixture Code]], 'Tables &amp; Ranges'!$A$114:$B$132, 2, FALSE)</f>
        <v>N/A</v>
      </c>
    </row>
    <row r="1079" spans="2:12" s="86" customFormat="1" ht="40" customHeight="1">
      <c r="B1079" s="104">
        <v>1606</v>
      </c>
      <c r="C1079" s="105" t="s">
        <v>3205</v>
      </c>
      <c r="D1079" s="105" t="s">
        <v>108</v>
      </c>
      <c r="E1079" s="106" t="s">
        <v>3206</v>
      </c>
      <c r="F1079" s="104">
        <v>1</v>
      </c>
      <c r="G1079" s="104">
        <v>28</v>
      </c>
      <c r="H1079" s="104">
        <v>28</v>
      </c>
      <c r="I1079" s="104" t="s">
        <v>146</v>
      </c>
      <c r="J1079" s="104" t="s">
        <v>3611</v>
      </c>
      <c r="K1079" s="42" t="s">
        <v>108</v>
      </c>
      <c r="L1079" s="104" t="str">
        <f>VLOOKUP(Table7[[#This Row],[Baseline Fixture Code]], 'Tables &amp; Ranges'!$A$114:$B$132, 2, FALSE)</f>
        <v>N/A</v>
      </c>
    </row>
    <row r="1080" spans="2:12" s="86" customFormat="1" ht="40" customHeight="1">
      <c r="B1080" s="104">
        <v>1607</v>
      </c>
      <c r="C1080" s="105" t="s">
        <v>3207</v>
      </c>
      <c r="D1080" s="105" t="s">
        <v>108</v>
      </c>
      <c r="E1080" s="106" t="s">
        <v>3208</v>
      </c>
      <c r="F1080" s="104">
        <v>1</v>
      </c>
      <c r="G1080" s="104">
        <v>29</v>
      </c>
      <c r="H1080" s="104">
        <v>29</v>
      </c>
      <c r="I1080" s="104" t="s">
        <v>146</v>
      </c>
      <c r="J1080" s="104" t="s">
        <v>3611</v>
      </c>
      <c r="K1080" s="42" t="s">
        <v>108</v>
      </c>
      <c r="L1080" s="104" t="str">
        <f>VLOOKUP(Table7[[#This Row],[Baseline Fixture Code]], 'Tables &amp; Ranges'!$A$114:$B$132, 2, FALSE)</f>
        <v>N/A</v>
      </c>
    </row>
    <row r="1081" spans="2:12" s="86" customFormat="1" ht="40" customHeight="1">
      <c r="B1081" s="104">
        <v>1608</v>
      </c>
      <c r="C1081" s="105" t="s">
        <v>3209</v>
      </c>
      <c r="D1081" s="105" t="s">
        <v>108</v>
      </c>
      <c r="E1081" s="106" t="s">
        <v>3210</v>
      </c>
      <c r="F1081" s="104">
        <v>1</v>
      </c>
      <c r="G1081" s="104">
        <v>30</v>
      </c>
      <c r="H1081" s="104">
        <v>30</v>
      </c>
      <c r="I1081" s="104" t="s">
        <v>146</v>
      </c>
      <c r="J1081" s="104" t="s">
        <v>3611</v>
      </c>
      <c r="K1081" s="42" t="s">
        <v>108</v>
      </c>
      <c r="L1081" s="104" t="str">
        <f>VLOOKUP(Table7[[#This Row],[Baseline Fixture Code]], 'Tables &amp; Ranges'!$A$114:$B$132, 2, FALSE)</f>
        <v>N/A</v>
      </c>
    </row>
    <row r="1082" spans="2:12" s="86" customFormat="1" ht="40" customHeight="1">
      <c r="B1082" s="104">
        <v>1686</v>
      </c>
      <c r="C1082" s="105" t="s">
        <v>3365</v>
      </c>
      <c r="D1082" s="105" t="s">
        <v>108</v>
      </c>
      <c r="E1082" s="106" t="s">
        <v>3366</v>
      </c>
      <c r="F1082" s="104">
        <v>1</v>
      </c>
      <c r="G1082" s="104">
        <v>300</v>
      </c>
      <c r="H1082" s="104">
        <v>300</v>
      </c>
      <c r="I1082" s="104" t="s">
        <v>146</v>
      </c>
      <c r="J1082" s="104" t="s">
        <v>3611</v>
      </c>
      <c r="K1082" s="42" t="s">
        <v>108</v>
      </c>
      <c r="L1082" s="104" t="str">
        <f>VLOOKUP(Table7[[#This Row],[Baseline Fixture Code]], 'Tables &amp; Ranges'!$A$114:$B$132, 2, FALSE)</f>
        <v>N/A</v>
      </c>
    </row>
    <row r="1083" spans="2:12" s="86" customFormat="1" ht="40" customHeight="1">
      <c r="B1083" s="104">
        <v>1609</v>
      </c>
      <c r="C1083" s="105" t="s">
        <v>3211</v>
      </c>
      <c r="D1083" s="105" t="s">
        <v>108</v>
      </c>
      <c r="E1083" s="106" t="s">
        <v>3212</v>
      </c>
      <c r="F1083" s="104">
        <v>1</v>
      </c>
      <c r="G1083" s="104">
        <v>31</v>
      </c>
      <c r="H1083" s="104">
        <v>31</v>
      </c>
      <c r="I1083" s="104" t="s">
        <v>146</v>
      </c>
      <c r="J1083" s="104" t="s">
        <v>3611</v>
      </c>
      <c r="K1083" s="42" t="s">
        <v>108</v>
      </c>
      <c r="L1083" s="104" t="str">
        <f>VLOOKUP(Table7[[#This Row],[Baseline Fixture Code]], 'Tables &amp; Ranges'!$A$114:$B$132, 2, FALSE)</f>
        <v>N/A</v>
      </c>
    </row>
    <row r="1084" spans="2:12" s="86" customFormat="1" ht="40" customHeight="1">
      <c r="B1084" s="104">
        <v>1610</v>
      </c>
      <c r="C1084" s="105" t="s">
        <v>3213</v>
      </c>
      <c r="D1084" s="105" t="s">
        <v>108</v>
      </c>
      <c r="E1084" s="106" t="s">
        <v>3214</v>
      </c>
      <c r="F1084" s="104">
        <v>1</v>
      </c>
      <c r="G1084" s="104">
        <v>32</v>
      </c>
      <c r="H1084" s="104">
        <v>32</v>
      </c>
      <c r="I1084" s="104" t="s">
        <v>146</v>
      </c>
      <c r="J1084" s="104" t="s">
        <v>3611</v>
      </c>
      <c r="K1084" s="42" t="s">
        <v>108</v>
      </c>
      <c r="L1084" s="104" t="str">
        <f>VLOOKUP(Table7[[#This Row],[Baseline Fixture Code]], 'Tables &amp; Ranges'!$A$114:$B$132, 2, FALSE)</f>
        <v>N/A</v>
      </c>
    </row>
    <row r="1085" spans="2:12" s="86" customFormat="1" ht="40" customHeight="1">
      <c r="B1085" s="104">
        <v>1611</v>
      </c>
      <c r="C1085" s="105" t="s">
        <v>3215</v>
      </c>
      <c r="D1085" s="105" t="s">
        <v>108</v>
      </c>
      <c r="E1085" s="106" t="s">
        <v>3216</v>
      </c>
      <c r="F1085" s="104">
        <v>1</v>
      </c>
      <c r="G1085" s="104">
        <v>33</v>
      </c>
      <c r="H1085" s="104">
        <v>33</v>
      </c>
      <c r="I1085" s="104" t="s">
        <v>146</v>
      </c>
      <c r="J1085" s="104" t="s">
        <v>3611</v>
      </c>
      <c r="K1085" s="42" t="s">
        <v>108</v>
      </c>
      <c r="L1085" s="104" t="str">
        <f>VLOOKUP(Table7[[#This Row],[Baseline Fixture Code]], 'Tables &amp; Ranges'!$A$114:$B$132, 2, FALSE)</f>
        <v>N/A</v>
      </c>
    </row>
    <row r="1086" spans="2:12" s="86" customFormat="1" ht="40" customHeight="1">
      <c r="B1086" s="104">
        <v>1612</v>
      </c>
      <c r="C1086" s="105" t="s">
        <v>3217</v>
      </c>
      <c r="D1086" s="105" t="s">
        <v>108</v>
      </c>
      <c r="E1086" s="106" t="s">
        <v>3218</v>
      </c>
      <c r="F1086" s="104">
        <v>1</v>
      </c>
      <c r="G1086" s="104">
        <v>34</v>
      </c>
      <c r="H1086" s="104">
        <v>34</v>
      </c>
      <c r="I1086" s="104" t="s">
        <v>146</v>
      </c>
      <c r="J1086" s="104" t="s">
        <v>3611</v>
      </c>
      <c r="K1086" s="42" t="s">
        <v>108</v>
      </c>
      <c r="L1086" s="104" t="str">
        <f>VLOOKUP(Table7[[#This Row],[Baseline Fixture Code]], 'Tables &amp; Ranges'!$A$114:$B$132, 2, FALSE)</f>
        <v>N/A</v>
      </c>
    </row>
    <row r="1087" spans="2:12" s="86" customFormat="1" ht="40" customHeight="1">
      <c r="B1087" s="104">
        <v>1613</v>
      </c>
      <c r="C1087" s="105" t="s">
        <v>3219</v>
      </c>
      <c r="D1087" s="105" t="s">
        <v>108</v>
      </c>
      <c r="E1087" s="106" t="s">
        <v>3220</v>
      </c>
      <c r="F1087" s="104">
        <v>1</v>
      </c>
      <c r="G1087" s="104">
        <v>35</v>
      </c>
      <c r="H1087" s="104">
        <v>35</v>
      </c>
      <c r="I1087" s="104" t="s">
        <v>146</v>
      </c>
      <c r="J1087" s="104" t="s">
        <v>3611</v>
      </c>
      <c r="K1087" s="42" t="s">
        <v>108</v>
      </c>
      <c r="L1087" s="104" t="str">
        <f>VLOOKUP(Table7[[#This Row],[Baseline Fixture Code]], 'Tables &amp; Ranges'!$A$114:$B$132, 2, FALSE)</f>
        <v>N/A</v>
      </c>
    </row>
    <row r="1088" spans="2:12" s="86" customFormat="1" ht="40" customHeight="1">
      <c r="B1088" s="104">
        <v>1614</v>
      </c>
      <c r="C1088" s="105" t="s">
        <v>3221</v>
      </c>
      <c r="D1088" s="105" t="s">
        <v>108</v>
      </c>
      <c r="E1088" s="106" t="s">
        <v>3222</v>
      </c>
      <c r="F1088" s="104">
        <v>1</v>
      </c>
      <c r="G1088" s="104">
        <v>36</v>
      </c>
      <c r="H1088" s="104">
        <v>36</v>
      </c>
      <c r="I1088" s="104" t="s">
        <v>146</v>
      </c>
      <c r="J1088" s="104" t="s">
        <v>3611</v>
      </c>
      <c r="K1088" s="42" t="s">
        <v>108</v>
      </c>
      <c r="L1088" s="104" t="str">
        <f>VLOOKUP(Table7[[#This Row],[Baseline Fixture Code]], 'Tables &amp; Ranges'!$A$114:$B$132, 2, FALSE)</f>
        <v>N/A</v>
      </c>
    </row>
    <row r="1089" spans="2:12" s="86" customFormat="1" ht="40" customHeight="1">
      <c r="B1089" s="104">
        <v>1615</v>
      </c>
      <c r="C1089" s="105" t="s">
        <v>3223</v>
      </c>
      <c r="D1089" s="105" t="s">
        <v>108</v>
      </c>
      <c r="E1089" s="106" t="s">
        <v>3224</v>
      </c>
      <c r="F1089" s="104">
        <v>1</v>
      </c>
      <c r="G1089" s="104">
        <v>37</v>
      </c>
      <c r="H1089" s="104">
        <v>37</v>
      </c>
      <c r="I1089" s="104" t="s">
        <v>146</v>
      </c>
      <c r="J1089" s="104" t="s">
        <v>3611</v>
      </c>
      <c r="K1089" s="42" t="s">
        <v>108</v>
      </c>
      <c r="L1089" s="104" t="str">
        <f>VLOOKUP(Table7[[#This Row],[Baseline Fixture Code]], 'Tables &amp; Ranges'!$A$114:$B$132, 2, FALSE)</f>
        <v>N/A</v>
      </c>
    </row>
    <row r="1090" spans="2:12" s="86" customFormat="1" ht="40" customHeight="1">
      <c r="B1090" s="104">
        <v>1616</v>
      </c>
      <c r="C1090" s="105" t="s">
        <v>3225</v>
      </c>
      <c r="D1090" s="105" t="s">
        <v>108</v>
      </c>
      <c r="E1090" s="106" t="s">
        <v>3226</v>
      </c>
      <c r="F1090" s="104">
        <v>1</v>
      </c>
      <c r="G1090" s="104">
        <v>38</v>
      </c>
      <c r="H1090" s="104">
        <v>38</v>
      </c>
      <c r="I1090" s="104" t="s">
        <v>146</v>
      </c>
      <c r="J1090" s="104" t="s">
        <v>3611</v>
      </c>
      <c r="K1090" s="42" t="s">
        <v>108</v>
      </c>
      <c r="L1090" s="104" t="str">
        <f>VLOOKUP(Table7[[#This Row],[Baseline Fixture Code]], 'Tables &amp; Ranges'!$A$114:$B$132, 2, FALSE)</f>
        <v>N/A</v>
      </c>
    </row>
    <row r="1091" spans="2:12" s="86" customFormat="1" ht="40" customHeight="1">
      <c r="B1091" s="104">
        <v>1617</v>
      </c>
      <c r="C1091" s="105" t="s">
        <v>3227</v>
      </c>
      <c r="D1091" s="105" t="s">
        <v>108</v>
      </c>
      <c r="E1091" s="106" t="s">
        <v>3228</v>
      </c>
      <c r="F1091" s="104">
        <v>1</v>
      </c>
      <c r="G1091" s="104">
        <v>39</v>
      </c>
      <c r="H1091" s="104">
        <v>39</v>
      </c>
      <c r="I1091" s="104" t="s">
        <v>146</v>
      </c>
      <c r="J1091" s="104" t="s">
        <v>3611</v>
      </c>
      <c r="K1091" s="42" t="s">
        <v>108</v>
      </c>
      <c r="L1091" s="104" t="str">
        <f>VLOOKUP(Table7[[#This Row],[Baseline Fixture Code]], 'Tables &amp; Ranges'!$A$114:$B$132, 2, FALSE)</f>
        <v>N/A</v>
      </c>
    </row>
    <row r="1092" spans="2:12" ht="40" customHeight="1">
      <c r="B1092" s="42">
        <v>1618</v>
      </c>
      <c r="C1092" s="102" t="s">
        <v>3229</v>
      </c>
      <c r="D1092" s="102" t="s">
        <v>108</v>
      </c>
      <c r="E1092" s="92" t="s">
        <v>3230</v>
      </c>
      <c r="F1092" s="42">
        <v>1</v>
      </c>
      <c r="G1092" s="42">
        <v>29</v>
      </c>
      <c r="H1092" s="42">
        <v>29</v>
      </c>
      <c r="I1092" s="42" t="s">
        <v>146</v>
      </c>
      <c r="J1092" s="103" t="s">
        <v>3611</v>
      </c>
      <c r="K1092" s="42" t="s">
        <v>108</v>
      </c>
      <c r="L1092" s="42" t="str">
        <f>VLOOKUP(Table7[[#This Row],[Baseline Fixture Code]], 'Tables &amp; Ranges'!$A$114:$B$132, 2, FALSE)</f>
        <v>N/A</v>
      </c>
    </row>
    <row r="1093" spans="2:12" s="86" customFormat="1" ht="40" customHeight="1">
      <c r="B1093" s="104">
        <v>1687</v>
      </c>
      <c r="C1093" s="105" t="s">
        <v>3367</v>
      </c>
      <c r="D1093" s="105" t="s">
        <v>108</v>
      </c>
      <c r="E1093" s="106" t="s">
        <v>3368</v>
      </c>
      <c r="F1093" s="104">
        <v>1</v>
      </c>
      <c r="G1093" s="104">
        <v>400</v>
      </c>
      <c r="H1093" s="104">
        <v>400</v>
      </c>
      <c r="I1093" s="104" t="s">
        <v>146</v>
      </c>
      <c r="J1093" s="104" t="s">
        <v>3611</v>
      </c>
      <c r="K1093" s="42" t="s">
        <v>108</v>
      </c>
      <c r="L1093" s="104" t="str">
        <f>VLOOKUP(Table7[[#This Row],[Baseline Fixture Code]], 'Tables &amp; Ranges'!$A$114:$B$132, 2, FALSE)</f>
        <v>N/A</v>
      </c>
    </row>
    <row r="1094" spans="2:12" s="86" customFormat="1" ht="40" customHeight="1">
      <c r="B1094" s="104">
        <v>1620</v>
      </c>
      <c r="C1094" s="105" t="s">
        <v>3233</v>
      </c>
      <c r="D1094" s="105" t="s">
        <v>108</v>
      </c>
      <c r="E1094" s="106" t="s">
        <v>3234</v>
      </c>
      <c r="F1094" s="104">
        <v>1</v>
      </c>
      <c r="G1094" s="104">
        <v>34</v>
      </c>
      <c r="H1094" s="104">
        <v>34</v>
      </c>
      <c r="I1094" s="104" t="s">
        <v>146</v>
      </c>
      <c r="J1094" s="104" t="s">
        <v>131</v>
      </c>
      <c r="K1094" s="42" t="s">
        <v>108</v>
      </c>
      <c r="L1094" s="104" t="str">
        <f>VLOOKUP(Table7[[#This Row],[Baseline Fixture Code]], 'Tables &amp; Ranges'!$A$114:$B$132, 2, FALSE)</f>
        <v>N/A</v>
      </c>
    </row>
    <row r="1095" spans="2:12" s="86" customFormat="1" ht="40" customHeight="1">
      <c r="B1095" s="104">
        <v>1621</v>
      </c>
      <c r="C1095" s="105" t="s">
        <v>3235</v>
      </c>
      <c r="D1095" s="105" t="s">
        <v>108</v>
      </c>
      <c r="E1095" s="106" t="s">
        <v>3236</v>
      </c>
      <c r="F1095" s="104">
        <v>1</v>
      </c>
      <c r="G1095" s="104">
        <v>34</v>
      </c>
      <c r="H1095" s="104">
        <v>34</v>
      </c>
      <c r="I1095" s="104" t="s">
        <v>146</v>
      </c>
      <c r="J1095" s="104" t="s">
        <v>131</v>
      </c>
      <c r="K1095" s="42" t="s">
        <v>108</v>
      </c>
      <c r="L1095" s="104" t="str">
        <f>VLOOKUP(Table7[[#This Row],[Baseline Fixture Code]], 'Tables &amp; Ranges'!$A$114:$B$132, 2, FALSE)</f>
        <v>N/A</v>
      </c>
    </row>
    <row r="1096" spans="2:12" s="86" customFormat="1" ht="40" customHeight="1">
      <c r="B1096" s="104">
        <v>1619</v>
      </c>
      <c r="C1096" s="105" t="s">
        <v>3231</v>
      </c>
      <c r="D1096" s="105" t="s">
        <v>108</v>
      </c>
      <c r="E1096" s="106" t="s">
        <v>3232</v>
      </c>
      <c r="F1096" s="104">
        <v>1</v>
      </c>
      <c r="G1096" s="104">
        <v>40</v>
      </c>
      <c r="H1096" s="104">
        <v>40</v>
      </c>
      <c r="I1096" s="104" t="s">
        <v>146</v>
      </c>
      <c r="J1096" s="104" t="s">
        <v>3611</v>
      </c>
      <c r="K1096" s="42" t="s">
        <v>108</v>
      </c>
      <c r="L1096" s="104" t="str">
        <f>VLOOKUP(Table7[[#This Row],[Baseline Fixture Code]], 'Tables &amp; Ranges'!$A$114:$B$132, 2, FALSE)</f>
        <v>N/A</v>
      </c>
    </row>
    <row r="1097" spans="2:12" s="86" customFormat="1" ht="40" customHeight="1">
      <c r="B1097" s="104">
        <v>1622</v>
      </c>
      <c r="C1097" s="105" t="s">
        <v>3237</v>
      </c>
      <c r="D1097" s="105" t="s">
        <v>108</v>
      </c>
      <c r="E1097" s="106" t="s">
        <v>3238</v>
      </c>
      <c r="F1097" s="104">
        <v>1</v>
      </c>
      <c r="G1097" s="104">
        <v>41</v>
      </c>
      <c r="H1097" s="104">
        <v>41</v>
      </c>
      <c r="I1097" s="104" t="s">
        <v>146</v>
      </c>
      <c r="J1097" s="104" t="s">
        <v>3611</v>
      </c>
      <c r="K1097" s="42" t="s">
        <v>108</v>
      </c>
      <c r="L1097" s="104" t="str">
        <f>VLOOKUP(Table7[[#This Row],[Baseline Fixture Code]], 'Tables &amp; Ranges'!$A$114:$B$132, 2, FALSE)</f>
        <v>N/A</v>
      </c>
    </row>
    <row r="1098" spans="2:12" s="86" customFormat="1" ht="40" customHeight="1">
      <c r="B1098" s="104">
        <v>1623</v>
      </c>
      <c r="C1098" s="105" t="s">
        <v>3239</v>
      </c>
      <c r="D1098" s="105" t="s">
        <v>108</v>
      </c>
      <c r="E1098" s="106" t="s">
        <v>3240</v>
      </c>
      <c r="F1098" s="104">
        <v>1</v>
      </c>
      <c r="G1098" s="104">
        <v>42</v>
      </c>
      <c r="H1098" s="104">
        <v>42</v>
      </c>
      <c r="I1098" s="104" t="s">
        <v>146</v>
      </c>
      <c r="J1098" s="104" t="s">
        <v>3611</v>
      </c>
      <c r="K1098" s="42" t="s">
        <v>108</v>
      </c>
      <c r="L1098" s="104" t="str">
        <f>VLOOKUP(Table7[[#This Row],[Baseline Fixture Code]], 'Tables &amp; Ranges'!$A$114:$B$132, 2, FALSE)</f>
        <v>N/A</v>
      </c>
    </row>
    <row r="1099" spans="2:12" s="86" customFormat="1" ht="40" customHeight="1">
      <c r="B1099" s="104">
        <v>1624</v>
      </c>
      <c r="C1099" s="105" t="s">
        <v>3241</v>
      </c>
      <c r="D1099" s="105" t="s">
        <v>108</v>
      </c>
      <c r="E1099" s="106" t="s">
        <v>3242</v>
      </c>
      <c r="F1099" s="104">
        <v>1</v>
      </c>
      <c r="G1099" s="104">
        <v>43</v>
      </c>
      <c r="H1099" s="104">
        <v>43</v>
      </c>
      <c r="I1099" s="104" t="s">
        <v>146</v>
      </c>
      <c r="J1099" s="104" t="s">
        <v>3611</v>
      </c>
      <c r="K1099" s="42" t="s">
        <v>108</v>
      </c>
      <c r="L1099" s="104" t="str">
        <f>VLOOKUP(Table7[[#This Row],[Baseline Fixture Code]], 'Tables &amp; Ranges'!$A$114:$B$132, 2, FALSE)</f>
        <v>N/A</v>
      </c>
    </row>
    <row r="1100" spans="2:12" s="86" customFormat="1" ht="40" customHeight="1">
      <c r="B1100" s="104">
        <v>1625</v>
      </c>
      <c r="C1100" s="105" t="s">
        <v>3243</v>
      </c>
      <c r="D1100" s="105" t="s">
        <v>108</v>
      </c>
      <c r="E1100" s="106" t="s">
        <v>3244</v>
      </c>
      <c r="F1100" s="104">
        <v>1</v>
      </c>
      <c r="G1100" s="104">
        <v>44</v>
      </c>
      <c r="H1100" s="104">
        <v>44</v>
      </c>
      <c r="I1100" s="104" t="s">
        <v>146</v>
      </c>
      <c r="J1100" s="104" t="s">
        <v>3611</v>
      </c>
      <c r="K1100" s="42" t="s">
        <v>108</v>
      </c>
      <c r="L1100" s="104" t="str">
        <f>VLOOKUP(Table7[[#This Row],[Baseline Fixture Code]], 'Tables &amp; Ranges'!$A$114:$B$132, 2, FALSE)</f>
        <v>N/A</v>
      </c>
    </row>
    <row r="1101" spans="2:12" s="86" customFormat="1" ht="40" customHeight="1">
      <c r="B1101" s="104">
        <v>1688</v>
      </c>
      <c r="C1101" s="105" t="s">
        <v>3369</v>
      </c>
      <c r="D1101" s="105" t="s">
        <v>108</v>
      </c>
      <c r="E1101" s="106" t="s">
        <v>3370</v>
      </c>
      <c r="F1101" s="104">
        <v>1</v>
      </c>
      <c r="G1101" s="104">
        <v>448</v>
      </c>
      <c r="H1101" s="104">
        <v>448</v>
      </c>
      <c r="I1101" s="104" t="s">
        <v>146</v>
      </c>
      <c r="J1101" s="104" t="s">
        <v>3611</v>
      </c>
      <c r="K1101" s="42" t="s">
        <v>108</v>
      </c>
      <c r="L1101" s="104" t="str">
        <f>VLOOKUP(Table7[[#This Row],[Baseline Fixture Code]], 'Tables &amp; Ranges'!$A$114:$B$132, 2, FALSE)</f>
        <v>N/A</v>
      </c>
    </row>
    <row r="1102" spans="2:12" s="86" customFormat="1" ht="40" customHeight="1">
      <c r="B1102" s="104">
        <v>1626</v>
      </c>
      <c r="C1102" s="105" t="s">
        <v>3245</v>
      </c>
      <c r="D1102" s="105" t="s">
        <v>108</v>
      </c>
      <c r="E1102" s="106" t="s">
        <v>3246</v>
      </c>
      <c r="F1102" s="104">
        <v>1</v>
      </c>
      <c r="G1102" s="104">
        <v>45</v>
      </c>
      <c r="H1102" s="104">
        <v>45</v>
      </c>
      <c r="I1102" s="104" t="s">
        <v>146</v>
      </c>
      <c r="J1102" s="104" t="s">
        <v>3611</v>
      </c>
      <c r="K1102" s="42" t="s">
        <v>108</v>
      </c>
      <c r="L1102" s="104" t="str">
        <f>VLOOKUP(Table7[[#This Row],[Baseline Fixture Code]], 'Tables &amp; Ranges'!$A$114:$B$132, 2, FALSE)</f>
        <v>N/A</v>
      </c>
    </row>
    <row r="1103" spans="2:12" s="86" customFormat="1" ht="40" customHeight="1">
      <c r="B1103" s="104">
        <v>1627</v>
      </c>
      <c r="C1103" s="105" t="s">
        <v>3247</v>
      </c>
      <c r="D1103" s="105" t="s">
        <v>108</v>
      </c>
      <c r="E1103" s="106" t="s">
        <v>3248</v>
      </c>
      <c r="F1103" s="104">
        <v>1</v>
      </c>
      <c r="G1103" s="104">
        <v>46</v>
      </c>
      <c r="H1103" s="104">
        <v>46</v>
      </c>
      <c r="I1103" s="104" t="s">
        <v>146</v>
      </c>
      <c r="J1103" s="104" t="s">
        <v>3611</v>
      </c>
      <c r="K1103" s="42" t="s">
        <v>108</v>
      </c>
      <c r="L1103" s="104" t="str">
        <f>VLOOKUP(Table7[[#This Row],[Baseline Fixture Code]], 'Tables &amp; Ranges'!$A$114:$B$132, 2, FALSE)</f>
        <v>N/A</v>
      </c>
    </row>
    <row r="1104" spans="2:12" s="86" customFormat="1" ht="40" customHeight="1">
      <c r="B1104" s="104">
        <v>1628</v>
      </c>
      <c r="C1104" s="105" t="s">
        <v>3249</v>
      </c>
      <c r="D1104" s="105" t="s">
        <v>108</v>
      </c>
      <c r="E1104" s="106" t="s">
        <v>3250</v>
      </c>
      <c r="F1104" s="104">
        <v>1</v>
      </c>
      <c r="G1104" s="104">
        <v>47</v>
      </c>
      <c r="H1104" s="104">
        <v>47</v>
      </c>
      <c r="I1104" s="104" t="s">
        <v>146</v>
      </c>
      <c r="J1104" s="104" t="s">
        <v>3611</v>
      </c>
      <c r="K1104" s="42" t="s">
        <v>108</v>
      </c>
      <c r="L1104" s="104" t="str">
        <f>VLOOKUP(Table7[[#This Row],[Baseline Fixture Code]], 'Tables &amp; Ranges'!$A$114:$B$132, 2, FALSE)</f>
        <v>N/A</v>
      </c>
    </row>
    <row r="1105" spans="2:12" s="86" customFormat="1" ht="40" customHeight="1">
      <c r="B1105" s="104">
        <v>1629</v>
      </c>
      <c r="C1105" s="105" t="s">
        <v>3251</v>
      </c>
      <c r="D1105" s="105" t="s">
        <v>108</v>
      </c>
      <c r="E1105" s="106" t="s">
        <v>3252</v>
      </c>
      <c r="F1105" s="104">
        <v>1</v>
      </c>
      <c r="G1105" s="104">
        <v>48</v>
      </c>
      <c r="H1105" s="104">
        <v>48</v>
      </c>
      <c r="I1105" s="104" t="s">
        <v>146</v>
      </c>
      <c r="J1105" s="104" t="s">
        <v>3611</v>
      </c>
      <c r="K1105" s="42" t="s">
        <v>108</v>
      </c>
      <c r="L1105" s="104" t="str">
        <f>VLOOKUP(Table7[[#This Row],[Baseline Fixture Code]], 'Tables &amp; Ranges'!$A$114:$B$132, 2, FALSE)</f>
        <v>N/A</v>
      </c>
    </row>
    <row r="1106" spans="2:12" s="86" customFormat="1" ht="40" customHeight="1">
      <c r="B1106" s="104">
        <v>1630</v>
      </c>
      <c r="C1106" s="105" t="s">
        <v>3253</v>
      </c>
      <c r="D1106" s="105" t="s">
        <v>108</v>
      </c>
      <c r="E1106" s="106" t="s">
        <v>3254</v>
      </c>
      <c r="F1106" s="104">
        <v>1</v>
      </c>
      <c r="G1106" s="104">
        <v>49</v>
      </c>
      <c r="H1106" s="104">
        <v>49</v>
      </c>
      <c r="I1106" s="104" t="s">
        <v>146</v>
      </c>
      <c r="J1106" s="104" t="s">
        <v>3611</v>
      </c>
      <c r="K1106" s="42" t="s">
        <v>108</v>
      </c>
      <c r="L1106" s="104" t="str">
        <f>VLOOKUP(Table7[[#This Row],[Baseline Fixture Code]], 'Tables &amp; Ranges'!$A$114:$B$132, 2, FALSE)</f>
        <v>N/A</v>
      </c>
    </row>
    <row r="1107" spans="2:12" s="86" customFormat="1" ht="40" customHeight="1">
      <c r="B1107" s="104">
        <v>1631</v>
      </c>
      <c r="C1107" s="105" t="s">
        <v>3255</v>
      </c>
      <c r="D1107" s="105" t="s">
        <v>108</v>
      </c>
      <c r="E1107" s="106" t="s">
        <v>3256</v>
      </c>
      <c r="F1107" s="104">
        <v>1</v>
      </c>
      <c r="G1107" s="104">
        <v>50</v>
      </c>
      <c r="H1107" s="104">
        <v>50</v>
      </c>
      <c r="I1107" s="104" t="s">
        <v>146</v>
      </c>
      <c r="J1107" s="104" t="s">
        <v>3611</v>
      </c>
      <c r="K1107" s="42" t="s">
        <v>108</v>
      </c>
      <c r="L1107" s="104" t="str">
        <f>VLOOKUP(Table7[[#This Row],[Baseline Fixture Code]], 'Tables &amp; Ranges'!$A$114:$B$132, 2, FALSE)</f>
        <v>N/A</v>
      </c>
    </row>
    <row r="1108" spans="2:12" s="86" customFormat="1" ht="40" customHeight="1">
      <c r="B1108" s="104">
        <v>1689</v>
      </c>
      <c r="C1108" s="105" t="s">
        <v>3371</v>
      </c>
      <c r="D1108" s="105" t="s">
        <v>108</v>
      </c>
      <c r="E1108" s="106" t="s">
        <v>3372</v>
      </c>
      <c r="F1108" s="104">
        <v>1</v>
      </c>
      <c r="G1108" s="104">
        <v>500</v>
      </c>
      <c r="H1108" s="104">
        <v>500</v>
      </c>
      <c r="I1108" s="104" t="s">
        <v>146</v>
      </c>
      <c r="J1108" s="104" t="s">
        <v>3611</v>
      </c>
      <c r="K1108" s="42" t="s">
        <v>108</v>
      </c>
      <c r="L1108" s="104" t="str">
        <f>VLOOKUP(Table7[[#This Row],[Baseline Fixture Code]], 'Tables &amp; Ranges'!$A$114:$B$132, 2, FALSE)</f>
        <v>N/A</v>
      </c>
    </row>
    <row r="1109" spans="2:12" s="86" customFormat="1" ht="40" customHeight="1">
      <c r="B1109" s="104">
        <v>1632</v>
      </c>
      <c r="C1109" s="105" t="s">
        <v>3257</v>
      </c>
      <c r="D1109" s="105" t="s">
        <v>108</v>
      </c>
      <c r="E1109" s="106" t="s">
        <v>3258</v>
      </c>
      <c r="F1109" s="104">
        <v>1</v>
      </c>
      <c r="G1109" s="104">
        <v>51</v>
      </c>
      <c r="H1109" s="104">
        <v>51</v>
      </c>
      <c r="I1109" s="104" t="s">
        <v>146</v>
      </c>
      <c r="J1109" s="104" t="s">
        <v>3611</v>
      </c>
      <c r="K1109" s="42" t="s">
        <v>108</v>
      </c>
      <c r="L1109" s="104" t="str">
        <f>VLOOKUP(Table7[[#This Row],[Baseline Fixture Code]], 'Tables &amp; Ranges'!$A$114:$B$132, 2, FALSE)</f>
        <v>N/A</v>
      </c>
    </row>
    <row r="1110" spans="2:12" s="86" customFormat="1" ht="40" customHeight="1">
      <c r="B1110" s="104">
        <v>1633</v>
      </c>
      <c r="C1110" s="105" t="s">
        <v>3259</v>
      </c>
      <c r="D1110" s="105" t="s">
        <v>108</v>
      </c>
      <c r="E1110" s="106" t="s">
        <v>3260</v>
      </c>
      <c r="F1110" s="104">
        <v>1</v>
      </c>
      <c r="G1110" s="104">
        <v>52</v>
      </c>
      <c r="H1110" s="104">
        <v>52</v>
      </c>
      <c r="I1110" s="104" t="s">
        <v>146</v>
      </c>
      <c r="J1110" s="104" t="s">
        <v>3611</v>
      </c>
      <c r="K1110" s="42" t="s">
        <v>108</v>
      </c>
      <c r="L1110" s="104" t="str">
        <f>VLOOKUP(Table7[[#This Row],[Baseline Fixture Code]], 'Tables &amp; Ranges'!$A$114:$B$132, 2, FALSE)</f>
        <v>N/A</v>
      </c>
    </row>
    <row r="1111" spans="2:12" s="86" customFormat="1" ht="40" customHeight="1">
      <c r="B1111" s="104">
        <v>1634</v>
      </c>
      <c r="C1111" s="105" t="s">
        <v>3261</v>
      </c>
      <c r="D1111" s="105" t="s">
        <v>108</v>
      </c>
      <c r="E1111" s="106" t="s">
        <v>3262</v>
      </c>
      <c r="F1111" s="104">
        <v>1</v>
      </c>
      <c r="G1111" s="104">
        <v>53</v>
      </c>
      <c r="H1111" s="104">
        <v>53</v>
      </c>
      <c r="I1111" s="104" t="s">
        <v>146</v>
      </c>
      <c r="J1111" s="104" t="s">
        <v>3611</v>
      </c>
      <c r="K1111" s="42" t="s">
        <v>108</v>
      </c>
      <c r="L1111" s="104" t="str">
        <f>VLOOKUP(Table7[[#This Row],[Baseline Fixture Code]], 'Tables &amp; Ranges'!$A$114:$B$132, 2, FALSE)</f>
        <v>N/A</v>
      </c>
    </row>
    <row r="1112" spans="2:12" s="86" customFormat="1" ht="40" customHeight="1">
      <c r="B1112" s="104">
        <v>1635</v>
      </c>
      <c r="C1112" s="105" t="s">
        <v>3263</v>
      </c>
      <c r="D1112" s="105" t="s">
        <v>108</v>
      </c>
      <c r="E1112" s="106" t="s">
        <v>3264</v>
      </c>
      <c r="F1112" s="104">
        <v>1</v>
      </c>
      <c r="G1112" s="104">
        <v>54</v>
      </c>
      <c r="H1112" s="104">
        <v>54</v>
      </c>
      <c r="I1112" s="104" t="s">
        <v>146</v>
      </c>
      <c r="J1112" s="104" t="s">
        <v>3611</v>
      </c>
      <c r="K1112" s="42" t="s">
        <v>108</v>
      </c>
      <c r="L1112" s="104" t="str">
        <f>VLOOKUP(Table7[[#This Row],[Baseline Fixture Code]], 'Tables &amp; Ranges'!$A$114:$B$132, 2, FALSE)</f>
        <v>N/A</v>
      </c>
    </row>
    <row r="1113" spans="2:12" s="86" customFormat="1" ht="40" customHeight="1">
      <c r="B1113" s="104">
        <v>1636</v>
      </c>
      <c r="C1113" s="105" t="s">
        <v>3265</v>
      </c>
      <c r="D1113" s="105" t="s">
        <v>108</v>
      </c>
      <c r="E1113" s="106" t="s">
        <v>3266</v>
      </c>
      <c r="F1113" s="104">
        <v>1</v>
      </c>
      <c r="G1113" s="104">
        <v>55</v>
      </c>
      <c r="H1113" s="104">
        <v>55</v>
      </c>
      <c r="I1113" s="104" t="s">
        <v>146</v>
      </c>
      <c r="J1113" s="104" t="s">
        <v>3611</v>
      </c>
      <c r="K1113" s="42" t="s">
        <v>108</v>
      </c>
      <c r="L1113" s="104" t="str">
        <f>VLOOKUP(Table7[[#This Row],[Baseline Fixture Code]], 'Tables &amp; Ranges'!$A$114:$B$132, 2, FALSE)</f>
        <v>N/A</v>
      </c>
    </row>
    <row r="1114" spans="2:12" s="86" customFormat="1" ht="40" customHeight="1">
      <c r="B1114" s="104">
        <v>1637</v>
      </c>
      <c r="C1114" s="105" t="s">
        <v>3267</v>
      </c>
      <c r="D1114" s="105" t="s">
        <v>108</v>
      </c>
      <c r="E1114" s="106" t="s">
        <v>3268</v>
      </c>
      <c r="F1114" s="104">
        <v>1</v>
      </c>
      <c r="G1114" s="104">
        <v>56</v>
      </c>
      <c r="H1114" s="104">
        <v>56</v>
      </c>
      <c r="I1114" s="104" t="s">
        <v>146</v>
      </c>
      <c r="J1114" s="104" t="s">
        <v>3611</v>
      </c>
      <c r="K1114" s="42" t="s">
        <v>108</v>
      </c>
      <c r="L1114" s="104" t="str">
        <f>VLOOKUP(Table7[[#This Row],[Baseline Fixture Code]], 'Tables &amp; Ranges'!$A$114:$B$132, 2, FALSE)</f>
        <v>N/A</v>
      </c>
    </row>
    <row r="1115" spans="2:12" s="86" customFormat="1" ht="40" customHeight="1">
      <c r="B1115" s="104">
        <v>1638</v>
      </c>
      <c r="C1115" s="105" t="s">
        <v>3269</v>
      </c>
      <c r="D1115" s="105" t="s">
        <v>108</v>
      </c>
      <c r="E1115" s="106" t="s">
        <v>3270</v>
      </c>
      <c r="F1115" s="104">
        <v>1</v>
      </c>
      <c r="G1115" s="104">
        <v>57</v>
      </c>
      <c r="H1115" s="104">
        <v>57</v>
      </c>
      <c r="I1115" s="104" t="s">
        <v>146</v>
      </c>
      <c r="J1115" s="104" t="s">
        <v>3611</v>
      </c>
      <c r="K1115" s="42" t="s">
        <v>108</v>
      </c>
      <c r="L1115" s="104" t="str">
        <f>VLOOKUP(Table7[[#This Row],[Baseline Fixture Code]], 'Tables &amp; Ranges'!$A$114:$B$132, 2, FALSE)</f>
        <v>N/A</v>
      </c>
    </row>
    <row r="1116" spans="2:12" s="86" customFormat="1" ht="40" customHeight="1">
      <c r="B1116" s="104">
        <v>1639</v>
      </c>
      <c r="C1116" s="105" t="s">
        <v>3271</v>
      </c>
      <c r="D1116" s="105" t="s">
        <v>108</v>
      </c>
      <c r="E1116" s="106" t="s">
        <v>3272</v>
      </c>
      <c r="F1116" s="104">
        <v>1</v>
      </c>
      <c r="G1116" s="104">
        <v>58</v>
      </c>
      <c r="H1116" s="104">
        <v>58</v>
      </c>
      <c r="I1116" s="104" t="s">
        <v>146</v>
      </c>
      <c r="J1116" s="104" t="s">
        <v>3611</v>
      </c>
      <c r="K1116" s="42" t="s">
        <v>108</v>
      </c>
      <c r="L1116" s="104" t="str">
        <f>VLOOKUP(Table7[[#This Row],[Baseline Fixture Code]], 'Tables &amp; Ranges'!$A$114:$B$132, 2, FALSE)</f>
        <v>N/A</v>
      </c>
    </row>
    <row r="1117" spans="2:12" s="86" customFormat="1" ht="40" customHeight="1">
      <c r="B1117" s="104">
        <v>1640</v>
      </c>
      <c r="C1117" s="105" t="s">
        <v>3273</v>
      </c>
      <c r="D1117" s="105" t="s">
        <v>108</v>
      </c>
      <c r="E1117" s="106" t="s">
        <v>3274</v>
      </c>
      <c r="F1117" s="104">
        <v>1</v>
      </c>
      <c r="G1117" s="104">
        <v>59</v>
      </c>
      <c r="H1117" s="104">
        <v>59</v>
      </c>
      <c r="I1117" s="104" t="s">
        <v>146</v>
      </c>
      <c r="J1117" s="104" t="s">
        <v>3611</v>
      </c>
      <c r="K1117" s="42" t="s">
        <v>108</v>
      </c>
      <c r="L1117" s="104" t="str">
        <f>VLOOKUP(Table7[[#This Row],[Baseline Fixture Code]], 'Tables &amp; Ranges'!$A$114:$B$132, 2, FALSE)</f>
        <v>N/A</v>
      </c>
    </row>
    <row r="1118" spans="2:12" ht="40" customHeight="1">
      <c r="B1118" s="42">
        <v>1641</v>
      </c>
      <c r="C1118" s="102" t="s">
        <v>3275</v>
      </c>
      <c r="D1118" s="102" t="s">
        <v>108</v>
      </c>
      <c r="E1118" s="92" t="s">
        <v>3276</v>
      </c>
      <c r="F1118" s="42">
        <v>1</v>
      </c>
      <c r="G1118" s="42">
        <v>43</v>
      </c>
      <c r="H1118" s="42">
        <v>43</v>
      </c>
      <c r="I1118" s="42" t="s">
        <v>146</v>
      </c>
      <c r="J1118" s="103" t="s">
        <v>3611</v>
      </c>
      <c r="K1118" s="42" t="s">
        <v>108</v>
      </c>
      <c r="L1118" s="42" t="str">
        <f>VLOOKUP(Table7[[#This Row],[Baseline Fixture Code]], 'Tables &amp; Ranges'!$A$114:$B$132, 2, FALSE)</f>
        <v>N/A</v>
      </c>
    </row>
    <row r="1119" spans="2:12" s="86" customFormat="1" ht="40" customHeight="1">
      <c r="B1119" s="104">
        <v>1643</v>
      </c>
      <c r="C1119" s="105" t="s">
        <v>3279</v>
      </c>
      <c r="D1119" s="105" t="s">
        <v>108</v>
      </c>
      <c r="E1119" s="106" t="s">
        <v>3280</v>
      </c>
      <c r="F1119" s="104">
        <v>1</v>
      </c>
      <c r="G1119" s="104">
        <v>52</v>
      </c>
      <c r="H1119" s="104">
        <v>52</v>
      </c>
      <c r="I1119" s="104" t="s">
        <v>146</v>
      </c>
      <c r="J1119" s="104" t="s">
        <v>131</v>
      </c>
      <c r="K1119" s="42" t="s">
        <v>108</v>
      </c>
      <c r="L1119" s="104" t="str">
        <f>VLOOKUP(Table7[[#This Row],[Baseline Fixture Code]], 'Tables &amp; Ranges'!$A$114:$B$132, 2, FALSE)</f>
        <v>N/A</v>
      </c>
    </row>
    <row r="1120" spans="2:12" s="86" customFormat="1" ht="40" customHeight="1">
      <c r="B1120" s="104">
        <v>1644</v>
      </c>
      <c r="C1120" s="105" t="s">
        <v>3281</v>
      </c>
      <c r="D1120" s="105" t="s">
        <v>108</v>
      </c>
      <c r="E1120" s="106" t="s">
        <v>3282</v>
      </c>
      <c r="F1120" s="104">
        <v>1</v>
      </c>
      <c r="G1120" s="104">
        <v>52</v>
      </c>
      <c r="H1120" s="104">
        <v>52</v>
      </c>
      <c r="I1120" s="104" t="s">
        <v>146</v>
      </c>
      <c r="J1120" s="104" t="s">
        <v>131</v>
      </c>
      <c r="K1120" s="42" t="s">
        <v>108</v>
      </c>
      <c r="L1120" s="104" t="str">
        <f>VLOOKUP(Table7[[#This Row],[Baseline Fixture Code]], 'Tables &amp; Ranges'!$A$114:$B$132, 2, FALSE)</f>
        <v>N/A</v>
      </c>
    </row>
    <row r="1121" spans="2:12" s="86" customFormat="1" ht="40" customHeight="1">
      <c r="B1121" s="104">
        <v>1642</v>
      </c>
      <c r="C1121" s="105" t="s">
        <v>3277</v>
      </c>
      <c r="D1121" s="105" t="s">
        <v>108</v>
      </c>
      <c r="E1121" s="106" t="s">
        <v>3278</v>
      </c>
      <c r="F1121" s="104">
        <v>1</v>
      </c>
      <c r="G1121" s="104">
        <v>60</v>
      </c>
      <c r="H1121" s="104">
        <v>60</v>
      </c>
      <c r="I1121" s="104" t="s">
        <v>146</v>
      </c>
      <c r="J1121" s="104" t="s">
        <v>3611</v>
      </c>
      <c r="K1121" s="42" t="s">
        <v>108</v>
      </c>
      <c r="L1121" s="104" t="str">
        <f>VLOOKUP(Table7[[#This Row],[Baseline Fixture Code]], 'Tables &amp; Ranges'!$A$114:$B$132, 2, FALSE)</f>
        <v>N/A</v>
      </c>
    </row>
    <row r="1122" spans="2:12" s="86" customFormat="1" ht="40" customHeight="1">
      <c r="B1122" s="104">
        <v>1645</v>
      </c>
      <c r="C1122" s="105" t="s">
        <v>3283</v>
      </c>
      <c r="D1122" s="105" t="s">
        <v>108</v>
      </c>
      <c r="E1122" s="106" t="s">
        <v>3284</v>
      </c>
      <c r="F1122" s="104">
        <v>1</v>
      </c>
      <c r="G1122" s="104">
        <v>61</v>
      </c>
      <c r="H1122" s="104">
        <v>61</v>
      </c>
      <c r="I1122" s="104" t="s">
        <v>146</v>
      </c>
      <c r="J1122" s="104" t="s">
        <v>3611</v>
      </c>
      <c r="K1122" s="42" t="s">
        <v>108</v>
      </c>
      <c r="L1122" s="104" t="str">
        <f>VLOOKUP(Table7[[#This Row],[Baseline Fixture Code]], 'Tables &amp; Ranges'!$A$114:$B$132, 2, FALSE)</f>
        <v>N/A</v>
      </c>
    </row>
    <row r="1123" spans="2:12" s="86" customFormat="1" ht="40" customHeight="1">
      <c r="B1123" s="104">
        <v>1646</v>
      </c>
      <c r="C1123" s="105" t="s">
        <v>3285</v>
      </c>
      <c r="D1123" s="105" t="s">
        <v>108</v>
      </c>
      <c r="E1123" s="106" t="s">
        <v>3286</v>
      </c>
      <c r="F1123" s="104">
        <v>1</v>
      </c>
      <c r="G1123" s="104">
        <v>62</v>
      </c>
      <c r="H1123" s="104">
        <v>62</v>
      </c>
      <c r="I1123" s="104" t="s">
        <v>146</v>
      </c>
      <c r="J1123" s="104" t="s">
        <v>3611</v>
      </c>
      <c r="K1123" s="42" t="s">
        <v>108</v>
      </c>
      <c r="L1123" s="104" t="str">
        <f>VLOOKUP(Table7[[#This Row],[Baseline Fixture Code]], 'Tables &amp; Ranges'!$A$114:$B$132, 2, FALSE)</f>
        <v>N/A</v>
      </c>
    </row>
    <row r="1124" spans="2:12" s="86" customFormat="1" ht="40" customHeight="1">
      <c r="B1124" s="104">
        <v>1647</v>
      </c>
      <c r="C1124" s="105" t="s">
        <v>3287</v>
      </c>
      <c r="D1124" s="105" t="s">
        <v>108</v>
      </c>
      <c r="E1124" s="106" t="s">
        <v>3288</v>
      </c>
      <c r="F1124" s="104">
        <v>1</v>
      </c>
      <c r="G1124" s="104">
        <v>63</v>
      </c>
      <c r="H1124" s="104">
        <v>63</v>
      </c>
      <c r="I1124" s="104" t="s">
        <v>146</v>
      </c>
      <c r="J1124" s="104" t="s">
        <v>3611</v>
      </c>
      <c r="K1124" s="42" t="s">
        <v>108</v>
      </c>
      <c r="L1124" s="104" t="str">
        <f>VLOOKUP(Table7[[#This Row],[Baseline Fixture Code]], 'Tables &amp; Ranges'!$A$114:$B$132, 2, FALSE)</f>
        <v>N/A</v>
      </c>
    </row>
    <row r="1125" spans="2:12" s="86" customFormat="1" ht="40" customHeight="1">
      <c r="B1125" s="104">
        <v>1648</v>
      </c>
      <c r="C1125" s="105" t="s">
        <v>3289</v>
      </c>
      <c r="D1125" s="105" t="s">
        <v>108</v>
      </c>
      <c r="E1125" s="106" t="s">
        <v>3290</v>
      </c>
      <c r="F1125" s="104">
        <v>1</v>
      </c>
      <c r="G1125" s="104">
        <v>64</v>
      </c>
      <c r="H1125" s="104">
        <v>64</v>
      </c>
      <c r="I1125" s="104" t="s">
        <v>146</v>
      </c>
      <c r="J1125" s="104" t="s">
        <v>3611</v>
      </c>
      <c r="K1125" s="42" t="s">
        <v>108</v>
      </c>
      <c r="L1125" s="104" t="str">
        <f>VLOOKUP(Table7[[#This Row],[Baseline Fixture Code]], 'Tables &amp; Ranges'!$A$114:$B$132, 2, FALSE)</f>
        <v>N/A</v>
      </c>
    </row>
    <row r="1126" spans="2:12" s="86" customFormat="1" ht="40" customHeight="1">
      <c r="B1126" s="104">
        <v>1649</v>
      </c>
      <c r="C1126" s="105" t="s">
        <v>3291</v>
      </c>
      <c r="D1126" s="105" t="s">
        <v>108</v>
      </c>
      <c r="E1126" s="106" t="s">
        <v>3292</v>
      </c>
      <c r="F1126" s="104">
        <v>1</v>
      </c>
      <c r="G1126" s="104">
        <v>65</v>
      </c>
      <c r="H1126" s="104">
        <v>65</v>
      </c>
      <c r="I1126" s="104" t="s">
        <v>146</v>
      </c>
      <c r="J1126" s="104" t="s">
        <v>3611</v>
      </c>
      <c r="K1126" s="42" t="s">
        <v>108</v>
      </c>
      <c r="L1126" s="104" t="str">
        <f>VLOOKUP(Table7[[#This Row],[Baseline Fixture Code]], 'Tables &amp; Ranges'!$A$114:$B$132, 2, FALSE)</f>
        <v>N/A</v>
      </c>
    </row>
    <row r="1127" spans="2:12" s="86" customFormat="1" ht="40" customHeight="1">
      <c r="B1127" s="104">
        <v>1650</v>
      </c>
      <c r="C1127" s="105" t="s">
        <v>3293</v>
      </c>
      <c r="D1127" s="105" t="s">
        <v>108</v>
      </c>
      <c r="E1127" s="106" t="s">
        <v>3294</v>
      </c>
      <c r="F1127" s="104">
        <v>1</v>
      </c>
      <c r="G1127" s="104">
        <v>66</v>
      </c>
      <c r="H1127" s="104">
        <v>66</v>
      </c>
      <c r="I1127" s="104" t="s">
        <v>146</v>
      </c>
      <c r="J1127" s="104" t="s">
        <v>3611</v>
      </c>
      <c r="K1127" s="42" t="s">
        <v>108</v>
      </c>
      <c r="L1127" s="104" t="str">
        <f>VLOOKUP(Table7[[#This Row],[Baseline Fixture Code]], 'Tables &amp; Ranges'!$A$114:$B$132, 2, FALSE)</f>
        <v>N/A</v>
      </c>
    </row>
    <row r="1128" spans="2:12" s="86" customFormat="1" ht="40" customHeight="1">
      <c r="B1128" s="104">
        <v>1651</v>
      </c>
      <c r="C1128" s="105" t="s">
        <v>3295</v>
      </c>
      <c r="D1128" s="105" t="s">
        <v>108</v>
      </c>
      <c r="E1128" s="106" t="s">
        <v>3296</v>
      </c>
      <c r="F1128" s="104">
        <v>1</v>
      </c>
      <c r="G1128" s="104">
        <v>67</v>
      </c>
      <c r="H1128" s="104">
        <v>67</v>
      </c>
      <c r="I1128" s="104" t="s">
        <v>146</v>
      </c>
      <c r="J1128" s="104" t="s">
        <v>3611</v>
      </c>
      <c r="K1128" s="42" t="s">
        <v>108</v>
      </c>
      <c r="L1128" s="104" t="str">
        <f>VLOOKUP(Table7[[#This Row],[Baseline Fixture Code]], 'Tables &amp; Ranges'!$A$114:$B$132, 2, FALSE)</f>
        <v>N/A</v>
      </c>
    </row>
    <row r="1129" spans="2:12" s="86" customFormat="1" ht="40" customHeight="1">
      <c r="B1129" s="104">
        <v>1652</v>
      </c>
      <c r="C1129" s="105" t="s">
        <v>3297</v>
      </c>
      <c r="D1129" s="105" t="s">
        <v>108</v>
      </c>
      <c r="E1129" s="106" t="s">
        <v>3298</v>
      </c>
      <c r="F1129" s="104">
        <v>1</v>
      </c>
      <c r="G1129" s="104">
        <v>68</v>
      </c>
      <c r="H1129" s="104">
        <v>68</v>
      </c>
      <c r="I1129" s="104" t="s">
        <v>146</v>
      </c>
      <c r="J1129" s="104" t="s">
        <v>3611</v>
      </c>
      <c r="K1129" s="42" t="s">
        <v>108</v>
      </c>
      <c r="L1129" s="104" t="str">
        <f>VLOOKUP(Table7[[#This Row],[Baseline Fixture Code]], 'Tables &amp; Ranges'!$A$114:$B$132, 2, FALSE)</f>
        <v>N/A</v>
      </c>
    </row>
    <row r="1130" spans="2:12" s="86" customFormat="1" ht="40" customHeight="1">
      <c r="B1130" s="104">
        <v>1653</v>
      </c>
      <c r="C1130" s="105" t="s">
        <v>3299</v>
      </c>
      <c r="D1130" s="105" t="s">
        <v>108</v>
      </c>
      <c r="E1130" s="106" t="s">
        <v>3300</v>
      </c>
      <c r="F1130" s="104">
        <v>1</v>
      </c>
      <c r="G1130" s="104">
        <v>69</v>
      </c>
      <c r="H1130" s="104">
        <v>69</v>
      </c>
      <c r="I1130" s="104" t="s">
        <v>146</v>
      </c>
      <c r="J1130" s="104" t="s">
        <v>3611</v>
      </c>
      <c r="K1130" s="42" t="s">
        <v>108</v>
      </c>
      <c r="L1130" s="104" t="str">
        <f>VLOOKUP(Table7[[#This Row],[Baseline Fixture Code]], 'Tables &amp; Ranges'!$A$114:$B$132, 2, FALSE)</f>
        <v>N/A</v>
      </c>
    </row>
    <row r="1131" spans="2:12" s="86" customFormat="1" ht="40" customHeight="1">
      <c r="B1131" s="104">
        <v>1587</v>
      </c>
      <c r="C1131" s="105" t="s">
        <v>3167</v>
      </c>
      <c r="D1131" s="105" t="s">
        <v>108</v>
      </c>
      <c r="E1131" s="106" t="s">
        <v>3168</v>
      </c>
      <c r="F1131" s="104">
        <v>1</v>
      </c>
      <c r="G1131" s="104">
        <v>7.5</v>
      </c>
      <c r="H1131" s="104">
        <v>8</v>
      </c>
      <c r="I1131" s="104" t="s">
        <v>146</v>
      </c>
      <c r="J1131" s="104" t="s">
        <v>3611</v>
      </c>
      <c r="K1131" s="42" t="s">
        <v>108</v>
      </c>
      <c r="L1131" s="104" t="str">
        <f>VLOOKUP(Table7[[#This Row],[Baseline Fixture Code]], 'Tables &amp; Ranges'!$A$114:$B$132, 2, FALSE)</f>
        <v>N/A</v>
      </c>
    </row>
    <row r="1132" spans="2:12" s="86" customFormat="1" ht="40" customHeight="1">
      <c r="B1132" s="104">
        <v>1654</v>
      </c>
      <c r="C1132" s="105" t="s">
        <v>3301</v>
      </c>
      <c r="D1132" s="105" t="s">
        <v>108</v>
      </c>
      <c r="E1132" s="106" t="s">
        <v>3302</v>
      </c>
      <c r="F1132" s="104">
        <v>1</v>
      </c>
      <c r="G1132" s="104">
        <v>70</v>
      </c>
      <c r="H1132" s="104">
        <v>70</v>
      </c>
      <c r="I1132" s="104" t="s">
        <v>146</v>
      </c>
      <c r="J1132" s="104" t="s">
        <v>3611</v>
      </c>
      <c r="K1132" s="42" t="s">
        <v>108</v>
      </c>
      <c r="L1132" s="104" t="str">
        <f>VLOOKUP(Table7[[#This Row],[Baseline Fixture Code]], 'Tables &amp; Ranges'!$A$114:$B$132, 2, FALSE)</f>
        <v>N/A</v>
      </c>
    </row>
    <row r="1133" spans="2:12" s="86" customFormat="1" ht="40" customHeight="1">
      <c r="B1133" s="104">
        <v>1655</v>
      </c>
      <c r="C1133" s="105" t="s">
        <v>3303</v>
      </c>
      <c r="D1133" s="105" t="s">
        <v>108</v>
      </c>
      <c r="E1133" s="106" t="s">
        <v>3304</v>
      </c>
      <c r="F1133" s="104">
        <v>1</v>
      </c>
      <c r="G1133" s="104">
        <v>71</v>
      </c>
      <c r="H1133" s="104">
        <v>71</v>
      </c>
      <c r="I1133" s="104" t="s">
        <v>146</v>
      </c>
      <c r="J1133" s="104" t="s">
        <v>3611</v>
      </c>
      <c r="K1133" s="42" t="s">
        <v>108</v>
      </c>
      <c r="L1133" s="104" t="str">
        <f>VLOOKUP(Table7[[#This Row],[Baseline Fixture Code]], 'Tables &amp; Ranges'!$A$114:$B$132, 2, FALSE)</f>
        <v>N/A</v>
      </c>
    </row>
    <row r="1134" spans="2:12" s="86" customFormat="1" ht="40" customHeight="1">
      <c r="B1134" s="104">
        <v>1656</v>
      </c>
      <c r="C1134" s="105" t="s">
        <v>3305</v>
      </c>
      <c r="D1134" s="105" t="s">
        <v>108</v>
      </c>
      <c r="E1134" s="106" t="s">
        <v>3306</v>
      </c>
      <c r="F1134" s="104">
        <v>1</v>
      </c>
      <c r="G1134" s="104">
        <v>72</v>
      </c>
      <c r="H1134" s="104">
        <v>72</v>
      </c>
      <c r="I1134" s="104" t="s">
        <v>146</v>
      </c>
      <c r="J1134" s="104" t="s">
        <v>3611</v>
      </c>
      <c r="K1134" s="42" t="s">
        <v>108</v>
      </c>
      <c r="L1134" s="104" t="str">
        <f>VLOOKUP(Table7[[#This Row],[Baseline Fixture Code]], 'Tables &amp; Ranges'!$A$114:$B$132, 2, FALSE)</f>
        <v>N/A</v>
      </c>
    </row>
    <row r="1135" spans="2:12" s="86" customFormat="1" ht="40" customHeight="1">
      <c r="B1135" s="104">
        <v>1657</v>
      </c>
      <c r="C1135" s="105" t="s">
        <v>3307</v>
      </c>
      <c r="D1135" s="105" t="s">
        <v>108</v>
      </c>
      <c r="E1135" s="106" t="s">
        <v>3308</v>
      </c>
      <c r="F1135" s="104">
        <v>1</v>
      </c>
      <c r="G1135" s="104">
        <v>73</v>
      </c>
      <c r="H1135" s="104">
        <v>73</v>
      </c>
      <c r="I1135" s="104" t="s">
        <v>146</v>
      </c>
      <c r="J1135" s="104" t="s">
        <v>3611</v>
      </c>
      <c r="K1135" s="42" t="s">
        <v>108</v>
      </c>
      <c r="L1135" s="104" t="str">
        <f>VLOOKUP(Table7[[#This Row],[Baseline Fixture Code]], 'Tables &amp; Ranges'!$A$114:$B$132, 2, FALSE)</f>
        <v>N/A</v>
      </c>
    </row>
    <row r="1136" spans="2:12" s="86" customFormat="1" ht="40" customHeight="1">
      <c r="B1136" s="104">
        <v>1658</v>
      </c>
      <c r="C1136" s="105" t="s">
        <v>3309</v>
      </c>
      <c r="D1136" s="105" t="s">
        <v>108</v>
      </c>
      <c r="E1136" s="106" t="s">
        <v>3310</v>
      </c>
      <c r="F1136" s="104">
        <v>1</v>
      </c>
      <c r="G1136" s="104">
        <v>74</v>
      </c>
      <c r="H1136" s="104">
        <v>74</v>
      </c>
      <c r="I1136" s="104" t="s">
        <v>146</v>
      </c>
      <c r="J1136" s="104" t="s">
        <v>3611</v>
      </c>
      <c r="K1136" s="42" t="s">
        <v>108</v>
      </c>
      <c r="L1136" s="104" t="str">
        <f>VLOOKUP(Table7[[#This Row],[Baseline Fixture Code]], 'Tables &amp; Ranges'!$A$114:$B$132, 2, FALSE)</f>
        <v>N/A</v>
      </c>
    </row>
    <row r="1137" spans="2:12" ht="40" customHeight="1">
      <c r="B1137" s="42">
        <v>1659</v>
      </c>
      <c r="C1137" s="102" t="s">
        <v>3311</v>
      </c>
      <c r="D1137" s="102" t="s">
        <v>108</v>
      </c>
      <c r="E1137" s="92" t="s">
        <v>3312</v>
      </c>
      <c r="F1137" s="42">
        <v>1</v>
      </c>
      <c r="G1137" s="42">
        <v>53</v>
      </c>
      <c r="H1137" s="42">
        <v>53</v>
      </c>
      <c r="I1137" s="42" t="s">
        <v>146</v>
      </c>
      <c r="J1137" s="103" t="s">
        <v>3611</v>
      </c>
      <c r="K1137" s="42" t="s">
        <v>108</v>
      </c>
      <c r="L1137" s="42" t="str">
        <f>VLOOKUP(Table7[[#This Row],[Baseline Fixture Code]], 'Tables &amp; Ranges'!$A$114:$B$132, 2, FALSE)</f>
        <v>N/A</v>
      </c>
    </row>
    <row r="1138" spans="2:12" s="86" customFormat="1" ht="40" customHeight="1">
      <c r="B1138" s="104">
        <v>1690</v>
      </c>
      <c r="C1138" s="105" t="s">
        <v>3373</v>
      </c>
      <c r="D1138" s="105" t="s">
        <v>108</v>
      </c>
      <c r="E1138" s="106" t="s">
        <v>3374</v>
      </c>
      <c r="F1138" s="104">
        <v>1</v>
      </c>
      <c r="G1138" s="104">
        <v>750</v>
      </c>
      <c r="H1138" s="104">
        <v>750</v>
      </c>
      <c r="I1138" s="104" t="s">
        <v>146</v>
      </c>
      <c r="J1138" s="104" t="s">
        <v>3611</v>
      </c>
      <c r="K1138" s="42" t="s">
        <v>108</v>
      </c>
      <c r="L1138" s="104" t="str">
        <f>VLOOKUP(Table7[[#This Row],[Baseline Fixture Code]], 'Tables &amp; Ranges'!$A$114:$B$132, 2, FALSE)</f>
        <v>N/A</v>
      </c>
    </row>
    <row r="1139" spans="2:12" s="86" customFormat="1" ht="40" customHeight="1">
      <c r="B1139" s="104">
        <v>1661</v>
      </c>
      <c r="C1139" s="105" t="s">
        <v>3315</v>
      </c>
      <c r="D1139" s="105" t="s">
        <v>108</v>
      </c>
      <c r="E1139" s="106" t="s">
        <v>3316</v>
      </c>
      <c r="F1139" s="104">
        <v>1</v>
      </c>
      <c r="G1139" s="104">
        <v>67</v>
      </c>
      <c r="H1139" s="104">
        <v>67</v>
      </c>
      <c r="I1139" s="104" t="s">
        <v>146</v>
      </c>
      <c r="J1139" s="104" t="s">
        <v>131</v>
      </c>
      <c r="K1139" s="42" t="s">
        <v>108</v>
      </c>
      <c r="L1139" s="104" t="str">
        <f>VLOOKUP(Table7[[#This Row],[Baseline Fixture Code]], 'Tables &amp; Ranges'!$A$114:$B$132, 2, FALSE)</f>
        <v>N/A</v>
      </c>
    </row>
    <row r="1140" spans="2:12" s="86" customFormat="1" ht="40" customHeight="1">
      <c r="B1140" s="104">
        <v>1662</v>
      </c>
      <c r="C1140" s="105" t="s">
        <v>3317</v>
      </c>
      <c r="D1140" s="105" t="s">
        <v>108</v>
      </c>
      <c r="E1140" s="106" t="s">
        <v>3318</v>
      </c>
      <c r="F1140" s="104">
        <v>1</v>
      </c>
      <c r="G1140" s="104">
        <v>67</v>
      </c>
      <c r="H1140" s="104">
        <v>67</v>
      </c>
      <c r="I1140" s="104" t="s">
        <v>146</v>
      </c>
      <c r="J1140" s="104" t="s">
        <v>131</v>
      </c>
      <c r="K1140" s="42" t="s">
        <v>108</v>
      </c>
      <c r="L1140" s="104" t="str">
        <f>VLOOKUP(Table7[[#This Row],[Baseline Fixture Code]], 'Tables &amp; Ranges'!$A$114:$B$132, 2, FALSE)</f>
        <v>N/A</v>
      </c>
    </row>
    <row r="1141" spans="2:12" s="86" customFormat="1" ht="40" customHeight="1">
      <c r="B1141" s="104">
        <v>1660</v>
      </c>
      <c r="C1141" s="105" t="s">
        <v>3313</v>
      </c>
      <c r="D1141" s="105" t="s">
        <v>108</v>
      </c>
      <c r="E1141" s="106" t="s">
        <v>3314</v>
      </c>
      <c r="F1141" s="104">
        <v>1</v>
      </c>
      <c r="G1141" s="104">
        <v>75</v>
      </c>
      <c r="H1141" s="104">
        <v>75</v>
      </c>
      <c r="I1141" s="104" t="s">
        <v>146</v>
      </c>
      <c r="J1141" s="104" t="s">
        <v>3611</v>
      </c>
      <c r="K1141" s="42" t="s">
        <v>108</v>
      </c>
      <c r="L1141" s="104" t="str">
        <f>VLOOKUP(Table7[[#This Row],[Baseline Fixture Code]], 'Tables &amp; Ranges'!$A$114:$B$132, 2, FALSE)</f>
        <v>N/A</v>
      </c>
    </row>
    <row r="1142" spans="2:12" s="86" customFormat="1" ht="40" customHeight="1">
      <c r="B1142" s="104">
        <v>1663</v>
      </c>
      <c r="C1142" s="105" t="s">
        <v>3319</v>
      </c>
      <c r="D1142" s="105" t="s">
        <v>108</v>
      </c>
      <c r="E1142" s="106" t="s">
        <v>3320</v>
      </c>
      <c r="F1142" s="104">
        <v>1</v>
      </c>
      <c r="G1142" s="104">
        <v>80</v>
      </c>
      <c r="H1142" s="104">
        <v>80</v>
      </c>
      <c r="I1142" s="104" t="s">
        <v>146</v>
      </c>
      <c r="J1142" s="104" t="s">
        <v>3611</v>
      </c>
      <c r="K1142" s="42" t="s">
        <v>108</v>
      </c>
      <c r="L1142" s="104" t="str">
        <f>VLOOKUP(Table7[[#This Row],[Baseline Fixture Code]], 'Tables &amp; Ranges'!$A$114:$B$132, 2, FALSE)</f>
        <v>N/A</v>
      </c>
    </row>
    <row r="1143" spans="2:12" s="86" customFormat="1" ht="40" customHeight="1">
      <c r="B1143" s="104">
        <v>1664</v>
      </c>
      <c r="C1143" s="105" t="s">
        <v>3321</v>
      </c>
      <c r="D1143" s="105" t="s">
        <v>108</v>
      </c>
      <c r="E1143" s="106" t="s">
        <v>3322</v>
      </c>
      <c r="F1143" s="104">
        <v>1</v>
      </c>
      <c r="G1143" s="104">
        <v>85</v>
      </c>
      <c r="H1143" s="104">
        <v>85</v>
      </c>
      <c r="I1143" s="104" t="s">
        <v>146</v>
      </c>
      <c r="J1143" s="104" t="s">
        <v>3611</v>
      </c>
      <c r="K1143" s="42" t="s">
        <v>108</v>
      </c>
      <c r="L1143" s="104" t="str">
        <f>VLOOKUP(Table7[[#This Row],[Baseline Fixture Code]], 'Tables &amp; Ranges'!$A$114:$B$132, 2, FALSE)</f>
        <v>N/A</v>
      </c>
    </row>
    <row r="1144" spans="2:12" s="86" customFormat="1" ht="40" customHeight="1">
      <c r="B1144" s="104">
        <v>1665</v>
      </c>
      <c r="C1144" s="105" t="s">
        <v>3323</v>
      </c>
      <c r="D1144" s="105" t="s">
        <v>108</v>
      </c>
      <c r="E1144" s="106" t="s">
        <v>3324</v>
      </c>
      <c r="F1144" s="104">
        <v>1</v>
      </c>
      <c r="G1144" s="104">
        <v>90</v>
      </c>
      <c r="H1144" s="104">
        <v>90</v>
      </c>
      <c r="I1144" s="104" t="s">
        <v>146</v>
      </c>
      <c r="J1144" s="104" t="s">
        <v>3611</v>
      </c>
      <c r="K1144" s="42" t="s">
        <v>108</v>
      </c>
      <c r="L1144" s="104" t="str">
        <f>VLOOKUP(Table7[[#This Row],[Baseline Fixture Code]], 'Tables &amp; Ranges'!$A$114:$B$132, 2, FALSE)</f>
        <v>N/A</v>
      </c>
    </row>
    <row r="1145" spans="2:12" s="86" customFormat="1" ht="40" customHeight="1">
      <c r="B1145" s="104">
        <v>1666</v>
      </c>
      <c r="C1145" s="105" t="s">
        <v>3325</v>
      </c>
      <c r="D1145" s="105" t="s">
        <v>108</v>
      </c>
      <c r="E1145" s="106" t="s">
        <v>3326</v>
      </c>
      <c r="F1145" s="104">
        <v>1</v>
      </c>
      <c r="G1145" s="104">
        <v>93</v>
      </c>
      <c r="H1145" s="104">
        <v>93</v>
      </c>
      <c r="I1145" s="104" t="s">
        <v>146</v>
      </c>
      <c r="J1145" s="104" t="s">
        <v>3611</v>
      </c>
      <c r="K1145" s="42" t="s">
        <v>108</v>
      </c>
      <c r="L1145" s="104" t="str">
        <f>VLOOKUP(Table7[[#This Row],[Baseline Fixture Code]], 'Tables &amp; Ranges'!$A$114:$B$132, 2, FALSE)</f>
        <v>N/A</v>
      </c>
    </row>
    <row r="1146" spans="2:12" s="86" customFormat="1" ht="40" customHeight="1">
      <c r="B1146" s="104">
        <v>1667</v>
      </c>
      <c r="C1146" s="105" t="s">
        <v>3327</v>
      </c>
      <c r="D1146" s="105" t="s">
        <v>108</v>
      </c>
      <c r="E1146" s="106" t="s">
        <v>3328</v>
      </c>
      <c r="F1146" s="104">
        <v>1</v>
      </c>
      <c r="G1146" s="104">
        <v>95</v>
      </c>
      <c r="H1146" s="104">
        <v>95</v>
      </c>
      <c r="I1146" s="104" t="s">
        <v>146</v>
      </c>
      <c r="J1146" s="104" t="s">
        <v>3611</v>
      </c>
      <c r="K1146" s="42" t="s">
        <v>108</v>
      </c>
      <c r="L1146" s="104" t="str">
        <f>VLOOKUP(Table7[[#This Row],[Baseline Fixture Code]], 'Tables &amp; Ranges'!$A$114:$B$132, 2, FALSE)</f>
        <v>N/A</v>
      </c>
    </row>
    <row r="1147" spans="2:12" ht="40" customHeight="1">
      <c r="B1147" s="42">
        <v>1699</v>
      </c>
      <c r="C1147" s="102" t="s">
        <v>3392</v>
      </c>
      <c r="D1147" s="102" t="s">
        <v>3382</v>
      </c>
      <c r="E1147" s="92" t="s">
        <v>3393</v>
      </c>
      <c r="F1147" s="42">
        <v>1</v>
      </c>
      <c r="G1147" s="42">
        <v>200</v>
      </c>
      <c r="H1147" s="42">
        <v>250</v>
      </c>
      <c r="I1147" s="42" t="s">
        <v>146</v>
      </c>
      <c r="J1147" s="103" t="s">
        <v>3611</v>
      </c>
      <c r="K1147" s="95" t="s">
        <v>4044</v>
      </c>
      <c r="L1147" s="42">
        <f>VLOOKUP(Table7[[#This Row],[Baseline Fixture Code]], 'Tables &amp; Ranges'!$A$114:$B$132, 2, FALSE)</f>
        <v>101136</v>
      </c>
    </row>
    <row r="1148" spans="2:12" ht="40" customHeight="1">
      <c r="B1148" s="42">
        <v>1</v>
      </c>
      <c r="C1148" s="102" t="s">
        <v>143</v>
      </c>
      <c r="D1148" s="102" t="s">
        <v>144</v>
      </c>
      <c r="E1148" s="92" t="s">
        <v>145</v>
      </c>
      <c r="F1148" s="42" t="s">
        <v>146</v>
      </c>
      <c r="G1148" s="42" t="s">
        <v>146</v>
      </c>
      <c r="H1148" s="42">
        <v>1</v>
      </c>
      <c r="I1148" s="42" t="s">
        <v>147</v>
      </c>
      <c r="J1148" s="103" t="s">
        <v>3611</v>
      </c>
      <c r="K1148" s="95" t="s">
        <v>4029</v>
      </c>
      <c r="L1148" s="42" t="str">
        <f>VLOOKUP(Table7[[#This Row],[Baseline Fixture Code]], 'Tables &amp; Ranges'!$A$114:$B$132, 2, FALSE)</f>
        <v>N/A</v>
      </c>
    </row>
    <row r="1149" spans="2:12" ht="40" customHeight="1">
      <c r="B1149" s="42">
        <v>1721</v>
      </c>
      <c r="C1149" s="102" t="s">
        <v>3437</v>
      </c>
      <c r="D1149" s="102" t="s">
        <v>3382</v>
      </c>
      <c r="E1149" s="92" t="s">
        <v>3438</v>
      </c>
      <c r="F1149" s="42">
        <v>1</v>
      </c>
      <c r="G1149" s="42">
        <v>200</v>
      </c>
      <c r="H1149" s="42">
        <v>228</v>
      </c>
      <c r="I1149" s="42" t="s">
        <v>3410</v>
      </c>
      <c r="J1149" s="103" t="s">
        <v>3611</v>
      </c>
      <c r="K1149" s="42" t="s">
        <v>4038</v>
      </c>
      <c r="L1149" s="42">
        <f>VLOOKUP(Table7[[#This Row],[Baseline Fixture Code]], 'Tables &amp; Ranges'!$A$114:$B$132, 2, FALSE)</f>
        <v>101108</v>
      </c>
    </row>
    <row r="1150" spans="2:12" ht="40" customHeight="1">
      <c r="B1150" s="42">
        <v>2</v>
      </c>
      <c r="C1150" s="102" t="s">
        <v>148</v>
      </c>
      <c r="D1150" s="102" t="s">
        <v>144</v>
      </c>
      <c r="E1150" s="92" t="s">
        <v>149</v>
      </c>
      <c r="F1150" s="42" t="s">
        <v>146</v>
      </c>
      <c r="G1150" s="42" t="s">
        <v>146</v>
      </c>
      <c r="H1150" s="42">
        <v>2</v>
      </c>
      <c r="I1150" s="42" t="s">
        <v>147</v>
      </c>
      <c r="J1150" s="103" t="s">
        <v>3611</v>
      </c>
      <c r="K1150" s="95" t="s">
        <v>4029</v>
      </c>
      <c r="L1150" s="42" t="str">
        <f>VLOOKUP(Table7[[#This Row],[Baseline Fixture Code]], 'Tables &amp; Ranges'!$A$114:$B$132, 2, FALSE)</f>
        <v>N/A</v>
      </c>
    </row>
    <row r="1151" spans="2:12" ht="40" customHeight="1">
      <c r="B1151" s="42">
        <v>1722</v>
      </c>
      <c r="C1151" s="102" t="s">
        <v>3439</v>
      </c>
      <c r="D1151" s="102" t="s">
        <v>3382</v>
      </c>
      <c r="E1151" s="92" t="s">
        <v>3440</v>
      </c>
      <c r="F1151" s="42">
        <v>1</v>
      </c>
      <c r="G1151" s="42">
        <v>200</v>
      </c>
      <c r="H1151" s="42">
        <v>219</v>
      </c>
      <c r="I1151" s="42" t="s">
        <v>147</v>
      </c>
      <c r="J1151" s="103" t="s">
        <v>3611</v>
      </c>
      <c r="K1151" s="42" t="s">
        <v>4038</v>
      </c>
      <c r="L1151" s="42">
        <f>VLOOKUP(Table7[[#This Row],[Baseline Fixture Code]], 'Tables &amp; Ranges'!$A$114:$B$132, 2, FALSE)</f>
        <v>101108</v>
      </c>
    </row>
    <row r="1152" spans="2:12" ht="40" customHeight="1">
      <c r="B1152" s="42">
        <v>3</v>
      </c>
      <c r="C1152" s="102" t="s">
        <v>150</v>
      </c>
      <c r="D1152" s="102" t="s">
        <v>144</v>
      </c>
      <c r="E1152" s="92" t="s">
        <v>151</v>
      </c>
      <c r="F1152" s="42" t="s">
        <v>146</v>
      </c>
      <c r="G1152" s="42" t="s">
        <v>146</v>
      </c>
      <c r="H1152" s="42">
        <v>3</v>
      </c>
      <c r="I1152" s="42" t="s">
        <v>147</v>
      </c>
      <c r="J1152" s="103" t="s">
        <v>3611</v>
      </c>
      <c r="K1152" s="95" t="s">
        <v>4029</v>
      </c>
      <c r="L1152" s="42" t="str">
        <f>VLOOKUP(Table7[[#This Row],[Baseline Fixture Code]], 'Tables &amp; Ranges'!$A$114:$B$132, 2, FALSE)</f>
        <v>N/A</v>
      </c>
    </row>
    <row r="1153" spans="2:12" ht="40" customHeight="1">
      <c r="B1153" s="42">
        <v>1424</v>
      </c>
      <c r="C1153" s="102" t="s">
        <v>2850</v>
      </c>
      <c r="D1153" s="102" t="s">
        <v>2851</v>
      </c>
      <c r="E1153" s="92" t="s">
        <v>2852</v>
      </c>
      <c r="F1153" s="42">
        <v>1</v>
      </c>
      <c r="G1153" s="42">
        <v>215</v>
      </c>
      <c r="H1153" s="42">
        <v>235</v>
      </c>
      <c r="I1153" s="42" t="s">
        <v>1457</v>
      </c>
      <c r="J1153" s="103" t="s">
        <v>3611</v>
      </c>
      <c r="K1153" s="42" t="s">
        <v>4040</v>
      </c>
      <c r="L1153" s="42">
        <f>VLOOKUP(Table7[[#This Row],[Baseline Fixture Code]], 'Tables &amp; Ranges'!$A$114:$B$132, 2, FALSE)</f>
        <v>101037</v>
      </c>
    </row>
    <row r="1154" spans="2:12" ht="40" customHeight="1">
      <c r="B1154" s="42">
        <v>4</v>
      </c>
      <c r="C1154" s="102" t="s">
        <v>152</v>
      </c>
      <c r="D1154" s="102" t="s">
        <v>144</v>
      </c>
      <c r="E1154" s="92" t="s">
        <v>153</v>
      </c>
      <c r="F1154" s="42" t="s">
        <v>146</v>
      </c>
      <c r="G1154" s="42" t="s">
        <v>146</v>
      </c>
      <c r="H1154" s="42">
        <v>4</v>
      </c>
      <c r="I1154" s="42" t="s">
        <v>147</v>
      </c>
      <c r="J1154" s="103" t="s">
        <v>3611</v>
      </c>
      <c r="K1154" s="95" t="s">
        <v>4029</v>
      </c>
      <c r="L1154" s="42" t="str">
        <f>VLOOKUP(Table7[[#This Row],[Baseline Fixture Code]], 'Tables &amp; Ranges'!$A$114:$B$132, 2, FALSE)</f>
        <v>N/A</v>
      </c>
    </row>
    <row r="1155" spans="2:12" ht="40" customHeight="1">
      <c r="B1155" s="42">
        <v>1428</v>
      </c>
      <c r="C1155" s="102" t="s">
        <v>2859</v>
      </c>
      <c r="D1155" s="102" t="s">
        <v>2623</v>
      </c>
      <c r="E1155" s="92" t="s">
        <v>2860</v>
      </c>
      <c r="F1155" s="42">
        <v>1</v>
      </c>
      <c r="G1155" s="42">
        <v>215</v>
      </c>
      <c r="H1155" s="42">
        <v>205</v>
      </c>
      <c r="I1155" s="42" t="s">
        <v>1457</v>
      </c>
      <c r="J1155" s="103" t="s">
        <v>131</v>
      </c>
      <c r="K1155" s="42" t="s">
        <v>3712</v>
      </c>
      <c r="L1155" s="42">
        <f>VLOOKUP(Table7[[#This Row],[Baseline Fixture Code]], 'Tables &amp; Ranges'!$A$114:$B$132, 2, FALSE)</f>
        <v>101001</v>
      </c>
    </row>
    <row r="1156" spans="2:12" ht="40" customHeight="1">
      <c r="B1156" s="42">
        <v>5</v>
      </c>
      <c r="C1156" s="102" t="s">
        <v>154</v>
      </c>
      <c r="D1156" s="102" t="s">
        <v>144</v>
      </c>
      <c r="E1156" s="92" t="s">
        <v>155</v>
      </c>
      <c r="F1156" s="42" t="s">
        <v>146</v>
      </c>
      <c r="G1156" s="42" t="s">
        <v>146</v>
      </c>
      <c r="H1156" s="42">
        <v>5</v>
      </c>
      <c r="I1156" s="42" t="s">
        <v>147</v>
      </c>
      <c r="J1156" s="103" t="s">
        <v>3611</v>
      </c>
      <c r="K1156" s="95" t="s">
        <v>4029</v>
      </c>
      <c r="L1156" s="42" t="str">
        <f>VLOOKUP(Table7[[#This Row],[Baseline Fixture Code]], 'Tables &amp; Ranges'!$A$114:$B$132, 2, FALSE)</f>
        <v>N/A</v>
      </c>
    </row>
    <row r="1157" spans="2:12" ht="40" customHeight="1">
      <c r="B1157" s="42">
        <v>1439</v>
      </c>
      <c r="C1157" s="102" t="s">
        <v>2876</v>
      </c>
      <c r="D1157" s="102" t="s">
        <v>2623</v>
      </c>
      <c r="E1157" s="92" t="s">
        <v>2877</v>
      </c>
      <c r="F1157" s="42">
        <v>2</v>
      </c>
      <c r="G1157" s="42">
        <v>215</v>
      </c>
      <c r="H1157" s="42">
        <v>380</v>
      </c>
      <c r="I1157" s="42" t="s">
        <v>1457</v>
      </c>
      <c r="J1157" s="103" t="s">
        <v>131</v>
      </c>
      <c r="K1157" s="42" t="s">
        <v>3712</v>
      </c>
      <c r="L1157" s="42">
        <f>VLOOKUP(Table7[[#This Row],[Baseline Fixture Code]], 'Tables &amp; Ranges'!$A$114:$B$132, 2, FALSE)</f>
        <v>101001</v>
      </c>
    </row>
    <row r="1158" spans="2:12" ht="40" customHeight="1">
      <c r="B1158" s="42">
        <v>6</v>
      </c>
      <c r="C1158" s="102" t="s">
        <v>156</v>
      </c>
      <c r="D1158" s="102" t="s">
        <v>144</v>
      </c>
      <c r="E1158" s="92" t="s">
        <v>157</v>
      </c>
      <c r="F1158" s="42" t="s">
        <v>146</v>
      </c>
      <c r="G1158" s="42" t="s">
        <v>146</v>
      </c>
      <c r="H1158" s="42">
        <v>6</v>
      </c>
      <c r="I1158" s="42" t="s">
        <v>147</v>
      </c>
      <c r="J1158" s="103" t="s">
        <v>3611</v>
      </c>
      <c r="K1158" s="95" t="s">
        <v>4029</v>
      </c>
      <c r="L1158" s="42" t="str">
        <f>VLOOKUP(Table7[[#This Row],[Baseline Fixture Code]], 'Tables &amp; Ranges'!$A$114:$B$132, 2, FALSE)</f>
        <v>N/A</v>
      </c>
    </row>
    <row r="1159" spans="2:12" ht="40" customHeight="1">
      <c r="B1159" s="42">
        <v>1448</v>
      </c>
      <c r="C1159" s="102" t="s">
        <v>2893</v>
      </c>
      <c r="D1159" s="102" t="s">
        <v>2623</v>
      </c>
      <c r="E1159" s="92" t="s">
        <v>2894</v>
      </c>
      <c r="F1159" s="42">
        <v>3</v>
      </c>
      <c r="G1159" s="42">
        <v>215</v>
      </c>
      <c r="H1159" s="42">
        <v>585</v>
      </c>
      <c r="I1159" s="42" t="s">
        <v>1457</v>
      </c>
      <c r="J1159" s="103" t="s">
        <v>131</v>
      </c>
      <c r="K1159" s="42" t="s">
        <v>3712</v>
      </c>
      <c r="L1159" s="42">
        <f>VLOOKUP(Table7[[#This Row],[Baseline Fixture Code]], 'Tables &amp; Ranges'!$A$114:$B$132, 2, FALSE)</f>
        <v>101001</v>
      </c>
    </row>
    <row r="1160" spans="2:12" ht="40" customHeight="1">
      <c r="B1160" s="42">
        <v>7</v>
      </c>
      <c r="C1160" s="102" t="s">
        <v>158</v>
      </c>
      <c r="D1160" s="102" t="s">
        <v>144</v>
      </c>
      <c r="E1160" s="92" t="s">
        <v>159</v>
      </c>
      <c r="F1160" s="42" t="s">
        <v>146</v>
      </c>
      <c r="G1160" s="42" t="s">
        <v>146</v>
      </c>
      <c r="H1160" s="42">
        <v>7</v>
      </c>
      <c r="I1160" s="42" t="s">
        <v>147</v>
      </c>
      <c r="J1160" s="103" t="s">
        <v>3611</v>
      </c>
      <c r="K1160" s="95" t="s">
        <v>4029</v>
      </c>
      <c r="L1160" s="42" t="str">
        <f>VLOOKUP(Table7[[#This Row],[Baseline Fixture Code]], 'Tables &amp; Ranges'!$A$114:$B$132, 2, FALSE)</f>
        <v>N/A</v>
      </c>
    </row>
    <row r="1161" spans="2:12" ht="40" customHeight="1">
      <c r="B1161" s="42">
        <v>1459</v>
      </c>
      <c r="C1161" s="102" t="s">
        <v>2910</v>
      </c>
      <c r="D1161" s="102" t="s">
        <v>2623</v>
      </c>
      <c r="E1161" s="92" t="s">
        <v>2911</v>
      </c>
      <c r="F1161" s="42">
        <v>4</v>
      </c>
      <c r="G1161" s="42">
        <v>215</v>
      </c>
      <c r="H1161" s="42">
        <v>760</v>
      </c>
      <c r="I1161" s="42" t="s">
        <v>1457</v>
      </c>
      <c r="J1161" s="103" t="s">
        <v>131</v>
      </c>
      <c r="K1161" s="42" t="s">
        <v>3712</v>
      </c>
      <c r="L1161" s="42">
        <f>VLOOKUP(Table7[[#This Row],[Baseline Fixture Code]], 'Tables &amp; Ranges'!$A$114:$B$132, 2, FALSE)</f>
        <v>101001</v>
      </c>
    </row>
    <row r="1162" spans="2:12" ht="40" customHeight="1">
      <c r="B1162" s="42">
        <v>8</v>
      </c>
      <c r="C1162" s="102" t="s">
        <v>160</v>
      </c>
      <c r="D1162" s="102" t="s">
        <v>144</v>
      </c>
      <c r="E1162" s="92" t="s">
        <v>161</v>
      </c>
      <c r="F1162" s="42" t="s">
        <v>146</v>
      </c>
      <c r="G1162" s="42" t="s">
        <v>146</v>
      </c>
      <c r="H1162" s="42">
        <v>8</v>
      </c>
      <c r="I1162" s="42" t="s">
        <v>147</v>
      </c>
      <c r="J1162" s="103" t="s">
        <v>3611</v>
      </c>
      <c r="K1162" s="95" t="s">
        <v>4029</v>
      </c>
      <c r="L1162" s="42" t="str">
        <f>VLOOKUP(Table7[[#This Row],[Baseline Fixture Code]], 'Tables &amp; Ranges'!$A$114:$B$132, 2, FALSE)</f>
        <v>N/A</v>
      </c>
    </row>
    <row r="1163" spans="2:12" ht="40" customHeight="1">
      <c r="B1163" s="42">
        <v>1486</v>
      </c>
      <c r="C1163" s="102" t="s">
        <v>2966</v>
      </c>
      <c r="D1163" s="102" t="s">
        <v>2946</v>
      </c>
      <c r="E1163" s="92" t="s">
        <v>2967</v>
      </c>
      <c r="F1163" s="42">
        <v>1</v>
      </c>
      <c r="G1163" s="42">
        <v>250</v>
      </c>
      <c r="H1163" s="42">
        <v>263</v>
      </c>
      <c r="I1163" s="42" t="s">
        <v>147</v>
      </c>
      <c r="J1163" s="103" t="s">
        <v>3611</v>
      </c>
      <c r="K1163" s="95" t="s">
        <v>4045</v>
      </c>
      <c r="L1163" s="42">
        <f>VLOOKUP(Table7[[#This Row],[Baseline Fixture Code]], 'Tables &amp; Ranges'!$A$114:$B$132, 2, FALSE)</f>
        <v>101113</v>
      </c>
    </row>
    <row r="1164" spans="2:12" ht="40" customHeight="1">
      <c r="B1164" s="42">
        <v>9</v>
      </c>
      <c r="C1164" s="102" t="s">
        <v>162</v>
      </c>
      <c r="D1164" s="102" t="s">
        <v>144</v>
      </c>
      <c r="E1164" s="92" t="s">
        <v>163</v>
      </c>
      <c r="F1164" s="42" t="s">
        <v>146</v>
      </c>
      <c r="G1164" s="42" t="s">
        <v>146</v>
      </c>
      <c r="H1164" s="42">
        <v>9</v>
      </c>
      <c r="I1164" s="42" t="s">
        <v>147</v>
      </c>
      <c r="J1164" s="103" t="s">
        <v>3611</v>
      </c>
      <c r="K1164" s="95" t="s">
        <v>4029</v>
      </c>
      <c r="L1164" s="42" t="str">
        <f>VLOOKUP(Table7[[#This Row],[Baseline Fixture Code]], 'Tables &amp; Ranges'!$A$114:$B$132, 2, FALSE)</f>
        <v>N/A</v>
      </c>
    </row>
    <row r="1165" spans="2:12" ht="40" customHeight="1">
      <c r="B1165" s="42">
        <v>1584</v>
      </c>
      <c r="C1165" s="102" t="s">
        <v>3161</v>
      </c>
      <c r="D1165" s="102" t="s">
        <v>107</v>
      </c>
      <c r="E1165" s="92" t="s">
        <v>3162</v>
      </c>
      <c r="F1165" s="42">
        <v>1</v>
      </c>
      <c r="G1165" s="42">
        <v>250</v>
      </c>
      <c r="H1165" s="42">
        <v>250</v>
      </c>
      <c r="I1165" s="42" t="s">
        <v>146</v>
      </c>
      <c r="J1165" s="103" t="s">
        <v>3611</v>
      </c>
      <c r="K1165" s="42" t="s">
        <v>107</v>
      </c>
      <c r="L1165" s="42">
        <f>VLOOKUP(Table7[[#This Row],[Baseline Fixture Code]], 'Tables &amp; Ranges'!$A$114:$B$132, 2, FALSE)</f>
        <v>101106</v>
      </c>
    </row>
    <row r="1166" spans="2:12" ht="40" customHeight="1">
      <c r="B1166" s="42">
        <v>10</v>
      </c>
      <c r="C1166" s="102" t="s">
        <v>164</v>
      </c>
      <c r="D1166" s="102" t="s">
        <v>144</v>
      </c>
      <c r="E1166" s="92" t="s">
        <v>165</v>
      </c>
      <c r="F1166" s="42" t="s">
        <v>146</v>
      </c>
      <c r="G1166" s="42" t="s">
        <v>146</v>
      </c>
      <c r="H1166" s="42">
        <v>10</v>
      </c>
      <c r="I1166" s="42" t="s">
        <v>147</v>
      </c>
      <c r="J1166" s="103" t="s">
        <v>3611</v>
      </c>
      <c r="K1166" s="95" t="s">
        <v>4029</v>
      </c>
      <c r="L1166" s="42" t="str">
        <f>VLOOKUP(Table7[[#This Row],[Baseline Fixture Code]], 'Tables &amp; Ranges'!$A$114:$B$132, 2, FALSE)</f>
        <v>N/A</v>
      </c>
    </row>
    <row r="1167" spans="2:12" ht="40" customHeight="1">
      <c r="B1167" s="42">
        <v>1700</v>
      </c>
      <c r="C1167" s="102" t="s">
        <v>3394</v>
      </c>
      <c r="D1167" s="102" t="s">
        <v>3382</v>
      </c>
      <c r="E1167" s="92" t="s">
        <v>3395</v>
      </c>
      <c r="F1167" s="42">
        <v>1</v>
      </c>
      <c r="G1167" s="42">
        <v>250</v>
      </c>
      <c r="H1167" s="42">
        <v>295</v>
      </c>
      <c r="I1167" s="42" t="s">
        <v>146</v>
      </c>
      <c r="J1167" s="103" t="s">
        <v>3611</v>
      </c>
      <c r="K1167" s="95" t="s">
        <v>4044</v>
      </c>
      <c r="L1167" s="42">
        <f>VLOOKUP(Table7[[#This Row],[Baseline Fixture Code]], 'Tables &amp; Ranges'!$A$114:$B$132, 2, FALSE)</f>
        <v>101136</v>
      </c>
    </row>
    <row r="1168" spans="2:12" ht="40" customHeight="1">
      <c r="B1168" s="42">
        <v>11</v>
      </c>
      <c r="C1168" s="102" t="s">
        <v>166</v>
      </c>
      <c r="D1168" s="102" t="s">
        <v>144</v>
      </c>
      <c r="E1168" s="92" t="s">
        <v>167</v>
      </c>
      <c r="F1168" s="42" t="s">
        <v>146</v>
      </c>
      <c r="G1168" s="42" t="s">
        <v>146</v>
      </c>
      <c r="H1168" s="42">
        <v>11</v>
      </c>
      <c r="I1168" s="42" t="s">
        <v>147</v>
      </c>
      <c r="J1168" s="103" t="s">
        <v>3611</v>
      </c>
      <c r="K1168" s="95" t="s">
        <v>4029</v>
      </c>
      <c r="L1168" s="42" t="str">
        <f>VLOOKUP(Table7[[#This Row],[Baseline Fixture Code]], 'Tables &amp; Ranges'!$A$114:$B$132, 2, FALSE)</f>
        <v>N/A</v>
      </c>
    </row>
    <row r="1169" spans="2:12" ht="40" customHeight="1">
      <c r="B1169" s="42">
        <v>1723</v>
      </c>
      <c r="C1169" s="102" t="s">
        <v>3441</v>
      </c>
      <c r="D1169" s="102" t="s">
        <v>3382</v>
      </c>
      <c r="E1169" s="92" t="s">
        <v>3442</v>
      </c>
      <c r="F1169" s="42">
        <v>1</v>
      </c>
      <c r="G1169" s="42">
        <v>250</v>
      </c>
      <c r="H1169" s="42">
        <v>288</v>
      </c>
      <c r="I1169" s="42" t="s">
        <v>3410</v>
      </c>
      <c r="J1169" s="103" t="s">
        <v>3611</v>
      </c>
      <c r="K1169" s="42" t="s">
        <v>4038</v>
      </c>
      <c r="L1169" s="42">
        <f>VLOOKUP(Table7[[#This Row],[Baseline Fixture Code]], 'Tables &amp; Ranges'!$A$114:$B$132, 2, FALSE)</f>
        <v>101108</v>
      </c>
    </row>
    <row r="1170" spans="2:12" ht="40" customHeight="1">
      <c r="B1170" s="42">
        <v>12</v>
      </c>
      <c r="C1170" s="102" t="s">
        <v>168</v>
      </c>
      <c r="D1170" s="102" t="s">
        <v>144</v>
      </c>
      <c r="E1170" s="92" t="s">
        <v>169</v>
      </c>
      <c r="F1170" s="42" t="s">
        <v>146</v>
      </c>
      <c r="G1170" s="42" t="s">
        <v>146</v>
      </c>
      <c r="H1170" s="42">
        <v>12</v>
      </c>
      <c r="I1170" s="42" t="s">
        <v>147</v>
      </c>
      <c r="J1170" s="103" t="s">
        <v>3611</v>
      </c>
      <c r="K1170" s="95" t="s">
        <v>4029</v>
      </c>
      <c r="L1170" s="42" t="str">
        <f>VLOOKUP(Table7[[#This Row],[Baseline Fixture Code]], 'Tables &amp; Ranges'!$A$114:$B$132, 2, FALSE)</f>
        <v>N/A</v>
      </c>
    </row>
    <row r="1171" spans="2:12" ht="40" customHeight="1">
      <c r="B1171" s="42">
        <v>1724</v>
      </c>
      <c r="C1171" s="102" t="s">
        <v>3443</v>
      </c>
      <c r="D1171" s="102" t="s">
        <v>3382</v>
      </c>
      <c r="E1171" s="92" t="s">
        <v>3444</v>
      </c>
      <c r="F1171" s="42">
        <v>1</v>
      </c>
      <c r="G1171" s="42">
        <v>250</v>
      </c>
      <c r="H1171" s="42">
        <v>275</v>
      </c>
      <c r="I1171" s="42" t="s">
        <v>147</v>
      </c>
      <c r="J1171" s="103" t="s">
        <v>3611</v>
      </c>
      <c r="K1171" s="42" t="s">
        <v>4038</v>
      </c>
      <c r="L1171" s="42">
        <f>VLOOKUP(Table7[[#This Row],[Baseline Fixture Code]], 'Tables &amp; Ranges'!$A$114:$B$132, 2, FALSE)</f>
        <v>101108</v>
      </c>
    </row>
    <row r="1172" spans="2:12" ht="40" customHeight="1">
      <c r="B1172" s="42">
        <v>13</v>
      </c>
      <c r="C1172" s="102" t="s">
        <v>170</v>
      </c>
      <c r="D1172" s="102" t="s">
        <v>144</v>
      </c>
      <c r="E1172" s="92" t="s">
        <v>171</v>
      </c>
      <c r="F1172" s="42" t="s">
        <v>146</v>
      </c>
      <c r="G1172" s="42" t="s">
        <v>146</v>
      </c>
      <c r="H1172" s="42">
        <v>13</v>
      </c>
      <c r="I1172" s="42" t="s">
        <v>147</v>
      </c>
      <c r="J1172" s="103" t="s">
        <v>3611</v>
      </c>
      <c r="K1172" s="95" t="s">
        <v>4029</v>
      </c>
      <c r="L1172" s="42" t="str">
        <f>VLOOKUP(Table7[[#This Row],[Baseline Fixture Code]], 'Tables &amp; Ranges'!$A$114:$B$132, 2, FALSE)</f>
        <v>N/A</v>
      </c>
    </row>
    <row r="1173" spans="2:12" ht="40" customHeight="1">
      <c r="B1173" s="42">
        <v>1749</v>
      </c>
      <c r="C1173" s="102" t="s">
        <v>3493</v>
      </c>
      <c r="D1173" s="102" t="s">
        <v>3382</v>
      </c>
      <c r="E1173" s="92" t="s">
        <v>3494</v>
      </c>
      <c r="F1173" s="42">
        <v>1</v>
      </c>
      <c r="G1173" s="42">
        <v>250</v>
      </c>
      <c r="H1173" s="42">
        <v>290</v>
      </c>
      <c r="I1173" s="42" t="s">
        <v>146</v>
      </c>
      <c r="J1173" s="103" t="s">
        <v>3611</v>
      </c>
      <c r="K1173" s="42" t="s">
        <v>4043</v>
      </c>
      <c r="L1173" s="42">
        <f>VLOOKUP(Table7[[#This Row],[Baseline Fixture Code]], 'Tables &amp; Ranges'!$A$114:$B$132, 2, FALSE)</f>
        <v>101110</v>
      </c>
    </row>
    <row r="1174" spans="2:12" ht="40" customHeight="1">
      <c r="B1174" s="42">
        <v>14</v>
      </c>
      <c r="C1174" s="102" t="s">
        <v>172</v>
      </c>
      <c r="D1174" s="102" t="s">
        <v>144</v>
      </c>
      <c r="E1174" s="92" t="s">
        <v>173</v>
      </c>
      <c r="F1174" s="42" t="s">
        <v>146</v>
      </c>
      <c r="G1174" s="42" t="s">
        <v>146</v>
      </c>
      <c r="H1174" s="42">
        <v>14</v>
      </c>
      <c r="I1174" s="42" t="s">
        <v>147</v>
      </c>
      <c r="J1174" s="103" t="s">
        <v>3611</v>
      </c>
      <c r="K1174" s="95" t="s">
        <v>4029</v>
      </c>
      <c r="L1174" s="42" t="str">
        <f>VLOOKUP(Table7[[#This Row],[Baseline Fixture Code]], 'Tables &amp; Ranges'!$A$114:$B$132, 2, FALSE)</f>
        <v>N/A</v>
      </c>
    </row>
    <row r="1175" spans="2:12" ht="40" customHeight="1">
      <c r="B1175" s="42">
        <v>1487</v>
      </c>
      <c r="C1175" s="102" t="s">
        <v>2968</v>
      </c>
      <c r="D1175" s="102" t="s">
        <v>2946</v>
      </c>
      <c r="E1175" s="92" t="s">
        <v>2969</v>
      </c>
      <c r="F1175" s="42">
        <v>1</v>
      </c>
      <c r="G1175" s="42">
        <v>300</v>
      </c>
      <c r="H1175" s="42">
        <v>315</v>
      </c>
      <c r="I1175" s="42" t="s">
        <v>147</v>
      </c>
      <c r="J1175" s="103" t="s">
        <v>3611</v>
      </c>
      <c r="K1175" s="95" t="s">
        <v>4045</v>
      </c>
      <c r="L1175" s="42">
        <f>VLOOKUP(Table7[[#This Row],[Baseline Fixture Code]], 'Tables &amp; Ranges'!$A$114:$B$132, 2, FALSE)</f>
        <v>101113</v>
      </c>
    </row>
    <row r="1176" spans="2:12" ht="40" customHeight="1">
      <c r="B1176" s="42">
        <v>15</v>
      </c>
      <c r="C1176" s="102" t="s">
        <v>174</v>
      </c>
      <c r="D1176" s="102" t="s">
        <v>144</v>
      </c>
      <c r="E1176" s="92" t="s">
        <v>175</v>
      </c>
      <c r="F1176" s="42" t="s">
        <v>146</v>
      </c>
      <c r="G1176" s="42" t="s">
        <v>146</v>
      </c>
      <c r="H1176" s="42">
        <v>15</v>
      </c>
      <c r="I1176" s="42" t="s">
        <v>147</v>
      </c>
      <c r="J1176" s="103" t="s">
        <v>3611</v>
      </c>
      <c r="K1176" s="95" t="s">
        <v>4029</v>
      </c>
      <c r="L1176" s="42" t="str">
        <f>VLOOKUP(Table7[[#This Row],[Baseline Fixture Code]], 'Tables &amp; Ranges'!$A$114:$B$132, 2, FALSE)</f>
        <v>N/A</v>
      </c>
    </row>
    <row r="1177" spans="2:12" ht="40" customHeight="1">
      <c r="B1177" s="42">
        <v>1585</v>
      </c>
      <c r="C1177" s="102" t="s">
        <v>3163</v>
      </c>
      <c r="D1177" s="102" t="s">
        <v>107</v>
      </c>
      <c r="E1177" s="92" t="s">
        <v>3164</v>
      </c>
      <c r="F1177" s="42">
        <v>1</v>
      </c>
      <c r="G1177" s="42">
        <v>300</v>
      </c>
      <c r="H1177" s="42">
        <v>300</v>
      </c>
      <c r="I1177" s="42" t="s">
        <v>146</v>
      </c>
      <c r="J1177" s="103" t="s">
        <v>3611</v>
      </c>
      <c r="K1177" s="95" t="s">
        <v>107</v>
      </c>
      <c r="L1177" s="42">
        <f>VLOOKUP(Table7[[#This Row],[Baseline Fixture Code]], 'Tables &amp; Ranges'!$A$114:$B$132, 2, FALSE)</f>
        <v>101106</v>
      </c>
    </row>
    <row r="1178" spans="2:12" ht="40" customHeight="1">
      <c r="B1178" s="42">
        <v>16</v>
      </c>
      <c r="C1178" s="102" t="s">
        <v>176</v>
      </c>
      <c r="D1178" s="102" t="s">
        <v>144</v>
      </c>
      <c r="E1178" s="92" t="s">
        <v>177</v>
      </c>
      <c r="F1178" s="42" t="s">
        <v>146</v>
      </c>
      <c r="G1178" s="42" t="s">
        <v>146</v>
      </c>
      <c r="H1178" s="42">
        <v>16</v>
      </c>
      <c r="I1178" s="42" t="s">
        <v>147</v>
      </c>
      <c r="J1178" s="103" t="s">
        <v>3611</v>
      </c>
      <c r="K1178" s="95" t="s">
        <v>4029</v>
      </c>
      <c r="L1178" s="42" t="str">
        <f>VLOOKUP(Table7[[#This Row],[Baseline Fixture Code]], 'Tables &amp; Ranges'!$A$114:$B$132, 2, FALSE)</f>
        <v>N/A</v>
      </c>
    </row>
    <row r="1179" spans="2:12" ht="40" customHeight="1">
      <c r="B1179" s="42">
        <v>1701</v>
      </c>
      <c r="C1179" s="102" t="s">
        <v>3396</v>
      </c>
      <c r="D1179" s="102" t="s">
        <v>3382</v>
      </c>
      <c r="E1179" s="92" t="s">
        <v>3397</v>
      </c>
      <c r="F1179" s="42">
        <v>1</v>
      </c>
      <c r="G1179" s="42">
        <v>310</v>
      </c>
      <c r="H1179" s="42">
        <v>365</v>
      </c>
      <c r="I1179" s="42" t="s">
        <v>146</v>
      </c>
      <c r="J1179" s="103" t="s">
        <v>3611</v>
      </c>
      <c r="K1179" s="95" t="s">
        <v>4044</v>
      </c>
      <c r="L1179" s="42">
        <f>VLOOKUP(Table7[[#This Row],[Baseline Fixture Code]], 'Tables &amp; Ranges'!$A$114:$B$132, 2, FALSE)</f>
        <v>101136</v>
      </c>
    </row>
    <row r="1180" spans="2:12" ht="40" customHeight="1">
      <c r="B1180" s="42">
        <v>17</v>
      </c>
      <c r="C1180" s="102" t="s">
        <v>178</v>
      </c>
      <c r="D1180" s="102" t="s">
        <v>144</v>
      </c>
      <c r="E1180" s="92" t="s">
        <v>179</v>
      </c>
      <c r="F1180" s="42" t="s">
        <v>146</v>
      </c>
      <c r="G1180" s="42" t="s">
        <v>146</v>
      </c>
      <c r="H1180" s="42">
        <v>17</v>
      </c>
      <c r="I1180" s="42" t="s">
        <v>147</v>
      </c>
      <c r="J1180" s="103" t="s">
        <v>3611</v>
      </c>
      <c r="K1180" s="95" t="s">
        <v>4029</v>
      </c>
      <c r="L1180" s="42" t="str">
        <f>VLOOKUP(Table7[[#This Row],[Baseline Fixture Code]], 'Tables &amp; Ranges'!$A$114:$B$132, 2, FALSE)</f>
        <v>N/A</v>
      </c>
    </row>
    <row r="1181" spans="2:12" ht="40" customHeight="1">
      <c r="B1181" s="42">
        <v>1725</v>
      </c>
      <c r="C1181" s="102" t="s">
        <v>3445</v>
      </c>
      <c r="D1181" s="102" t="s">
        <v>3382</v>
      </c>
      <c r="E1181" s="92" t="s">
        <v>3446</v>
      </c>
      <c r="F1181" s="42">
        <v>1</v>
      </c>
      <c r="G1181" s="42">
        <v>320</v>
      </c>
      <c r="H1181" s="42">
        <v>362</v>
      </c>
      <c r="I1181" s="42" t="s">
        <v>3410</v>
      </c>
      <c r="J1181" s="103" t="s">
        <v>3611</v>
      </c>
      <c r="K1181" s="42" t="s">
        <v>4038</v>
      </c>
      <c r="L1181" s="42">
        <f>VLOOKUP(Table7[[#This Row],[Baseline Fixture Code]], 'Tables &amp; Ranges'!$A$114:$B$132, 2, FALSE)</f>
        <v>101108</v>
      </c>
    </row>
    <row r="1182" spans="2:12" ht="40" customHeight="1">
      <c r="B1182" s="42">
        <v>18</v>
      </c>
      <c r="C1182" s="102" t="s">
        <v>180</v>
      </c>
      <c r="D1182" s="102" t="s">
        <v>144</v>
      </c>
      <c r="E1182" s="92" t="s">
        <v>181</v>
      </c>
      <c r="F1182" s="42" t="s">
        <v>146</v>
      </c>
      <c r="G1182" s="42" t="s">
        <v>146</v>
      </c>
      <c r="H1182" s="42">
        <v>18</v>
      </c>
      <c r="I1182" s="42" t="s">
        <v>147</v>
      </c>
      <c r="J1182" s="103" t="s">
        <v>3611</v>
      </c>
      <c r="K1182" s="95" t="s">
        <v>4029</v>
      </c>
      <c r="L1182" s="42" t="str">
        <f>VLOOKUP(Table7[[#This Row],[Baseline Fixture Code]], 'Tables &amp; Ranges'!$A$114:$B$132, 2, FALSE)</f>
        <v>N/A</v>
      </c>
    </row>
    <row r="1183" spans="2:12" ht="40" customHeight="1">
      <c r="B1183" s="42">
        <v>1726</v>
      </c>
      <c r="C1183" s="102" t="s">
        <v>3447</v>
      </c>
      <c r="D1183" s="102" t="s">
        <v>3382</v>
      </c>
      <c r="E1183" s="92" t="s">
        <v>3448</v>
      </c>
      <c r="F1183" s="42">
        <v>1</v>
      </c>
      <c r="G1183" s="42">
        <v>320</v>
      </c>
      <c r="H1183" s="42">
        <v>343</v>
      </c>
      <c r="I1183" s="42" t="s">
        <v>147</v>
      </c>
      <c r="J1183" s="103" t="s">
        <v>3611</v>
      </c>
      <c r="K1183" s="42" t="s">
        <v>4038</v>
      </c>
      <c r="L1183" s="42">
        <f>VLOOKUP(Table7[[#This Row],[Baseline Fixture Code]], 'Tables &amp; Ranges'!$A$114:$B$132, 2, FALSE)</f>
        <v>101108</v>
      </c>
    </row>
    <row r="1184" spans="2:12" ht="40" customHeight="1">
      <c r="B1184" s="42">
        <v>19</v>
      </c>
      <c r="C1184" s="102" t="s">
        <v>182</v>
      </c>
      <c r="D1184" s="102" t="s">
        <v>144</v>
      </c>
      <c r="E1184" s="92" t="s">
        <v>183</v>
      </c>
      <c r="F1184" s="42" t="s">
        <v>146</v>
      </c>
      <c r="G1184" s="42" t="s">
        <v>146</v>
      </c>
      <c r="H1184" s="42">
        <v>19</v>
      </c>
      <c r="I1184" s="42" t="s">
        <v>147</v>
      </c>
      <c r="J1184" s="103" t="s">
        <v>3611</v>
      </c>
      <c r="K1184" s="95" t="s">
        <v>4029</v>
      </c>
      <c r="L1184" s="42" t="str">
        <f>VLOOKUP(Table7[[#This Row],[Baseline Fixture Code]], 'Tables &amp; Ranges'!$A$114:$B$132, 2, FALSE)</f>
        <v>N/A</v>
      </c>
    </row>
    <row r="1185" spans="2:12" ht="40" customHeight="1">
      <c r="B1185" s="42">
        <v>1727</v>
      </c>
      <c r="C1185" s="102" t="s">
        <v>3449</v>
      </c>
      <c r="D1185" s="102" t="s">
        <v>3382</v>
      </c>
      <c r="E1185" s="92" t="s">
        <v>3450</v>
      </c>
      <c r="F1185" s="42">
        <v>1</v>
      </c>
      <c r="G1185" s="42">
        <v>350</v>
      </c>
      <c r="H1185" s="42">
        <v>391</v>
      </c>
      <c r="I1185" s="42" t="s">
        <v>3410</v>
      </c>
      <c r="J1185" s="103" t="s">
        <v>3611</v>
      </c>
      <c r="K1185" s="42" t="s">
        <v>4038</v>
      </c>
      <c r="L1185" s="42">
        <f>VLOOKUP(Table7[[#This Row],[Baseline Fixture Code]], 'Tables &amp; Ranges'!$A$114:$B$132, 2, FALSE)</f>
        <v>101108</v>
      </c>
    </row>
    <row r="1186" spans="2:12" ht="40" customHeight="1">
      <c r="B1186" s="42">
        <v>20</v>
      </c>
      <c r="C1186" s="102" t="s">
        <v>184</v>
      </c>
      <c r="D1186" s="102" t="s">
        <v>144</v>
      </c>
      <c r="E1186" s="92" t="s">
        <v>185</v>
      </c>
      <c r="F1186" s="42" t="s">
        <v>146</v>
      </c>
      <c r="G1186" s="42" t="s">
        <v>146</v>
      </c>
      <c r="H1186" s="42">
        <v>20</v>
      </c>
      <c r="I1186" s="42" t="s">
        <v>147</v>
      </c>
      <c r="J1186" s="103" t="s">
        <v>3611</v>
      </c>
      <c r="K1186" s="95" t="s">
        <v>4029</v>
      </c>
      <c r="L1186" s="42" t="str">
        <f>VLOOKUP(Table7[[#This Row],[Baseline Fixture Code]], 'Tables &amp; Ranges'!$A$114:$B$132, 2, FALSE)</f>
        <v>N/A</v>
      </c>
    </row>
    <row r="1187" spans="2:12" ht="40" customHeight="1">
      <c r="B1187" s="42">
        <v>1728</v>
      </c>
      <c r="C1187" s="102" t="s">
        <v>3451</v>
      </c>
      <c r="D1187" s="102" t="s">
        <v>3382</v>
      </c>
      <c r="E1187" s="92" t="s">
        <v>3452</v>
      </c>
      <c r="F1187" s="42">
        <v>1</v>
      </c>
      <c r="G1187" s="42">
        <v>350</v>
      </c>
      <c r="H1187" s="42">
        <v>375</v>
      </c>
      <c r="I1187" s="42" t="s">
        <v>147</v>
      </c>
      <c r="J1187" s="103" t="s">
        <v>3611</v>
      </c>
      <c r="K1187" s="42" t="s">
        <v>4038</v>
      </c>
      <c r="L1187" s="42">
        <f>VLOOKUP(Table7[[#This Row],[Baseline Fixture Code]], 'Tables &amp; Ranges'!$A$114:$B$132, 2, FALSE)</f>
        <v>101108</v>
      </c>
    </row>
    <row r="1188" spans="2:12" ht="40" customHeight="1">
      <c r="B1188" s="42">
        <v>21</v>
      </c>
      <c r="C1188" s="102" t="s">
        <v>186</v>
      </c>
      <c r="D1188" s="102" t="s">
        <v>144</v>
      </c>
      <c r="E1188" s="92" t="s">
        <v>187</v>
      </c>
      <c r="F1188" s="42" t="s">
        <v>146</v>
      </c>
      <c r="G1188" s="42" t="s">
        <v>146</v>
      </c>
      <c r="H1188" s="42">
        <v>21</v>
      </c>
      <c r="I1188" s="42" t="s">
        <v>147</v>
      </c>
      <c r="J1188" s="103" t="s">
        <v>3611</v>
      </c>
      <c r="K1188" s="95" t="s">
        <v>4029</v>
      </c>
      <c r="L1188" s="42" t="str">
        <f>VLOOKUP(Table7[[#This Row],[Baseline Fixture Code]], 'Tables &amp; Ranges'!$A$114:$B$132, 2, FALSE)</f>
        <v>N/A</v>
      </c>
    </row>
    <row r="1189" spans="2:12" ht="40" customHeight="1">
      <c r="B1189" s="42">
        <v>1702</v>
      </c>
      <c r="C1189" s="102" t="s">
        <v>3398</v>
      </c>
      <c r="D1189" s="102" t="s">
        <v>3382</v>
      </c>
      <c r="E1189" s="92" t="s">
        <v>3399</v>
      </c>
      <c r="F1189" s="42">
        <v>1</v>
      </c>
      <c r="G1189" s="42">
        <v>360</v>
      </c>
      <c r="H1189" s="42">
        <v>414</v>
      </c>
      <c r="I1189" s="42" t="s">
        <v>146</v>
      </c>
      <c r="J1189" s="103" t="s">
        <v>3611</v>
      </c>
      <c r="K1189" s="95" t="s">
        <v>4044</v>
      </c>
      <c r="L1189" s="42">
        <f>VLOOKUP(Table7[[#This Row],[Baseline Fixture Code]], 'Tables &amp; Ranges'!$A$114:$B$132, 2, FALSE)</f>
        <v>101136</v>
      </c>
    </row>
    <row r="1190" spans="2:12" ht="40" customHeight="1">
      <c r="B1190" s="42">
        <v>22</v>
      </c>
      <c r="C1190" s="102" t="s">
        <v>188</v>
      </c>
      <c r="D1190" s="102" t="s">
        <v>144</v>
      </c>
      <c r="E1190" s="92" t="s">
        <v>189</v>
      </c>
      <c r="F1190" s="42" t="s">
        <v>146</v>
      </c>
      <c r="G1190" s="42" t="s">
        <v>146</v>
      </c>
      <c r="H1190" s="42">
        <v>22</v>
      </c>
      <c r="I1190" s="42" t="s">
        <v>147</v>
      </c>
      <c r="J1190" s="103" t="s">
        <v>3611</v>
      </c>
      <c r="K1190" s="95" t="s">
        <v>4029</v>
      </c>
      <c r="L1190" s="42" t="str">
        <f>VLOOKUP(Table7[[#This Row],[Baseline Fixture Code]], 'Tables &amp; Ranges'!$A$114:$B$132, 2, FALSE)</f>
        <v>N/A</v>
      </c>
    </row>
    <row r="1191" spans="2:12" ht="40" customHeight="1">
      <c r="B1191" s="42">
        <v>1729</v>
      </c>
      <c r="C1191" s="102" t="s">
        <v>3453</v>
      </c>
      <c r="D1191" s="102" t="s">
        <v>3382</v>
      </c>
      <c r="E1191" s="92" t="s">
        <v>3454</v>
      </c>
      <c r="F1191" s="42">
        <v>1</v>
      </c>
      <c r="G1191" s="42">
        <v>360</v>
      </c>
      <c r="H1191" s="42">
        <v>418</v>
      </c>
      <c r="I1191" s="42" t="s">
        <v>3410</v>
      </c>
      <c r="J1191" s="103" t="s">
        <v>3611</v>
      </c>
      <c r="K1191" s="95" t="s">
        <v>4038</v>
      </c>
      <c r="L1191" s="42">
        <f>VLOOKUP(Table7[[#This Row],[Baseline Fixture Code]], 'Tables &amp; Ranges'!$A$114:$B$132, 2, FALSE)</f>
        <v>101108</v>
      </c>
    </row>
    <row r="1192" spans="2:12" ht="40" customHeight="1">
      <c r="B1192" s="42">
        <v>23</v>
      </c>
      <c r="C1192" s="102" t="s">
        <v>190</v>
      </c>
      <c r="D1192" s="102" t="s">
        <v>144</v>
      </c>
      <c r="E1192" s="92" t="s">
        <v>191</v>
      </c>
      <c r="F1192" s="42" t="s">
        <v>146</v>
      </c>
      <c r="G1192" s="42" t="s">
        <v>146</v>
      </c>
      <c r="H1192" s="42">
        <v>23</v>
      </c>
      <c r="I1192" s="42" t="s">
        <v>147</v>
      </c>
      <c r="J1192" s="103" t="s">
        <v>3611</v>
      </c>
      <c r="K1192" s="95" t="s">
        <v>4029</v>
      </c>
      <c r="L1192" s="42" t="str">
        <f>VLOOKUP(Table7[[#This Row],[Baseline Fixture Code]], 'Tables &amp; Ranges'!$A$114:$B$132, 2, FALSE)</f>
        <v>N/A</v>
      </c>
    </row>
    <row r="1193" spans="2:12" ht="40" customHeight="1">
      <c r="B1193" s="42">
        <v>1488</v>
      </c>
      <c r="C1193" s="102" t="s">
        <v>2970</v>
      </c>
      <c r="D1193" s="102" t="s">
        <v>2946</v>
      </c>
      <c r="E1193" s="92" t="s">
        <v>2971</v>
      </c>
      <c r="F1193" s="42">
        <v>1</v>
      </c>
      <c r="G1193" s="42">
        <v>400</v>
      </c>
      <c r="H1193" s="42">
        <v>420</v>
      </c>
      <c r="I1193" s="42" t="s">
        <v>147</v>
      </c>
      <c r="J1193" s="103" t="s">
        <v>3611</v>
      </c>
      <c r="K1193" s="95" t="s">
        <v>4045</v>
      </c>
      <c r="L1193" s="42">
        <f>VLOOKUP(Table7[[#This Row],[Baseline Fixture Code]], 'Tables &amp; Ranges'!$A$114:$B$132, 2, FALSE)</f>
        <v>101113</v>
      </c>
    </row>
    <row r="1194" spans="2:12" ht="40" customHeight="1">
      <c r="B1194" s="42">
        <v>24</v>
      </c>
      <c r="C1194" s="102" t="s">
        <v>192</v>
      </c>
      <c r="D1194" s="102" t="s">
        <v>144</v>
      </c>
      <c r="E1194" s="92" t="s">
        <v>193</v>
      </c>
      <c r="F1194" s="42" t="s">
        <v>146</v>
      </c>
      <c r="G1194" s="42" t="s">
        <v>146</v>
      </c>
      <c r="H1194" s="42">
        <v>24</v>
      </c>
      <c r="I1194" s="42" t="s">
        <v>147</v>
      </c>
      <c r="J1194" s="103" t="s">
        <v>3611</v>
      </c>
      <c r="K1194" s="95" t="s">
        <v>4029</v>
      </c>
      <c r="L1194" s="42" t="str">
        <f>VLOOKUP(Table7[[#This Row],[Baseline Fixture Code]], 'Tables &amp; Ranges'!$A$114:$B$132, 2, FALSE)</f>
        <v>N/A</v>
      </c>
    </row>
    <row r="1195" spans="2:12" ht="40" customHeight="1">
      <c r="B1195" s="42">
        <v>1703</v>
      </c>
      <c r="C1195" s="102" t="s">
        <v>3400</v>
      </c>
      <c r="D1195" s="102" t="s">
        <v>3382</v>
      </c>
      <c r="E1195" s="92" t="s">
        <v>3401</v>
      </c>
      <c r="F1195" s="42">
        <v>1</v>
      </c>
      <c r="G1195" s="42">
        <v>400</v>
      </c>
      <c r="H1195" s="42">
        <v>465</v>
      </c>
      <c r="I1195" s="42" t="s">
        <v>146</v>
      </c>
      <c r="J1195" s="103" t="s">
        <v>3611</v>
      </c>
      <c r="K1195" s="95" t="s">
        <v>4044</v>
      </c>
      <c r="L1195" s="42">
        <f>VLOOKUP(Table7[[#This Row],[Baseline Fixture Code]], 'Tables &amp; Ranges'!$A$114:$B$132, 2, FALSE)</f>
        <v>101136</v>
      </c>
    </row>
    <row r="1196" spans="2:12" ht="40" customHeight="1">
      <c r="B1196" s="42">
        <v>25</v>
      </c>
      <c r="C1196" s="102" t="s">
        <v>194</v>
      </c>
      <c r="D1196" s="102" t="s">
        <v>144</v>
      </c>
      <c r="E1196" s="92" t="s">
        <v>195</v>
      </c>
      <c r="F1196" s="42" t="s">
        <v>146</v>
      </c>
      <c r="G1196" s="42" t="s">
        <v>146</v>
      </c>
      <c r="H1196" s="42">
        <v>25</v>
      </c>
      <c r="I1196" s="42" t="s">
        <v>147</v>
      </c>
      <c r="J1196" s="103" t="s">
        <v>3611</v>
      </c>
      <c r="K1196" s="95" t="s">
        <v>4029</v>
      </c>
      <c r="L1196" s="42" t="str">
        <f>VLOOKUP(Table7[[#This Row],[Baseline Fixture Code]], 'Tables &amp; Ranges'!$A$114:$B$132, 2, FALSE)</f>
        <v>N/A</v>
      </c>
    </row>
    <row r="1197" spans="2:12" ht="40" customHeight="1">
      <c r="B1197" s="42">
        <v>1730</v>
      </c>
      <c r="C1197" s="102" t="s">
        <v>3455</v>
      </c>
      <c r="D1197" s="102" t="s">
        <v>3382</v>
      </c>
      <c r="E1197" s="92" t="s">
        <v>3456</v>
      </c>
      <c r="F1197" s="42">
        <v>1</v>
      </c>
      <c r="G1197" s="42">
        <v>400</v>
      </c>
      <c r="H1197" s="42">
        <v>453</v>
      </c>
      <c r="I1197" s="42" t="s">
        <v>3410</v>
      </c>
      <c r="J1197" s="103" t="s">
        <v>3611</v>
      </c>
      <c r="K1197" s="42" t="s">
        <v>4038</v>
      </c>
      <c r="L1197" s="42">
        <f>VLOOKUP(Table7[[#This Row],[Baseline Fixture Code]], 'Tables &amp; Ranges'!$A$114:$B$132, 2, FALSE)</f>
        <v>101108</v>
      </c>
    </row>
    <row r="1198" spans="2:12" ht="40" customHeight="1">
      <c r="B1198" s="42">
        <v>26</v>
      </c>
      <c r="C1198" s="102" t="s">
        <v>196</v>
      </c>
      <c r="D1198" s="102" t="s">
        <v>144</v>
      </c>
      <c r="E1198" s="92" t="s">
        <v>197</v>
      </c>
      <c r="F1198" s="42" t="s">
        <v>146</v>
      </c>
      <c r="G1198" s="42" t="s">
        <v>146</v>
      </c>
      <c r="H1198" s="42">
        <v>26</v>
      </c>
      <c r="I1198" s="42" t="s">
        <v>147</v>
      </c>
      <c r="J1198" s="103" t="s">
        <v>3611</v>
      </c>
      <c r="K1198" s="95" t="s">
        <v>4029</v>
      </c>
      <c r="L1198" s="42" t="str">
        <f>VLOOKUP(Table7[[#This Row],[Baseline Fixture Code]], 'Tables &amp; Ranges'!$A$114:$B$132, 2, FALSE)</f>
        <v>N/A</v>
      </c>
    </row>
    <row r="1199" spans="2:12" ht="40" customHeight="1">
      <c r="B1199" s="42">
        <v>1731</v>
      </c>
      <c r="C1199" s="102" t="s">
        <v>3457</v>
      </c>
      <c r="D1199" s="102" t="s">
        <v>3382</v>
      </c>
      <c r="E1199" s="92" t="s">
        <v>3458</v>
      </c>
      <c r="F1199" s="42">
        <v>1</v>
      </c>
      <c r="G1199" s="42">
        <v>400</v>
      </c>
      <c r="H1199" s="42">
        <v>429</v>
      </c>
      <c r="I1199" s="42" t="s">
        <v>147</v>
      </c>
      <c r="J1199" s="103" t="s">
        <v>3611</v>
      </c>
      <c r="K1199" s="42" t="s">
        <v>4038</v>
      </c>
      <c r="L1199" s="42">
        <f>VLOOKUP(Table7[[#This Row],[Baseline Fixture Code]], 'Tables &amp; Ranges'!$A$114:$B$132, 2, FALSE)</f>
        <v>101108</v>
      </c>
    </row>
    <row r="1200" spans="2:12" ht="40" customHeight="1">
      <c r="B1200" s="42">
        <v>27</v>
      </c>
      <c r="C1200" s="102" t="s">
        <v>198</v>
      </c>
      <c r="D1200" s="102" t="s">
        <v>144</v>
      </c>
      <c r="E1200" s="92" t="s">
        <v>199</v>
      </c>
      <c r="F1200" s="42" t="s">
        <v>146</v>
      </c>
      <c r="G1200" s="42" t="s">
        <v>146</v>
      </c>
      <c r="H1200" s="42">
        <v>27</v>
      </c>
      <c r="I1200" s="42" t="s">
        <v>147</v>
      </c>
      <c r="J1200" s="103" t="s">
        <v>3611</v>
      </c>
      <c r="K1200" s="95" t="s">
        <v>4029</v>
      </c>
      <c r="L1200" s="42" t="str">
        <f>VLOOKUP(Table7[[#This Row],[Baseline Fixture Code]], 'Tables &amp; Ranges'!$A$114:$B$132, 2, FALSE)</f>
        <v>N/A</v>
      </c>
    </row>
    <row r="1201" spans="2:12" ht="40" customHeight="1">
      <c r="B1201" s="42">
        <v>1750</v>
      </c>
      <c r="C1201" s="102" t="s">
        <v>3495</v>
      </c>
      <c r="D1201" s="102" t="s">
        <v>3382</v>
      </c>
      <c r="E1201" s="92" t="s">
        <v>3496</v>
      </c>
      <c r="F1201" s="42">
        <v>1</v>
      </c>
      <c r="G1201" s="42">
        <v>400</v>
      </c>
      <c r="H1201" s="42">
        <v>455</v>
      </c>
      <c r="I1201" s="42" t="s">
        <v>146</v>
      </c>
      <c r="J1201" s="103" t="s">
        <v>3611</v>
      </c>
      <c r="K1201" s="42" t="s">
        <v>4043</v>
      </c>
      <c r="L1201" s="42">
        <f>VLOOKUP(Table7[[#This Row],[Baseline Fixture Code]], 'Tables &amp; Ranges'!$A$114:$B$132, 2, FALSE)</f>
        <v>101110</v>
      </c>
    </row>
    <row r="1202" spans="2:12" ht="40" customHeight="1">
      <c r="B1202" s="42">
        <v>28</v>
      </c>
      <c r="C1202" s="102" t="s">
        <v>200</v>
      </c>
      <c r="D1202" s="102" t="s">
        <v>144</v>
      </c>
      <c r="E1202" s="92" t="s">
        <v>201</v>
      </c>
      <c r="F1202" s="42" t="s">
        <v>146</v>
      </c>
      <c r="G1202" s="42" t="s">
        <v>146</v>
      </c>
      <c r="H1202" s="42">
        <v>28</v>
      </c>
      <c r="I1202" s="42" t="s">
        <v>147</v>
      </c>
      <c r="J1202" s="103" t="s">
        <v>3611</v>
      </c>
      <c r="K1202" s="95" t="s">
        <v>4029</v>
      </c>
      <c r="L1202" s="42" t="str">
        <f>VLOOKUP(Table7[[#This Row],[Baseline Fixture Code]], 'Tables &amp; Ranges'!$A$114:$B$132, 2, FALSE)</f>
        <v>N/A</v>
      </c>
    </row>
    <row r="1203" spans="2:12" ht="40" customHeight="1">
      <c r="B1203" s="42">
        <v>1732</v>
      </c>
      <c r="C1203" s="102" t="s">
        <v>3459</v>
      </c>
      <c r="D1203" s="102" t="s">
        <v>3382</v>
      </c>
      <c r="E1203" s="92" t="s">
        <v>3460</v>
      </c>
      <c r="F1203" s="42">
        <v>1</v>
      </c>
      <c r="G1203" s="42">
        <v>450</v>
      </c>
      <c r="H1203" s="42">
        <v>499</v>
      </c>
      <c r="I1203" s="42" t="s">
        <v>3410</v>
      </c>
      <c r="J1203" s="103" t="s">
        <v>3611</v>
      </c>
      <c r="K1203" s="42" t="s">
        <v>4038</v>
      </c>
      <c r="L1203" s="42">
        <f>VLOOKUP(Table7[[#This Row],[Baseline Fixture Code]], 'Tables &amp; Ranges'!$A$114:$B$132, 2, FALSE)</f>
        <v>101108</v>
      </c>
    </row>
    <row r="1204" spans="2:12" ht="40" customHeight="1">
      <c r="B1204" s="42">
        <v>29</v>
      </c>
      <c r="C1204" s="102" t="s">
        <v>202</v>
      </c>
      <c r="D1204" s="102" t="s">
        <v>144</v>
      </c>
      <c r="E1204" s="92" t="s">
        <v>203</v>
      </c>
      <c r="F1204" s="42" t="s">
        <v>146</v>
      </c>
      <c r="G1204" s="42" t="s">
        <v>146</v>
      </c>
      <c r="H1204" s="42">
        <v>29</v>
      </c>
      <c r="I1204" s="42" t="s">
        <v>147</v>
      </c>
      <c r="J1204" s="103" t="s">
        <v>3611</v>
      </c>
      <c r="K1204" s="95" t="s">
        <v>4029</v>
      </c>
      <c r="L1204" s="42" t="str">
        <f>VLOOKUP(Table7[[#This Row],[Baseline Fixture Code]], 'Tables &amp; Ranges'!$A$114:$B$132, 2, FALSE)</f>
        <v>N/A</v>
      </c>
    </row>
    <row r="1205" spans="2:12" ht="40" customHeight="1">
      <c r="B1205" s="42">
        <v>1733</v>
      </c>
      <c r="C1205" s="102" t="s">
        <v>3461</v>
      </c>
      <c r="D1205" s="102" t="s">
        <v>3382</v>
      </c>
      <c r="E1205" s="92" t="s">
        <v>3462</v>
      </c>
      <c r="F1205" s="42">
        <v>1</v>
      </c>
      <c r="G1205" s="42">
        <v>450</v>
      </c>
      <c r="H1205" s="42">
        <v>486</v>
      </c>
      <c r="I1205" s="42" t="s">
        <v>147</v>
      </c>
      <c r="J1205" s="103" t="s">
        <v>3611</v>
      </c>
      <c r="K1205" s="42" t="s">
        <v>4038</v>
      </c>
      <c r="L1205" s="42">
        <f>VLOOKUP(Table7[[#This Row],[Baseline Fixture Code]], 'Tables &amp; Ranges'!$A$114:$B$132, 2, FALSE)</f>
        <v>101108</v>
      </c>
    </row>
    <row r="1206" spans="2:12" ht="40" customHeight="1">
      <c r="B1206" s="42">
        <v>30</v>
      </c>
      <c r="C1206" s="102" t="s">
        <v>204</v>
      </c>
      <c r="D1206" s="102" t="s">
        <v>144</v>
      </c>
      <c r="E1206" s="92" t="s">
        <v>205</v>
      </c>
      <c r="F1206" s="42" t="s">
        <v>146</v>
      </c>
      <c r="G1206" s="42" t="s">
        <v>146</v>
      </c>
      <c r="H1206" s="42">
        <v>30</v>
      </c>
      <c r="I1206" s="42" t="s">
        <v>147</v>
      </c>
      <c r="J1206" s="103" t="s">
        <v>3611</v>
      </c>
      <c r="K1206" s="95" t="s">
        <v>4029</v>
      </c>
      <c r="L1206" s="42" t="str">
        <f>VLOOKUP(Table7[[#This Row],[Baseline Fixture Code]], 'Tables &amp; Ranges'!$A$114:$B$132, 2, FALSE)</f>
        <v>N/A</v>
      </c>
    </row>
    <row r="1207" spans="2:12" ht="40" customHeight="1">
      <c r="B1207" s="42">
        <v>1586</v>
      </c>
      <c r="C1207" s="102" t="s">
        <v>3165</v>
      </c>
      <c r="D1207" s="102" t="s">
        <v>107</v>
      </c>
      <c r="E1207" s="92" t="s">
        <v>3166</v>
      </c>
      <c r="F1207" s="42">
        <v>1</v>
      </c>
      <c r="G1207" s="42">
        <v>500</v>
      </c>
      <c r="H1207" s="42">
        <v>500</v>
      </c>
      <c r="I1207" s="42" t="s">
        <v>146</v>
      </c>
      <c r="J1207" s="103" t="s">
        <v>3611</v>
      </c>
      <c r="K1207" s="42" t="s">
        <v>107</v>
      </c>
      <c r="L1207" s="42">
        <f>VLOOKUP(Table7[[#This Row],[Baseline Fixture Code]], 'Tables &amp; Ranges'!$A$114:$B$132, 2, FALSE)</f>
        <v>101106</v>
      </c>
    </row>
    <row r="1208" spans="2:12" ht="40" customHeight="1">
      <c r="B1208" s="42">
        <v>31</v>
      </c>
      <c r="C1208" s="102" t="s">
        <v>206</v>
      </c>
      <c r="D1208" s="102" t="s">
        <v>144</v>
      </c>
      <c r="E1208" s="92" t="s">
        <v>207</v>
      </c>
      <c r="F1208" s="42" t="s">
        <v>146</v>
      </c>
      <c r="G1208" s="42" t="s">
        <v>146</v>
      </c>
      <c r="H1208" s="42">
        <v>31</v>
      </c>
      <c r="I1208" s="42" t="s">
        <v>147</v>
      </c>
      <c r="J1208" s="103" t="s">
        <v>3611</v>
      </c>
      <c r="K1208" s="95" t="s">
        <v>4029</v>
      </c>
      <c r="L1208" s="42" t="str">
        <f>VLOOKUP(Table7[[#This Row],[Baseline Fixture Code]], 'Tables &amp; Ranges'!$A$114:$B$132, 2, FALSE)</f>
        <v>N/A</v>
      </c>
    </row>
    <row r="1209" spans="2:12" ht="40" customHeight="1">
      <c r="B1209" s="42">
        <v>1734</v>
      </c>
      <c r="C1209" s="102" t="s">
        <v>3463</v>
      </c>
      <c r="D1209" s="102" t="s">
        <v>3382</v>
      </c>
      <c r="E1209" s="92" t="s">
        <v>3464</v>
      </c>
      <c r="F1209" s="42">
        <v>1</v>
      </c>
      <c r="G1209" s="42">
        <v>575</v>
      </c>
      <c r="H1209" s="42">
        <v>630</v>
      </c>
      <c r="I1209" s="42" t="s">
        <v>3410</v>
      </c>
      <c r="J1209" s="103" t="s">
        <v>3611</v>
      </c>
      <c r="K1209" s="42" t="s">
        <v>4038</v>
      </c>
      <c r="L1209" s="42">
        <f>VLOOKUP(Table7[[#This Row],[Baseline Fixture Code]], 'Tables &amp; Ranges'!$A$114:$B$132, 2, FALSE)</f>
        <v>101108</v>
      </c>
    </row>
    <row r="1210" spans="2:12" ht="40" customHeight="1">
      <c r="B1210" s="42">
        <v>32</v>
      </c>
      <c r="C1210" s="102" t="s">
        <v>208</v>
      </c>
      <c r="D1210" s="102" t="s">
        <v>144</v>
      </c>
      <c r="E1210" s="92" t="s">
        <v>209</v>
      </c>
      <c r="F1210" s="42" t="s">
        <v>146</v>
      </c>
      <c r="G1210" s="42" t="s">
        <v>146</v>
      </c>
      <c r="H1210" s="42">
        <v>32</v>
      </c>
      <c r="I1210" s="42" t="s">
        <v>147</v>
      </c>
      <c r="J1210" s="103" t="s">
        <v>3611</v>
      </c>
      <c r="K1210" s="95" t="s">
        <v>4029</v>
      </c>
      <c r="L1210" s="42" t="str">
        <f>VLOOKUP(Table7[[#This Row],[Baseline Fixture Code]], 'Tables &amp; Ranges'!$A$114:$B$132, 2, FALSE)</f>
        <v>N/A</v>
      </c>
    </row>
    <row r="1211" spans="2:12" ht="40" customHeight="1">
      <c r="B1211" s="42">
        <v>1751</v>
      </c>
      <c r="C1211" s="102" t="s">
        <v>3497</v>
      </c>
      <c r="D1211" s="102" t="s">
        <v>3382</v>
      </c>
      <c r="E1211" s="92" t="s">
        <v>3498</v>
      </c>
      <c r="F1211" s="42">
        <v>1</v>
      </c>
      <c r="G1211" s="42">
        <v>700</v>
      </c>
      <c r="H1211" s="42">
        <v>780</v>
      </c>
      <c r="I1211" s="42" t="s">
        <v>146</v>
      </c>
      <c r="J1211" s="103" t="s">
        <v>3611</v>
      </c>
      <c r="K1211" s="42" t="s">
        <v>4043</v>
      </c>
      <c r="L1211" s="42">
        <f>VLOOKUP(Table7[[#This Row],[Baseline Fixture Code]], 'Tables &amp; Ranges'!$A$114:$B$132, 2, FALSE)</f>
        <v>101110</v>
      </c>
    </row>
    <row r="1212" spans="2:12" ht="40" customHeight="1">
      <c r="B1212" s="42">
        <v>33</v>
      </c>
      <c r="C1212" s="102" t="s">
        <v>210</v>
      </c>
      <c r="D1212" s="102" t="s">
        <v>144</v>
      </c>
      <c r="E1212" s="92" t="s">
        <v>211</v>
      </c>
      <c r="F1212" s="42" t="s">
        <v>146</v>
      </c>
      <c r="G1212" s="42" t="s">
        <v>146</v>
      </c>
      <c r="H1212" s="42">
        <v>33</v>
      </c>
      <c r="I1212" s="42" t="s">
        <v>147</v>
      </c>
      <c r="J1212" s="103" t="s">
        <v>3611</v>
      </c>
      <c r="K1212" s="95" t="s">
        <v>4029</v>
      </c>
      <c r="L1212" s="42" t="str">
        <f>VLOOKUP(Table7[[#This Row],[Baseline Fixture Code]], 'Tables &amp; Ranges'!$A$114:$B$132, 2, FALSE)</f>
        <v>N/A</v>
      </c>
    </row>
    <row r="1213" spans="2:12" ht="40" customHeight="1">
      <c r="B1213" s="42">
        <v>1735</v>
      </c>
      <c r="C1213" s="102" t="s">
        <v>3465</v>
      </c>
      <c r="D1213" s="102" t="s">
        <v>3382</v>
      </c>
      <c r="E1213" s="92" t="s">
        <v>3466</v>
      </c>
      <c r="F1213" s="42">
        <v>1</v>
      </c>
      <c r="G1213" s="42">
        <v>750</v>
      </c>
      <c r="H1213" s="42">
        <v>812</v>
      </c>
      <c r="I1213" s="42" t="s">
        <v>3410</v>
      </c>
      <c r="J1213" s="103" t="s">
        <v>3611</v>
      </c>
      <c r="K1213" s="42" t="s">
        <v>4038</v>
      </c>
      <c r="L1213" s="42">
        <f>VLOOKUP(Table7[[#This Row],[Baseline Fixture Code]], 'Tables &amp; Ranges'!$A$114:$B$132, 2, FALSE)</f>
        <v>101108</v>
      </c>
    </row>
    <row r="1214" spans="2:12" ht="40" customHeight="1">
      <c r="B1214" s="42">
        <v>34</v>
      </c>
      <c r="C1214" s="102" t="s">
        <v>212</v>
      </c>
      <c r="D1214" s="102" t="s">
        <v>144</v>
      </c>
      <c r="E1214" s="92" t="s">
        <v>213</v>
      </c>
      <c r="F1214" s="42" t="s">
        <v>146</v>
      </c>
      <c r="G1214" s="42" t="s">
        <v>146</v>
      </c>
      <c r="H1214" s="42">
        <v>34</v>
      </c>
      <c r="I1214" s="42" t="s">
        <v>147</v>
      </c>
      <c r="J1214" s="103" t="s">
        <v>3611</v>
      </c>
      <c r="K1214" s="95" t="s">
        <v>4029</v>
      </c>
      <c r="L1214" s="42" t="str">
        <f>VLOOKUP(Table7[[#This Row],[Baseline Fixture Code]], 'Tables &amp; Ranges'!$A$114:$B$132, 2, FALSE)</f>
        <v>N/A</v>
      </c>
    </row>
    <row r="1215" spans="2:12" ht="40" customHeight="1">
      <c r="B1215" s="42">
        <v>1736</v>
      </c>
      <c r="C1215" s="102" t="s">
        <v>3467</v>
      </c>
      <c r="D1215" s="102" t="s">
        <v>3382</v>
      </c>
      <c r="E1215" s="92" t="s">
        <v>3468</v>
      </c>
      <c r="F1215" s="42">
        <v>1</v>
      </c>
      <c r="G1215" s="42">
        <v>775</v>
      </c>
      <c r="H1215" s="42">
        <v>843</v>
      </c>
      <c r="I1215" s="42" t="s">
        <v>3410</v>
      </c>
      <c r="J1215" s="103" t="s">
        <v>3611</v>
      </c>
      <c r="K1215" s="42" t="s">
        <v>4038</v>
      </c>
      <c r="L1215" s="42">
        <f>VLOOKUP(Table7[[#This Row],[Baseline Fixture Code]], 'Tables &amp; Ranges'!$A$114:$B$132, 2, FALSE)</f>
        <v>101108</v>
      </c>
    </row>
    <row r="1216" spans="2:12" ht="40" customHeight="1">
      <c r="B1216" s="42">
        <v>35</v>
      </c>
      <c r="C1216" s="102" t="s">
        <v>214</v>
      </c>
      <c r="D1216" s="102" t="s">
        <v>144</v>
      </c>
      <c r="E1216" s="92" t="s">
        <v>215</v>
      </c>
      <c r="F1216" s="42" t="s">
        <v>146</v>
      </c>
      <c r="G1216" s="42" t="s">
        <v>146</v>
      </c>
      <c r="H1216" s="42">
        <v>35</v>
      </c>
      <c r="I1216" s="42" t="s">
        <v>147</v>
      </c>
      <c r="J1216" s="103" t="s">
        <v>3611</v>
      </c>
      <c r="K1216" s="95" t="s">
        <v>4029</v>
      </c>
      <c r="L1216" s="42" t="str">
        <f>VLOOKUP(Table7[[#This Row],[Baseline Fixture Code]], 'Tables &amp; Ranges'!$A$114:$B$132, 2, FALSE)</f>
        <v>N/A</v>
      </c>
    </row>
    <row r="1217" spans="2:12" ht="40" customHeight="1">
      <c r="B1217" s="42">
        <v>1737</v>
      </c>
      <c r="C1217" s="102" t="s">
        <v>3469</v>
      </c>
      <c r="D1217" s="102" t="s">
        <v>3382</v>
      </c>
      <c r="E1217" s="92" t="s">
        <v>3470</v>
      </c>
      <c r="F1217" s="42">
        <v>1</v>
      </c>
      <c r="G1217" s="42">
        <v>875</v>
      </c>
      <c r="H1217" s="42">
        <v>939</v>
      </c>
      <c r="I1217" s="42" t="s">
        <v>3410</v>
      </c>
      <c r="J1217" s="103" t="s">
        <v>3611</v>
      </c>
      <c r="K1217" s="42" t="s">
        <v>4038</v>
      </c>
      <c r="L1217" s="42">
        <f>VLOOKUP(Table7[[#This Row],[Baseline Fixture Code]], 'Tables &amp; Ranges'!$A$114:$B$132, 2, FALSE)</f>
        <v>101108</v>
      </c>
    </row>
    <row r="1218" spans="2:12" ht="40" customHeight="1">
      <c r="B1218" s="42">
        <v>36</v>
      </c>
      <c r="C1218" s="102" t="s">
        <v>216</v>
      </c>
      <c r="D1218" s="102" t="s">
        <v>144</v>
      </c>
      <c r="E1218" s="92" t="s">
        <v>217</v>
      </c>
      <c r="F1218" s="42" t="s">
        <v>146</v>
      </c>
      <c r="G1218" s="42" t="s">
        <v>146</v>
      </c>
      <c r="H1218" s="42">
        <v>36</v>
      </c>
      <c r="I1218" s="42" t="s">
        <v>147</v>
      </c>
      <c r="J1218" s="103" t="s">
        <v>3611</v>
      </c>
      <c r="K1218" s="95" t="s">
        <v>4029</v>
      </c>
      <c r="L1218" s="42" t="str">
        <f>VLOOKUP(Table7[[#This Row],[Baseline Fixture Code]], 'Tables &amp; Ranges'!$A$114:$B$132, 2, FALSE)</f>
        <v>N/A</v>
      </c>
    </row>
    <row r="1219" spans="2:12" ht="40" customHeight="1">
      <c r="B1219" s="42">
        <v>1704</v>
      </c>
      <c r="C1219" s="102" t="s">
        <v>3402</v>
      </c>
      <c r="D1219" s="102" t="s">
        <v>3382</v>
      </c>
      <c r="E1219" s="92" t="s">
        <v>3403</v>
      </c>
      <c r="F1219" s="42">
        <v>1</v>
      </c>
      <c r="G1219" s="42">
        <v>1000</v>
      </c>
      <c r="H1219" s="42">
        <v>1100</v>
      </c>
      <c r="I1219" s="42" t="s">
        <v>146</v>
      </c>
      <c r="J1219" s="103" t="s">
        <v>3611</v>
      </c>
      <c r="K1219" s="95" t="s">
        <v>4044</v>
      </c>
      <c r="L1219" s="42">
        <f>VLOOKUP(Table7[[#This Row],[Baseline Fixture Code]], 'Tables &amp; Ranges'!$A$114:$B$132, 2, FALSE)</f>
        <v>101136</v>
      </c>
    </row>
    <row r="1220" spans="2:12" ht="40" customHeight="1">
      <c r="B1220" s="42">
        <v>37</v>
      </c>
      <c r="C1220" s="102" t="s">
        <v>218</v>
      </c>
      <c r="D1220" s="102" t="s">
        <v>144</v>
      </c>
      <c r="E1220" s="92" t="s">
        <v>219</v>
      </c>
      <c r="F1220" s="42" t="s">
        <v>146</v>
      </c>
      <c r="G1220" s="42" t="s">
        <v>146</v>
      </c>
      <c r="H1220" s="42">
        <v>37</v>
      </c>
      <c r="I1220" s="42" t="s">
        <v>147</v>
      </c>
      <c r="J1220" s="103" t="s">
        <v>3611</v>
      </c>
      <c r="K1220" s="95" t="s">
        <v>4029</v>
      </c>
      <c r="L1220" s="42" t="str">
        <f>VLOOKUP(Table7[[#This Row],[Baseline Fixture Code]], 'Tables &amp; Ranges'!$A$114:$B$132, 2, FALSE)</f>
        <v>N/A</v>
      </c>
    </row>
    <row r="1221" spans="2:12" ht="40" customHeight="1">
      <c r="B1221" s="42">
        <v>1738</v>
      </c>
      <c r="C1221" s="102" t="s">
        <v>3471</v>
      </c>
      <c r="D1221" s="102" t="s">
        <v>3382</v>
      </c>
      <c r="E1221" s="92" t="s">
        <v>3472</v>
      </c>
      <c r="F1221" s="42">
        <v>1</v>
      </c>
      <c r="G1221" s="42">
        <v>1000</v>
      </c>
      <c r="H1221" s="42">
        <v>1078</v>
      </c>
      <c r="I1221" s="42" t="s">
        <v>3410</v>
      </c>
      <c r="J1221" s="103" t="s">
        <v>3611</v>
      </c>
      <c r="K1221" s="42" t="s">
        <v>4038</v>
      </c>
      <c r="L1221" s="42">
        <f>VLOOKUP(Table7[[#This Row],[Baseline Fixture Code]], 'Tables &amp; Ranges'!$A$114:$B$132, 2, FALSE)</f>
        <v>101108</v>
      </c>
    </row>
    <row r="1222" spans="2:12" ht="40" customHeight="1">
      <c r="B1222" s="42">
        <v>38</v>
      </c>
      <c r="C1222" s="102" t="s">
        <v>220</v>
      </c>
      <c r="D1222" s="102" t="s">
        <v>144</v>
      </c>
      <c r="E1222" s="92" t="s">
        <v>221</v>
      </c>
      <c r="F1222" s="42" t="s">
        <v>146</v>
      </c>
      <c r="G1222" s="42" t="s">
        <v>146</v>
      </c>
      <c r="H1222" s="42">
        <v>38</v>
      </c>
      <c r="I1222" s="42" t="s">
        <v>147</v>
      </c>
      <c r="J1222" s="103" t="s">
        <v>3611</v>
      </c>
      <c r="K1222" s="95" t="s">
        <v>4029</v>
      </c>
      <c r="L1222" s="42" t="str">
        <f>VLOOKUP(Table7[[#This Row],[Baseline Fixture Code]], 'Tables &amp; Ranges'!$A$114:$B$132, 2, FALSE)</f>
        <v>N/A</v>
      </c>
    </row>
    <row r="1223" spans="2:12" ht="40" customHeight="1">
      <c r="B1223" s="42">
        <v>1739</v>
      </c>
      <c r="C1223" s="102" t="s">
        <v>3473</v>
      </c>
      <c r="D1223" s="102" t="s">
        <v>3382</v>
      </c>
      <c r="E1223" s="92" t="s">
        <v>3474</v>
      </c>
      <c r="F1223" s="42">
        <v>1</v>
      </c>
      <c r="G1223" s="42">
        <v>1000</v>
      </c>
      <c r="H1223" s="42">
        <v>1067</v>
      </c>
      <c r="I1223" s="42" t="s">
        <v>147</v>
      </c>
      <c r="J1223" s="103" t="s">
        <v>3611</v>
      </c>
      <c r="K1223" s="42" t="s">
        <v>4038</v>
      </c>
      <c r="L1223" s="42">
        <f>VLOOKUP(Table7[[#This Row],[Baseline Fixture Code]], 'Tables &amp; Ranges'!$A$114:$B$132, 2, FALSE)</f>
        <v>101108</v>
      </c>
    </row>
    <row r="1224" spans="2:12" ht="40" customHeight="1">
      <c r="B1224" s="42">
        <v>39</v>
      </c>
      <c r="C1224" s="102" t="s">
        <v>222</v>
      </c>
      <c r="D1224" s="102" t="s">
        <v>144</v>
      </c>
      <c r="E1224" s="92" t="s">
        <v>223</v>
      </c>
      <c r="F1224" s="42" t="s">
        <v>146</v>
      </c>
      <c r="G1224" s="42" t="s">
        <v>146</v>
      </c>
      <c r="H1224" s="42">
        <v>39</v>
      </c>
      <c r="I1224" s="42" t="s">
        <v>147</v>
      </c>
      <c r="J1224" s="103" t="s">
        <v>3611</v>
      </c>
      <c r="K1224" s="95" t="s">
        <v>4029</v>
      </c>
      <c r="L1224" s="42" t="str">
        <f>VLOOKUP(Table7[[#This Row],[Baseline Fixture Code]], 'Tables &amp; Ranges'!$A$114:$B$132, 2, FALSE)</f>
        <v>N/A</v>
      </c>
    </row>
    <row r="1225" spans="2:12" ht="40" customHeight="1">
      <c r="B1225" s="42">
        <v>1752</v>
      </c>
      <c r="C1225" s="102" t="s">
        <v>3499</v>
      </c>
      <c r="D1225" s="102" t="s">
        <v>3382</v>
      </c>
      <c r="E1225" s="92" t="s">
        <v>3500</v>
      </c>
      <c r="F1225" s="42">
        <v>1</v>
      </c>
      <c r="G1225" s="42">
        <v>1000</v>
      </c>
      <c r="H1225" s="42">
        <v>1075</v>
      </c>
      <c r="I1225" s="42" t="s">
        <v>146</v>
      </c>
      <c r="J1225" s="103" t="s">
        <v>3611</v>
      </c>
      <c r="K1225" s="42" t="s">
        <v>4043</v>
      </c>
      <c r="L1225" s="42">
        <f>VLOOKUP(Table7[[#This Row],[Baseline Fixture Code]], 'Tables &amp; Ranges'!$A$114:$B$132, 2, FALSE)</f>
        <v>101110</v>
      </c>
    </row>
    <row r="1226" spans="2:12" ht="40" customHeight="1">
      <c r="B1226" s="42">
        <v>40</v>
      </c>
      <c r="C1226" s="102" t="s">
        <v>224</v>
      </c>
      <c r="D1226" s="102" t="s">
        <v>144</v>
      </c>
      <c r="E1226" s="92" t="s">
        <v>225</v>
      </c>
      <c r="F1226" s="42" t="s">
        <v>146</v>
      </c>
      <c r="G1226" s="42" t="s">
        <v>146</v>
      </c>
      <c r="H1226" s="42">
        <v>40</v>
      </c>
      <c r="I1226" s="42" t="s">
        <v>147</v>
      </c>
      <c r="J1226" s="103" t="s">
        <v>3611</v>
      </c>
      <c r="K1226" s="95" t="s">
        <v>4029</v>
      </c>
      <c r="L1226" s="42" t="str">
        <f>VLOOKUP(Table7[[#This Row],[Baseline Fixture Code]], 'Tables &amp; Ranges'!$A$114:$B$132, 2, FALSE)</f>
        <v>N/A</v>
      </c>
    </row>
    <row r="1227" spans="2:12" ht="40" customHeight="1">
      <c r="B1227" s="42">
        <v>1740</v>
      </c>
      <c r="C1227" s="102" t="s">
        <v>3475</v>
      </c>
      <c r="D1227" s="102" t="s">
        <v>3382</v>
      </c>
      <c r="E1227" s="92" t="s">
        <v>3476</v>
      </c>
      <c r="F1227" s="42">
        <v>1</v>
      </c>
      <c r="G1227" s="42">
        <v>1500</v>
      </c>
      <c r="H1227" s="42">
        <v>1605</v>
      </c>
      <c r="I1227" s="42" t="s">
        <v>3410</v>
      </c>
      <c r="J1227" s="103" t="s">
        <v>3611</v>
      </c>
      <c r="K1227" s="42" t="s">
        <v>4038</v>
      </c>
      <c r="L1227" s="42">
        <f>VLOOKUP(Table7[[#This Row],[Baseline Fixture Code]], 'Tables &amp; Ranges'!$A$114:$B$132, 2, FALSE)</f>
        <v>101108</v>
      </c>
    </row>
    <row r="1228" spans="2:12" ht="40" customHeight="1">
      <c r="B1228" s="42">
        <v>41</v>
      </c>
      <c r="C1228" s="102" t="s">
        <v>226</v>
      </c>
      <c r="D1228" s="102" t="s">
        <v>144</v>
      </c>
      <c r="E1228" s="92" t="s">
        <v>227</v>
      </c>
      <c r="F1228" s="42" t="s">
        <v>146</v>
      </c>
      <c r="G1228" s="42" t="s">
        <v>146</v>
      </c>
      <c r="H1228" s="42">
        <v>41</v>
      </c>
      <c r="I1228" s="42" t="s">
        <v>147</v>
      </c>
      <c r="J1228" s="103" t="s">
        <v>3611</v>
      </c>
      <c r="K1228" s="95" t="s">
        <v>4029</v>
      </c>
      <c r="L1228" s="42" t="str">
        <f>VLOOKUP(Table7[[#This Row],[Baseline Fixture Code]], 'Tables &amp; Ranges'!$A$114:$B$132, 2, FALSE)</f>
        <v>N/A</v>
      </c>
    </row>
    <row r="1229" spans="2:12" ht="40" customHeight="1">
      <c r="B1229" s="42">
        <v>1741</v>
      </c>
      <c r="C1229" s="102" t="s">
        <v>3477</v>
      </c>
      <c r="D1229" s="102" t="s">
        <v>3382</v>
      </c>
      <c r="E1229" s="92" t="s">
        <v>3478</v>
      </c>
      <c r="F1229" s="42">
        <v>1</v>
      </c>
      <c r="G1229" s="42">
        <v>1650</v>
      </c>
      <c r="H1229" s="42">
        <v>1765</v>
      </c>
      <c r="I1229" s="42" t="s">
        <v>3410</v>
      </c>
      <c r="J1229" s="103" t="s">
        <v>3611</v>
      </c>
      <c r="K1229" s="42" t="s">
        <v>4038</v>
      </c>
      <c r="L1229" s="42">
        <f>VLOOKUP(Table7[[#This Row],[Baseline Fixture Code]], 'Tables &amp; Ranges'!$A$114:$B$132, 2, FALSE)</f>
        <v>101108</v>
      </c>
    </row>
    <row r="1230" spans="2:12" ht="40" customHeight="1">
      <c r="B1230" s="42">
        <v>42</v>
      </c>
      <c r="C1230" s="102" t="s">
        <v>228</v>
      </c>
      <c r="D1230" s="102" t="s">
        <v>144</v>
      </c>
      <c r="E1230" s="92" t="s">
        <v>229</v>
      </c>
      <c r="F1230" s="42" t="s">
        <v>146</v>
      </c>
      <c r="G1230" s="42" t="s">
        <v>146</v>
      </c>
      <c r="H1230" s="42">
        <v>42</v>
      </c>
      <c r="I1230" s="42" t="s">
        <v>147</v>
      </c>
      <c r="J1230" s="103" t="s">
        <v>3611</v>
      </c>
      <c r="K1230" s="95" t="s">
        <v>4029</v>
      </c>
      <c r="L1230" s="42" t="str">
        <f>VLOOKUP(Table7[[#This Row],[Baseline Fixture Code]], 'Tables &amp; Ranges'!$A$114:$B$132, 2, FALSE)</f>
        <v>N/A</v>
      </c>
    </row>
    <row r="1231" spans="2:12" ht="40" customHeight="1">
      <c r="B1231" s="42">
        <v>1742</v>
      </c>
      <c r="C1231" s="102" t="s">
        <v>3479</v>
      </c>
      <c r="D1231" s="102" t="s">
        <v>3382</v>
      </c>
      <c r="E1231" s="92" t="s">
        <v>3480</v>
      </c>
      <c r="F1231" s="42">
        <v>1</v>
      </c>
      <c r="G1231" s="42">
        <v>2000</v>
      </c>
      <c r="H1231" s="42">
        <v>2140</v>
      </c>
      <c r="I1231" s="42" t="s">
        <v>3410</v>
      </c>
      <c r="J1231" s="103" t="s">
        <v>3611</v>
      </c>
      <c r="K1231" s="42" t="s">
        <v>4038</v>
      </c>
      <c r="L1231" s="42">
        <f>VLOOKUP(Table7[[#This Row],[Baseline Fixture Code]], 'Tables &amp; Ranges'!$A$114:$B$132, 2, FALSE)</f>
        <v>101108</v>
      </c>
    </row>
    <row r="1232" spans="2:12" ht="40" customHeight="1">
      <c r="B1232" s="42">
        <v>43</v>
      </c>
      <c r="C1232" s="102" t="s">
        <v>230</v>
      </c>
      <c r="D1232" s="102" t="s">
        <v>144</v>
      </c>
      <c r="E1232" s="92" t="s">
        <v>231</v>
      </c>
      <c r="F1232" s="42" t="s">
        <v>146</v>
      </c>
      <c r="G1232" s="42" t="s">
        <v>146</v>
      </c>
      <c r="H1232" s="42">
        <v>43</v>
      </c>
      <c r="I1232" s="42" t="s">
        <v>147</v>
      </c>
      <c r="J1232" s="103" t="s">
        <v>3611</v>
      </c>
      <c r="K1232" s="95" t="s">
        <v>4029</v>
      </c>
      <c r="L1232" s="42" t="str">
        <f>VLOOKUP(Table7[[#This Row],[Baseline Fixture Code]], 'Tables &amp; Ranges'!$A$114:$B$132, 2, FALSE)</f>
        <v>N/A</v>
      </c>
    </row>
    <row r="1233" spans="2:12" ht="40" customHeight="1">
      <c r="B1233" s="42">
        <v>844</v>
      </c>
      <c r="C1233" s="102" t="s">
        <v>1833</v>
      </c>
      <c r="D1233" s="102" t="s">
        <v>1737</v>
      </c>
      <c r="E1233" s="92" t="s">
        <v>1834</v>
      </c>
      <c r="F1233" s="42">
        <v>1</v>
      </c>
      <c r="G1233" s="42" t="s">
        <v>1816</v>
      </c>
      <c r="H1233" s="42">
        <v>61</v>
      </c>
      <c r="I1233" s="42" t="s">
        <v>1743</v>
      </c>
      <c r="J1233" s="103" t="s">
        <v>3611</v>
      </c>
      <c r="K1233" s="42" t="s">
        <v>4036</v>
      </c>
      <c r="L1233" s="42">
        <f>VLOOKUP(Table7[[#This Row],[Baseline Fixture Code]], 'Tables &amp; Ranges'!$A$114:$B$132, 2, FALSE)</f>
        <v>101003</v>
      </c>
    </row>
    <row r="1234" spans="2:12" ht="40" customHeight="1">
      <c r="B1234" s="42">
        <v>44</v>
      </c>
      <c r="C1234" s="102" t="s">
        <v>232</v>
      </c>
      <c r="D1234" s="102" t="s">
        <v>144</v>
      </c>
      <c r="E1234" s="92" t="s">
        <v>233</v>
      </c>
      <c r="F1234" s="42" t="s">
        <v>146</v>
      </c>
      <c r="G1234" s="42" t="s">
        <v>146</v>
      </c>
      <c r="H1234" s="42">
        <v>44</v>
      </c>
      <c r="I1234" s="42" t="s">
        <v>147</v>
      </c>
      <c r="J1234" s="103" t="s">
        <v>3611</v>
      </c>
      <c r="K1234" s="95" t="s">
        <v>4029</v>
      </c>
      <c r="L1234" s="42" t="str">
        <f>VLOOKUP(Table7[[#This Row],[Baseline Fixture Code]], 'Tables &amp; Ranges'!$A$114:$B$132, 2, FALSE)</f>
        <v>N/A</v>
      </c>
    </row>
    <row r="1235" spans="2:12" ht="40" customHeight="1">
      <c r="B1235" s="42">
        <v>845</v>
      </c>
      <c r="C1235" s="102" t="s">
        <v>1835</v>
      </c>
      <c r="D1235" s="102" t="s">
        <v>1737</v>
      </c>
      <c r="E1235" s="92" t="s">
        <v>1836</v>
      </c>
      <c r="F1235" s="42">
        <v>2</v>
      </c>
      <c r="G1235" s="42" t="s">
        <v>1816</v>
      </c>
      <c r="H1235" s="42">
        <v>110</v>
      </c>
      <c r="I1235" s="42" t="s">
        <v>1743</v>
      </c>
      <c r="J1235" s="103" t="s">
        <v>3611</v>
      </c>
      <c r="K1235" s="42" t="s">
        <v>4036</v>
      </c>
      <c r="L1235" s="42">
        <f>VLOOKUP(Table7[[#This Row],[Baseline Fixture Code]], 'Tables &amp; Ranges'!$A$114:$B$132, 2, FALSE)</f>
        <v>101003</v>
      </c>
    </row>
    <row r="1236" spans="2:12" ht="40" customHeight="1">
      <c r="B1236" s="42">
        <v>45</v>
      </c>
      <c r="C1236" s="102" t="s">
        <v>234</v>
      </c>
      <c r="D1236" s="102" t="s">
        <v>144</v>
      </c>
      <c r="E1236" s="92" t="s">
        <v>235</v>
      </c>
      <c r="F1236" s="42" t="s">
        <v>146</v>
      </c>
      <c r="G1236" s="42" t="s">
        <v>146</v>
      </c>
      <c r="H1236" s="42">
        <v>45</v>
      </c>
      <c r="I1236" s="42" t="s">
        <v>147</v>
      </c>
      <c r="J1236" s="103" t="s">
        <v>3611</v>
      </c>
      <c r="K1236" s="95" t="s">
        <v>4029</v>
      </c>
      <c r="L1236" s="42" t="str">
        <f>VLOOKUP(Table7[[#This Row],[Baseline Fixture Code]], 'Tables &amp; Ranges'!$A$114:$B$132, 2, FALSE)</f>
        <v>N/A</v>
      </c>
    </row>
    <row r="1237" spans="2:12" ht="40" customHeight="1">
      <c r="B1237" s="42">
        <v>846</v>
      </c>
      <c r="C1237" s="102" t="s">
        <v>1837</v>
      </c>
      <c r="D1237" s="102" t="s">
        <v>1737</v>
      </c>
      <c r="E1237" s="92" t="s">
        <v>1838</v>
      </c>
      <c r="F1237" s="42">
        <v>3</v>
      </c>
      <c r="G1237" s="42" t="s">
        <v>1816</v>
      </c>
      <c r="H1237" s="42">
        <v>166</v>
      </c>
      <c r="I1237" s="42" t="s">
        <v>1743</v>
      </c>
      <c r="J1237" s="103" t="s">
        <v>3611</v>
      </c>
      <c r="K1237" s="42" t="s">
        <v>4036</v>
      </c>
      <c r="L1237" s="42">
        <f>VLOOKUP(Table7[[#This Row],[Baseline Fixture Code]], 'Tables &amp; Ranges'!$A$114:$B$132, 2, FALSE)</f>
        <v>101003</v>
      </c>
    </row>
    <row r="1238" spans="2:12" ht="40" customHeight="1">
      <c r="B1238" s="42">
        <v>46</v>
      </c>
      <c r="C1238" s="102" t="s">
        <v>236</v>
      </c>
      <c r="D1238" s="102" t="s">
        <v>144</v>
      </c>
      <c r="E1238" s="92" t="s">
        <v>237</v>
      </c>
      <c r="F1238" s="42" t="s">
        <v>146</v>
      </c>
      <c r="G1238" s="42" t="s">
        <v>146</v>
      </c>
      <c r="H1238" s="42">
        <v>46</v>
      </c>
      <c r="I1238" s="42" t="s">
        <v>147</v>
      </c>
      <c r="J1238" s="103" t="s">
        <v>3611</v>
      </c>
      <c r="K1238" s="95" t="s">
        <v>4029</v>
      </c>
      <c r="L1238" s="42" t="str">
        <f>VLOOKUP(Table7[[#This Row],[Baseline Fixture Code]], 'Tables &amp; Ranges'!$A$114:$B$132, 2, FALSE)</f>
        <v>N/A</v>
      </c>
    </row>
    <row r="1239" spans="2:12" ht="40" customHeight="1">
      <c r="B1239" s="42">
        <v>847</v>
      </c>
      <c r="C1239" s="102" t="s">
        <v>1839</v>
      </c>
      <c r="D1239" s="102" t="s">
        <v>1737</v>
      </c>
      <c r="E1239" s="92" t="s">
        <v>1840</v>
      </c>
      <c r="F1239" s="42">
        <v>4</v>
      </c>
      <c r="G1239" s="42" t="s">
        <v>1816</v>
      </c>
      <c r="H1239" s="42">
        <v>211</v>
      </c>
      <c r="I1239" s="42" t="s">
        <v>1743</v>
      </c>
      <c r="J1239" s="103" t="s">
        <v>3611</v>
      </c>
      <c r="K1239" s="42" t="s">
        <v>4036</v>
      </c>
      <c r="L1239" s="42">
        <f>VLOOKUP(Table7[[#This Row],[Baseline Fixture Code]], 'Tables &amp; Ranges'!$A$114:$B$132, 2, FALSE)</f>
        <v>101003</v>
      </c>
    </row>
    <row r="1240" spans="2:12" ht="40" customHeight="1">
      <c r="B1240" s="42">
        <v>47</v>
      </c>
      <c r="C1240" s="102" t="s">
        <v>238</v>
      </c>
      <c r="D1240" s="102" t="s">
        <v>144</v>
      </c>
      <c r="E1240" s="92" t="s">
        <v>239</v>
      </c>
      <c r="F1240" s="42" t="s">
        <v>146</v>
      </c>
      <c r="G1240" s="42" t="s">
        <v>146</v>
      </c>
      <c r="H1240" s="42">
        <v>47</v>
      </c>
      <c r="I1240" s="42" t="s">
        <v>147</v>
      </c>
      <c r="J1240" s="103" t="s">
        <v>3611</v>
      </c>
      <c r="K1240" s="95" t="s">
        <v>4029</v>
      </c>
      <c r="L1240" s="42" t="str">
        <f>VLOOKUP(Table7[[#This Row],[Baseline Fixture Code]], 'Tables &amp; Ranges'!$A$114:$B$132, 2, FALSE)</f>
        <v>N/A</v>
      </c>
    </row>
    <row r="1241" spans="2:12" ht="40" customHeight="1">
      <c r="B1241" s="42">
        <v>835</v>
      </c>
      <c r="C1241" s="102" t="s">
        <v>1814</v>
      </c>
      <c r="D1241" s="102" t="s">
        <v>1737</v>
      </c>
      <c r="E1241" s="92" t="s">
        <v>1815</v>
      </c>
      <c r="F1241" s="42">
        <v>5</v>
      </c>
      <c r="G1241" s="42" t="s">
        <v>1816</v>
      </c>
      <c r="H1241" s="42">
        <v>276</v>
      </c>
      <c r="I1241" s="42" t="s">
        <v>1743</v>
      </c>
      <c r="J1241" s="103" t="s">
        <v>3611</v>
      </c>
      <c r="K1241" s="42" t="s">
        <v>4036</v>
      </c>
      <c r="L1241" s="42">
        <f>VLOOKUP(Table7[[#This Row],[Baseline Fixture Code]], 'Tables &amp; Ranges'!$A$114:$B$132, 2, FALSE)</f>
        <v>101003</v>
      </c>
    </row>
    <row r="1242" spans="2:12" ht="40" customHeight="1">
      <c r="B1242" s="42">
        <v>48</v>
      </c>
      <c r="C1242" s="102" t="s">
        <v>240</v>
      </c>
      <c r="D1242" s="102" t="s">
        <v>144</v>
      </c>
      <c r="E1242" s="92" t="s">
        <v>241</v>
      </c>
      <c r="F1242" s="42" t="s">
        <v>146</v>
      </c>
      <c r="G1242" s="42" t="s">
        <v>146</v>
      </c>
      <c r="H1242" s="42">
        <v>48</v>
      </c>
      <c r="I1242" s="42" t="s">
        <v>147</v>
      </c>
      <c r="J1242" s="103" t="s">
        <v>3611</v>
      </c>
      <c r="K1242" s="95" t="s">
        <v>4029</v>
      </c>
      <c r="L1242" s="42" t="str">
        <f>VLOOKUP(Table7[[#This Row],[Baseline Fixture Code]], 'Tables &amp; Ranges'!$A$114:$B$132, 2, FALSE)</f>
        <v>N/A</v>
      </c>
    </row>
    <row r="1243" spans="2:12" ht="40" customHeight="1">
      <c r="B1243" s="42">
        <v>51</v>
      </c>
      <c r="C1243" s="102" t="s">
        <v>246</v>
      </c>
      <c r="D1243" s="102" t="s">
        <v>247</v>
      </c>
      <c r="E1243" s="92" t="s">
        <v>248</v>
      </c>
      <c r="F1243" s="42" t="s">
        <v>146</v>
      </c>
      <c r="G1243" s="42" t="s">
        <v>146</v>
      </c>
      <c r="H1243" s="42">
        <v>1</v>
      </c>
      <c r="I1243" s="42" t="s">
        <v>147</v>
      </c>
      <c r="J1243" s="103" t="s">
        <v>3611</v>
      </c>
      <c r="K1243" s="42" t="s">
        <v>4041</v>
      </c>
      <c r="L1243" s="42" t="str">
        <f>VLOOKUP(Table7[[#This Row],[Baseline Fixture Code]], 'Tables &amp; Ranges'!$A$114:$B$132, 2, FALSE)</f>
        <v>N/A</v>
      </c>
    </row>
    <row r="1244" spans="2:12" ht="40" customHeight="1">
      <c r="B1244" s="42">
        <v>49</v>
      </c>
      <c r="C1244" s="102" t="s">
        <v>242</v>
      </c>
      <c r="D1244" s="102" t="s">
        <v>144</v>
      </c>
      <c r="E1244" s="92" t="s">
        <v>243</v>
      </c>
      <c r="F1244" s="42" t="s">
        <v>146</v>
      </c>
      <c r="G1244" s="42" t="s">
        <v>146</v>
      </c>
      <c r="H1244" s="42">
        <v>49</v>
      </c>
      <c r="I1244" s="42" t="s">
        <v>147</v>
      </c>
      <c r="J1244" s="103" t="s">
        <v>3611</v>
      </c>
      <c r="K1244" s="42" t="s">
        <v>4029</v>
      </c>
      <c r="L1244" s="42" t="str">
        <f>VLOOKUP(Table7[[#This Row],[Baseline Fixture Code]], 'Tables &amp; Ranges'!$A$114:$B$132, 2, FALSE)</f>
        <v>N/A</v>
      </c>
    </row>
    <row r="1245" spans="2:12" ht="40" customHeight="1">
      <c r="B1245" s="42">
        <v>52</v>
      </c>
      <c r="C1245" s="102" t="s">
        <v>249</v>
      </c>
      <c r="D1245" s="102" t="s">
        <v>247</v>
      </c>
      <c r="E1245" s="92" t="s">
        <v>250</v>
      </c>
      <c r="F1245" s="42" t="s">
        <v>146</v>
      </c>
      <c r="G1245" s="42" t="s">
        <v>146</v>
      </c>
      <c r="H1245" s="42">
        <v>2</v>
      </c>
      <c r="I1245" s="42" t="s">
        <v>147</v>
      </c>
      <c r="J1245" s="103" t="s">
        <v>3611</v>
      </c>
      <c r="K1245" s="42" t="s">
        <v>4041</v>
      </c>
      <c r="L1245" s="42" t="str">
        <f>VLOOKUP(Table7[[#This Row],[Baseline Fixture Code]], 'Tables &amp; Ranges'!$A$114:$B$132, 2, FALSE)</f>
        <v>N/A</v>
      </c>
    </row>
    <row r="1246" spans="2:12" ht="40" customHeight="1">
      <c r="B1246" s="42">
        <v>50</v>
      </c>
      <c r="C1246" s="102" t="s">
        <v>244</v>
      </c>
      <c r="D1246" s="102" t="s">
        <v>144</v>
      </c>
      <c r="E1246" s="92" t="s">
        <v>245</v>
      </c>
      <c r="F1246" s="42" t="s">
        <v>146</v>
      </c>
      <c r="G1246" s="42" t="s">
        <v>146</v>
      </c>
      <c r="H1246" s="42">
        <v>50</v>
      </c>
      <c r="I1246" s="42" t="s">
        <v>147</v>
      </c>
      <c r="J1246" s="103" t="s">
        <v>3611</v>
      </c>
      <c r="K1246" s="42" t="s">
        <v>4029</v>
      </c>
      <c r="L1246" s="42" t="str">
        <f>VLOOKUP(Table7[[#This Row],[Baseline Fixture Code]], 'Tables &amp; Ranges'!$A$114:$B$132, 2, FALSE)</f>
        <v>N/A</v>
      </c>
    </row>
    <row r="1247" spans="2:12" ht="40" customHeight="1">
      <c r="B1247" s="42">
        <v>53</v>
      </c>
      <c r="C1247" s="102" t="s">
        <v>251</v>
      </c>
      <c r="D1247" s="102" t="s">
        <v>247</v>
      </c>
      <c r="E1247" s="92" t="s">
        <v>252</v>
      </c>
      <c r="F1247" s="42" t="s">
        <v>146</v>
      </c>
      <c r="G1247" s="42" t="s">
        <v>146</v>
      </c>
      <c r="H1247" s="42">
        <v>3</v>
      </c>
      <c r="I1247" s="42" t="s">
        <v>147</v>
      </c>
      <c r="J1247" s="103" t="s">
        <v>3611</v>
      </c>
      <c r="K1247" s="42" t="s">
        <v>4041</v>
      </c>
      <c r="L1247" s="42" t="str">
        <f>VLOOKUP(Table7[[#This Row],[Baseline Fixture Code]], 'Tables &amp; Ranges'!$A$114:$B$132, 2, FALSE)</f>
        <v>N/A</v>
      </c>
    </row>
    <row r="1248" spans="2:12" ht="40" customHeight="1">
      <c r="B1248" s="42">
        <v>54</v>
      </c>
      <c r="C1248" s="102" t="s">
        <v>253</v>
      </c>
      <c r="D1248" s="102" t="s">
        <v>247</v>
      </c>
      <c r="E1248" s="92" t="s">
        <v>254</v>
      </c>
      <c r="F1248" s="42" t="s">
        <v>146</v>
      </c>
      <c r="G1248" s="42" t="s">
        <v>146</v>
      </c>
      <c r="H1248" s="42">
        <v>4</v>
      </c>
      <c r="I1248" s="42" t="s">
        <v>147</v>
      </c>
      <c r="J1248" s="103" t="s">
        <v>3611</v>
      </c>
      <c r="K1248" s="42" t="s">
        <v>4041</v>
      </c>
      <c r="L1248" s="42" t="str">
        <f>VLOOKUP(Table7[[#This Row],[Baseline Fixture Code]], 'Tables &amp; Ranges'!$A$114:$B$132, 2, FALSE)</f>
        <v>N/A</v>
      </c>
    </row>
    <row r="1249" spans="2:12" ht="40" customHeight="1">
      <c r="B1249" s="42">
        <v>55</v>
      </c>
      <c r="C1249" s="102" t="s">
        <v>255</v>
      </c>
      <c r="D1249" s="102" t="s">
        <v>247</v>
      </c>
      <c r="E1249" s="92" t="s">
        <v>256</v>
      </c>
      <c r="F1249" s="42" t="s">
        <v>146</v>
      </c>
      <c r="G1249" s="42" t="s">
        <v>146</v>
      </c>
      <c r="H1249" s="42">
        <v>5</v>
      </c>
      <c r="I1249" s="42" t="s">
        <v>147</v>
      </c>
      <c r="J1249" s="103" t="s">
        <v>3611</v>
      </c>
      <c r="K1249" s="42" t="s">
        <v>4041</v>
      </c>
      <c r="L1249" s="42" t="str">
        <f>VLOOKUP(Table7[[#This Row],[Baseline Fixture Code]], 'Tables &amp; Ranges'!$A$114:$B$132, 2, FALSE)</f>
        <v>N/A</v>
      </c>
    </row>
    <row r="1250" spans="2:12" ht="40" customHeight="1">
      <c r="B1250" s="42">
        <v>56</v>
      </c>
      <c r="C1250" s="102" t="s">
        <v>257</v>
      </c>
      <c r="D1250" s="102" t="s">
        <v>247</v>
      </c>
      <c r="E1250" s="92" t="s">
        <v>258</v>
      </c>
      <c r="F1250" s="42" t="s">
        <v>146</v>
      </c>
      <c r="G1250" s="42" t="s">
        <v>146</v>
      </c>
      <c r="H1250" s="42">
        <v>6</v>
      </c>
      <c r="I1250" s="42" t="s">
        <v>147</v>
      </c>
      <c r="J1250" s="103" t="s">
        <v>3611</v>
      </c>
      <c r="K1250" s="42" t="s">
        <v>4041</v>
      </c>
      <c r="L1250" s="42" t="str">
        <f>VLOOKUP(Table7[[#This Row],[Baseline Fixture Code]], 'Tables &amp; Ranges'!$A$114:$B$132, 2, FALSE)</f>
        <v>N/A</v>
      </c>
    </row>
    <row r="1251" spans="2:12" ht="40" customHeight="1">
      <c r="B1251" s="42">
        <v>57</v>
      </c>
      <c r="C1251" s="102" t="s">
        <v>259</v>
      </c>
      <c r="D1251" s="102" t="s">
        <v>247</v>
      </c>
      <c r="E1251" s="92" t="s">
        <v>260</v>
      </c>
      <c r="F1251" s="42" t="s">
        <v>146</v>
      </c>
      <c r="G1251" s="42" t="s">
        <v>146</v>
      </c>
      <c r="H1251" s="42">
        <v>7</v>
      </c>
      <c r="I1251" s="42" t="s">
        <v>147</v>
      </c>
      <c r="J1251" s="103" t="s">
        <v>3611</v>
      </c>
      <c r="K1251" s="42" t="s">
        <v>4041</v>
      </c>
      <c r="L1251" s="42" t="str">
        <f>VLOOKUP(Table7[[#This Row],[Baseline Fixture Code]], 'Tables &amp; Ranges'!$A$114:$B$132, 2, FALSE)</f>
        <v>N/A</v>
      </c>
    </row>
    <row r="1252" spans="2:12" ht="40" customHeight="1">
      <c r="B1252" s="42">
        <v>58</v>
      </c>
      <c r="C1252" s="102" t="s">
        <v>261</v>
      </c>
      <c r="D1252" s="102" t="s">
        <v>247</v>
      </c>
      <c r="E1252" s="92" t="s">
        <v>262</v>
      </c>
      <c r="F1252" s="42" t="s">
        <v>146</v>
      </c>
      <c r="G1252" s="42" t="s">
        <v>146</v>
      </c>
      <c r="H1252" s="42">
        <v>8</v>
      </c>
      <c r="I1252" s="42" t="s">
        <v>147</v>
      </c>
      <c r="J1252" s="103" t="s">
        <v>3611</v>
      </c>
      <c r="K1252" s="42" t="s">
        <v>4041</v>
      </c>
      <c r="L1252" s="42" t="str">
        <f>VLOOKUP(Table7[[#This Row],[Baseline Fixture Code]], 'Tables &amp; Ranges'!$A$114:$B$132, 2, FALSE)</f>
        <v>N/A</v>
      </c>
    </row>
    <row r="1253" spans="2:12" ht="40" customHeight="1">
      <c r="B1253" s="42">
        <v>59</v>
      </c>
      <c r="C1253" s="102" t="s">
        <v>263</v>
      </c>
      <c r="D1253" s="102" t="s">
        <v>247</v>
      </c>
      <c r="E1253" s="92" t="s">
        <v>264</v>
      </c>
      <c r="F1253" s="42" t="s">
        <v>146</v>
      </c>
      <c r="G1253" s="42" t="s">
        <v>146</v>
      </c>
      <c r="H1253" s="42">
        <v>9</v>
      </c>
      <c r="I1253" s="42" t="s">
        <v>147</v>
      </c>
      <c r="J1253" s="103" t="s">
        <v>3611</v>
      </c>
      <c r="K1253" s="42" t="s">
        <v>4041</v>
      </c>
      <c r="L1253" s="42" t="str">
        <f>VLOOKUP(Table7[[#This Row],[Baseline Fixture Code]], 'Tables &amp; Ranges'!$A$114:$B$132, 2, FALSE)</f>
        <v>N/A</v>
      </c>
    </row>
    <row r="1254" spans="2:12" ht="40" customHeight="1">
      <c r="B1254" s="42">
        <v>60</v>
      </c>
      <c r="C1254" s="102" t="s">
        <v>265</v>
      </c>
      <c r="D1254" s="102" t="s">
        <v>247</v>
      </c>
      <c r="E1254" s="92" t="s">
        <v>266</v>
      </c>
      <c r="F1254" s="42" t="s">
        <v>146</v>
      </c>
      <c r="G1254" s="42" t="s">
        <v>146</v>
      </c>
      <c r="H1254" s="42">
        <v>10</v>
      </c>
      <c r="I1254" s="42" t="s">
        <v>147</v>
      </c>
      <c r="J1254" s="103" t="s">
        <v>3611</v>
      </c>
      <c r="K1254" s="42" t="s">
        <v>4041</v>
      </c>
      <c r="L1254" s="42" t="str">
        <f>VLOOKUP(Table7[[#This Row],[Baseline Fixture Code]], 'Tables &amp; Ranges'!$A$114:$B$132, 2, FALSE)</f>
        <v>N/A</v>
      </c>
    </row>
    <row r="1255" spans="2:12" ht="40" customHeight="1">
      <c r="B1255" s="42">
        <v>61</v>
      </c>
      <c r="C1255" s="102" t="s">
        <v>267</v>
      </c>
      <c r="D1255" s="102" t="s">
        <v>247</v>
      </c>
      <c r="E1255" s="92" t="s">
        <v>268</v>
      </c>
      <c r="F1255" s="42" t="s">
        <v>146</v>
      </c>
      <c r="G1255" s="42" t="s">
        <v>146</v>
      </c>
      <c r="H1255" s="42">
        <v>11</v>
      </c>
      <c r="I1255" s="42" t="s">
        <v>147</v>
      </c>
      <c r="J1255" s="103" t="s">
        <v>3611</v>
      </c>
      <c r="K1255" s="42" t="s">
        <v>4041</v>
      </c>
      <c r="L1255" s="42" t="str">
        <f>VLOOKUP(Table7[[#This Row],[Baseline Fixture Code]], 'Tables &amp; Ranges'!$A$114:$B$132, 2, FALSE)</f>
        <v>N/A</v>
      </c>
    </row>
    <row r="1256" spans="2:12" ht="40" customHeight="1">
      <c r="B1256" s="42">
        <v>62</v>
      </c>
      <c r="C1256" s="102" t="s">
        <v>269</v>
      </c>
      <c r="D1256" s="102" t="s">
        <v>247</v>
      </c>
      <c r="E1256" s="92" t="s">
        <v>270</v>
      </c>
      <c r="F1256" s="42" t="s">
        <v>146</v>
      </c>
      <c r="G1256" s="42" t="s">
        <v>146</v>
      </c>
      <c r="H1256" s="42">
        <v>12</v>
      </c>
      <c r="I1256" s="42" t="s">
        <v>147</v>
      </c>
      <c r="J1256" s="103" t="s">
        <v>3611</v>
      </c>
      <c r="K1256" s="42" t="s">
        <v>4041</v>
      </c>
      <c r="L1256" s="42" t="str">
        <f>VLOOKUP(Table7[[#This Row],[Baseline Fixture Code]], 'Tables &amp; Ranges'!$A$114:$B$132, 2, FALSE)</f>
        <v>N/A</v>
      </c>
    </row>
    <row r="1257" spans="2:12" ht="40" customHeight="1">
      <c r="B1257" s="42">
        <v>63</v>
      </c>
      <c r="C1257" s="102" t="s">
        <v>271</v>
      </c>
      <c r="D1257" s="102" t="s">
        <v>247</v>
      </c>
      <c r="E1257" s="92" t="s">
        <v>272</v>
      </c>
      <c r="F1257" s="42" t="s">
        <v>146</v>
      </c>
      <c r="G1257" s="42" t="s">
        <v>146</v>
      </c>
      <c r="H1257" s="42">
        <v>13</v>
      </c>
      <c r="I1257" s="42" t="s">
        <v>147</v>
      </c>
      <c r="J1257" s="103" t="s">
        <v>3611</v>
      </c>
      <c r="K1257" s="42" t="s">
        <v>4041</v>
      </c>
      <c r="L1257" s="42" t="str">
        <f>VLOOKUP(Table7[[#This Row],[Baseline Fixture Code]], 'Tables &amp; Ranges'!$A$114:$B$132, 2, FALSE)</f>
        <v>N/A</v>
      </c>
    </row>
    <row r="1258" spans="2:12" ht="40" customHeight="1">
      <c r="B1258" s="42">
        <v>64</v>
      </c>
      <c r="C1258" s="102" t="s">
        <v>273</v>
      </c>
      <c r="D1258" s="102" t="s">
        <v>247</v>
      </c>
      <c r="E1258" s="92" t="s">
        <v>274</v>
      </c>
      <c r="F1258" s="42" t="s">
        <v>146</v>
      </c>
      <c r="G1258" s="42" t="s">
        <v>146</v>
      </c>
      <c r="H1258" s="42">
        <v>14</v>
      </c>
      <c r="I1258" s="42" t="s">
        <v>147</v>
      </c>
      <c r="J1258" s="103" t="s">
        <v>3611</v>
      </c>
      <c r="K1258" s="42" t="s">
        <v>4041</v>
      </c>
      <c r="L1258" s="42" t="str">
        <f>VLOOKUP(Table7[[#This Row],[Baseline Fixture Code]], 'Tables &amp; Ranges'!$A$114:$B$132, 2, FALSE)</f>
        <v>N/A</v>
      </c>
    </row>
    <row r="1259" spans="2:12" ht="40" customHeight="1">
      <c r="B1259" s="42">
        <v>65</v>
      </c>
      <c r="C1259" s="102" t="s">
        <v>275</v>
      </c>
      <c r="D1259" s="102" t="s">
        <v>247</v>
      </c>
      <c r="E1259" s="92" t="s">
        <v>276</v>
      </c>
      <c r="F1259" s="42" t="s">
        <v>146</v>
      </c>
      <c r="G1259" s="42" t="s">
        <v>146</v>
      </c>
      <c r="H1259" s="42">
        <v>15</v>
      </c>
      <c r="I1259" s="42" t="s">
        <v>147</v>
      </c>
      <c r="J1259" s="103" t="s">
        <v>3611</v>
      </c>
      <c r="K1259" s="42" t="s">
        <v>4041</v>
      </c>
      <c r="L1259" s="42" t="str">
        <f>VLOOKUP(Table7[[#This Row],[Baseline Fixture Code]], 'Tables &amp; Ranges'!$A$114:$B$132, 2, FALSE)</f>
        <v>N/A</v>
      </c>
    </row>
    <row r="1260" spans="2:12" ht="40" customHeight="1">
      <c r="B1260" s="42">
        <v>66</v>
      </c>
      <c r="C1260" s="102" t="s">
        <v>277</v>
      </c>
      <c r="D1260" s="102" t="s">
        <v>247</v>
      </c>
      <c r="E1260" s="92" t="s">
        <v>278</v>
      </c>
      <c r="F1260" s="42" t="s">
        <v>146</v>
      </c>
      <c r="G1260" s="42" t="s">
        <v>146</v>
      </c>
      <c r="H1260" s="42">
        <v>16</v>
      </c>
      <c r="I1260" s="42" t="s">
        <v>147</v>
      </c>
      <c r="J1260" s="103" t="s">
        <v>3611</v>
      </c>
      <c r="K1260" s="42" t="s">
        <v>4041</v>
      </c>
      <c r="L1260" s="42" t="str">
        <f>VLOOKUP(Table7[[#This Row],[Baseline Fixture Code]], 'Tables &amp; Ranges'!$A$114:$B$132, 2, FALSE)</f>
        <v>N/A</v>
      </c>
    </row>
    <row r="1261" spans="2:12" ht="40" customHeight="1">
      <c r="B1261" s="42">
        <v>67</v>
      </c>
      <c r="C1261" s="102" t="s">
        <v>279</v>
      </c>
      <c r="D1261" s="102" t="s">
        <v>247</v>
      </c>
      <c r="E1261" s="92" t="s">
        <v>280</v>
      </c>
      <c r="F1261" s="42" t="s">
        <v>146</v>
      </c>
      <c r="G1261" s="42" t="s">
        <v>146</v>
      </c>
      <c r="H1261" s="42">
        <v>17</v>
      </c>
      <c r="I1261" s="42" t="s">
        <v>147</v>
      </c>
      <c r="J1261" s="103" t="s">
        <v>3611</v>
      </c>
      <c r="K1261" s="42" t="s">
        <v>4041</v>
      </c>
      <c r="L1261" s="42" t="str">
        <f>VLOOKUP(Table7[[#This Row],[Baseline Fixture Code]], 'Tables &amp; Ranges'!$A$114:$B$132, 2, FALSE)</f>
        <v>N/A</v>
      </c>
    </row>
    <row r="1262" spans="2:12" ht="40" customHeight="1">
      <c r="B1262" s="42">
        <v>68</v>
      </c>
      <c r="C1262" s="102" t="s">
        <v>281</v>
      </c>
      <c r="D1262" s="102" t="s">
        <v>247</v>
      </c>
      <c r="E1262" s="92" t="s">
        <v>282</v>
      </c>
      <c r="F1262" s="42" t="s">
        <v>146</v>
      </c>
      <c r="G1262" s="42" t="s">
        <v>146</v>
      </c>
      <c r="H1262" s="42">
        <v>18</v>
      </c>
      <c r="I1262" s="42" t="s">
        <v>147</v>
      </c>
      <c r="J1262" s="103" t="s">
        <v>3611</v>
      </c>
      <c r="K1262" s="42" t="s">
        <v>4041</v>
      </c>
      <c r="L1262" s="42" t="str">
        <f>VLOOKUP(Table7[[#This Row],[Baseline Fixture Code]], 'Tables &amp; Ranges'!$A$114:$B$132, 2, FALSE)</f>
        <v>N/A</v>
      </c>
    </row>
    <row r="1263" spans="2:12" ht="40" customHeight="1">
      <c r="B1263" s="42">
        <v>69</v>
      </c>
      <c r="C1263" s="102" t="s">
        <v>283</v>
      </c>
      <c r="D1263" s="102" t="s">
        <v>247</v>
      </c>
      <c r="E1263" s="92" t="s">
        <v>284</v>
      </c>
      <c r="F1263" s="42" t="s">
        <v>146</v>
      </c>
      <c r="G1263" s="42" t="s">
        <v>146</v>
      </c>
      <c r="H1263" s="42">
        <v>19</v>
      </c>
      <c r="I1263" s="42" t="s">
        <v>147</v>
      </c>
      <c r="J1263" s="103" t="s">
        <v>3611</v>
      </c>
      <c r="K1263" s="42" t="s">
        <v>4041</v>
      </c>
      <c r="L1263" s="42" t="str">
        <f>VLOOKUP(Table7[[#This Row],[Baseline Fixture Code]], 'Tables &amp; Ranges'!$A$114:$B$132, 2, FALSE)</f>
        <v>N/A</v>
      </c>
    </row>
    <row r="1264" spans="2:12" ht="40" customHeight="1">
      <c r="B1264" s="42">
        <v>70</v>
      </c>
      <c r="C1264" s="102" t="s">
        <v>285</v>
      </c>
      <c r="D1264" s="102" t="s">
        <v>247</v>
      </c>
      <c r="E1264" s="92" t="s">
        <v>286</v>
      </c>
      <c r="F1264" s="42" t="s">
        <v>146</v>
      </c>
      <c r="G1264" s="42" t="s">
        <v>146</v>
      </c>
      <c r="H1264" s="42">
        <v>20</v>
      </c>
      <c r="I1264" s="42" t="s">
        <v>147</v>
      </c>
      <c r="J1264" s="103" t="s">
        <v>3611</v>
      </c>
      <c r="K1264" s="42" t="s">
        <v>4041</v>
      </c>
      <c r="L1264" s="42" t="str">
        <f>VLOOKUP(Table7[[#This Row],[Baseline Fixture Code]], 'Tables &amp; Ranges'!$A$114:$B$132, 2, FALSE)</f>
        <v>N/A</v>
      </c>
    </row>
    <row r="1265" spans="2:12" ht="40" customHeight="1">
      <c r="B1265" s="42">
        <v>71</v>
      </c>
      <c r="C1265" s="102" t="s">
        <v>287</v>
      </c>
      <c r="D1265" s="102" t="s">
        <v>247</v>
      </c>
      <c r="E1265" s="92" t="s">
        <v>288</v>
      </c>
      <c r="F1265" s="42" t="s">
        <v>146</v>
      </c>
      <c r="G1265" s="42" t="s">
        <v>146</v>
      </c>
      <c r="H1265" s="42">
        <v>21</v>
      </c>
      <c r="I1265" s="42" t="s">
        <v>147</v>
      </c>
      <c r="J1265" s="103" t="s">
        <v>3611</v>
      </c>
      <c r="K1265" s="42" t="s">
        <v>4041</v>
      </c>
      <c r="L1265" s="42" t="str">
        <f>VLOOKUP(Table7[[#This Row],[Baseline Fixture Code]], 'Tables &amp; Ranges'!$A$114:$B$132, 2, FALSE)</f>
        <v>N/A</v>
      </c>
    </row>
    <row r="1266" spans="2:12" ht="40" customHeight="1">
      <c r="B1266" s="42">
        <v>72</v>
      </c>
      <c r="C1266" s="102" t="s">
        <v>289</v>
      </c>
      <c r="D1266" s="102" t="s">
        <v>247</v>
      </c>
      <c r="E1266" s="92" t="s">
        <v>290</v>
      </c>
      <c r="F1266" s="42" t="s">
        <v>146</v>
      </c>
      <c r="G1266" s="42" t="s">
        <v>146</v>
      </c>
      <c r="H1266" s="42">
        <v>22</v>
      </c>
      <c r="I1266" s="42" t="s">
        <v>147</v>
      </c>
      <c r="J1266" s="103" t="s">
        <v>3611</v>
      </c>
      <c r="K1266" s="42" t="s">
        <v>4041</v>
      </c>
      <c r="L1266" s="42" t="str">
        <f>VLOOKUP(Table7[[#This Row],[Baseline Fixture Code]], 'Tables &amp; Ranges'!$A$114:$B$132, 2, FALSE)</f>
        <v>N/A</v>
      </c>
    </row>
    <row r="1267" spans="2:12" ht="40" customHeight="1">
      <c r="B1267" s="42">
        <v>73</v>
      </c>
      <c r="C1267" s="102" t="s">
        <v>291</v>
      </c>
      <c r="D1267" s="102" t="s">
        <v>247</v>
      </c>
      <c r="E1267" s="92" t="s">
        <v>292</v>
      </c>
      <c r="F1267" s="42" t="s">
        <v>146</v>
      </c>
      <c r="G1267" s="42" t="s">
        <v>146</v>
      </c>
      <c r="H1267" s="42">
        <v>23</v>
      </c>
      <c r="I1267" s="42" t="s">
        <v>147</v>
      </c>
      <c r="J1267" s="103" t="s">
        <v>3611</v>
      </c>
      <c r="K1267" s="42" t="s">
        <v>4041</v>
      </c>
      <c r="L1267" s="42" t="str">
        <f>VLOOKUP(Table7[[#This Row],[Baseline Fixture Code]], 'Tables &amp; Ranges'!$A$114:$B$132, 2, FALSE)</f>
        <v>N/A</v>
      </c>
    </row>
    <row r="1268" spans="2:12" ht="40" customHeight="1">
      <c r="B1268" s="42">
        <v>74</v>
      </c>
      <c r="C1268" s="102" t="s">
        <v>293</v>
      </c>
      <c r="D1268" s="102" t="s">
        <v>247</v>
      </c>
      <c r="E1268" s="92" t="s">
        <v>294</v>
      </c>
      <c r="F1268" s="42" t="s">
        <v>146</v>
      </c>
      <c r="G1268" s="42" t="s">
        <v>146</v>
      </c>
      <c r="H1268" s="42">
        <v>24</v>
      </c>
      <c r="I1268" s="42" t="s">
        <v>147</v>
      </c>
      <c r="J1268" s="103" t="s">
        <v>3611</v>
      </c>
      <c r="K1268" s="42" t="s">
        <v>4041</v>
      </c>
      <c r="L1268" s="42" t="str">
        <f>VLOOKUP(Table7[[#This Row],[Baseline Fixture Code]], 'Tables &amp; Ranges'!$A$114:$B$132, 2, FALSE)</f>
        <v>N/A</v>
      </c>
    </row>
    <row r="1269" spans="2:12" ht="40" customHeight="1">
      <c r="B1269" s="42">
        <v>75</v>
      </c>
      <c r="C1269" s="102" t="s">
        <v>295</v>
      </c>
      <c r="D1269" s="102" t="s">
        <v>247</v>
      </c>
      <c r="E1269" s="92" t="s">
        <v>296</v>
      </c>
      <c r="F1269" s="42" t="s">
        <v>146</v>
      </c>
      <c r="G1269" s="42" t="s">
        <v>146</v>
      </c>
      <c r="H1269" s="42">
        <v>25</v>
      </c>
      <c r="I1269" s="42" t="s">
        <v>147</v>
      </c>
      <c r="J1269" s="103" t="s">
        <v>3611</v>
      </c>
      <c r="K1269" s="42" t="s">
        <v>4041</v>
      </c>
      <c r="L1269" s="42" t="str">
        <f>VLOOKUP(Table7[[#This Row],[Baseline Fixture Code]], 'Tables &amp; Ranges'!$A$114:$B$132, 2, FALSE)</f>
        <v>N/A</v>
      </c>
    </row>
    <row r="1270" spans="2:12" ht="40" customHeight="1">
      <c r="B1270" s="42">
        <v>76</v>
      </c>
      <c r="C1270" s="102" t="s">
        <v>297</v>
      </c>
      <c r="D1270" s="102" t="s">
        <v>247</v>
      </c>
      <c r="E1270" s="92" t="s">
        <v>298</v>
      </c>
      <c r="F1270" s="42" t="s">
        <v>146</v>
      </c>
      <c r="G1270" s="42" t="s">
        <v>146</v>
      </c>
      <c r="H1270" s="42">
        <v>26</v>
      </c>
      <c r="I1270" s="42" t="s">
        <v>147</v>
      </c>
      <c r="J1270" s="103" t="s">
        <v>3611</v>
      </c>
      <c r="K1270" s="42" t="s">
        <v>4041</v>
      </c>
      <c r="L1270" s="42" t="str">
        <f>VLOOKUP(Table7[[#This Row],[Baseline Fixture Code]], 'Tables &amp; Ranges'!$A$114:$B$132, 2, FALSE)</f>
        <v>N/A</v>
      </c>
    </row>
    <row r="1271" spans="2:12" ht="40" customHeight="1">
      <c r="B1271" s="42">
        <v>77</v>
      </c>
      <c r="C1271" s="102" t="s">
        <v>299</v>
      </c>
      <c r="D1271" s="102" t="s">
        <v>247</v>
      </c>
      <c r="E1271" s="92" t="s">
        <v>300</v>
      </c>
      <c r="F1271" s="42" t="s">
        <v>146</v>
      </c>
      <c r="G1271" s="42" t="s">
        <v>146</v>
      </c>
      <c r="H1271" s="42">
        <v>27</v>
      </c>
      <c r="I1271" s="42" t="s">
        <v>147</v>
      </c>
      <c r="J1271" s="103" t="s">
        <v>3611</v>
      </c>
      <c r="K1271" s="42" t="s">
        <v>4041</v>
      </c>
      <c r="L1271" s="42" t="str">
        <f>VLOOKUP(Table7[[#This Row],[Baseline Fixture Code]], 'Tables &amp; Ranges'!$A$114:$B$132, 2, FALSE)</f>
        <v>N/A</v>
      </c>
    </row>
    <row r="1272" spans="2:12" ht="40" customHeight="1">
      <c r="B1272" s="42">
        <v>78</v>
      </c>
      <c r="C1272" s="102" t="s">
        <v>301</v>
      </c>
      <c r="D1272" s="102" t="s">
        <v>247</v>
      </c>
      <c r="E1272" s="92" t="s">
        <v>302</v>
      </c>
      <c r="F1272" s="42" t="s">
        <v>146</v>
      </c>
      <c r="G1272" s="42" t="s">
        <v>146</v>
      </c>
      <c r="H1272" s="42">
        <v>28</v>
      </c>
      <c r="I1272" s="42" t="s">
        <v>147</v>
      </c>
      <c r="J1272" s="103" t="s">
        <v>3611</v>
      </c>
      <c r="K1272" s="42" t="s">
        <v>4041</v>
      </c>
      <c r="L1272" s="42" t="str">
        <f>VLOOKUP(Table7[[#This Row],[Baseline Fixture Code]], 'Tables &amp; Ranges'!$A$114:$B$132, 2, FALSE)</f>
        <v>N/A</v>
      </c>
    </row>
    <row r="1273" spans="2:12" ht="40" customHeight="1">
      <c r="B1273" s="42">
        <v>79</v>
      </c>
      <c r="C1273" s="102" t="s">
        <v>303</v>
      </c>
      <c r="D1273" s="102" t="s">
        <v>247</v>
      </c>
      <c r="E1273" s="92" t="s">
        <v>304</v>
      </c>
      <c r="F1273" s="42" t="s">
        <v>146</v>
      </c>
      <c r="G1273" s="42" t="s">
        <v>146</v>
      </c>
      <c r="H1273" s="42">
        <v>29</v>
      </c>
      <c r="I1273" s="42" t="s">
        <v>147</v>
      </c>
      <c r="J1273" s="103" t="s">
        <v>3611</v>
      </c>
      <c r="K1273" s="42" t="s">
        <v>4041</v>
      </c>
      <c r="L1273" s="42" t="str">
        <f>VLOOKUP(Table7[[#This Row],[Baseline Fixture Code]], 'Tables &amp; Ranges'!$A$114:$B$132, 2, FALSE)</f>
        <v>N/A</v>
      </c>
    </row>
    <row r="1274" spans="2:12" ht="40" customHeight="1">
      <c r="B1274" s="42">
        <v>80</v>
      </c>
      <c r="C1274" s="102" t="s">
        <v>305</v>
      </c>
      <c r="D1274" s="102" t="s">
        <v>247</v>
      </c>
      <c r="E1274" s="92" t="s">
        <v>306</v>
      </c>
      <c r="F1274" s="42" t="s">
        <v>146</v>
      </c>
      <c r="G1274" s="42" t="s">
        <v>146</v>
      </c>
      <c r="H1274" s="42">
        <v>30</v>
      </c>
      <c r="I1274" s="42" t="s">
        <v>147</v>
      </c>
      <c r="J1274" s="103" t="s">
        <v>3611</v>
      </c>
      <c r="K1274" s="42" t="s">
        <v>4041</v>
      </c>
      <c r="L1274" s="42" t="str">
        <f>VLOOKUP(Table7[[#This Row],[Baseline Fixture Code]], 'Tables &amp; Ranges'!$A$114:$B$132, 2, FALSE)</f>
        <v>N/A</v>
      </c>
    </row>
    <row r="1275" spans="2:12" ht="40" customHeight="1">
      <c r="B1275" s="42">
        <v>81</v>
      </c>
      <c r="C1275" s="102" t="s">
        <v>307</v>
      </c>
      <c r="D1275" s="102" t="s">
        <v>247</v>
      </c>
      <c r="E1275" s="92" t="s">
        <v>308</v>
      </c>
      <c r="F1275" s="42" t="s">
        <v>146</v>
      </c>
      <c r="G1275" s="42" t="s">
        <v>146</v>
      </c>
      <c r="H1275" s="42">
        <v>31</v>
      </c>
      <c r="I1275" s="42" t="s">
        <v>147</v>
      </c>
      <c r="J1275" s="103" t="s">
        <v>3611</v>
      </c>
      <c r="K1275" s="42" t="s">
        <v>4041</v>
      </c>
      <c r="L1275" s="42" t="str">
        <f>VLOOKUP(Table7[[#This Row],[Baseline Fixture Code]], 'Tables &amp; Ranges'!$A$114:$B$132, 2, FALSE)</f>
        <v>N/A</v>
      </c>
    </row>
    <row r="1276" spans="2:12" ht="40" customHeight="1">
      <c r="B1276" s="42">
        <v>82</v>
      </c>
      <c r="C1276" s="102" t="s">
        <v>309</v>
      </c>
      <c r="D1276" s="102" t="s">
        <v>247</v>
      </c>
      <c r="E1276" s="92" t="s">
        <v>310</v>
      </c>
      <c r="F1276" s="42" t="s">
        <v>146</v>
      </c>
      <c r="G1276" s="42" t="s">
        <v>146</v>
      </c>
      <c r="H1276" s="42">
        <v>32</v>
      </c>
      <c r="I1276" s="42" t="s">
        <v>147</v>
      </c>
      <c r="J1276" s="103" t="s">
        <v>3611</v>
      </c>
      <c r="K1276" s="42" t="s">
        <v>4041</v>
      </c>
      <c r="L1276" s="42" t="str">
        <f>VLOOKUP(Table7[[#This Row],[Baseline Fixture Code]], 'Tables &amp; Ranges'!$A$114:$B$132, 2, FALSE)</f>
        <v>N/A</v>
      </c>
    </row>
    <row r="1277" spans="2:12" ht="40" customHeight="1">
      <c r="B1277" s="42">
        <v>83</v>
      </c>
      <c r="C1277" s="102" t="s">
        <v>311</v>
      </c>
      <c r="D1277" s="102" t="s">
        <v>247</v>
      </c>
      <c r="E1277" s="92" t="s">
        <v>312</v>
      </c>
      <c r="F1277" s="42" t="s">
        <v>146</v>
      </c>
      <c r="G1277" s="42" t="s">
        <v>146</v>
      </c>
      <c r="H1277" s="42">
        <v>33</v>
      </c>
      <c r="I1277" s="42" t="s">
        <v>147</v>
      </c>
      <c r="J1277" s="103" t="s">
        <v>3611</v>
      </c>
      <c r="K1277" s="42" t="s">
        <v>4041</v>
      </c>
      <c r="L1277" s="42" t="str">
        <f>VLOOKUP(Table7[[#This Row],[Baseline Fixture Code]], 'Tables &amp; Ranges'!$A$114:$B$132, 2, FALSE)</f>
        <v>N/A</v>
      </c>
    </row>
    <row r="1278" spans="2:12" ht="40" customHeight="1">
      <c r="B1278" s="42">
        <v>84</v>
      </c>
      <c r="C1278" s="102" t="s">
        <v>313</v>
      </c>
      <c r="D1278" s="102" t="s">
        <v>247</v>
      </c>
      <c r="E1278" s="92" t="s">
        <v>314</v>
      </c>
      <c r="F1278" s="42" t="s">
        <v>146</v>
      </c>
      <c r="G1278" s="42" t="s">
        <v>146</v>
      </c>
      <c r="H1278" s="42">
        <v>34</v>
      </c>
      <c r="I1278" s="42" t="s">
        <v>147</v>
      </c>
      <c r="J1278" s="103" t="s">
        <v>3611</v>
      </c>
      <c r="K1278" s="42" t="s">
        <v>4041</v>
      </c>
      <c r="L1278" s="42" t="str">
        <f>VLOOKUP(Table7[[#This Row],[Baseline Fixture Code]], 'Tables &amp; Ranges'!$A$114:$B$132, 2, FALSE)</f>
        <v>N/A</v>
      </c>
    </row>
    <row r="1279" spans="2:12" ht="40" customHeight="1">
      <c r="B1279" s="42">
        <v>85</v>
      </c>
      <c r="C1279" s="102" t="s">
        <v>315</v>
      </c>
      <c r="D1279" s="102" t="s">
        <v>247</v>
      </c>
      <c r="E1279" s="92" t="s">
        <v>316</v>
      </c>
      <c r="F1279" s="42" t="s">
        <v>146</v>
      </c>
      <c r="G1279" s="42" t="s">
        <v>146</v>
      </c>
      <c r="H1279" s="42">
        <v>35</v>
      </c>
      <c r="I1279" s="42" t="s">
        <v>147</v>
      </c>
      <c r="J1279" s="103" t="s">
        <v>3611</v>
      </c>
      <c r="K1279" s="42" t="s">
        <v>4041</v>
      </c>
      <c r="L1279" s="42" t="str">
        <f>VLOOKUP(Table7[[#This Row],[Baseline Fixture Code]], 'Tables &amp; Ranges'!$A$114:$B$132, 2, FALSE)</f>
        <v>N/A</v>
      </c>
    </row>
    <row r="1280" spans="2:12" ht="40" customHeight="1">
      <c r="B1280" s="42">
        <v>86</v>
      </c>
      <c r="C1280" s="102" t="s">
        <v>317</v>
      </c>
      <c r="D1280" s="102" t="s">
        <v>247</v>
      </c>
      <c r="E1280" s="92" t="s">
        <v>318</v>
      </c>
      <c r="F1280" s="42" t="s">
        <v>146</v>
      </c>
      <c r="G1280" s="42" t="s">
        <v>146</v>
      </c>
      <c r="H1280" s="42">
        <v>36</v>
      </c>
      <c r="I1280" s="42" t="s">
        <v>147</v>
      </c>
      <c r="J1280" s="103" t="s">
        <v>3611</v>
      </c>
      <c r="K1280" s="42" t="s">
        <v>4041</v>
      </c>
      <c r="L1280" s="42" t="str">
        <f>VLOOKUP(Table7[[#This Row],[Baseline Fixture Code]], 'Tables &amp; Ranges'!$A$114:$B$132, 2, FALSE)</f>
        <v>N/A</v>
      </c>
    </row>
    <row r="1281" spans="2:12" ht="40" customHeight="1">
      <c r="B1281" s="42">
        <v>87</v>
      </c>
      <c r="C1281" s="102" t="s">
        <v>319</v>
      </c>
      <c r="D1281" s="102" t="s">
        <v>247</v>
      </c>
      <c r="E1281" s="92" t="s">
        <v>320</v>
      </c>
      <c r="F1281" s="42" t="s">
        <v>146</v>
      </c>
      <c r="G1281" s="42" t="s">
        <v>146</v>
      </c>
      <c r="H1281" s="42">
        <v>37</v>
      </c>
      <c r="I1281" s="42" t="s">
        <v>147</v>
      </c>
      <c r="J1281" s="103" t="s">
        <v>3611</v>
      </c>
      <c r="K1281" s="42" t="s">
        <v>4041</v>
      </c>
      <c r="L1281" s="42" t="str">
        <f>VLOOKUP(Table7[[#This Row],[Baseline Fixture Code]], 'Tables &amp; Ranges'!$A$114:$B$132, 2, FALSE)</f>
        <v>N/A</v>
      </c>
    </row>
    <row r="1282" spans="2:12" ht="40" customHeight="1">
      <c r="B1282" s="42">
        <v>88</v>
      </c>
      <c r="C1282" s="102" t="s">
        <v>321</v>
      </c>
      <c r="D1282" s="102" t="s">
        <v>247</v>
      </c>
      <c r="E1282" s="92" t="s">
        <v>322</v>
      </c>
      <c r="F1282" s="42" t="s">
        <v>146</v>
      </c>
      <c r="G1282" s="42" t="s">
        <v>146</v>
      </c>
      <c r="H1282" s="42">
        <v>38</v>
      </c>
      <c r="I1282" s="42" t="s">
        <v>147</v>
      </c>
      <c r="J1282" s="103" t="s">
        <v>3611</v>
      </c>
      <c r="K1282" s="42" t="s">
        <v>4041</v>
      </c>
      <c r="L1282" s="42" t="str">
        <f>VLOOKUP(Table7[[#This Row],[Baseline Fixture Code]], 'Tables &amp; Ranges'!$A$114:$B$132, 2, FALSE)</f>
        <v>N/A</v>
      </c>
    </row>
    <row r="1283" spans="2:12" ht="40" customHeight="1">
      <c r="B1283" s="42">
        <v>89</v>
      </c>
      <c r="C1283" s="102" t="s">
        <v>323</v>
      </c>
      <c r="D1283" s="102" t="s">
        <v>247</v>
      </c>
      <c r="E1283" s="92" t="s">
        <v>324</v>
      </c>
      <c r="F1283" s="42" t="s">
        <v>146</v>
      </c>
      <c r="G1283" s="42" t="s">
        <v>146</v>
      </c>
      <c r="H1283" s="42">
        <v>39</v>
      </c>
      <c r="I1283" s="42" t="s">
        <v>147</v>
      </c>
      <c r="J1283" s="103" t="s">
        <v>3611</v>
      </c>
      <c r="K1283" s="42" t="s">
        <v>4041</v>
      </c>
      <c r="L1283" s="42" t="str">
        <f>VLOOKUP(Table7[[#This Row],[Baseline Fixture Code]], 'Tables &amp; Ranges'!$A$114:$B$132, 2, FALSE)</f>
        <v>N/A</v>
      </c>
    </row>
    <row r="1284" spans="2:12" ht="40" customHeight="1">
      <c r="B1284" s="42">
        <v>90</v>
      </c>
      <c r="C1284" s="102" t="s">
        <v>325</v>
      </c>
      <c r="D1284" s="102" t="s">
        <v>247</v>
      </c>
      <c r="E1284" s="92" t="s">
        <v>326</v>
      </c>
      <c r="F1284" s="42" t="s">
        <v>146</v>
      </c>
      <c r="G1284" s="42" t="s">
        <v>146</v>
      </c>
      <c r="H1284" s="42">
        <v>40</v>
      </c>
      <c r="I1284" s="42" t="s">
        <v>147</v>
      </c>
      <c r="J1284" s="103" t="s">
        <v>3611</v>
      </c>
      <c r="K1284" s="42" t="s">
        <v>4041</v>
      </c>
      <c r="L1284" s="42" t="str">
        <f>VLOOKUP(Table7[[#This Row],[Baseline Fixture Code]], 'Tables &amp; Ranges'!$A$114:$B$132, 2, FALSE)</f>
        <v>N/A</v>
      </c>
    </row>
    <row r="1285" spans="2:12" ht="40" customHeight="1">
      <c r="B1285" s="42">
        <v>91</v>
      </c>
      <c r="C1285" s="102" t="s">
        <v>327</v>
      </c>
      <c r="D1285" s="102" t="s">
        <v>247</v>
      </c>
      <c r="E1285" s="92" t="s">
        <v>328</v>
      </c>
      <c r="F1285" s="42" t="s">
        <v>146</v>
      </c>
      <c r="G1285" s="42" t="s">
        <v>146</v>
      </c>
      <c r="H1285" s="42">
        <v>41</v>
      </c>
      <c r="I1285" s="42" t="s">
        <v>147</v>
      </c>
      <c r="J1285" s="103" t="s">
        <v>3611</v>
      </c>
      <c r="K1285" s="42" t="s">
        <v>4041</v>
      </c>
      <c r="L1285" s="42" t="str">
        <f>VLOOKUP(Table7[[#This Row],[Baseline Fixture Code]], 'Tables &amp; Ranges'!$A$114:$B$132, 2, FALSE)</f>
        <v>N/A</v>
      </c>
    </row>
    <row r="1286" spans="2:12" ht="40" customHeight="1">
      <c r="B1286" s="42">
        <v>92</v>
      </c>
      <c r="C1286" s="102" t="s">
        <v>329</v>
      </c>
      <c r="D1286" s="102" t="s">
        <v>247</v>
      </c>
      <c r="E1286" s="92" t="s">
        <v>330</v>
      </c>
      <c r="F1286" s="42" t="s">
        <v>146</v>
      </c>
      <c r="G1286" s="42" t="s">
        <v>146</v>
      </c>
      <c r="H1286" s="42">
        <v>42</v>
      </c>
      <c r="I1286" s="42" t="s">
        <v>147</v>
      </c>
      <c r="J1286" s="103" t="s">
        <v>3611</v>
      </c>
      <c r="K1286" s="42" t="s">
        <v>4041</v>
      </c>
      <c r="L1286" s="42" t="str">
        <f>VLOOKUP(Table7[[#This Row],[Baseline Fixture Code]], 'Tables &amp; Ranges'!$A$114:$B$132, 2, FALSE)</f>
        <v>N/A</v>
      </c>
    </row>
    <row r="1287" spans="2:12" ht="40" customHeight="1">
      <c r="B1287" s="42">
        <v>93</v>
      </c>
      <c r="C1287" s="102" t="s">
        <v>331</v>
      </c>
      <c r="D1287" s="102" t="s">
        <v>247</v>
      </c>
      <c r="E1287" s="92" t="s">
        <v>332</v>
      </c>
      <c r="F1287" s="42" t="s">
        <v>146</v>
      </c>
      <c r="G1287" s="42" t="s">
        <v>146</v>
      </c>
      <c r="H1287" s="42">
        <v>43</v>
      </c>
      <c r="I1287" s="42" t="s">
        <v>147</v>
      </c>
      <c r="J1287" s="103" t="s">
        <v>3611</v>
      </c>
      <c r="K1287" s="42" t="s">
        <v>4041</v>
      </c>
      <c r="L1287" s="42" t="str">
        <f>VLOOKUP(Table7[[#This Row],[Baseline Fixture Code]], 'Tables &amp; Ranges'!$A$114:$B$132, 2, FALSE)</f>
        <v>N/A</v>
      </c>
    </row>
    <row r="1288" spans="2:12" ht="40" customHeight="1">
      <c r="B1288" s="42">
        <v>94</v>
      </c>
      <c r="C1288" s="102" t="s">
        <v>333</v>
      </c>
      <c r="D1288" s="102" t="s">
        <v>247</v>
      </c>
      <c r="E1288" s="92" t="s">
        <v>334</v>
      </c>
      <c r="F1288" s="42" t="s">
        <v>146</v>
      </c>
      <c r="G1288" s="42" t="s">
        <v>146</v>
      </c>
      <c r="H1288" s="42">
        <v>44</v>
      </c>
      <c r="I1288" s="42" t="s">
        <v>147</v>
      </c>
      <c r="J1288" s="103" t="s">
        <v>3611</v>
      </c>
      <c r="K1288" s="42" t="s">
        <v>4041</v>
      </c>
      <c r="L1288" s="42" t="str">
        <f>VLOOKUP(Table7[[#This Row],[Baseline Fixture Code]], 'Tables &amp; Ranges'!$A$114:$B$132, 2, FALSE)</f>
        <v>N/A</v>
      </c>
    </row>
    <row r="1289" spans="2:12" ht="40" customHeight="1">
      <c r="B1289" s="42">
        <v>95</v>
      </c>
      <c r="C1289" s="102" t="s">
        <v>335</v>
      </c>
      <c r="D1289" s="102" t="s">
        <v>247</v>
      </c>
      <c r="E1289" s="92" t="s">
        <v>336</v>
      </c>
      <c r="F1289" s="42" t="s">
        <v>146</v>
      </c>
      <c r="G1289" s="42" t="s">
        <v>146</v>
      </c>
      <c r="H1289" s="42">
        <v>45</v>
      </c>
      <c r="I1289" s="42" t="s">
        <v>147</v>
      </c>
      <c r="J1289" s="103" t="s">
        <v>3611</v>
      </c>
      <c r="K1289" s="42" t="s">
        <v>4041</v>
      </c>
      <c r="L1289" s="42" t="str">
        <f>VLOOKUP(Table7[[#This Row],[Baseline Fixture Code]], 'Tables &amp; Ranges'!$A$114:$B$132, 2, FALSE)</f>
        <v>N/A</v>
      </c>
    </row>
    <row r="1290" spans="2:12" ht="40" customHeight="1">
      <c r="B1290" s="42">
        <v>96</v>
      </c>
      <c r="C1290" s="102" t="s">
        <v>337</v>
      </c>
      <c r="D1290" s="102" t="s">
        <v>247</v>
      </c>
      <c r="E1290" s="92" t="s">
        <v>338</v>
      </c>
      <c r="F1290" s="42" t="s">
        <v>146</v>
      </c>
      <c r="G1290" s="42" t="s">
        <v>146</v>
      </c>
      <c r="H1290" s="42">
        <v>46</v>
      </c>
      <c r="I1290" s="42" t="s">
        <v>147</v>
      </c>
      <c r="J1290" s="103" t="s">
        <v>3611</v>
      </c>
      <c r="K1290" s="42" t="s">
        <v>4041</v>
      </c>
      <c r="L1290" s="42" t="str">
        <f>VLOOKUP(Table7[[#This Row],[Baseline Fixture Code]], 'Tables &amp; Ranges'!$A$114:$B$132, 2, FALSE)</f>
        <v>N/A</v>
      </c>
    </row>
    <row r="1291" spans="2:12" ht="40" customHeight="1">
      <c r="B1291" s="42">
        <v>97</v>
      </c>
      <c r="C1291" s="102" t="s">
        <v>339</v>
      </c>
      <c r="D1291" s="102" t="s">
        <v>247</v>
      </c>
      <c r="E1291" s="92" t="s">
        <v>340</v>
      </c>
      <c r="F1291" s="42" t="s">
        <v>146</v>
      </c>
      <c r="G1291" s="42" t="s">
        <v>146</v>
      </c>
      <c r="H1291" s="42">
        <v>47</v>
      </c>
      <c r="I1291" s="42" t="s">
        <v>147</v>
      </c>
      <c r="J1291" s="103" t="s">
        <v>3611</v>
      </c>
      <c r="K1291" s="42" t="s">
        <v>4041</v>
      </c>
      <c r="L1291" s="42" t="str">
        <f>VLOOKUP(Table7[[#This Row],[Baseline Fixture Code]], 'Tables &amp; Ranges'!$A$114:$B$132, 2, FALSE)</f>
        <v>N/A</v>
      </c>
    </row>
    <row r="1292" spans="2:12" ht="40" customHeight="1">
      <c r="B1292" s="42">
        <v>98</v>
      </c>
      <c r="C1292" s="102" t="s">
        <v>341</v>
      </c>
      <c r="D1292" s="102" t="s">
        <v>247</v>
      </c>
      <c r="E1292" s="92" t="s">
        <v>342</v>
      </c>
      <c r="F1292" s="42" t="s">
        <v>146</v>
      </c>
      <c r="G1292" s="42" t="s">
        <v>146</v>
      </c>
      <c r="H1292" s="42">
        <v>48</v>
      </c>
      <c r="I1292" s="42" t="s">
        <v>147</v>
      </c>
      <c r="J1292" s="103" t="s">
        <v>3611</v>
      </c>
      <c r="K1292" s="42" t="s">
        <v>4041</v>
      </c>
      <c r="L1292" s="42" t="str">
        <f>VLOOKUP(Table7[[#This Row],[Baseline Fixture Code]], 'Tables &amp; Ranges'!$A$114:$B$132, 2, FALSE)</f>
        <v>N/A</v>
      </c>
    </row>
    <row r="1293" spans="2:12" ht="40" customHeight="1">
      <c r="B1293" s="42">
        <v>99</v>
      </c>
      <c r="C1293" s="102" t="s">
        <v>343</v>
      </c>
      <c r="D1293" s="102" t="s">
        <v>247</v>
      </c>
      <c r="E1293" s="92" t="s">
        <v>344</v>
      </c>
      <c r="F1293" s="42" t="s">
        <v>146</v>
      </c>
      <c r="G1293" s="42" t="s">
        <v>146</v>
      </c>
      <c r="H1293" s="42">
        <v>49</v>
      </c>
      <c r="I1293" s="42" t="s">
        <v>147</v>
      </c>
      <c r="J1293" s="103" t="s">
        <v>3611</v>
      </c>
      <c r="K1293" s="42" t="s">
        <v>4041</v>
      </c>
      <c r="L1293" s="42" t="str">
        <f>VLOOKUP(Table7[[#This Row],[Baseline Fixture Code]], 'Tables &amp; Ranges'!$A$114:$B$132, 2, FALSE)</f>
        <v>N/A</v>
      </c>
    </row>
    <row r="1294" spans="2:12" ht="40" customHeight="1">
      <c r="B1294" s="42">
        <v>100</v>
      </c>
      <c r="C1294" s="102" t="s">
        <v>345</v>
      </c>
      <c r="D1294" s="102" t="s">
        <v>247</v>
      </c>
      <c r="E1294" s="92" t="s">
        <v>346</v>
      </c>
      <c r="F1294" s="42" t="s">
        <v>146</v>
      </c>
      <c r="G1294" s="42" t="s">
        <v>146</v>
      </c>
      <c r="H1294" s="42">
        <v>50</v>
      </c>
      <c r="I1294" s="42" t="s">
        <v>147</v>
      </c>
      <c r="J1294" s="103" t="s">
        <v>3611</v>
      </c>
      <c r="K1294" s="42" t="s">
        <v>4041</v>
      </c>
      <c r="L1294" s="42" t="str">
        <f>VLOOKUP(Table7[[#This Row],[Baseline Fixture Code]], 'Tables &amp; Ranges'!$A$114:$B$132, 2, FALSE)</f>
        <v>N/A</v>
      </c>
    </row>
    <row r="1295" spans="2:12" ht="40" customHeight="1">
      <c r="B1295" s="42">
        <v>101</v>
      </c>
      <c r="C1295" s="102" t="s">
        <v>347</v>
      </c>
      <c r="D1295" s="102" t="s">
        <v>247</v>
      </c>
      <c r="E1295" s="92" t="s">
        <v>348</v>
      </c>
      <c r="F1295" s="42" t="s">
        <v>146</v>
      </c>
      <c r="G1295" s="42" t="s">
        <v>146</v>
      </c>
      <c r="H1295" s="42">
        <v>51</v>
      </c>
      <c r="I1295" s="42" t="s">
        <v>147</v>
      </c>
      <c r="J1295" s="103" t="s">
        <v>3611</v>
      </c>
      <c r="K1295" s="42" t="s">
        <v>4041</v>
      </c>
      <c r="L1295" s="42" t="str">
        <f>VLOOKUP(Table7[[#This Row],[Baseline Fixture Code]], 'Tables &amp; Ranges'!$A$114:$B$132, 2, FALSE)</f>
        <v>N/A</v>
      </c>
    </row>
    <row r="1296" spans="2:12" ht="40" customHeight="1">
      <c r="B1296" s="42">
        <v>102</v>
      </c>
      <c r="C1296" s="102" t="s">
        <v>349</v>
      </c>
      <c r="D1296" s="102" t="s">
        <v>247</v>
      </c>
      <c r="E1296" s="92" t="s">
        <v>350</v>
      </c>
      <c r="F1296" s="42" t="s">
        <v>146</v>
      </c>
      <c r="G1296" s="42" t="s">
        <v>146</v>
      </c>
      <c r="H1296" s="42">
        <v>52</v>
      </c>
      <c r="I1296" s="42" t="s">
        <v>147</v>
      </c>
      <c r="J1296" s="103" t="s">
        <v>3611</v>
      </c>
      <c r="K1296" s="42" t="s">
        <v>4041</v>
      </c>
      <c r="L1296" s="42" t="str">
        <f>VLOOKUP(Table7[[#This Row],[Baseline Fixture Code]], 'Tables &amp; Ranges'!$A$114:$B$132, 2, FALSE)</f>
        <v>N/A</v>
      </c>
    </row>
    <row r="1297" spans="2:12" ht="40" customHeight="1">
      <c r="B1297" s="42">
        <v>103</v>
      </c>
      <c r="C1297" s="102" t="s">
        <v>351</v>
      </c>
      <c r="D1297" s="102" t="s">
        <v>247</v>
      </c>
      <c r="E1297" s="92" t="s">
        <v>352</v>
      </c>
      <c r="F1297" s="42" t="s">
        <v>146</v>
      </c>
      <c r="G1297" s="42" t="s">
        <v>146</v>
      </c>
      <c r="H1297" s="42">
        <v>53</v>
      </c>
      <c r="I1297" s="42" t="s">
        <v>147</v>
      </c>
      <c r="J1297" s="103" t="s">
        <v>3611</v>
      </c>
      <c r="K1297" s="42" t="s">
        <v>4041</v>
      </c>
      <c r="L1297" s="42" t="str">
        <f>VLOOKUP(Table7[[#This Row],[Baseline Fixture Code]], 'Tables &amp; Ranges'!$A$114:$B$132, 2, FALSE)</f>
        <v>N/A</v>
      </c>
    </row>
    <row r="1298" spans="2:12" ht="40" customHeight="1">
      <c r="B1298" s="42">
        <v>104</v>
      </c>
      <c r="C1298" s="102" t="s">
        <v>353</v>
      </c>
      <c r="D1298" s="102" t="s">
        <v>247</v>
      </c>
      <c r="E1298" s="92" t="s">
        <v>354</v>
      </c>
      <c r="F1298" s="42" t="s">
        <v>146</v>
      </c>
      <c r="G1298" s="42" t="s">
        <v>146</v>
      </c>
      <c r="H1298" s="42">
        <v>54</v>
      </c>
      <c r="I1298" s="42" t="s">
        <v>147</v>
      </c>
      <c r="J1298" s="103" t="s">
        <v>3611</v>
      </c>
      <c r="K1298" s="42" t="s">
        <v>4041</v>
      </c>
      <c r="L1298" s="42" t="str">
        <f>VLOOKUP(Table7[[#This Row],[Baseline Fixture Code]], 'Tables &amp; Ranges'!$A$114:$B$132, 2, FALSE)</f>
        <v>N/A</v>
      </c>
    </row>
    <row r="1299" spans="2:12" ht="40" customHeight="1">
      <c r="B1299" s="42">
        <v>105</v>
      </c>
      <c r="C1299" s="102" t="s">
        <v>355</v>
      </c>
      <c r="D1299" s="102" t="s">
        <v>247</v>
      </c>
      <c r="E1299" s="92" t="s">
        <v>356</v>
      </c>
      <c r="F1299" s="42" t="s">
        <v>146</v>
      </c>
      <c r="G1299" s="42" t="s">
        <v>146</v>
      </c>
      <c r="H1299" s="42">
        <v>55</v>
      </c>
      <c r="I1299" s="42" t="s">
        <v>147</v>
      </c>
      <c r="J1299" s="103" t="s">
        <v>3611</v>
      </c>
      <c r="K1299" s="42" t="s">
        <v>4041</v>
      </c>
      <c r="L1299" s="42" t="str">
        <f>VLOOKUP(Table7[[#This Row],[Baseline Fixture Code]], 'Tables &amp; Ranges'!$A$114:$B$132, 2, FALSE)</f>
        <v>N/A</v>
      </c>
    </row>
    <row r="1300" spans="2:12" ht="40" customHeight="1">
      <c r="B1300" s="42">
        <v>106</v>
      </c>
      <c r="C1300" s="102" t="s">
        <v>357</v>
      </c>
      <c r="D1300" s="102" t="s">
        <v>247</v>
      </c>
      <c r="E1300" s="92" t="s">
        <v>358</v>
      </c>
      <c r="F1300" s="42" t="s">
        <v>146</v>
      </c>
      <c r="G1300" s="42" t="s">
        <v>146</v>
      </c>
      <c r="H1300" s="42">
        <v>56</v>
      </c>
      <c r="I1300" s="42" t="s">
        <v>147</v>
      </c>
      <c r="J1300" s="103" t="s">
        <v>3611</v>
      </c>
      <c r="K1300" s="42" t="s">
        <v>4041</v>
      </c>
      <c r="L1300" s="42" t="str">
        <f>VLOOKUP(Table7[[#This Row],[Baseline Fixture Code]], 'Tables &amp; Ranges'!$A$114:$B$132, 2, FALSE)</f>
        <v>N/A</v>
      </c>
    </row>
    <row r="1301" spans="2:12" ht="40" customHeight="1">
      <c r="B1301" s="42">
        <v>107</v>
      </c>
      <c r="C1301" s="102" t="s">
        <v>359</v>
      </c>
      <c r="D1301" s="102" t="s">
        <v>247</v>
      </c>
      <c r="E1301" s="92" t="s">
        <v>360</v>
      </c>
      <c r="F1301" s="42" t="s">
        <v>146</v>
      </c>
      <c r="G1301" s="42" t="s">
        <v>146</v>
      </c>
      <c r="H1301" s="42">
        <v>57</v>
      </c>
      <c r="I1301" s="42" t="s">
        <v>147</v>
      </c>
      <c r="J1301" s="103" t="s">
        <v>3611</v>
      </c>
      <c r="K1301" s="42" t="s">
        <v>4041</v>
      </c>
      <c r="L1301" s="42" t="str">
        <f>VLOOKUP(Table7[[#This Row],[Baseline Fixture Code]], 'Tables &amp; Ranges'!$A$114:$B$132, 2, FALSE)</f>
        <v>N/A</v>
      </c>
    </row>
    <row r="1302" spans="2:12" ht="40" customHeight="1">
      <c r="B1302" s="42">
        <v>108</v>
      </c>
      <c r="C1302" s="102" t="s">
        <v>361</v>
      </c>
      <c r="D1302" s="102" t="s">
        <v>247</v>
      </c>
      <c r="E1302" s="92" t="s">
        <v>362</v>
      </c>
      <c r="F1302" s="42" t="s">
        <v>146</v>
      </c>
      <c r="G1302" s="42" t="s">
        <v>146</v>
      </c>
      <c r="H1302" s="42">
        <v>58</v>
      </c>
      <c r="I1302" s="42" t="s">
        <v>147</v>
      </c>
      <c r="J1302" s="103" t="s">
        <v>3611</v>
      </c>
      <c r="K1302" s="42" t="s">
        <v>4041</v>
      </c>
      <c r="L1302" s="42" t="str">
        <f>VLOOKUP(Table7[[#This Row],[Baseline Fixture Code]], 'Tables &amp; Ranges'!$A$114:$B$132, 2, FALSE)</f>
        <v>N/A</v>
      </c>
    </row>
    <row r="1303" spans="2:12" ht="40" customHeight="1">
      <c r="B1303" s="42">
        <v>109</v>
      </c>
      <c r="C1303" s="102" t="s">
        <v>363</v>
      </c>
      <c r="D1303" s="102" t="s">
        <v>247</v>
      </c>
      <c r="E1303" s="92" t="s">
        <v>364</v>
      </c>
      <c r="F1303" s="42" t="s">
        <v>146</v>
      </c>
      <c r="G1303" s="42" t="s">
        <v>146</v>
      </c>
      <c r="H1303" s="42">
        <v>59</v>
      </c>
      <c r="I1303" s="42" t="s">
        <v>147</v>
      </c>
      <c r="J1303" s="103" t="s">
        <v>3611</v>
      </c>
      <c r="K1303" s="42" t="s">
        <v>4041</v>
      </c>
      <c r="L1303" s="42" t="str">
        <f>VLOOKUP(Table7[[#This Row],[Baseline Fixture Code]], 'Tables &amp; Ranges'!$A$114:$B$132, 2, FALSE)</f>
        <v>N/A</v>
      </c>
    </row>
    <row r="1304" spans="2:12" ht="40" customHeight="1">
      <c r="B1304" s="42">
        <v>110</v>
      </c>
      <c r="C1304" s="102" t="s">
        <v>365</v>
      </c>
      <c r="D1304" s="102" t="s">
        <v>247</v>
      </c>
      <c r="E1304" s="92" t="s">
        <v>366</v>
      </c>
      <c r="F1304" s="42" t="s">
        <v>146</v>
      </c>
      <c r="G1304" s="42" t="s">
        <v>146</v>
      </c>
      <c r="H1304" s="42">
        <v>60</v>
      </c>
      <c r="I1304" s="42" t="s">
        <v>147</v>
      </c>
      <c r="J1304" s="103" t="s">
        <v>3611</v>
      </c>
      <c r="K1304" s="42" t="s">
        <v>4041</v>
      </c>
      <c r="L1304" s="42" t="str">
        <f>VLOOKUP(Table7[[#This Row],[Baseline Fixture Code]], 'Tables &amp; Ranges'!$A$114:$B$132, 2, FALSE)</f>
        <v>N/A</v>
      </c>
    </row>
    <row r="1305" spans="2:12" ht="40" customHeight="1">
      <c r="B1305" s="42">
        <v>111</v>
      </c>
      <c r="C1305" s="102" t="s">
        <v>367</v>
      </c>
      <c r="D1305" s="102" t="s">
        <v>247</v>
      </c>
      <c r="E1305" s="92" t="s">
        <v>368</v>
      </c>
      <c r="F1305" s="42" t="s">
        <v>146</v>
      </c>
      <c r="G1305" s="42" t="s">
        <v>146</v>
      </c>
      <c r="H1305" s="42">
        <v>61</v>
      </c>
      <c r="I1305" s="42" t="s">
        <v>147</v>
      </c>
      <c r="J1305" s="103" t="s">
        <v>3611</v>
      </c>
      <c r="K1305" s="42" t="s">
        <v>4041</v>
      </c>
      <c r="L1305" s="42" t="str">
        <f>VLOOKUP(Table7[[#This Row],[Baseline Fixture Code]], 'Tables &amp; Ranges'!$A$114:$B$132, 2, FALSE)</f>
        <v>N/A</v>
      </c>
    </row>
    <row r="1306" spans="2:12" ht="40" customHeight="1">
      <c r="B1306" s="42">
        <v>112</v>
      </c>
      <c r="C1306" s="102" t="s">
        <v>369</v>
      </c>
      <c r="D1306" s="102" t="s">
        <v>247</v>
      </c>
      <c r="E1306" s="92" t="s">
        <v>370</v>
      </c>
      <c r="F1306" s="42" t="s">
        <v>146</v>
      </c>
      <c r="G1306" s="42" t="s">
        <v>146</v>
      </c>
      <c r="H1306" s="42">
        <v>62</v>
      </c>
      <c r="I1306" s="42" t="s">
        <v>147</v>
      </c>
      <c r="J1306" s="103" t="s">
        <v>3611</v>
      </c>
      <c r="K1306" s="42" t="s">
        <v>4041</v>
      </c>
      <c r="L1306" s="42" t="str">
        <f>VLOOKUP(Table7[[#This Row],[Baseline Fixture Code]], 'Tables &amp; Ranges'!$A$114:$B$132, 2, FALSE)</f>
        <v>N/A</v>
      </c>
    </row>
    <row r="1307" spans="2:12" ht="40" customHeight="1">
      <c r="B1307" s="42">
        <v>113</v>
      </c>
      <c r="C1307" s="102" t="s">
        <v>371</v>
      </c>
      <c r="D1307" s="102" t="s">
        <v>247</v>
      </c>
      <c r="E1307" s="92" t="s">
        <v>372</v>
      </c>
      <c r="F1307" s="42" t="s">
        <v>146</v>
      </c>
      <c r="G1307" s="42" t="s">
        <v>146</v>
      </c>
      <c r="H1307" s="42">
        <v>63</v>
      </c>
      <c r="I1307" s="42" t="s">
        <v>147</v>
      </c>
      <c r="J1307" s="103" t="s">
        <v>3611</v>
      </c>
      <c r="K1307" s="42" t="s">
        <v>4041</v>
      </c>
      <c r="L1307" s="42" t="str">
        <f>VLOOKUP(Table7[[#This Row],[Baseline Fixture Code]], 'Tables &amp; Ranges'!$A$114:$B$132, 2, FALSE)</f>
        <v>N/A</v>
      </c>
    </row>
    <row r="1308" spans="2:12" ht="40" customHeight="1">
      <c r="B1308" s="42">
        <v>114</v>
      </c>
      <c r="C1308" s="102" t="s">
        <v>373</v>
      </c>
      <c r="D1308" s="102" t="s">
        <v>247</v>
      </c>
      <c r="E1308" s="92" t="s">
        <v>374</v>
      </c>
      <c r="F1308" s="42" t="s">
        <v>146</v>
      </c>
      <c r="G1308" s="42" t="s">
        <v>146</v>
      </c>
      <c r="H1308" s="42">
        <v>64</v>
      </c>
      <c r="I1308" s="42" t="s">
        <v>147</v>
      </c>
      <c r="J1308" s="103" t="s">
        <v>3611</v>
      </c>
      <c r="K1308" s="42" t="s">
        <v>4041</v>
      </c>
      <c r="L1308" s="42" t="str">
        <f>VLOOKUP(Table7[[#This Row],[Baseline Fixture Code]], 'Tables &amp; Ranges'!$A$114:$B$132, 2, FALSE)</f>
        <v>N/A</v>
      </c>
    </row>
    <row r="1309" spans="2:12" ht="40" customHeight="1">
      <c r="B1309" s="42">
        <v>115</v>
      </c>
      <c r="C1309" s="102" t="s">
        <v>375</v>
      </c>
      <c r="D1309" s="102" t="s">
        <v>247</v>
      </c>
      <c r="E1309" s="92" t="s">
        <v>376</v>
      </c>
      <c r="F1309" s="42" t="s">
        <v>146</v>
      </c>
      <c r="G1309" s="42" t="s">
        <v>146</v>
      </c>
      <c r="H1309" s="42">
        <v>65</v>
      </c>
      <c r="I1309" s="42" t="s">
        <v>147</v>
      </c>
      <c r="J1309" s="103" t="s">
        <v>3611</v>
      </c>
      <c r="K1309" s="42" t="s">
        <v>4041</v>
      </c>
      <c r="L1309" s="42" t="str">
        <f>VLOOKUP(Table7[[#This Row],[Baseline Fixture Code]], 'Tables &amp; Ranges'!$A$114:$B$132, 2, FALSE)</f>
        <v>N/A</v>
      </c>
    </row>
    <row r="1310" spans="2:12" ht="40" customHeight="1">
      <c r="B1310" s="42">
        <v>116</v>
      </c>
      <c r="C1310" s="102" t="s">
        <v>377</v>
      </c>
      <c r="D1310" s="102" t="s">
        <v>247</v>
      </c>
      <c r="E1310" s="92" t="s">
        <v>378</v>
      </c>
      <c r="F1310" s="42" t="s">
        <v>146</v>
      </c>
      <c r="G1310" s="42" t="s">
        <v>146</v>
      </c>
      <c r="H1310" s="42">
        <v>66</v>
      </c>
      <c r="I1310" s="42" t="s">
        <v>147</v>
      </c>
      <c r="J1310" s="103" t="s">
        <v>3611</v>
      </c>
      <c r="K1310" s="42" t="s">
        <v>4041</v>
      </c>
      <c r="L1310" s="42" t="str">
        <f>VLOOKUP(Table7[[#This Row],[Baseline Fixture Code]], 'Tables &amp; Ranges'!$A$114:$B$132, 2, FALSE)</f>
        <v>N/A</v>
      </c>
    </row>
    <row r="1311" spans="2:12" ht="40" customHeight="1">
      <c r="B1311" s="42">
        <v>117</v>
      </c>
      <c r="C1311" s="102" t="s">
        <v>379</v>
      </c>
      <c r="D1311" s="102" t="s">
        <v>247</v>
      </c>
      <c r="E1311" s="92" t="s">
        <v>380</v>
      </c>
      <c r="F1311" s="42" t="s">
        <v>146</v>
      </c>
      <c r="G1311" s="42" t="s">
        <v>146</v>
      </c>
      <c r="H1311" s="42">
        <v>67</v>
      </c>
      <c r="I1311" s="42" t="s">
        <v>147</v>
      </c>
      <c r="J1311" s="103" t="s">
        <v>3611</v>
      </c>
      <c r="K1311" s="42" t="s">
        <v>4041</v>
      </c>
      <c r="L1311" s="42" t="str">
        <f>VLOOKUP(Table7[[#This Row],[Baseline Fixture Code]], 'Tables &amp; Ranges'!$A$114:$B$132, 2, FALSE)</f>
        <v>N/A</v>
      </c>
    </row>
    <row r="1312" spans="2:12" ht="40" customHeight="1">
      <c r="B1312" s="42">
        <v>118</v>
      </c>
      <c r="C1312" s="102" t="s">
        <v>381</v>
      </c>
      <c r="D1312" s="102" t="s">
        <v>247</v>
      </c>
      <c r="E1312" s="92" t="s">
        <v>382</v>
      </c>
      <c r="F1312" s="42" t="s">
        <v>146</v>
      </c>
      <c r="G1312" s="42" t="s">
        <v>146</v>
      </c>
      <c r="H1312" s="42">
        <v>68</v>
      </c>
      <c r="I1312" s="42" t="s">
        <v>147</v>
      </c>
      <c r="J1312" s="103" t="s">
        <v>3611</v>
      </c>
      <c r="K1312" s="42" t="s">
        <v>4041</v>
      </c>
      <c r="L1312" s="42" t="str">
        <f>VLOOKUP(Table7[[#This Row],[Baseline Fixture Code]], 'Tables &amp; Ranges'!$A$114:$B$132, 2, FALSE)</f>
        <v>N/A</v>
      </c>
    </row>
    <row r="1313" spans="2:12" ht="40" customHeight="1">
      <c r="B1313" s="42">
        <v>119</v>
      </c>
      <c r="C1313" s="102" t="s">
        <v>383</v>
      </c>
      <c r="D1313" s="102" t="s">
        <v>247</v>
      </c>
      <c r="E1313" s="92" t="s">
        <v>384</v>
      </c>
      <c r="F1313" s="42" t="s">
        <v>146</v>
      </c>
      <c r="G1313" s="42" t="s">
        <v>146</v>
      </c>
      <c r="H1313" s="42">
        <v>69</v>
      </c>
      <c r="I1313" s="42" t="s">
        <v>147</v>
      </c>
      <c r="J1313" s="103" t="s">
        <v>3611</v>
      </c>
      <c r="K1313" s="42" t="s">
        <v>4041</v>
      </c>
      <c r="L1313" s="42" t="str">
        <f>VLOOKUP(Table7[[#This Row],[Baseline Fixture Code]], 'Tables &amp; Ranges'!$A$114:$B$132, 2, FALSE)</f>
        <v>N/A</v>
      </c>
    </row>
    <row r="1314" spans="2:12" ht="40" customHeight="1">
      <c r="B1314" s="42">
        <v>120</v>
      </c>
      <c r="C1314" s="102" t="s">
        <v>385</v>
      </c>
      <c r="D1314" s="102" t="s">
        <v>247</v>
      </c>
      <c r="E1314" s="92" t="s">
        <v>386</v>
      </c>
      <c r="F1314" s="42" t="s">
        <v>146</v>
      </c>
      <c r="G1314" s="42" t="s">
        <v>146</v>
      </c>
      <c r="H1314" s="42">
        <v>70</v>
      </c>
      <c r="I1314" s="42" t="s">
        <v>147</v>
      </c>
      <c r="J1314" s="103" t="s">
        <v>3611</v>
      </c>
      <c r="K1314" s="42" t="s">
        <v>4041</v>
      </c>
      <c r="L1314" s="42" t="str">
        <f>VLOOKUP(Table7[[#This Row],[Baseline Fixture Code]], 'Tables &amp; Ranges'!$A$114:$B$132, 2, FALSE)</f>
        <v>N/A</v>
      </c>
    </row>
    <row r="1315" spans="2:12" ht="40" customHeight="1">
      <c r="B1315" s="42">
        <v>121</v>
      </c>
      <c r="C1315" s="102" t="s">
        <v>387</v>
      </c>
      <c r="D1315" s="102" t="s">
        <v>247</v>
      </c>
      <c r="E1315" s="92" t="s">
        <v>388</v>
      </c>
      <c r="F1315" s="42" t="s">
        <v>146</v>
      </c>
      <c r="G1315" s="42" t="s">
        <v>146</v>
      </c>
      <c r="H1315" s="42">
        <v>71</v>
      </c>
      <c r="I1315" s="42" t="s">
        <v>147</v>
      </c>
      <c r="J1315" s="103" t="s">
        <v>3611</v>
      </c>
      <c r="K1315" s="42" t="s">
        <v>4041</v>
      </c>
      <c r="L1315" s="42" t="str">
        <f>VLOOKUP(Table7[[#This Row],[Baseline Fixture Code]], 'Tables &amp; Ranges'!$A$114:$B$132, 2, FALSE)</f>
        <v>N/A</v>
      </c>
    </row>
    <row r="1316" spans="2:12" ht="40" customHeight="1">
      <c r="B1316" s="42">
        <v>122</v>
      </c>
      <c r="C1316" s="102" t="s">
        <v>389</v>
      </c>
      <c r="D1316" s="102" t="s">
        <v>247</v>
      </c>
      <c r="E1316" s="92" t="s">
        <v>390</v>
      </c>
      <c r="F1316" s="42" t="s">
        <v>146</v>
      </c>
      <c r="G1316" s="42" t="s">
        <v>146</v>
      </c>
      <c r="H1316" s="42">
        <v>72</v>
      </c>
      <c r="I1316" s="42" t="s">
        <v>147</v>
      </c>
      <c r="J1316" s="103" t="s">
        <v>3611</v>
      </c>
      <c r="K1316" s="42" t="s">
        <v>4041</v>
      </c>
      <c r="L1316" s="42" t="str">
        <f>VLOOKUP(Table7[[#This Row],[Baseline Fixture Code]], 'Tables &amp; Ranges'!$A$114:$B$132, 2, FALSE)</f>
        <v>N/A</v>
      </c>
    </row>
    <row r="1317" spans="2:12" ht="40" customHeight="1">
      <c r="B1317" s="42">
        <v>123</v>
      </c>
      <c r="C1317" s="102" t="s">
        <v>391</v>
      </c>
      <c r="D1317" s="102" t="s">
        <v>247</v>
      </c>
      <c r="E1317" s="92" t="s">
        <v>392</v>
      </c>
      <c r="F1317" s="42" t="s">
        <v>146</v>
      </c>
      <c r="G1317" s="42" t="s">
        <v>146</v>
      </c>
      <c r="H1317" s="42">
        <v>73</v>
      </c>
      <c r="I1317" s="42" t="s">
        <v>147</v>
      </c>
      <c r="J1317" s="103" t="s">
        <v>3611</v>
      </c>
      <c r="K1317" s="42" t="s">
        <v>4041</v>
      </c>
      <c r="L1317" s="42" t="str">
        <f>VLOOKUP(Table7[[#This Row],[Baseline Fixture Code]], 'Tables &amp; Ranges'!$A$114:$B$132, 2, FALSE)</f>
        <v>N/A</v>
      </c>
    </row>
    <row r="1318" spans="2:12" ht="40" customHeight="1">
      <c r="B1318" s="42">
        <v>124</v>
      </c>
      <c r="C1318" s="102" t="s">
        <v>393</v>
      </c>
      <c r="D1318" s="102" t="s">
        <v>247</v>
      </c>
      <c r="E1318" s="92" t="s">
        <v>394</v>
      </c>
      <c r="F1318" s="42" t="s">
        <v>146</v>
      </c>
      <c r="G1318" s="42" t="s">
        <v>146</v>
      </c>
      <c r="H1318" s="42">
        <v>74</v>
      </c>
      <c r="I1318" s="42" t="s">
        <v>147</v>
      </c>
      <c r="J1318" s="103" t="s">
        <v>3611</v>
      </c>
      <c r="K1318" s="42" t="s">
        <v>4041</v>
      </c>
      <c r="L1318" s="42" t="str">
        <f>VLOOKUP(Table7[[#This Row],[Baseline Fixture Code]], 'Tables &amp; Ranges'!$A$114:$B$132, 2, FALSE)</f>
        <v>N/A</v>
      </c>
    </row>
    <row r="1319" spans="2:12" ht="40" customHeight="1">
      <c r="B1319" s="42">
        <v>125</v>
      </c>
      <c r="C1319" s="102" t="s">
        <v>395</v>
      </c>
      <c r="D1319" s="102" t="s">
        <v>247</v>
      </c>
      <c r="E1319" s="92" t="s">
        <v>396</v>
      </c>
      <c r="F1319" s="42" t="s">
        <v>146</v>
      </c>
      <c r="G1319" s="42" t="s">
        <v>146</v>
      </c>
      <c r="H1319" s="42">
        <v>75</v>
      </c>
      <c r="I1319" s="42" t="s">
        <v>147</v>
      </c>
      <c r="J1319" s="103" t="s">
        <v>3611</v>
      </c>
      <c r="K1319" s="42" t="s">
        <v>4041</v>
      </c>
      <c r="L1319" s="42" t="str">
        <f>VLOOKUP(Table7[[#This Row],[Baseline Fixture Code]], 'Tables &amp; Ranges'!$A$114:$B$132, 2, FALSE)</f>
        <v>N/A</v>
      </c>
    </row>
    <row r="1320" spans="2:12" ht="40" customHeight="1">
      <c r="B1320" s="42">
        <v>126</v>
      </c>
      <c r="C1320" s="102" t="s">
        <v>397</v>
      </c>
      <c r="D1320" s="102" t="s">
        <v>247</v>
      </c>
      <c r="E1320" s="92" t="s">
        <v>398</v>
      </c>
      <c r="F1320" s="42" t="s">
        <v>146</v>
      </c>
      <c r="G1320" s="42" t="s">
        <v>146</v>
      </c>
      <c r="H1320" s="42">
        <v>76</v>
      </c>
      <c r="I1320" s="42" t="s">
        <v>147</v>
      </c>
      <c r="J1320" s="103" t="s">
        <v>3611</v>
      </c>
      <c r="K1320" s="42" t="s">
        <v>4041</v>
      </c>
      <c r="L1320" s="42" t="str">
        <f>VLOOKUP(Table7[[#This Row],[Baseline Fixture Code]], 'Tables &amp; Ranges'!$A$114:$B$132, 2, FALSE)</f>
        <v>N/A</v>
      </c>
    </row>
    <row r="1321" spans="2:12" ht="40" customHeight="1">
      <c r="B1321" s="42">
        <v>127</v>
      </c>
      <c r="C1321" s="102" t="s">
        <v>399</v>
      </c>
      <c r="D1321" s="102" t="s">
        <v>247</v>
      </c>
      <c r="E1321" s="92" t="s">
        <v>400</v>
      </c>
      <c r="F1321" s="42" t="s">
        <v>146</v>
      </c>
      <c r="G1321" s="42" t="s">
        <v>146</v>
      </c>
      <c r="H1321" s="42">
        <v>77</v>
      </c>
      <c r="I1321" s="42" t="s">
        <v>147</v>
      </c>
      <c r="J1321" s="103" t="s">
        <v>3611</v>
      </c>
      <c r="K1321" s="42" t="s">
        <v>4041</v>
      </c>
      <c r="L1321" s="42" t="str">
        <f>VLOOKUP(Table7[[#This Row],[Baseline Fixture Code]], 'Tables &amp; Ranges'!$A$114:$B$132, 2, FALSE)</f>
        <v>N/A</v>
      </c>
    </row>
    <row r="1322" spans="2:12" ht="40" customHeight="1">
      <c r="B1322" s="42">
        <v>128</v>
      </c>
      <c r="C1322" s="102" t="s">
        <v>401</v>
      </c>
      <c r="D1322" s="102" t="s">
        <v>247</v>
      </c>
      <c r="E1322" s="92" t="s">
        <v>402</v>
      </c>
      <c r="F1322" s="42" t="s">
        <v>146</v>
      </c>
      <c r="G1322" s="42" t="s">
        <v>146</v>
      </c>
      <c r="H1322" s="42">
        <v>78</v>
      </c>
      <c r="I1322" s="42" t="s">
        <v>147</v>
      </c>
      <c r="J1322" s="103" t="s">
        <v>3611</v>
      </c>
      <c r="K1322" s="42" t="s">
        <v>4041</v>
      </c>
      <c r="L1322" s="42" t="str">
        <f>VLOOKUP(Table7[[#This Row],[Baseline Fixture Code]], 'Tables &amp; Ranges'!$A$114:$B$132, 2, FALSE)</f>
        <v>N/A</v>
      </c>
    </row>
    <row r="1323" spans="2:12" ht="40" customHeight="1">
      <c r="B1323" s="42">
        <v>129</v>
      </c>
      <c r="C1323" s="102" t="s">
        <v>403</v>
      </c>
      <c r="D1323" s="102" t="s">
        <v>247</v>
      </c>
      <c r="E1323" s="92" t="s">
        <v>404</v>
      </c>
      <c r="F1323" s="42" t="s">
        <v>146</v>
      </c>
      <c r="G1323" s="42" t="s">
        <v>146</v>
      </c>
      <c r="H1323" s="42">
        <v>79</v>
      </c>
      <c r="I1323" s="42" t="s">
        <v>147</v>
      </c>
      <c r="J1323" s="103" t="s">
        <v>3611</v>
      </c>
      <c r="K1323" s="42" t="s">
        <v>4041</v>
      </c>
      <c r="L1323" s="42" t="str">
        <f>VLOOKUP(Table7[[#This Row],[Baseline Fixture Code]], 'Tables &amp; Ranges'!$A$114:$B$132, 2, FALSE)</f>
        <v>N/A</v>
      </c>
    </row>
    <row r="1324" spans="2:12" ht="40" customHeight="1">
      <c r="B1324" s="42">
        <v>130</v>
      </c>
      <c r="C1324" s="102" t="s">
        <v>405</v>
      </c>
      <c r="D1324" s="102" t="s">
        <v>247</v>
      </c>
      <c r="E1324" s="92" t="s">
        <v>406</v>
      </c>
      <c r="F1324" s="42" t="s">
        <v>146</v>
      </c>
      <c r="G1324" s="42" t="s">
        <v>146</v>
      </c>
      <c r="H1324" s="42">
        <v>80</v>
      </c>
      <c r="I1324" s="42" t="s">
        <v>147</v>
      </c>
      <c r="J1324" s="103" t="s">
        <v>3611</v>
      </c>
      <c r="K1324" s="42" t="s">
        <v>4041</v>
      </c>
      <c r="L1324" s="42" t="str">
        <f>VLOOKUP(Table7[[#This Row],[Baseline Fixture Code]], 'Tables &amp; Ranges'!$A$114:$B$132, 2, FALSE)</f>
        <v>N/A</v>
      </c>
    </row>
    <row r="1325" spans="2:12" ht="40" customHeight="1">
      <c r="B1325" s="42">
        <v>131</v>
      </c>
      <c r="C1325" s="102" t="s">
        <v>407</v>
      </c>
      <c r="D1325" s="102" t="s">
        <v>247</v>
      </c>
      <c r="E1325" s="92" t="s">
        <v>408</v>
      </c>
      <c r="F1325" s="42" t="s">
        <v>146</v>
      </c>
      <c r="G1325" s="42" t="s">
        <v>146</v>
      </c>
      <c r="H1325" s="42">
        <v>81</v>
      </c>
      <c r="I1325" s="42" t="s">
        <v>147</v>
      </c>
      <c r="J1325" s="103" t="s">
        <v>3611</v>
      </c>
      <c r="K1325" s="42" t="s">
        <v>4041</v>
      </c>
      <c r="L1325" s="42" t="str">
        <f>VLOOKUP(Table7[[#This Row],[Baseline Fixture Code]], 'Tables &amp; Ranges'!$A$114:$B$132, 2, FALSE)</f>
        <v>N/A</v>
      </c>
    </row>
    <row r="1326" spans="2:12" ht="40" customHeight="1">
      <c r="B1326" s="42">
        <v>132</v>
      </c>
      <c r="C1326" s="102" t="s">
        <v>409</v>
      </c>
      <c r="D1326" s="102" t="s">
        <v>247</v>
      </c>
      <c r="E1326" s="92" t="s">
        <v>410</v>
      </c>
      <c r="F1326" s="42" t="s">
        <v>146</v>
      </c>
      <c r="G1326" s="42" t="s">
        <v>146</v>
      </c>
      <c r="H1326" s="42">
        <v>82</v>
      </c>
      <c r="I1326" s="42" t="s">
        <v>147</v>
      </c>
      <c r="J1326" s="103" t="s">
        <v>3611</v>
      </c>
      <c r="K1326" s="42" t="s">
        <v>4041</v>
      </c>
      <c r="L1326" s="42" t="str">
        <f>VLOOKUP(Table7[[#This Row],[Baseline Fixture Code]], 'Tables &amp; Ranges'!$A$114:$B$132, 2, FALSE)</f>
        <v>N/A</v>
      </c>
    </row>
    <row r="1327" spans="2:12" ht="40" customHeight="1">
      <c r="B1327" s="42">
        <v>133</v>
      </c>
      <c r="C1327" s="102" t="s">
        <v>411</v>
      </c>
      <c r="D1327" s="102" t="s">
        <v>247</v>
      </c>
      <c r="E1327" s="92" t="s">
        <v>412</v>
      </c>
      <c r="F1327" s="42" t="s">
        <v>146</v>
      </c>
      <c r="G1327" s="42" t="s">
        <v>146</v>
      </c>
      <c r="H1327" s="42">
        <v>83</v>
      </c>
      <c r="I1327" s="42" t="s">
        <v>147</v>
      </c>
      <c r="J1327" s="103" t="s">
        <v>3611</v>
      </c>
      <c r="K1327" s="42" t="s">
        <v>4041</v>
      </c>
      <c r="L1327" s="42" t="str">
        <f>VLOOKUP(Table7[[#This Row],[Baseline Fixture Code]], 'Tables &amp; Ranges'!$A$114:$B$132, 2, FALSE)</f>
        <v>N/A</v>
      </c>
    </row>
    <row r="1328" spans="2:12" ht="40" customHeight="1">
      <c r="B1328" s="42">
        <v>134</v>
      </c>
      <c r="C1328" s="102" t="s">
        <v>413</v>
      </c>
      <c r="D1328" s="102" t="s">
        <v>247</v>
      </c>
      <c r="E1328" s="92" t="s">
        <v>414</v>
      </c>
      <c r="F1328" s="42" t="s">
        <v>146</v>
      </c>
      <c r="G1328" s="42" t="s">
        <v>146</v>
      </c>
      <c r="H1328" s="42">
        <v>84</v>
      </c>
      <c r="I1328" s="42" t="s">
        <v>147</v>
      </c>
      <c r="J1328" s="103" t="s">
        <v>3611</v>
      </c>
      <c r="K1328" s="42" t="s">
        <v>4041</v>
      </c>
      <c r="L1328" s="42" t="str">
        <f>VLOOKUP(Table7[[#This Row],[Baseline Fixture Code]], 'Tables &amp; Ranges'!$A$114:$B$132, 2, FALSE)</f>
        <v>N/A</v>
      </c>
    </row>
    <row r="1329" spans="2:12" ht="40" customHeight="1">
      <c r="B1329" s="42">
        <v>135</v>
      </c>
      <c r="C1329" s="102" t="s">
        <v>415</v>
      </c>
      <c r="D1329" s="102" t="s">
        <v>247</v>
      </c>
      <c r="E1329" s="92" t="s">
        <v>416</v>
      </c>
      <c r="F1329" s="42" t="s">
        <v>146</v>
      </c>
      <c r="G1329" s="42" t="s">
        <v>146</v>
      </c>
      <c r="H1329" s="42">
        <v>85</v>
      </c>
      <c r="I1329" s="42" t="s">
        <v>147</v>
      </c>
      <c r="J1329" s="103" t="s">
        <v>3611</v>
      </c>
      <c r="K1329" s="42" t="s">
        <v>4041</v>
      </c>
      <c r="L1329" s="42" t="str">
        <f>VLOOKUP(Table7[[#This Row],[Baseline Fixture Code]], 'Tables &amp; Ranges'!$A$114:$B$132, 2, FALSE)</f>
        <v>N/A</v>
      </c>
    </row>
    <row r="1330" spans="2:12" ht="40" customHeight="1">
      <c r="B1330" s="42">
        <v>136</v>
      </c>
      <c r="C1330" s="102" t="s">
        <v>417</v>
      </c>
      <c r="D1330" s="102" t="s">
        <v>247</v>
      </c>
      <c r="E1330" s="92" t="s">
        <v>418</v>
      </c>
      <c r="F1330" s="42" t="s">
        <v>146</v>
      </c>
      <c r="G1330" s="42" t="s">
        <v>146</v>
      </c>
      <c r="H1330" s="42">
        <v>86</v>
      </c>
      <c r="I1330" s="42" t="s">
        <v>147</v>
      </c>
      <c r="J1330" s="103" t="s">
        <v>3611</v>
      </c>
      <c r="K1330" s="42" t="s">
        <v>4041</v>
      </c>
      <c r="L1330" s="42" t="str">
        <f>VLOOKUP(Table7[[#This Row],[Baseline Fixture Code]], 'Tables &amp; Ranges'!$A$114:$B$132, 2, FALSE)</f>
        <v>N/A</v>
      </c>
    </row>
    <row r="1331" spans="2:12" ht="40" customHeight="1">
      <c r="B1331" s="42">
        <v>137</v>
      </c>
      <c r="C1331" s="102" t="s">
        <v>419</v>
      </c>
      <c r="D1331" s="102" t="s">
        <v>247</v>
      </c>
      <c r="E1331" s="92" t="s">
        <v>420</v>
      </c>
      <c r="F1331" s="42" t="s">
        <v>146</v>
      </c>
      <c r="G1331" s="42" t="s">
        <v>146</v>
      </c>
      <c r="H1331" s="42">
        <v>87</v>
      </c>
      <c r="I1331" s="42" t="s">
        <v>147</v>
      </c>
      <c r="J1331" s="103" t="s">
        <v>3611</v>
      </c>
      <c r="K1331" s="42" t="s">
        <v>4041</v>
      </c>
      <c r="L1331" s="42" t="str">
        <f>VLOOKUP(Table7[[#This Row],[Baseline Fixture Code]], 'Tables &amp; Ranges'!$A$114:$B$132, 2, FALSE)</f>
        <v>N/A</v>
      </c>
    </row>
    <row r="1332" spans="2:12" ht="40" customHeight="1">
      <c r="B1332" s="42">
        <v>138</v>
      </c>
      <c r="C1332" s="102" t="s">
        <v>421</v>
      </c>
      <c r="D1332" s="102" t="s">
        <v>247</v>
      </c>
      <c r="E1332" s="92" t="s">
        <v>422</v>
      </c>
      <c r="F1332" s="42" t="s">
        <v>146</v>
      </c>
      <c r="G1332" s="42" t="s">
        <v>146</v>
      </c>
      <c r="H1332" s="42">
        <v>88</v>
      </c>
      <c r="I1332" s="42" t="s">
        <v>147</v>
      </c>
      <c r="J1332" s="103" t="s">
        <v>3611</v>
      </c>
      <c r="K1332" s="42" t="s">
        <v>4041</v>
      </c>
      <c r="L1332" s="42" t="str">
        <f>VLOOKUP(Table7[[#This Row],[Baseline Fixture Code]], 'Tables &amp; Ranges'!$A$114:$B$132, 2, FALSE)</f>
        <v>N/A</v>
      </c>
    </row>
    <row r="1333" spans="2:12" ht="40" customHeight="1">
      <c r="B1333" s="42">
        <v>139</v>
      </c>
      <c r="C1333" s="102" t="s">
        <v>423</v>
      </c>
      <c r="D1333" s="102" t="s">
        <v>247</v>
      </c>
      <c r="E1333" s="92" t="s">
        <v>424</v>
      </c>
      <c r="F1333" s="42" t="s">
        <v>146</v>
      </c>
      <c r="G1333" s="42" t="s">
        <v>146</v>
      </c>
      <c r="H1333" s="42">
        <v>89</v>
      </c>
      <c r="I1333" s="42" t="s">
        <v>147</v>
      </c>
      <c r="J1333" s="103" t="s">
        <v>3611</v>
      </c>
      <c r="K1333" s="42" t="s">
        <v>4041</v>
      </c>
      <c r="L1333" s="42" t="str">
        <f>VLOOKUP(Table7[[#This Row],[Baseline Fixture Code]], 'Tables &amp; Ranges'!$A$114:$B$132, 2, FALSE)</f>
        <v>N/A</v>
      </c>
    </row>
    <row r="1334" spans="2:12" ht="40" customHeight="1">
      <c r="B1334" s="42">
        <v>140</v>
      </c>
      <c r="C1334" s="102" t="s">
        <v>425</v>
      </c>
      <c r="D1334" s="102" t="s">
        <v>247</v>
      </c>
      <c r="E1334" s="92" t="s">
        <v>426</v>
      </c>
      <c r="F1334" s="42" t="s">
        <v>146</v>
      </c>
      <c r="G1334" s="42" t="s">
        <v>146</v>
      </c>
      <c r="H1334" s="42">
        <v>90</v>
      </c>
      <c r="I1334" s="42" t="s">
        <v>147</v>
      </c>
      <c r="J1334" s="103" t="s">
        <v>3611</v>
      </c>
      <c r="K1334" s="42" t="s">
        <v>4041</v>
      </c>
      <c r="L1334" s="42" t="str">
        <f>VLOOKUP(Table7[[#This Row],[Baseline Fixture Code]], 'Tables &amp; Ranges'!$A$114:$B$132, 2, FALSE)</f>
        <v>N/A</v>
      </c>
    </row>
    <row r="1335" spans="2:12" ht="40" customHeight="1">
      <c r="B1335" s="42">
        <v>141</v>
      </c>
      <c r="C1335" s="102" t="s">
        <v>427</v>
      </c>
      <c r="D1335" s="102" t="s">
        <v>247</v>
      </c>
      <c r="E1335" s="92" t="s">
        <v>428</v>
      </c>
      <c r="F1335" s="42" t="s">
        <v>146</v>
      </c>
      <c r="G1335" s="42" t="s">
        <v>146</v>
      </c>
      <c r="H1335" s="42">
        <v>91</v>
      </c>
      <c r="I1335" s="42" t="s">
        <v>147</v>
      </c>
      <c r="J1335" s="103" t="s">
        <v>3611</v>
      </c>
      <c r="K1335" s="42" t="s">
        <v>4041</v>
      </c>
      <c r="L1335" s="42" t="str">
        <f>VLOOKUP(Table7[[#This Row],[Baseline Fixture Code]], 'Tables &amp; Ranges'!$A$114:$B$132, 2, FALSE)</f>
        <v>N/A</v>
      </c>
    </row>
    <row r="1336" spans="2:12" ht="40" customHeight="1">
      <c r="B1336" s="42">
        <v>142</v>
      </c>
      <c r="C1336" s="102" t="s">
        <v>429</v>
      </c>
      <c r="D1336" s="102" t="s">
        <v>247</v>
      </c>
      <c r="E1336" s="92" t="s">
        <v>430</v>
      </c>
      <c r="F1336" s="42" t="s">
        <v>146</v>
      </c>
      <c r="G1336" s="42" t="s">
        <v>146</v>
      </c>
      <c r="H1336" s="42">
        <v>92</v>
      </c>
      <c r="I1336" s="42" t="s">
        <v>147</v>
      </c>
      <c r="J1336" s="103" t="s">
        <v>3611</v>
      </c>
      <c r="K1336" s="42" t="s">
        <v>4041</v>
      </c>
      <c r="L1336" s="42" t="str">
        <f>VLOOKUP(Table7[[#This Row],[Baseline Fixture Code]], 'Tables &amp; Ranges'!$A$114:$B$132, 2, FALSE)</f>
        <v>N/A</v>
      </c>
    </row>
    <row r="1337" spans="2:12" ht="40" customHeight="1">
      <c r="B1337" s="42">
        <v>143</v>
      </c>
      <c r="C1337" s="102" t="s">
        <v>431</v>
      </c>
      <c r="D1337" s="102" t="s">
        <v>247</v>
      </c>
      <c r="E1337" s="92" t="s">
        <v>432</v>
      </c>
      <c r="F1337" s="42" t="s">
        <v>146</v>
      </c>
      <c r="G1337" s="42" t="s">
        <v>146</v>
      </c>
      <c r="H1337" s="42">
        <v>93</v>
      </c>
      <c r="I1337" s="42" t="s">
        <v>147</v>
      </c>
      <c r="J1337" s="103" t="s">
        <v>3611</v>
      </c>
      <c r="K1337" s="42" t="s">
        <v>4041</v>
      </c>
      <c r="L1337" s="42" t="str">
        <f>VLOOKUP(Table7[[#This Row],[Baseline Fixture Code]], 'Tables &amp; Ranges'!$A$114:$B$132, 2, FALSE)</f>
        <v>N/A</v>
      </c>
    </row>
    <row r="1338" spans="2:12" ht="40" customHeight="1">
      <c r="B1338" s="42">
        <v>144</v>
      </c>
      <c r="C1338" s="102" t="s">
        <v>433</v>
      </c>
      <c r="D1338" s="102" t="s">
        <v>247</v>
      </c>
      <c r="E1338" s="92" t="s">
        <v>434</v>
      </c>
      <c r="F1338" s="42" t="s">
        <v>146</v>
      </c>
      <c r="G1338" s="42" t="s">
        <v>146</v>
      </c>
      <c r="H1338" s="42">
        <v>94</v>
      </c>
      <c r="I1338" s="42" t="s">
        <v>147</v>
      </c>
      <c r="J1338" s="103" t="s">
        <v>3611</v>
      </c>
      <c r="K1338" s="42" t="s">
        <v>4041</v>
      </c>
      <c r="L1338" s="42" t="str">
        <f>VLOOKUP(Table7[[#This Row],[Baseline Fixture Code]], 'Tables &amp; Ranges'!$A$114:$B$132, 2, FALSE)</f>
        <v>N/A</v>
      </c>
    </row>
    <row r="1339" spans="2:12" ht="40" customHeight="1">
      <c r="B1339" s="42">
        <v>145</v>
      </c>
      <c r="C1339" s="102" t="s">
        <v>435</v>
      </c>
      <c r="D1339" s="102" t="s">
        <v>247</v>
      </c>
      <c r="E1339" s="92" t="s">
        <v>436</v>
      </c>
      <c r="F1339" s="42" t="s">
        <v>146</v>
      </c>
      <c r="G1339" s="42" t="s">
        <v>146</v>
      </c>
      <c r="H1339" s="42">
        <v>95</v>
      </c>
      <c r="I1339" s="42" t="s">
        <v>147</v>
      </c>
      <c r="J1339" s="103" t="s">
        <v>3611</v>
      </c>
      <c r="K1339" s="42" t="s">
        <v>4041</v>
      </c>
      <c r="L1339" s="42" t="str">
        <f>VLOOKUP(Table7[[#This Row],[Baseline Fixture Code]], 'Tables &amp; Ranges'!$A$114:$B$132, 2, FALSE)</f>
        <v>N/A</v>
      </c>
    </row>
    <row r="1340" spans="2:12" ht="40" customHeight="1">
      <c r="B1340" s="42">
        <v>146</v>
      </c>
      <c r="C1340" s="102" t="s">
        <v>437</v>
      </c>
      <c r="D1340" s="102" t="s">
        <v>247</v>
      </c>
      <c r="E1340" s="92" t="s">
        <v>438</v>
      </c>
      <c r="F1340" s="42" t="s">
        <v>146</v>
      </c>
      <c r="G1340" s="42" t="s">
        <v>146</v>
      </c>
      <c r="H1340" s="42">
        <v>96</v>
      </c>
      <c r="I1340" s="42" t="s">
        <v>147</v>
      </c>
      <c r="J1340" s="103" t="s">
        <v>3611</v>
      </c>
      <c r="K1340" s="42" t="s">
        <v>4041</v>
      </c>
      <c r="L1340" s="42" t="str">
        <f>VLOOKUP(Table7[[#This Row],[Baseline Fixture Code]], 'Tables &amp; Ranges'!$A$114:$B$132, 2, FALSE)</f>
        <v>N/A</v>
      </c>
    </row>
    <row r="1341" spans="2:12" ht="40" customHeight="1">
      <c r="B1341" s="42">
        <v>147</v>
      </c>
      <c r="C1341" s="102" t="s">
        <v>439</v>
      </c>
      <c r="D1341" s="102" t="s">
        <v>247</v>
      </c>
      <c r="E1341" s="92" t="s">
        <v>440</v>
      </c>
      <c r="F1341" s="42" t="s">
        <v>146</v>
      </c>
      <c r="G1341" s="42" t="s">
        <v>146</v>
      </c>
      <c r="H1341" s="42">
        <v>97</v>
      </c>
      <c r="I1341" s="42" t="s">
        <v>147</v>
      </c>
      <c r="J1341" s="103" t="s">
        <v>3611</v>
      </c>
      <c r="K1341" s="42" t="s">
        <v>4041</v>
      </c>
      <c r="L1341" s="42" t="str">
        <f>VLOOKUP(Table7[[#This Row],[Baseline Fixture Code]], 'Tables &amp; Ranges'!$A$114:$B$132, 2, FALSE)</f>
        <v>N/A</v>
      </c>
    </row>
    <row r="1342" spans="2:12" ht="40" customHeight="1">
      <c r="B1342" s="42">
        <v>148</v>
      </c>
      <c r="C1342" s="102" t="s">
        <v>441</v>
      </c>
      <c r="D1342" s="102" t="s">
        <v>247</v>
      </c>
      <c r="E1342" s="92" t="s">
        <v>442</v>
      </c>
      <c r="F1342" s="42" t="s">
        <v>146</v>
      </c>
      <c r="G1342" s="42" t="s">
        <v>146</v>
      </c>
      <c r="H1342" s="42">
        <v>98</v>
      </c>
      <c r="I1342" s="42" t="s">
        <v>147</v>
      </c>
      <c r="J1342" s="103" t="s">
        <v>3611</v>
      </c>
      <c r="K1342" s="42" t="s">
        <v>4041</v>
      </c>
      <c r="L1342" s="42" t="str">
        <f>VLOOKUP(Table7[[#This Row],[Baseline Fixture Code]], 'Tables &amp; Ranges'!$A$114:$B$132, 2, FALSE)</f>
        <v>N/A</v>
      </c>
    </row>
    <row r="1343" spans="2:12" ht="40" customHeight="1">
      <c r="B1343" s="42">
        <v>149</v>
      </c>
      <c r="C1343" s="102" t="s">
        <v>443</v>
      </c>
      <c r="D1343" s="102" t="s">
        <v>247</v>
      </c>
      <c r="E1343" s="92" t="s">
        <v>444</v>
      </c>
      <c r="F1343" s="42" t="s">
        <v>146</v>
      </c>
      <c r="G1343" s="42" t="s">
        <v>146</v>
      </c>
      <c r="H1343" s="42">
        <v>99</v>
      </c>
      <c r="I1343" s="42" t="s">
        <v>147</v>
      </c>
      <c r="J1343" s="103" t="s">
        <v>3611</v>
      </c>
      <c r="K1343" s="42" t="s">
        <v>4041</v>
      </c>
      <c r="L1343" s="42" t="str">
        <f>VLOOKUP(Table7[[#This Row],[Baseline Fixture Code]], 'Tables &amp; Ranges'!$A$114:$B$132, 2, FALSE)</f>
        <v>N/A</v>
      </c>
    </row>
    <row r="1344" spans="2:12" ht="40" customHeight="1">
      <c r="B1344" s="42">
        <v>150</v>
      </c>
      <c r="C1344" s="102" t="s">
        <v>445</v>
      </c>
      <c r="D1344" s="102" t="s">
        <v>247</v>
      </c>
      <c r="E1344" s="92" t="s">
        <v>446</v>
      </c>
      <c r="F1344" s="42" t="s">
        <v>146</v>
      </c>
      <c r="G1344" s="42" t="s">
        <v>146</v>
      </c>
      <c r="H1344" s="42">
        <v>100</v>
      </c>
      <c r="I1344" s="42" t="s">
        <v>147</v>
      </c>
      <c r="J1344" s="103" t="s">
        <v>3611</v>
      </c>
      <c r="K1344" s="42" t="s">
        <v>4041</v>
      </c>
      <c r="L1344" s="42" t="str">
        <f>VLOOKUP(Table7[[#This Row],[Baseline Fixture Code]], 'Tables &amp; Ranges'!$A$114:$B$132, 2, FALSE)</f>
        <v>N/A</v>
      </c>
    </row>
    <row r="1345" spans="2:12" ht="40" customHeight="1">
      <c r="B1345" s="42">
        <v>151</v>
      </c>
      <c r="C1345" s="102" t="s">
        <v>447</v>
      </c>
      <c r="D1345" s="102" t="s">
        <v>247</v>
      </c>
      <c r="E1345" s="92" t="s">
        <v>448</v>
      </c>
      <c r="F1345" s="42" t="s">
        <v>146</v>
      </c>
      <c r="G1345" s="42" t="s">
        <v>146</v>
      </c>
      <c r="H1345" s="42">
        <v>101</v>
      </c>
      <c r="I1345" s="42" t="s">
        <v>147</v>
      </c>
      <c r="J1345" s="103" t="s">
        <v>3611</v>
      </c>
      <c r="K1345" s="42" t="s">
        <v>4041</v>
      </c>
      <c r="L1345" s="42" t="str">
        <f>VLOOKUP(Table7[[#This Row],[Baseline Fixture Code]], 'Tables &amp; Ranges'!$A$114:$B$132, 2, FALSE)</f>
        <v>N/A</v>
      </c>
    </row>
    <row r="1346" spans="2:12" ht="40" customHeight="1">
      <c r="B1346" s="42">
        <v>152</v>
      </c>
      <c r="C1346" s="102" t="s">
        <v>449</v>
      </c>
      <c r="D1346" s="102" t="s">
        <v>247</v>
      </c>
      <c r="E1346" s="92" t="s">
        <v>450</v>
      </c>
      <c r="F1346" s="42" t="s">
        <v>146</v>
      </c>
      <c r="G1346" s="42" t="s">
        <v>146</v>
      </c>
      <c r="H1346" s="42">
        <v>102</v>
      </c>
      <c r="I1346" s="42" t="s">
        <v>147</v>
      </c>
      <c r="J1346" s="103" t="s">
        <v>3611</v>
      </c>
      <c r="K1346" s="42" t="s">
        <v>4041</v>
      </c>
      <c r="L1346" s="42" t="str">
        <f>VLOOKUP(Table7[[#This Row],[Baseline Fixture Code]], 'Tables &amp; Ranges'!$A$114:$B$132, 2, FALSE)</f>
        <v>N/A</v>
      </c>
    </row>
    <row r="1347" spans="2:12" ht="40" customHeight="1">
      <c r="B1347" s="42">
        <v>153</v>
      </c>
      <c r="C1347" s="102" t="s">
        <v>451</v>
      </c>
      <c r="D1347" s="102" t="s">
        <v>247</v>
      </c>
      <c r="E1347" s="92" t="s">
        <v>452</v>
      </c>
      <c r="F1347" s="42" t="s">
        <v>146</v>
      </c>
      <c r="G1347" s="42" t="s">
        <v>146</v>
      </c>
      <c r="H1347" s="42">
        <v>103</v>
      </c>
      <c r="I1347" s="42" t="s">
        <v>147</v>
      </c>
      <c r="J1347" s="103" t="s">
        <v>3611</v>
      </c>
      <c r="K1347" s="42" t="s">
        <v>4041</v>
      </c>
      <c r="L1347" s="42" t="str">
        <f>VLOOKUP(Table7[[#This Row],[Baseline Fixture Code]], 'Tables &amp; Ranges'!$A$114:$B$132, 2, FALSE)</f>
        <v>N/A</v>
      </c>
    </row>
    <row r="1348" spans="2:12" ht="40" customHeight="1">
      <c r="B1348" s="42">
        <v>154</v>
      </c>
      <c r="C1348" s="102" t="s">
        <v>453</v>
      </c>
      <c r="D1348" s="102" t="s">
        <v>247</v>
      </c>
      <c r="E1348" s="92" t="s">
        <v>454</v>
      </c>
      <c r="F1348" s="42" t="s">
        <v>146</v>
      </c>
      <c r="G1348" s="42" t="s">
        <v>146</v>
      </c>
      <c r="H1348" s="42">
        <v>104</v>
      </c>
      <c r="I1348" s="42" t="s">
        <v>147</v>
      </c>
      <c r="J1348" s="103" t="s">
        <v>3611</v>
      </c>
      <c r="K1348" s="42" t="s">
        <v>4041</v>
      </c>
      <c r="L1348" s="42" t="str">
        <f>VLOOKUP(Table7[[#This Row],[Baseline Fixture Code]], 'Tables &amp; Ranges'!$A$114:$B$132, 2, FALSE)</f>
        <v>N/A</v>
      </c>
    </row>
    <row r="1349" spans="2:12" ht="40" customHeight="1">
      <c r="B1349" s="42">
        <v>155</v>
      </c>
      <c r="C1349" s="102" t="s">
        <v>455</v>
      </c>
      <c r="D1349" s="102" t="s">
        <v>247</v>
      </c>
      <c r="E1349" s="92" t="s">
        <v>456</v>
      </c>
      <c r="F1349" s="42" t="s">
        <v>146</v>
      </c>
      <c r="G1349" s="42" t="s">
        <v>146</v>
      </c>
      <c r="H1349" s="42">
        <v>105</v>
      </c>
      <c r="I1349" s="42" t="s">
        <v>147</v>
      </c>
      <c r="J1349" s="103" t="s">
        <v>3611</v>
      </c>
      <c r="K1349" s="42" t="s">
        <v>4041</v>
      </c>
      <c r="L1349" s="42" t="str">
        <f>VLOOKUP(Table7[[#This Row],[Baseline Fixture Code]], 'Tables &amp; Ranges'!$A$114:$B$132, 2, FALSE)</f>
        <v>N/A</v>
      </c>
    </row>
    <row r="1350" spans="2:12" ht="40" customHeight="1">
      <c r="B1350" s="42">
        <v>156</v>
      </c>
      <c r="C1350" s="102" t="s">
        <v>457</v>
      </c>
      <c r="D1350" s="102" t="s">
        <v>247</v>
      </c>
      <c r="E1350" s="92" t="s">
        <v>458</v>
      </c>
      <c r="F1350" s="42" t="s">
        <v>146</v>
      </c>
      <c r="G1350" s="42" t="s">
        <v>146</v>
      </c>
      <c r="H1350" s="42">
        <v>106</v>
      </c>
      <c r="I1350" s="42" t="s">
        <v>147</v>
      </c>
      <c r="J1350" s="103" t="s">
        <v>3611</v>
      </c>
      <c r="K1350" s="42" t="s">
        <v>4041</v>
      </c>
      <c r="L1350" s="42" t="str">
        <f>VLOOKUP(Table7[[#This Row],[Baseline Fixture Code]], 'Tables &amp; Ranges'!$A$114:$B$132, 2, FALSE)</f>
        <v>N/A</v>
      </c>
    </row>
    <row r="1351" spans="2:12" ht="40" customHeight="1">
      <c r="B1351" s="42">
        <v>157</v>
      </c>
      <c r="C1351" s="102" t="s">
        <v>459</v>
      </c>
      <c r="D1351" s="102" t="s">
        <v>247</v>
      </c>
      <c r="E1351" s="92" t="s">
        <v>460</v>
      </c>
      <c r="F1351" s="42" t="s">
        <v>146</v>
      </c>
      <c r="G1351" s="42" t="s">
        <v>146</v>
      </c>
      <c r="H1351" s="42">
        <v>107</v>
      </c>
      <c r="I1351" s="42" t="s">
        <v>147</v>
      </c>
      <c r="J1351" s="103" t="s">
        <v>3611</v>
      </c>
      <c r="K1351" s="42" t="s">
        <v>4041</v>
      </c>
      <c r="L1351" s="42" t="str">
        <f>VLOOKUP(Table7[[#This Row],[Baseline Fixture Code]], 'Tables &amp; Ranges'!$A$114:$B$132, 2, FALSE)</f>
        <v>N/A</v>
      </c>
    </row>
    <row r="1352" spans="2:12" ht="40" customHeight="1">
      <c r="B1352" s="42">
        <v>158</v>
      </c>
      <c r="C1352" s="102" t="s">
        <v>461</v>
      </c>
      <c r="D1352" s="102" t="s">
        <v>247</v>
      </c>
      <c r="E1352" s="92" t="s">
        <v>462</v>
      </c>
      <c r="F1352" s="42" t="s">
        <v>146</v>
      </c>
      <c r="G1352" s="42" t="s">
        <v>146</v>
      </c>
      <c r="H1352" s="42">
        <v>108</v>
      </c>
      <c r="I1352" s="42" t="s">
        <v>147</v>
      </c>
      <c r="J1352" s="103" t="s">
        <v>3611</v>
      </c>
      <c r="K1352" s="42" t="s">
        <v>4041</v>
      </c>
      <c r="L1352" s="42" t="str">
        <f>VLOOKUP(Table7[[#This Row],[Baseline Fixture Code]], 'Tables &amp; Ranges'!$A$114:$B$132, 2, FALSE)</f>
        <v>N/A</v>
      </c>
    </row>
    <row r="1353" spans="2:12" ht="40" customHeight="1">
      <c r="B1353" s="42">
        <v>159</v>
      </c>
      <c r="C1353" s="102" t="s">
        <v>463</v>
      </c>
      <c r="D1353" s="102" t="s">
        <v>247</v>
      </c>
      <c r="E1353" s="92" t="s">
        <v>464</v>
      </c>
      <c r="F1353" s="42" t="s">
        <v>146</v>
      </c>
      <c r="G1353" s="42" t="s">
        <v>146</v>
      </c>
      <c r="H1353" s="42">
        <v>109</v>
      </c>
      <c r="I1353" s="42" t="s">
        <v>147</v>
      </c>
      <c r="J1353" s="103" t="s">
        <v>3611</v>
      </c>
      <c r="K1353" s="42" t="s">
        <v>4041</v>
      </c>
      <c r="L1353" s="42" t="str">
        <f>VLOOKUP(Table7[[#This Row],[Baseline Fixture Code]], 'Tables &amp; Ranges'!$A$114:$B$132, 2, FALSE)</f>
        <v>N/A</v>
      </c>
    </row>
    <row r="1354" spans="2:12" ht="40" customHeight="1">
      <c r="B1354" s="42">
        <v>160</v>
      </c>
      <c r="C1354" s="102" t="s">
        <v>465</v>
      </c>
      <c r="D1354" s="102" t="s">
        <v>247</v>
      </c>
      <c r="E1354" s="92" t="s">
        <v>466</v>
      </c>
      <c r="F1354" s="42" t="s">
        <v>146</v>
      </c>
      <c r="G1354" s="42" t="s">
        <v>146</v>
      </c>
      <c r="H1354" s="42">
        <v>110</v>
      </c>
      <c r="I1354" s="42" t="s">
        <v>147</v>
      </c>
      <c r="J1354" s="103" t="s">
        <v>3611</v>
      </c>
      <c r="K1354" s="42" t="s">
        <v>4041</v>
      </c>
      <c r="L1354" s="42" t="str">
        <f>VLOOKUP(Table7[[#This Row],[Baseline Fixture Code]], 'Tables &amp; Ranges'!$A$114:$B$132, 2, FALSE)</f>
        <v>N/A</v>
      </c>
    </row>
    <row r="1355" spans="2:12" ht="40" customHeight="1">
      <c r="B1355" s="42">
        <v>161</v>
      </c>
      <c r="C1355" s="102" t="s">
        <v>467</v>
      </c>
      <c r="D1355" s="102" t="s">
        <v>247</v>
      </c>
      <c r="E1355" s="92" t="s">
        <v>468</v>
      </c>
      <c r="F1355" s="42" t="s">
        <v>146</v>
      </c>
      <c r="G1355" s="42" t="s">
        <v>146</v>
      </c>
      <c r="H1355" s="42">
        <v>111</v>
      </c>
      <c r="I1355" s="42" t="s">
        <v>147</v>
      </c>
      <c r="J1355" s="103" t="s">
        <v>3611</v>
      </c>
      <c r="K1355" s="42" t="s">
        <v>4041</v>
      </c>
      <c r="L1355" s="42" t="str">
        <f>VLOOKUP(Table7[[#This Row],[Baseline Fixture Code]], 'Tables &amp; Ranges'!$A$114:$B$132, 2, FALSE)</f>
        <v>N/A</v>
      </c>
    </row>
    <row r="1356" spans="2:12" ht="40" customHeight="1">
      <c r="B1356" s="42">
        <v>162</v>
      </c>
      <c r="C1356" s="102" t="s">
        <v>469</v>
      </c>
      <c r="D1356" s="102" t="s">
        <v>247</v>
      </c>
      <c r="E1356" s="92" t="s">
        <v>470</v>
      </c>
      <c r="F1356" s="42" t="s">
        <v>146</v>
      </c>
      <c r="G1356" s="42" t="s">
        <v>146</v>
      </c>
      <c r="H1356" s="42">
        <v>112</v>
      </c>
      <c r="I1356" s="42" t="s">
        <v>147</v>
      </c>
      <c r="J1356" s="103" t="s">
        <v>3611</v>
      </c>
      <c r="K1356" s="42" t="s">
        <v>4041</v>
      </c>
      <c r="L1356" s="42" t="str">
        <f>VLOOKUP(Table7[[#This Row],[Baseline Fixture Code]], 'Tables &amp; Ranges'!$A$114:$B$132, 2, FALSE)</f>
        <v>N/A</v>
      </c>
    </row>
    <row r="1357" spans="2:12" ht="40" customHeight="1">
      <c r="B1357" s="42">
        <v>163</v>
      </c>
      <c r="C1357" s="102" t="s">
        <v>471</v>
      </c>
      <c r="D1357" s="102" t="s">
        <v>247</v>
      </c>
      <c r="E1357" s="92" t="s">
        <v>472</v>
      </c>
      <c r="F1357" s="42" t="s">
        <v>146</v>
      </c>
      <c r="G1357" s="42" t="s">
        <v>146</v>
      </c>
      <c r="H1357" s="42">
        <v>113</v>
      </c>
      <c r="I1357" s="42" t="s">
        <v>147</v>
      </c>
      <c r="J1357" s="103" t="s">
        <v>3611</v>
      </c>
      <c r="K1357" s="42" t="s">
        <v>4041</v>
      </c>
      <c r="L1357" s="42" t="str">
        <f>VLOOKUP(Table7[[#This Row],[Baseline Fixture Code]], 'Tables &amp; Ranges'!$A$114:$B$132, 2, FALSE)</f>
        <v>N/A</v>
      </c>
    </row>
    <row r="1358" spans="2:12" ht="40" customHeight="1">
      <c r="B1358" s="42">
        <v>164</v>
      </c>
      <c r="C1358" s="102" t="s">
        <v>473</v>
      </c>
      <c r="D1358" s="102" t="s">
        <v>247</v>
      </c>
      <c r="E1358" s="92" t="s">
        <v>474</v>
      </c>
      <c r="F1358" s="42" t="s">
        <v>146</v>
      </c>
      <c r="G1358" s="42" t="s">
        <v>146</v>
      </c>
      <c r="H1358" s="42">
        <v>114</v>
      </c>
      <c r="I1358" s="42" t="s">
        <v>147</v>
      </c>
      <c r="J1358" s="103" t="s">
        <v>3611</v>
      </c>
      <c r="K1358" s="42" t="s">
        <v>4041</v>
      </c>
      <c r="L1358" s="42" t="str">
        <f>VLOOKUP(Table7[[#This Row],[Baseline Fixture Code]], 'Tables &amp; Ranges'!$A$114:$B$132, 2, FALSE)</f>
        <v>N/A</v>
      </c>
    </row>
    <row r="1359" spans="2:12" ht="40" customHeight="1">
      <c r="B1359" s="42">
        <v>165</v>
      </c>
      <c r="C1359" s="102" t="s">
        <v>475</v>
      </c>
      <c r="D1359" s="102" t="s">
        <v>247</v>
      </c>
      <c r="E1359" s="92" t="s">
        <v>476</v>
      </c>
      <c r="F1359" s="42" t="s">
        <v>146</v>
      </c>
      <c r="G1359" s="42" t="s">
        <v>146</v>
      </c>
      <c r="H1359" s="42">
        <v>115</v>
      </c>
      <c r="I1359" s="42" t="s">
        <v>147</v>
      </c>
      <c r="J1359" s="103" t="s">
        <v>3611</v>
      </c>
      <c r="K1359" s="42" t="s">
        <v>4041</v>
      </c>
      <c r="L1359" s="42" t="str">
        <f>VLOOKUP(Table7[[#This Row],[Baseline Fixture Code]], 'Tables &amp; Ranges'!$A$114:$B$132, 2, FALSE)</f>
        <v>N/A</v>
      </c>
    </row>
    <row r="1360" spans="2:12" ht="40" customHeight="1">
      <c r="B1360" s="42">
        <v>166</v>
      </c>
      <c r="C1360" s="102" t="s">
        <v>477</v>
      </c>
      <c r="D1360" s="102" t="s">
        <v>247</v>
      </c>
      <c r="E1360" s="92" t="s">
        <v>478</v>
      </c>
      <c r="F1360" s="42" t="s">
        <v>146</v>
      </c>
      <c r="G1360" s="42" t="s">
        <v>146</v>
      </c>
      <c r="H1360" s="42">
        <v>116</v>
      </c>
      <c r="I1360" s="42" t="s">
        <v>147</v>
      </c>
      <c r="J1360" s="103" t="s">
        <v>3611</v>
      </c>
      <c r="K1360" s="42" t="s">
        <v>4041</v>
      </c>
      <c r="L1360" s="42" t="str">
        <f>VLOOKUP(Table7[[#This Row],[Baseline Fixture Code]], 'Tables &amp; Ranges'!$A$114:$B$132, 2, FALSE)</f>
        <v>N/A</v>
      </c>
    </row>
    <row r="1361" spans="2:12" ht="40" customHeight="1">
      <c r="B1361" s="42">
        <v>167</v>
      </c>
      <c r="C1361" s="102" t="s">
        <v>479</v>
      </c>
      <c r="D1361" s="102" t="s">
        <v>247</v>
      </c>
      <c r="E1361" s="92" t="s">
        <v>480</v>
      </c>
      <c r="F1361" s="42" t="s">
        <v>146</v>
      </c>
      <c r="G1361" s="42" t="s">
        <v>146</v>
      </c>
      <c r="H1361" s="42">
        <v>117</v>
      </c>
      <c r="I1361" s="42" t="s">
        <v>147</v>
      </c>
      <c r="J1361" s="103" t="s">
        <v>3611</v>
      </c>
      <c r="K1361" s="42" t="s">
        <v>4041</v>
      </c>
      <c r="L1361" s="42" t="str">
        <f>VLOOKUP(Table7[[#This Row],[Baseline Fixture Code]], 'Tables &amp; Ranges'!$A$114:$B$132, 2, FALSE)</f>
        <v>N/A</v>
      </c>
    </row>
    <row r="1362" spans="2:12" ht="40" customHeight="1">
      <c r="B1362" s="42">
        <v>168</v>
      </c>
      <c r="C1362" s="102" t="s">
        <v>481</v>
      </c>
      <c r="D1362" s="102" t="s">
        <v>247</v>
      </c>
      <c r="E1362" s="92" t="s">
        <v>482</v>
      </c>
      <c r="F1362" s="42" t="s">
        <v>146</v>
      </c>
      <c r="G1362" s="42" t="s">
        <v>146</v>
      </c>
      <c r="H1362" s="42">
        <v>118</v>
      </c>
      <c r="I1362" s="42" t="s">
        <v>147</v>
      </c>
      <c r="J1362" s="103" t="s">
        <v>3611</v>
      </c>
      <c r="K1362" s="42" t="s">
        <v>4041</v>
      </c>
      <c r="L1362" s="42" t="str">
        <f>VLOOKUP(Table7[[#This Row],[Baseline Fixture Code]], 'Tables &amp; Ranges'!$A$114:$B$132, 2, FALSE)</f>
        <v>N/A</v>
      </c>
    </row>
    <row r="1363" spans="2:12" ht="40" customHeight="1">
      <c r="B1363" s="42">
        <v>169</v>
      </c>
      <c r="C1363" s="102" t="s">
        <v>483</v>
      </c>
      <c r="D1363" s="102" t="s">
        <v>247</v>
      </c>
      <c r="E1363" s="92" t="s">
        <v>484</v>
      </c>
      <c r="F1363" s="42" t="s">
        <v>146</v>
      </c>
      <c r="G1363" s="42" t="s">
        <v>146</v>
      </c>
      <c r="H1363" s="42">
        <v>119</v>
      </c>
      <c r="I1363" s="42" t="s">
        <v>147</v>
      </c>
      <c r="J1363" s="103" t="s">
        <v>3611</v>
      </c>
      <c r="K1363" s="42" t="s">
        <v>4041</v>
      </c>
      <c r="L1363" s="42" t="str">
        <f>VLOOKUP(Table7[[#This Row],[Baseline Fixture Code]], 'Tables &amp; Ranges'!$A$114:$B$132, 2, FALSE)</f>
        <v>N/A</v>
      </c>
    </row>
    <row r="1364" spans="2:12" ht="40" customHeight="1">
      <c r="B1364" s="42">
        <v>170</v>
      </c>
      <c r="C1364" s="102" t="s">
        <v>485</v>
      </c>
      <c r="D1364" s="102" t="s">
        <v>247</v>
      </c>
      <c r="E1364" s="92" t="s">
        <v>486</v>
      </c>
      <c r="F1364" s="42" t="s">
        <v>146</v>
      </c>
      <c r="G1364" s="42" t="s">
        <v>146</v>
      </c>
      <c r="H1364" s="42">
        <v>120</v>
      </c>
      <c r="I1364" s="42" t="s">
        <v>147</v>
      </c>
      <c r="J1364" s="103" t="s">
        <v>3611</v>
      </c>
      <c r="K1364" s="42" t="s">
        <v>4041</v>
      </c>
      <c r="L1364" s="42" t="str">
        <f>VLOOKUP(Table7[[#This Row],[Baseline Fixture Code]], 'Tables &amp; Ranges'!$A$114:$B$132, 2, FALSE)</f>
        <v>N/A</v>
      </c>
    </row>
    <row r="1365" spans="2:12" ht="40" customHeight="1">
      <c r="B1365" s="42">
        <v>171</v>
      </c>
      <c r="C1365" s="102" t="s">
        <v>487</v>
      </c>
      <c r="D1365" s="102" t="s">
        <v>247</v>
      </c>
      <c r="E1365" s="92" t="s">
        <v>488</v>
      </c>
      <c r="F1365" s="42" t="s">
        <v>146</v>
      </c>
      <c r="G1365" s="42" t="s">
        <v>146</v>
      </c>
      <c r="H1365" s="42">
        <v>121</v>
      </c>
      <c r="I1365" s="42" t="s">
        <v>147</v>
      </c>
      <c r="J1365" s="103" t="s">
        <v>3611</v>
      </c>
      <c r="K1365" s="42" t="s">
        <v>4041</v>
      </c>
      <c r="L1365" s="42" t="str">
        <f>VLOOKUP(Table7[[#This Row],[Baseline Fixture Code]], 'Tables &amp; Ranges'!$A$114:$B$132, 2, FALSE)</f>
        <v>N/A</v>
      </c>
    </row>
    <row r="1366" spans="2:12" ht="40" customHeight="1">
      <c r="B1366" s="42">
        <v>172</v>
      </c>
      <c r="C1366" s="102" t="s">
        <v>489</v>
      </c>
      <c r="D1366" s="102" t="s">
        <v>247</v>
      </c>
      <c r="E1366" s="92" t="s">
        <v>490</v>
      </c>
      <c r="F1366" s="42" t="s">
        <v>146</v>
      </c>
      <c r="G1366" s="42" t="s">
        <v>146</v>
      </c>
      <c r="H1366" s="42">
        <v>122</v>
      </c>
      <c r="I1366" s="42" t="s">
        <v>147</v>
      </c>
      <c r="J1366" s="103" t="s">
        <v>3611</v>
      </c>
      <c r="K1366" s="42" t="s">
        <v>4041</v>
      </c>
      <c r="L1366" s="42" t="str">
        <f>VLOOKUP(Table7[[#This Row],[Baseline Fixture Code]], 'Tables &amp; Ranges'!$A$114:$B$132, 2, FALSE)</f>
        <v>N/A</v>
      </c>
    </row>
    <row r="1367" spans="2:12" ht="40" customHeight="1">
      <c r="B1367" s="42">
        <v>173</v>
      </c>
      <c r="C1367" s="102" t="s">
        <v>491</v>
      </c>
      <c r="D1367" s="102" t="s">
        <v>247</v>
      </c>
      <c r="E1367" s="92" t="s">
        <v>492</v>
      </c>
      <c r="F1367" s="42" t="s">
        <v>146</v>
      </c>
      <c r="G1367" s="42" t="s">
        <v>146</v>
      </c>
      <c r="H1367" s="42">
        <v>123</v>
      </c>
      <c r="I1367" s="42" t="s">
        <v>147</v>
      </c>
      <c r="J1367" s="103" t="s">
        <v>3611</v>
      </c>
      <c r="K1367" s="42" t="s">
        <v>4041</v>
      </c>
      <c r="L1367" s="42" t="str">
        <f>VLOOKUP(Table7[[#This Row],[Baseline Fixture Code]], 'Tables &amp; Ranges'!$A$114:$B$132, 2, FALSE)</f>
        <v>N/A</v>
      </c>
    </row>
    <row r="1368" spans="2:12" ht="40" customHeight="1">
      <c r="B1368" s="42">
        <v>174</v>
      </c>
      <c r="C1368" s="102" t="s">
        <v>493</v>
      </c>
      <c r="D1368" s="102" t="s">
        <v>247</v>
      </c>
      <c r="E1368" s="92" t="s">
        <v>494</v>
      </c>
      <c r="F1368" s="42" t="s">
        <v>146</v>
      </c>
      <c r="G1368" s="42" t="s">
        <v>146</v>
      </c>
      <c r="H1368" s="42">
        <v>124</v>
      </c>
      <c r="I1368" s="42" t="s">
        <v>147</v>
      </c>
      <c r="J1368" s="103" t="s">
        <v>3611</v>
      </c>
      <c r="K1368" s="42" t="s">
        <v>4041</v>
      </c>
      <c r="L1368" s="42" t="str">
        <f>VLOOKUP(Table7[[#This Row],[Baseline Fixture Code]], 'Tables &amp; Ranges'!$A$114:$B$132, 2, FALSE)</f>
        <v>N/A</v>
      </c>
    </row>
    <row r="1369" spans="2:12" ht="40" customHeight="1">
      <c r="B1369" s="42">
        <v>175</v>
      </c>
      <c r="C1369" s="102" t="s">
        <v>495</v>
      </c>
      <c r="D1369" s="102" t="s">
        <v>247</v>
      </c>
      <c r="E1369" s="92" t="s">
        <v>496</v>
      </c>
      <c r="F1369" s="42" t="s">
        <v>146</v>
      </c>
      <c r="G1369" s="42" t="s">
        <v>146</v>
      </c>
      <c r="H1369" s="42">
        <v>125</v>
      </c>
      <c r="I1369" s="42" t="s">
        <v>147</v>
      </c>
      <c r="J1369" s="103" t="s">
        <v>3611</v>
      </c>
      <c r="K1369" s="42" t="s">
        <v>4041</v>
      </c>
      <c r="L1369" s="42" t="str">
        <f>VLOOKUP(Table7[[#This Row],[Baseline Fixture Code]], 'Tables &amp; Ranges'!$A$114:$B$132, 2, FALSE)</f>
        <v>N/A</v>
      </c>
    </row>
    <row r="1370" spans="2:12" ht="40" customHeight="1">
      <c r="B1370" s="42">
        <v>176</v>
      </c>
      <c r="C1370" s="102" t="s">
        <v>497</v>
      </c>
      <c r="D1370" s="102" t="s">
        <v>247</v>
      </c>
      <c r="E1370" s="92" t="s">
        <v>498</v>
      </c>
      <c r="F1370" s="42" t="s">
        <v>146</v>
      </c>
      <c r="G1370" s="42" t="s">
        <v>146</v>
      </c>
      <c r="H1370" s="42">
        <v>126</v>
      </c>
      <c r="I1370" s="42" t="s">
        <v>147</v>
      </c>
      <c r="J1370" s="103" t="s">
        <v>3611</v>
      </c>
      <c r="K1370" s="42" t="s">
        <v>4041</v>
      </c>
      <c r="L1370" s="42" t="str">
        <f>VLOOKUP(Table7[[#This Row],[Baseline Fixture Code]], 'Tables &amp; Ranges'!$A$114:$B$132, 2, FALSE)</f>
        <v>N/A</v>
      </c>
    </row>
    <row r="1371" spans="2:12" ht="40" customHeight="1">
      <c r="B1371" s="42">
        <v>177</v>
      </c>
      <c r="C1371" s="102" t="s">
        <v>499</v>
      </c>
      <c r="D1371" s="102" t="s">
        <v>247</v>
      </c>
      <c r="E1371" s="92" t="s">
        <v>500</v>
      </c>
      <c r="F1371" s="42" t="s">
        <v>146</v>
      </c>
      <c r="G1371" s="42" t="s">
        <v>146</v>
      </c>
      <c r="H1371" s="42">
        <v>127</v>
      </c>
      <c r="I1371" s="42" t="s">
        <v>147</v>
      </c>
      <c r="J1371" s="103" t="s">
        <v>3611</v>
      </c>
      <c r="K1371" s="42" t="s">
        <v>4041</v>
      </c>
      <c r="L1371" s="42" t="str">
        <f>VLOOKUP(Table7[[#This Row],[Baseline Fixture Code]], 'Tables &amp; Ranges'!$A$114:$B$132, 2, FALSE)</f>
        <v>N/A</v>
      </c>
    </row>
    <row r="1372" spans="2:12" ht="40" customHeight="1">
      <c r="B1372" s="42">
        <v>178</v>
      </c>
      <c r="C1372" s="102" t="s">
        <v>501</v>
      </c>
      <c r="D1372" s="102" t="s">
        <v>247</v>
      </c>
      <c r="E1372" s="92" t="s">
        <v>502</v>
      </c>
      <c r="F1372" s="42" t="s">
        <v>146</v>
      </c>
      <c r="G1372" s="42" t="s">
        <v>146</v>
      </c>
      <c r="H1372" s="42">
        <v>128</v>
      </c>
      <c r="I1372" s="42" t="s">
        <v>147</v>
      </c>
      <c r="J1372" s="103" t="s">
        <v>3611</v>
      </c>
      <c r="K1372" s="42" t="s">
        <v>4041</v>
      </c>
      <c r="L1372" s="42" t="str">
        <f>VLOOKUP(Table7[[#This Row],[Baseline Fixture Code]], 'Tables &amp; Ranges'!$A$114:$B$132, 2, FALSE)</f>
        <v>N/A</v>
      </c>
    </row>
    <row r="1373" spans="2:12" ht="40" customHeight="1">
      <c r="B1373" s="42">
        <v>179</v>
      </c>
      <c r="C1373" s="102" t="s">
        <v>503</v>
      </c>
      <c r="D1373" s="102" t="s">
        <v>247</v>
      </c>
      <c r="E1373" s="92" t="s">
        <v>504</v>
      </c>
      <c r="F1373" s="42" t="s">
        <v>146</v>
      </c>
      <c r="G1373" s="42" t="s">
        <v>146</v>
      </c>
      <c r="H1373" s="42">
        <v>129</v>
      </c>
      <c r="I1373" s="42" t="s">
        <v>147</v>
      </c>
      <c r="J1373" s="103" t="s">
        <v>3611</v>
      </c>
      <c r="K1373" s="42" t="s">
        <v>4041</v>
      </c>
      <c r="L1373" s="42" t="str">
        <f>VLOOKUP(Table7[[#This Row],[Baseline Fixture Code]], 'Tables &amp; Ranges'!$A$114:$B$132, 2, FALSE)</f>
        <v>N/A</v>
      </c>
    </row>
    <row r="1374" spans="2:12" ht="40" customHeight="1">
      <c r="B1374" s="42">
        <v>180</v>
      </c>
      <c r="C1374" s="102" t="s">
        <v>505</v>
      </c>
      <c r="D1374" s="102" t="s">
        <v>247</v>
      </c>
      <c r="E1374" s="92" t="s">
        <v>506</v>
      </c>
      <c r="F1374" s="42" t="s">
        <v>146</v>
      </c>
      <c r="G1374" s="42" t="s">
        <v>146</v>
      </c>
      <c r="H1374" s="42">
        <v>130</v>
      </c>
      <c r="I1374" s="42" t="s">
        <v>147</v>
      </c>
      <c r="J1374" s="103" t="s">
        <v>3611</v>
      </c>
      <c r="K1374" s="42" t="s">
        <v>4041</v>
      </c>
      <c r="L1374" s="42" t="str">
        <f>VLOOKUP(Table7[[#This Row],[Baseline Fixture Code]], 'Tables &amp; Ranges'!$A$114:$B$132, 2, FALSE)</f>
        <v>N/A</v>
      </c>
    </row>
    <row r="1375" spans="2:12" ht="40" customHeight="1">
      <c r="B1375" s="42">
        <v>181</v>
      </c>
      <c r="C1375" s="102" t="s">
        <v>507</v>
      </c>
      <c r="D1375" s="102" t="s">
        <v>247</v>
      </c>
      <c r="E1375" s="92" t="s">
        <v>508</v>
      </c>
      <c r="F1375" s="42" t="s">
        <v>146</v>
      </c>
      <c r="G1375" s="42" t="s">
        <v>146</v>
      </c>
      <c r="H1375" s="42">
        <v>131</v>
      </c>
      <c r="I1375" s="42" t="s">
        <v>147</v>
      </c>
      <c r="J1375" s="103" t="s">
        <v>3611</v>
      </c>
      <c r="K1375" s="42" t="s">
        <v>4041</v>
      </c>
      <c r="L1375" s="42" t="str">
        <f>VLOOKUP(Table7[[#This Row],[Baseline Fixture Code]], 'Tables &amp; Ranges'!$A$114:$B$132, 2, FALSE)</f>
        <v>N/A</v>
      </c>
    </row>
    <row r="1376" spans="2:12" ht="40" customHeight="1">
      <c r="B1376" s="42">
        <v>182</v>
      </c>
      <c r="C1376" s="102" t="s">
        <v>509</v>
      </c>
      <c r="D1376" s="102" t="s">
        <v>247</v>
      </c>
      <c r="E1376" s="92" t="s">
        <v>510</v>
      </c>
      <c r="F1376" s="42" t="s">
        <v>146</v>
      </c>
      <c r="G1376" s="42" t="s">
        <v>146</v>
      </c>
      <c r="H1376" s="42">
        <v>132</v>
      </c>
      <c r="I1376" s="42" t="s">
        <v>147</v>
      </c>
      <c r="J1376" s="103" t="s">
        <v>3611</v>
      </c>
      <c r="K1376" s="42" t="s">
        <v>4041</v>
      </c>
      <c r="L1376" s="42" t="str">
        <f>VLOOKUP(Table7[[#This Row],[Baseline Fixture Code]], 'Tables &amp; Ranges'!$A$114:$B$132, 2, FALSE)</f>
        <v>N/A</v>
      </c>
    </row>
    <row r="1377" spans="2:12" ht="40" customHeight="1">
      <c r="B1377" s="42">
        <v>183</v>
      </c>
      <c r="C1377" s="102" t="s">
        <v>511</v>
      </c>
      <c r="D1377" s="102" t="s">
        <v>247</v>
      </c>
      <c r="E1377" s="92" t="s">
        <v>512</v>
      </c>
      <c r="F1377" s="42" t="s">
        <v>146</v>
      </c>
      <c r="G1377" s="42" t="s">
        <v>146</v>
      </c>
      <c r="H1377" s="42">
        <v>133</v>
      </c>
      <c r="I1377" s="42" t="s">
        <v>147</v>
      </c>
      <c r="J1377" s="103" t="s">
        <v>3611</v>
      </c>
      <c r="K1377" s="42" t="s">
        <v>4041</v>
      </c>
      <c r="L1377" s="42" t="str">
        <f>VLOOKUP(Table7[[#This Row],[Baseline Fixture Code]], 'Tables &amp; Ranges'!$A$114:$B$132, 2, FALSE)</f>
        <v>N/A</v>
      </c>
    </row>
    <row r="1378" spans="2:12" ht="40" customHeight="1">
      <c r="B1378" s="42">
        <v>184</v>
      </c>
      <c r="C1378" s="102" t="s">
        <v>513</v>
      </c>
      <c r="D1378" s="102" t="s">
        <v>247</v>
      </c>
      <c r="E1378" s="92" t="s">
        <v>514</v>
      </c>
      <c r="F1378" s="42" t="s">
        <v>146</v>
      </c>
      <c r="G1378" s="42" t="s">
        <v>146</v>
      </c>
      <c r="H1378" s="42">
        <v>134</v>
      </c>
      <c r="I1378" s="42" t="s">
        <v>147</v>
      </c>
      <c r="J1378" s="103" t="s">
        <v>3611</v>
      </c>
      <c r="K1378" s="42" t="s">
        <v>4041</v>
      </c>
      <c r="L1378" s="42" t="str">
        <f>VLOOKUP(Table7[[#This Row],[Baseline Fixture Code]], 'Tables &amp; Ranges'!$A$114:$B$132, 2, FALSE)</f>
        <v>N/A</v>
      </c>
    </row>
    <row r="1379" spans="2:12" ht="40" customHeight="1">
      <c r="B1379" s="42">
        <v>185</v>
      </c>
      <c r="C1379" s="102" t="s">
        <v>515</v>
      </c>
      <c r="D1379" s="102" t="s">
        <v>247</v>
      </c>
      <c r="E1379" s="92" t="s">
        <v>516</v>
      </c>
      <c r="F1379" s="42" t="s">
        <v>146</v>
      </c>
      <c r="G1379" s="42" t="s">
        <v>146</v>
      </c>
      <c r="H1379" s="42">
        <v>135</v>
      </c>
      <c r="I1379" s="42" t="s">
        <v>147</v>
      </c>
      <c r="J1379" s="103" t="s">
        <v>3611</v>
      </c>
      <c r="K1379" s="42" t="s">
        <v>4041</v>
      </c>
      <c r="L1379" s="42" t="str">
        <f>VLOOKUP(Table7[[#This Row],[Baseline Fixture Code]], 'Tables &amp; Ranges'!$A$114:$B$132, 2, FALSE)</f>
        <v>N/A</v>
      </c>
    </row>
    <row r="1380" spans="2:12" ht="40" customHeight="1">
      <c r="B1380" s="42">
        <v>186</v>
      </c>
      <c r="C1380" s="102" t="s">
        <v>517</v>
      </c>
      <c r="D1380" s="102" t="s">
        <v>247</v>
      </c>
      <c r="E1380" s="92" t="s">
        <v>518</v>
      </c>
      <c r="F1380" s="42" t="s">
        <v>146</v>
      </c>
      <c r="G1380" s="42" t="s">
        <v>146</v>
      </c>
      <c r="H1380" s="42">
        <v>136</v>
      </c>
      <c r="I1380" s="42" t="s">
        <v>147</v>
      </c>
      <c r="J1380" s="103" t="s">
        <v>3611</v>
      </c>
      <c r="K1380" s="42" t="s">
        <v>4041</v>
      </c>
      <c r="L1380" s="42" t="str">
        <f>VLOOKUP(Table7[[#This Row],[Baseline Fixture Code]], 'Tables &amp; Ranges'!$A$114:$B$132, 2, FALSE)</f>
        <v>N/A</v>
      </c>
    </row>
    <row r="1381" spans="2:12" ht="40" customHeight="1">
      <c r="B1381" s="42">
        <v>187</v>
      </c>
      <c r="C1381" s="102" t="s">
        <v>519</v>
      </c>
      <c r="D1381" s="102" t="s">
        <v>247</v>
      </c>
      <c r="E1381" s="92" t="s">
        <v>520</v>
      </c>
      <c r="F1381" s="42" t="s">
        <v>146</v>
      </c>
      <c r="G1381" s="42" t="s">
        <v>146</v>
      </c>
      <c r="H1381" s="42">
        <v>137</v>
      </c>
      <c r="I1381" s="42" t="s">
        <v>147</v>
      </c>
      <c r="J1381" s="103" t="s">
        <v>3611</v>
      </c>
      <c r="K1381" s="42" t="s">
        <v>4041</v>
      </c>
      <c r="L1381" s="42" t="str">
        <f>VLOOKUP(Table7[[#This Row],[Baseline Fixture Code]], 'Tables &amp; Ranges'!$A$114:$B$132, 2, FALSE)</f>
        <v>N/A</v>
      </c>
    </row>
    <row r="1382" spans="2:12" ht="40" customHeight="1">
      <c r="B1382" s="42">
        <v>188</v>
      </c>
      <c r="C1382" s="102" t="s">
        <v>521</v>
      </c>
      <c r="D1382" s="102" t="s">
        <v>247</v>
      </c>
      <c r="E1382" s="92" t="s">
        <v>522</v>
      </c>
      <c r="F1382" s="42" t="s">
        <v>146</v>
      </c>
      <c r="G1382" s="42" t="s">
        <v>146</v>
      </c>
      <c r="H1382" s="42">
        <v>138</v>
      </c>
      <c r="I1382" s="42" t="s">
        <v>147</v>
      </c>
      <c r="J1382" s="103" t="s">
        <v>3611</v>
      </c>
      <c r="K1382" s="42" t="s">
        <v>4041</v>
      </c>
      <c r="L1382" s="42" t="str">
        <f>VLOOKUP(Table7[[#This Row],[Baseline Fixture Code]], 'Tables &amp; Ranges'!$A$114:$B$132, 2, FALSE)</f>
        <v>N/A</v>
      </c>
    </row>
    <row r="1383" spans="2:12" ht="40" customHeight="1">
      <c r="B1383" s="42">
        <v>189</v>
      </c>
      <c r="C1383" s="102" t="s">
        <v>523</v>
      </c>
      <c r="D1383" s="102" t="s">
        <v>247</v>
      </c>
      <c r="E1383" s="92" t="s">
        <v>524</v>
      </c>
      <c r="F1383" s="42" t="s">
        <v>146</v>
      </c>
      <c r="G1383" s="42" t="s">
        <v>146</v>
      </c>
      <c r="H1383" s="42">
        <v>139</v>
      </c>
      <c r="I1383" s="42" t="s">
        <v>147</v>
      </c>
      <c r="J1383" s="103" t="s">
        <v>3611</v>
      </c>
      <c r="K1383" s="42" t="s">
        <v>4041</v>
      </c>
      <c r="L1383" s="42" t="str">
        <f>VLOOKUP(Table7[[#This Row],[Baseline Fixture Code]], 'Tables &amp; Ranges'!$A$114:$B$132, 2, FALSE)</f>
        <v>N/A</v>
      </c>
    </row>
    <row r="1384" spans="2:12" ht="40" customHeight="1">
      <c r="B1384" s="42">
        <v>190</v>
      </c>
      <c r="C1384" s="102" t="s">
        <v>525</v>
      </c>
      <c r="D1384" s="102" t="s">
        <v>247</v>
      </c>
      <c r="E1384" s="92" t="s">
        <v>526</v>
      </c>
      <c r="F1384" s="42" t="s">
        <v>146</v>
      </c>
      <c r="G1384" s="42" t="s">
        <v>146</v>
      </c>
      <c r="H1384" s="42">
        <v>140</v>
      </c>
      <c r="I1384" s="42" t="s">
        <v>147</v>
      </c>
      <c r="J1384" s="103" t="s">
        <v>3611</v>
      </c>
      <c r="K1384" s="42" t="s">
        <v>4041</v>
      </c>
      <c r="L1384" s="42" t="str">
        <f>VLOOKUP(Table7[[#This Row],[Baseline Fixture Code]], 'Tables &amp; Ranges'!$A$114:$B$132, 2, FALSE)</f>
        <v>N/A</v>
      </c>
    </row>
    <row r="1385" spans="2:12" ht="40" customHeight="1">
      <c r="B1385" s="42">
        <v>191</v>
      </c>
      <c r="C1385" s="102" t="s">
        <v>527</v>
      </c>
      <c r="D1385" s="102" t="s">
        <v>247</v>
      </c>
      <c r="E1385" s="92" t="s">
        <v>528</v>
      </c>
      <c r="F1385" s="42" t="s">
        <v>146</v>
      </c>
      <c r="G1385" s="42" t="s">
        <v>146</v>
      </c>
      <c r="H1385" s="42">
        <v>141</v>
      </c>
      <c r="I1385" s="42" t="s">
        <v>147</v>
      </c>
      <c r="J1385" s="103" t="s">
        <v>3611</v>
      </c>
      <c r="K1385" s="42" t="s">
        <v>4041</v>
      </c>
      <c r="L1385" s="42" t="str">
        <f>VLOOKUP(Table7[[#This Row],[Baseline Fixture Code]], 'Tables &amp; Ranges'!$A$114:$B$132, 2, FALSE)</f>
        <v>N/A</v>
      </c>
    </row>
    <row r="1386" spans="2:12" ht="40" customHeight="1">
      <c r="B1386" s="42">
        <v>192</v>
      </c>
      <c r="C1386" s="102" t="s">
        <v>529</v>
      </c>
      <c r="D1386" s="102" t="s">
        <v>247</v>
      </c>
      <c r="E1386" s="92" t="s">
        <v>530</v>
      </c>
      <c r="F1386" s="42" t="s">
        <v>146</v>
      </c>
      <c r="G1386" s="42" t="s">
        <v>146</v>
      </c>
      <c r="H1386" s="42">
        <v>142</v>
      </c>
      <c r="I1386" s="42" t="s">
        <v>147</v>
      </c>
      <c r="J1386" s="103" t="s">
        <v>3611</v>
      </c>
      <c r="K1386" s="42" t="s">
        <v>4041</v>
      </c>
      <c r="L1386" s="42" t="str">
        <f>VLOOKUP(Table7[[#This Row],[Baseline Fixture Code]], 'Tables &amp; Ranges'!$A$114:$B$132, 2, FALSE)</f>
        <v>N/A</v>
      </c>
    </row>
    <row r="1387" spans="2:12" ht="40" customHeight="1">
      <c r="B1387" s="42">
        <v>193</v>
      </c>
      <c r="C1387" s="102" t="s">
        <v>531</v>
      </c>
      <c r="D1387" s="102" t="s">
        <v>247</v>
      </c>
      <c r="E1387" s="92" t="s">
        <v>532</v>
      </c>
      <c r="F1387" s="42" t="s">
        <v>146</v>
      </c>
      <c r="G1387" s="42" t="s">
        <v>146</v>
      </c>
      <c r="H1387" s="42">
        <v>143</v>
      </c>
      <c r="I1387" s="42" t="s">
        <v>147</v>
      </c>
      <c r="J1387" s="103" t="s">
        <v>3611</v>
      </c>
      <c r="K1387" s="42" t="s">
        <v>4041</v>
      </c>
      <c r="L1387" s="42" t="str">
        <f>VLOOKUP(Table7[[#This Row],[Baseline Fixture Code]], 'Tables &amp; Ranges'!$A$114:$B$132, 2, FALSE)</f>
        <v>N/A</v>
      </c>
    </row>
    <row r="1388" spans="2:12" ht="40" customHeight="1">
      <c r="B1388" s="42">
        <v>194</v>
      </c>
      <c r="C1388" s="102" t="s">
        <v>533</v>
      </c>
      <c r="D1388" s="102" t="s">
        <v>247</v>
      </c>
      <c r="E1388" s="92" t="s">
        <v>534</v>
      </c>
      <c r="F1388" s="42" t="s">
        <v>146</v>
      </c>
      <c r="G1388" s="42" t="s">
        <v>146</v>
      </c>
      <c r="H1388" s="42">
        <v>144</v>
      </c>
      <c r="I1388" s="42" t="s">
        <v>147</v>
      </c>
      <c r="J1388" s="103" t="s">
        <v>3611</v>
      </c>
      <c r="K1388" s="42" t="s">
        <v>4041</v>
      </c>
      <c r="L1388" s="42" t="str">
        <f>VLOOKUP(Table7[[#This Row],[Baseline Fixture Code]], 'Tables &amp; Ranges'!$A$114:$B$132, 2, FALSE)</f>
        <v>N/A</v>
      </c>
    </row>
    <row r="1389" spans="2:12" ht="40" customHeight="1">
      <c r="B1389" s="42">
        <v>195</v>
      </c>
      <c r="C1389" s="102" t="s">
        <v>535</v>
      </c>
      <c r="D1389" s="102" t="s">
        <v>247</v>
      </c>
      <c r="E1389" s="92" t="s">
        <v>536</v>
      </c>
      <c r="F1389" s="42" t="s">
        <v>146</v>
      </c>
      <c r="G1389" s="42" t="s">
        <v>146</v>
      </c>
      <c r="H1389" s="42">
        <v>145</v>
      </c>
      <c r="I1389" s="42" t="s">
        <v>147</v>
      </c>
      <c r="J1389" s="103" t="s">
        <v>3611</v>
      </c>
      <c r="K1389" s="42" t="s">
        <v>4041</v>
      </c>
      <c r="L1389" s="42" t="str">
        <f>VLOOKUP(Table7[[#This Row],[Baseline Fixture Code]], 'Tables &amp; Ranges'!$A$114:$B$132, 2, FALSE)</f>
        <v>N/A</v>
      </c>
    </row>
    <row r="1390" spans="2:12" ht="40" customHeight="1">
      <c r="B1390" s="42">
        <v>196</v>
      </c>
      <c r="C1390" s="102" t="s">
        <v>537</v>
      </c>
      <c r="D1390" s="102" t="s">
        <v>247</v>
      </c>
      <c r="E1390" s="92" t="s">
        <v>538</v>
      </c>
      <c r="F1390" s="42" t="s">
        <v>146</v>
      </c>
      <c r="G1390" s="42" t="s">
        <v>146</v>
      </c>
      <c r="H1390" s="42">
        <v>146</v>
      </c>
      <c r="I1390" s="42" t="s">
        <v>147</v>
      </c>
      <c r="J1390" s="103" t="s">
        <v>3611</v>
      </c>
      <c r="K1390" s="42" t="s">
        <v>4041</v>
      </c>
      <c r="L1390" s="42" t="str">
        <f>VLOOKUP(Table7[[#This Row],[Baseline Fixture Code]], 'Tables &amp; Ranges'!$A$114:$B$132, 2, FALSE)</f>
        <v>N/A</v>
      </c>
    </row>
    <row r="1391" spans="2:12" ht="40" customHeight="1">
      <c r="B1391" s="42">
        <v>197</v>
      </c>
      <c r="C1391" s="102" t="s">
        <v>539</v>
      </c>
      <c r="D1391" s="102" t="s">
        <v>247</v>
      </c>
      <c r="E1391" s="92" t="s">
        <v>540</v>
      </c>
      <c r="F1391" s="42" t="s">
        <v>146</v>
      </c>
      <c r="G1391" s="42" t="s">
        <v>146</v>
      </c>
      <c r="H1391" s="42">
        <v>147</v>
      </c>
      <c r="I1391" s="42" t="s">
        <v>147</v>
      </c>
      <c r="J1391" s="103" t="s">
        <v>3611</v>
      </c>
      <c r="K1391" s="42" t="s">
        <v>4041</v>
      </c>
      <c r="L1391" s="42" t="str">
        <f>VLOOKUP(Table7[[#This Row],[Baseline Fixture Code]], 'Tables &amp; Ranges'!$A$114:$B$132, 2, FALSE)</f>
        <v>N/A</v>
      </c>
    </row>
    <row r="1392" spans="2:12" ht="40" customHeight="1">
      <c r="B1392" s="42">
        <v>198</v>
      </c>
      <c r="C1392" s="102" t="s">
        <v>541</v>
      </c>
      <c r="D1392" s="102" t="s">
        <v>247</v>
      </c>
      <c r="E1392" s="92" t="s">
        <v>542</v>
      </c>
      <c r="F1392" s="42" t="s">
        <v>146</v>
      </c>
      <c r="G1392" s="42" t="s">
        <v>146</v>
      </c>
      <c r="H1392" s="42">
        <v>148</v>
      </c>
      <c r="I1392" s="42" t="s">
        <v>147</v>
      </c>
      <c r="J1392" s="103" t="s">
        <v>3611</v>
      </c>
      <c r="K1392" s="42" t="s">
        <v>4041</v>
      </c>
      <c r="L1392" s="42" t="str">
        <f>VLOOKUP(Table7[[#This Row],[Baseline Fixture Code]], 'Tables &amp; Ranges'!$A$114:$B$132, 2, FALSE)</f>
        <v>N/A</v>
      </c>
    </row>
    <row r="1393" spans="2:12" ht="40" customHeight="1">
      <c r="B1393" s="42">
        <v>199</v>
      </c>
      <c r="C1393" s="102" t="s">
        <v>543</v>
      </c>
      <c r="D1393" s="102" t="s">
        <v>247</v>
      </c>
      <c r="E1393" s="92" t="s">
        <v>544</v>
      </c>
      <c r="F1393" s="42" t="s">
        <v>146</v>
      </c>
      <c r="G1393" s="42" t="s">
        <v>146</v>
      </c>
      <c r="H1393" s="42">
        <v>149</v>
      </c>
      <c r="I1393" s="42" t="s">
        <v>147</v>
      </c>
      <c r="J1393" s="103" t="s">
        <v>3611</v>
      </c>
      <c r="K1393" s="42" t="s">
        <v>4041</v>
      </c>
      <c r="L1393" s="42" t="str">
        <f>VLOOKUP(Table7[[#This Row],[Baseline Fixture Code]], 'Tables &amp; Ranges'!$A$114:$B$132, 2, FALSE)</f>
        <v>N/A</v>
      </c>
    </row>
    <row r="1394" spans="2:12" ht="40" customHeight="1">
      <c r="B1394" s="42">
        <v>200</v>
      </c>
      <c r="C1394" s="102" t="s">
        <v>545</v>
      </c>
      <c r="D1394" s="102" t="s">
        <v>247</v>
      </c>
      <c r="E1394" s="92" t="s">
        <v>546</v>
      </c>
      <c r="F1394" s="42" t="s">
        <v>146</v>
      </c>
      <c r="G1394" s="42" t="s">
        <v>146</v>
      </c>
      <c r="H1394" s="42">
        <v>150</v>
      </c>
      <c r="I1394" s="42" t="s">
        <v>147</v>
      </c>
      <c r="J1394" s="103" t="s">
        <v>3611</v>
      </c>
      <c r="K1394" s="42" t="s">
        <v>4041</v>
      </c>
      <c r="L1394" s="42" t="str">
        <f>VLOOKUP(Table7[[#This Row],[Baseline Fixture Code]], 'Tables &amp; Ranges'!$A$114:$B$132, 2, FALSE)</f>
        <v>N/A</v>
      </c>
    </row>
    <row r="1395" spans="2:12" ht="40" customHeight="1">
      <c r="B1395" s="42">
        <v>201</v>
      </c>
      <c r="C1395" s="102" t="s">
        <v>547</v>
      </c>
      <c r="D1395" s="102" t="s">
        <v>247</v>
      </c>
      <c r="E1395" s="92" t="s">
        <v>548</v>
      </c>
      <c r="F1395" s="42" t="s">
        <v>146</v>
      </c>
      <c r="G1395" s="42" t="s">
        <v>146</v>
      </c>
      <c r="H1395" s="42">
        <v>151</v>
      </c>
      <c r="I1395" s="42" t="s">
        <v>147</v>
      </c>
      <c r="J1395" s="103" t="s">
        <v>3611</v>
      </c>
      <c r="K1395" s="42" t="s">
        <v>4041</v>
      </c>
      <c r="L1395" s="42" t="str">
        <f>VLOOKUP(Table7[[#This Row],[Baseline Fixture Code]], 'Tables &amp; Ranges'!$A$114:$B$132, 2, FALSE)</f>
        <v>N/A</v>
      </c>
    </row>
    <row r="1396" spans="2:12" ht="40" customHeight="1">
      <c r="B1396" s="42">
        <v>202</v>
      </c>
      <c r="C1396" s="102" t="s">
        <v>549</v>
      </c>
      <c r="D1396" s="102" t="s">
        <v>247</v>
      </c>
      <c r="E1396" s="92" t="s">
        <v>550</v>
      </c>
      <c r="F1396" s="42" t="s">
        <v>146</v>
      </c>
      <c r="G1396" s="42" t="s">
        <v>146</v>
      </c>
      <c r="H1396" s="42">
        <v>152</v>
      </c>
      <c r="I1396" s="42" t="s">
        <v>147</v>
      </c>
      <c r="J1396" s="103" t="s">
        <v>3611</v>
      </c>
      <c r="K1396" s="42" t="s">
        <v>4041</v>
      </c>
      <c r="L1396" s="42" t="str">
        <f>VLOOKUP(Table7[[#This Row],[Baseline Fixture Code]], 'Tables &amp; Ranges'!$A$114:$B$132, 2, FALSE)</f>
        <v>N/A</v>
      </c>
    </row>
    <row r="1397" spans="2:12" ht="40" customHeight="1">
      <c r="B1397" s="42">
        <v>203</v>
      </c>
      <c r="C1397" s="102" t="s">
        <v>551</v>
      </c>
      <c r="D1397" s="102" t="s">
        <v>247</v>
      </c>
      <c r="E1397" s="92" t="s">
        <v>552</v>
      </c>
      <c r="F1397" s="42" t="s">
        <v>146</v>
      </c>
      <c r="G1397" s="42" t="s">
        <v>146</v>
      </c>
      <c r="H1397" s="42">
        <v>153</v>
      </c>
      <c r="I1397" s="42" t="s">
        <v>147</v>
      </c>
      <c r="J1397" s="103" t="s">
        <v>3611</v>
      </c>
      <c r="K1397" s="42" t="s">
        <v>4041</v>
      </c>
      <c r="L1397" s="42" t="str">
        <f>VLOOKUP(Table7[[#This Row],[Baseline Fixture Code]], 'Tables &amp; Ranges'!$A$114:$B$132, 2, FALSE)</f>
        <v>N/A</v>
      </c>
    </row>
    <row r="1398" spans="2:12" ht="40" customHeight="1">
      <c r="B1398" s="42">
        <v>204</v>
      </c>
      <c r="C1398" s="102" t="s">
        <v>553</v>
      </c>
      <c r="D1398" s="102" t="s">
        <v>247</v>
      </c>
      <c r="E1398" s="92" t="s">
        <v>554</v>
      </c>
      <c r="F1398" s="42" t="s">
        <v>146</v>
      </c>
      <c r="G1398" s="42" t="s">
        <v>146</v>
      </c>
      <c r="H1398" s="42">
        <v>154</v>
      </c>
      <c r="I1398" s="42" t="s">
        <v>147</v>
      </c>
      <c r="J1398" s="103" t="s">
        <v>3611</v>
      </c>
      <c r="K1398" s="42" t="s">
        <v>4041</v>
      </c>
      <c r="L1398" s="42" t="str">
        <f>VLOOKUP(Table7[[#This Row],[Baseline Fixture Code]], 'Tables &amp; Ranges'!$A$114:$B$132, 2, FALSE)</f>
        <v>N/A</v>
      </c>
    </row>
    <row r="1399" spans="2:12" ht="40" customHeight="1">
      <c r="B1399" s="42">
        <v>205</v>
      </c>
      <c r="C1399" s="102" t="s">
        <v>555</v>
      </c>
      <c r="D1399" s="102" t="s">
        <v>247</v>
      </c>
      <c r="E1399" s="92" t="s">
        <v>556</v>
      </c>
      <c r="F1399" s="42" t="s">
        <v>146</v>
      </c>
      <c r="G1399" s="42" t="s">
        <v>146</v>
      </c>
      <c r="H1399" s="42">
        <v>155</v>
      </c>
      <c r="I1399" s="42" t="s">
        <v>147</v>
      </c>
      <c r="J1399" s="103" t="s">
        <v>3611</v>
      </c>
      <c r="K1399" s="42" t="s">
        <v>4041</v>
      </c>
      <c r="L1399" s="42" t="str">
        <f>VLOOKUP(Table7[[#This Row],[Baseline Fixture Code]], 'Tables &amp; Ranges'!$A$114:$B$132, 2, FALSE)</f>
        <v>N/A</v>
      </c>
    </row>
    <row r="1400" spans="2:12" ht="40" customHeight="1">
      <c r="B1400" s="42">
        <v>206</v>
      </c>
      <c r="C1400" s="102" t="s">
        <v>557</v>
      </c>
      <c r="D1400" s="102" t="s">
        <v>247</v>
      </c>
      <c r="E1400" s="92" t="s">
        <v>558</v>
      </c>
      <c r="F1400" s="42" t="s">
        <v>146</v>
      </c>
      <c r="G1400" s="42" t="s">
        <v>146</v>
      </c>
      <c r="H1400" s="42">
        <v>156</v>
      </c>
      <c r="I1400" s="42" t="s">
        <v>147</v>
      </c>
      <c r="J1400" s="103" t="s">
        <v>3611</v>
      </c>
      <c r="K1400" s="42" t="s">
        <v>4041</v>
      </c>
      <c r="L1400" s="42" t="str">
        <f>VLOOKUP(Table7[[#This Row],[Baseline Fixture Code]], 'Tables &amp; Ranges'!$A$114:$B$132, 2, FALSE)</f>
        <v>N/A</v>
      </c>
    </row>
    <row r="1401" spans="2:12" ht="40" customHeight="1">
      <c r="B1401" s="42">
        <v>207</v>
      </c>
      <c r="C1401" s="102" t="s">
        <v>559</v>
      </c>
      <c r="D1401" s="102" t="s">
        <v>247</v>
      </c>
      <c r="E1401" s="92" t="s">
        <v>560</v>
      </c>
      <c r="F1401" s="42" t="s">
        <v>146</v>
      </c>
      <c r="G1401" s="42" t="s">
        <v>146</v>
      </c>
      <c r="H1401" s="42">
        <v>157</v>
      </c>
      <c r="I1401" s="42" t="s">
        <v>147</v>
      </c>
      <c r="J1401" s="103" t="s">
        <v>3611</v>
      </c>
      <c r="K1401" s="42" t="s">
        <v>4041</v>
      </c>
      <c r="L1401" s="42" t="str">
        <f>VLOOKUP(Table7[[#This Row],[Baseline Fixture Code]], 'Tables &amp; Ranges'!$A$114:$B$132, 2, FALSE)</f>
        <v>N/A</v>
      </c>
    </row>
    <row r="1402" spans="2:12" ht="40" customHeight="1">
      <c r="B1402" s="42">
        <v>208</v>
      </c>
      <c r="C1402" s="102" t="s">
        <v>561</v>
      </c>
      <c r="D1402" s="102" t="s">
        <v>247</v>
      </c>
      <c r="E1402" s="92" t="s">
        <v>562</v>
      </c>
      <c r="F1402" s="42" t="s">
        <v>146</v>
      </c>
      <c r="G1402" s="42" t="s">
        <v>146</v>
      </c>
      <c r="H1402" s="42">
        <v>158</v>
      </c>
      <c r="I1402" s="42" t="s">
        <v>147</v>
      </c>
      <c r="J1402" s="103" t="s">
        <v>3611</v>
      </c>
      <c r="K1402" s="42" t="s">
        <v>4041</v>
      </c>
      <c r="L1402" s="42" t="str">
        <f>VLOOKUP(Table7[[#This Row],[Baseline Fixture Code]], 'Tables &amp; Ranges'!$A$114:$B$132, 2, FALSE)</f>
        <v>N/A</v>
      </c>
    </row>
    <row r="1403" spans="2:12" ht="40" customHeight="1">
      <c r="B1403" s="42">
        <v>209</v>
      </c>
      <c r="C1403" s="102" t="s">
        <v>563</v>
      </c>
      <c r="D1403" s="102" t="s">
        <v>247</v>
      </c>
      <c r="E1403" s="92" t="s">
        <v>564</v>
      </c>
      <c r="F1403" s="42" t="s">
        <v>146</v>
      </c>
      <c r="G1403" s="42" t="s">
        <v>146</v>
      </c>
      <c r="H1403" s="42">
        <v>159</v>
      </c>
      <c r="I1403" s="42" t="s">
        <v>147</v>
      </c>
      <c r="J1403" s="103" t="s">
        <v>3611</v>
      </c>
      <c r="K1403" s="42" t="s">
        <v>4041</v>
      </c>
      <c r="L1403" s="42" t="str">
        <f>VLOOKUP(Table7[[#This Row],[Baseline Fixture Code]], 'Tables &amp; Ranges'!$A$114:$B$132, 2, FALSE)</f>
        <v>N/A</v>
      </c>
    </row>
    <row r="1404" spans="2:12" ht="40" customHeight="1">
      <c r="B1404" s="42">
        <v>210</v>
      </c>
      <c r="C1404" s="102" t="s">
        <v>565</v>
      </c>
      <c r="D1404" s="102" t="s">
        <v>247</v>
      </c>
      <c r="E1404" s="92" t="s">
        <v>566</v>
      </c>
      <c r="F1404" s="42" t="s">
        <v>146</v>
      </c>
      <c r="G1404" s="42" t="s">
        <v>146</v>
      </c>
      <c r="H1404" s="42">
        <v>160</v>
      </c>
      <c r="I1404" s="42" t="s">
        <v>147</v>
      </c>
      <c r="J1404" s="103" t="s">
        <v>3611</v>
      </c>
      <c r="K1404" s="42" t="s">
        <v>4041</v>
      </c>
      <c r="L1404" s="42" t="str">
        <f>VLOOKUP(Table7[[#This Row],[Baseline Fixture Code]], 'Tables &amp; Ranges'!$A$114:$B$132, 2, FALSE)</f>
        <v>N/A</v>
      </c>
    </row>
    <row r="1405" spans="2:12" ht="40" customHeight="1">
      <c r="B1405" s="42">
        <v>211</v>
      </c>
      <c r="C1405" s="102" t="s">
        <v>567</v>
      </c>
      <c r="D1405" s="102" t="s">
        <v>247</v>
      </c>
      <c r="E1405" s="92" t="s">
        <v>568</v>
      </c>
      <c r="F1405" s="42" t="s">
        <v>146</v>
      </c>
      <c r="G1405" s="42" t="s">
        <v>146</v>
      </c>
      <c r="H1405" s="42">
        <v>161</v>
      </c>
      <c r="I1405" s="42" t="s">
        <v>147</v>
      </c>
      <c r="J1405" s="103" t="s">
        <v>3611</v>
      </c>
      <c r="K1405" s="42" t="s">
        <v>4041</v>
      </c>
      <c r="L1405" s="42" t="str">
        <f>VLOOKUP(Table7[[#This Row],[Baseline Fixture Code]], 'Tables &amp; Ranges'!$A$114:$B$132, 2, FALSE)</f>
        <v>N/A</v>
      </c>
    </row>
    <row r="1406" spans="2:12" ht="40" customHeight="1">
      <c r="B1406" s="42">
        <v>212</v>
      </c>
      <c r="C1406" s="102" t="s">
        <v>569</v>
      </c>
      <c r="D1406" s="102" t="s">
        <v>247</v>
      </c>
      <c r="E1406" s="92" t="s">
        <v>570</v>
      </c>
      <c r="F1406" s="42" t="s">
        <v>146</v>
      </c>
      <c r="G1406" s="42" t="s">
        <v>146</v>
      </c>
      <c r="H1406" s="42">
        <v>162</v>
      </c>
      <c r="I1406" s="42" t="s">
        <v>147</v>
      </c>
      <c r="J1406" s="103" t="s">
        <v>3611</v>
      </c>
      <c r="K1406" s="42" t="s">
        <v>4041</v>
      </c>
      <c r="L1406" s="42" t="str">
        <f>VLOOKUP(Table7[[#This Row],[Baseline Fixture Code]], 'Tables &amp; Ranges'!$A$114:$B$132, 2, FALSE)</f>
        <v>N/A</v>
      </c>
    </row>
    <row r="1407" spans="2:12" ht="40" customHeight="1">
      <c r="B1407" s="42">
        <v>213</v>
      </c>
      <c r="C1407" s="102" t="s">
        <v>571</v>
      </c>
      <c r="D1407" s="102" t="s">
        <v>247</v>
      </c>
      <c r="E1407" s="92" t="s">
        <v>572</v>
      </c>
      <c r="F1407" s="42" t="s">
        <v>146</v>
      </c>
      <c r="G1407" s="42" t="s">
        <v>146</v>
      </c>
      <c r="H1407" s="42">
        <v>163</v>
      </c>
      <c r="I1407" s="42" t="s">
        <v>147</v>
      </c>
      <c r="J1407" s="103" t="s">
        <v>3611</v>
      </c>
      <c r="K1407" s="42" t="s">
        <v>4041</v>
      </c>
      <c r="L1407" s="42" t="str">
        <f>VLOOKUP(Table7[[#This Row],[Baseline Fixture Code]], 'Tables &amp; Ranges'!$A$114:$B$132, 2, FALSE)</f>
        <v>N/A</v>
      </c>
    </row>
    <row r="1408" spans="2:12" ht="40" customHeight="1">
      <c r="B1408" s="42">
        <v>214</v>
      </c>
      <c r="C1408" s="102" t="s">
        <v>573</v>
      </c>
      <c r="D1408" s="102" t="s">
        <v>247</v>
      </c>
      <c r="E1408" s="92" t="s">
        <v>574</v>
      </c>
      <c r="F1408" s="42" t="s">
        <v>146</v>
      </c>
      <c r="G1408" s="42" t="s">
        <v>146</v>
      </c>
      <c r="H1408" s="42">
        <v>164</v>
      </c>
      <c r="I1408" s="42" t="s">
        <v>147</v>
      </c>
      <c r="J1408" s="103" t="s">
        <v>3611</v>
      </c>
      <c r="K1408" s="42" t="s">
        <v>4041</v>
      </c>
      <c r="L1408" s="42" t="str">
        <f>VLOOKUP(Table7[[#This Row],[Baseline Fixture Code]], 'Tables &amp; Ranges'!$A$114:$B$132, 2, FALSE)</f>
        <v>N/A</v>
      </c>
    </row>
    <row r="1409" spans="2:12" ht="40" customHeight="1">
      <c r="B1409" s="42">
        <v>215</v>
      </c>
      <c r="C1409" s="102" t="s">
        <v>575</v>
      </c>
      <c r="D1409" s="102" t="s">
        <v>247</v>
      </c>
      <c r="E1409" s="92" t="s">
        <v>576</v>
      </c>
      <c r="F1409" s="42" t="s">
        <v>146</v>
      </c>
      <c r="G1409" s="42" t="s">
        <v>146</v>
      </c>
      <c r="H1409" s="42">
        <v>165</v>
      </c>
      <c r="I1409" s="42" t="s">
        <v>147</v>
      </c>
      <c r="J1409" s="103" t="s">
        <v>3611</v>
      </c>
      <c r="K1409" s="42" t="s">
        <v>4041</v>
      </c>
      <c r="L1409" s="42" t="str">
        <f>VLOOKUP(Table7[[#This Row],[Baseline Fixture Code]], 'Tables &amp; Ranges'!$A$114:$B$132, 2, FALSE)</f>
        <v>N/A</v>
      </c>
    </row>
    <row r="1410" spans="2:12" ht="40" customHeight="1">
      <c r="B1410" s="42">
        <v>216</v>
      </c>
      <c r="C1410" s="102" t="s">
        <v>577</v>
      </c>
      <c r="D1410" s="102" t="s">
        <v>247</v>
      </c>
      <c r="E1410" s="92" t="s">
        <v>578</v>
      </c>
      <c r="F1410" s="42" t="s">
        <v>146</v>
      </c>
      <c r="G1410" s="42" t="s">
        <v>146</v>
      </c>
      <c r="H1410" s="42">
        <v>166</v>
      </c>
      <c r="I1410" s="42" t="s">
        <v>147</v>
      </c>
      <c r="J1410" s="103" t="s">
        <v>3611</v>
      </c>
      <c r="K1410" s="42" t="s">
        <v>4041</v>
      </c>
      <c r="L1410" s="42" t="str">
        <f>VLOOKUP(Table7[[#This Row],[Baseline Fixture Code]], 'Tables &amp; Ranges'!$A$114:$B$132, 2, FALSE)</f>
        <v>N/A</v>
      </c>
    </row>
    <row r="1411" spans="2:12" ht="40" customHeight="1">
      <c r="B1411" s="42">
        <v>217</v>
      </c>
      <c r="C1411" s="102" t="s">
        <v>579</v>
      </c>
      <c r="D1411" s="102" t="s">
        <v>247</v>
      </c>
      <c r="E1411" s="92" t="s">
        <v>580</v>
      </c>
      <c r="F1411" s="42" t="s">
        <v>146</v>
      </c>
      <c r="G1411" s="42" t="s">
        <v>146</v>
      </c>
      <c r="H1411" s="42">
        <v>167</v>
      </c>
      <c r="I1411" s="42" t="s">
        <v>147</v>
      </c>
      <c r="J1411" s="103" t="s">
        <v>3611</v>
      </c>
      <c r="K1411" s="42" t="s">
        <v>4041</v>
      </c>
      <c r="L1411" s="42" t="str">
        <f>VLOOKUP(Table7[[#This Row],[Baseline Fixture Code]], 'Tables &amp; Ranges'!$A$114:$B$132, 2, FALSE)</f>
        <v>N/A</v>
      </c>
    </row>
    <row r="1412" spans="2:12" ht="40" customHeight="1">
      <c r="B1412" s="42">
        <v>218</v>
      </c>
      <c r="C1412" s="102" t="s">
        <v>581</v>
      </c>
      <c r="D1412" s="102" t="s">
        <v>247</v>
      </c>
      <c r="E1412" s="92" t="s">
        <v>582</v>
      </c>
      <c r="F1412" s="42" t="s">
        <v>146</v>
      </c>
      <c r="G1412" s="42" t="s">
        <v>146</v>
      </c>
      <c r="H1412" s="42">
        <v>168</v>
      </c>
      <c r="I1412" s="42" t="s">
        <v>147</v>
      </c>
      <c r="J1412" s="103" t="s">
        <v>3611</v>
      </c>
      <c r="K1412" s="42" t="s">
        <v>4041</v>
      </c>
      <c r="L1412" s="42" t="str">
        <f>VLOOKUP(Table7[[#This Row],[Baseline Fixture Code]], 'Tables &amp; Ranges'!$A$114:$B$132, 2, FALSE)</f>
        <v>N/A</v>
      </c>
    </row>
    <row r="1413" spans="2:12" ht="40" customHeight="1">
      <c r="B1413" s="42">
        <v>219</v>
      </c>
      <c r="C1413" s="102" t="s">
        <v>583</v>
      </c>
      <c r="D1413" s="102" t="s">
        <v>247</v>
      </c>
      <c r="E1413" s="92" t="s">
        <v>584</v>
      </c>
      <c r="F1413" s="42" t="s">
        <v>146</v>
      </c>
      <c r="G1413" s="42" t="s">
        <v>146</v>
      </c>
      <c r="H1413" s="42">
        <v>169</v>
      </c>
      <c r="I1413" s="42" t="s">
        <v>147</v>
      </c>
      <c r="J1413" s="103" t="s">
        <v>3611</v>
      </c>
      <c r="K1413" s="42" t="s">
        <v>4041</v>
      </c>
      <c r="L1413" s="42" t="str">
        <f>VLOOKUP(Table7[[#This Row],[Baseline Fixture Code]], 'Tables &amp; Ranges'!$A$114:$B$132, 2, FALSE)</f>
        <v>N/A</v>
      </c>
    </row>
    <row r="1414" spans="2:12" ht="40" customHeight="1">
      <c r="B1414" s="42">
        <v>220</v>
      </c>
      <c r="C1414" s="102" t="s">
        <v>585</v>
      </c>
      <c r="D1414" s="102" t="s">
        <v>247</v>
      </c>
      <c r="E1414" s="92" t="s">
        <v>586</v>
      </c>
      <c r="F1414" s="42" t="s">
        <v>146</v>
      </c>
      <c r="G1414" s="42" t="s">
        <v>146</v>
      </c>
      <c r="H1414" s="42">
        <v>170</v>
      </c>
      <c r="I1414" s="42" t="s">
        <v>147</v>
      </c>
      <c r="J1414" s="103" t="s">
        <v>3611</v>
      </c>
      <c r="K1414" s="42" t="s">
        <v>4041</v>
      </c>
      <c r="L1414" s="42" t="str">
        <f>VLOOKUP(Table7[[#This Row],[Baseline Fixture Code]], 'Tables &amp; Ranges'!$A$114:$B$132, 2, FALSE)</f>
        <v>N/A</v>
      </c>
    </row>
    <row r="1415" spans="2:12" ht="40" customHeight="1">
      <c r="B1415" s="42">
        <v>221</v>
      </c>
      <c r="C1415" s="102" t="s">
        <v>587</v>
      </c>
      <c r="D1415" s="102" t="s">
        <v>247</v>
      </c>
      <c r="E1415" s="92" t="s">
        <v>588</v>
      </c>
      <c r="F1415" s="42" t="s">
        <v>146</v>
      </c>
      <c r="G1415" s="42" t="s">
        <v>146</v>
      </c>
      <c r="H1415" s="42">
        <v>171</v>
      </c>
      <c r="I1415" s="42" t="s">
        <v>147</v>
      </c>
      <c r="J1415" s="103" t="s">
        <v>3611</v>
      </c>
      <c r="K1415" s="42" t="s">
        <v>4041</v>
      </c>
      <c r="L1415" s="42" t="str">
        <f>VLOOKUP(Table7[[#This Row],[Baseline Fixture Code]], 'Tables &amp; Ranges'!$A$114:$B$132, 2, FALSE)</f>
        <v>N/A</v>
      </c>
    </row>
    <row r="1416" spans="2:12" ht="40" customHeight="1">
      <c r="B1416" s="42">
        <v>222</v>
      </c>
      <c r="C1416" s="102" t="s">
        <v>589</v>
      </c>
      <c r="D1416" s="102" t="s">
        <v>247</v>
      </c>
      <c r="E1416" s="92" t="s">
        <v>590</v>
      </c>
      <c r="F1416" s="42" t="s">
        <v>146</v>
      </c>
      <c r="G1416" s="42" t="s">
        <v>146</v>
      </c>
      <c r="H1416" s="42">
        <v>172</v>
      </c>
      <c r="I1416" s="42" t="s">
        <v>147</v>
      </c>
      <c r="J1416" s="103" t="s">
        <v>3611</v>
      </c>
      <c r="K1416" s="42" t="s">
        <v>4041</v>
      </c>
      <c r="L1416" s="42" t="str">
        <f>VLOOKUP(Table7[[#This Row],[Baseline Fixture Code]], 'Tables &amp; Ranges'!$A$114:$B$132, 2, FALSE)</f>
        <v>N/A</v>
      </c>
    </row>
    <row r="1417" spans="2:12" ht="40" customHeight="1">
      <c r="B1417" s="42">
        <v>223</v>
      </c>
      <c r="C1417" s="102" t="s">
        <v>591</v>
      </c>
      <c r="D1417" s="102" t="s">
        <v>247</v>
      </c>
      <c r="E1417" s="92" t="s">
        <v>592</v>
      </c>
      <c r="F1417" s="42" t="s">
        <v>146</v>
      </c>
      <c r="G1417" s="42" t="s">
        <v>146</v>
      </c>
      <c r="H1417" s="42">
        <v>173</v>
      </c>
      <c r="I1417" s="42" t="s">
        <v>147</v>
      </c>
      <c r="J1417" s="103" t="s">
        <v>3611</v>
      </c>
      <c r="K1417" s="42" t="s">
        <v>4041</v>
      </c>
      <c r="L1417" s="42" t="str">
        <f>VLOOKUP(Table7[[#This Row],[Baseline Fixture Code]], 'Tables &amp; Ranges'!$A$114:$B$132, 2, FALSE)</f>
        <v>N/A</v>
      </c>
    </row>
    <row r="1418" spans="2:12" ht="40" customHeight="1">
      <c r="B1418" s="42">
        <v>224</v>
      </c>
      <c r="C1418" s="102" t="s">
        <v>593</v>
      </c>
      <c r="D1418" s="102" t="s">
        <v>247</v>
      </c>
      <c r="E1418" s="92" t="s">
        <v>594</v>
      </c>
      <c r="F1418" s="42" t="s">
        <v>146</v>
      </c>
      <c r="G1418" s="42" t="s">
        <v>146</v>
      </c>
      <c r="H1418" s="42">
        <v>174</v>
      </c>
      <c r="I1418" s="42" t="s">
        <v>147</v>
      </c>
      <c r="J1418" s="103" t="s">
        <v>3611</v>
      </c>
      <c r="K1418" s="42" t="s">
        <v>4041</v>
      </c>
      <c r="L1418" s="42" t="str">
        <f>VLOOKUP(Table7[[#This Row],[Baseline Fixture Code]], 'Tables &amp; Ranges'!$A$114:$B$132, 2, FALSE)</f>
        <v>N/A</v>
      </c>
    </row>
    <row r="1419" spans="2:12" ht="40" customHeight="1">
      <c r="B1419" s="42">
        <v>225</v>
      </c>
      <c r="C1419" s="102" t="s">
        <v>595</v>
      </c>
      <c r="D1419" s="102" t="s">
        <v>247</v>
      </c>
      <c r="E1419" s="92" t="s">
        <v>596</v>
      </c>
      <c r="F1419" s="42" t="s">
        <v>146</v>
      </c>
      <c r="G1419" s="42" t="s">
        <v>146</v>
      </c>
      <c r="H1419" s="42">
        <v>175</v>
      </c>
      <c r="I1419" s="42" t="s">
        <v>147</v>
      </c>
      <c r="J1419" s="103" t="s">
        <v>3611</v>
      </c>
      <c r="K1419" s="42" t="s">
        <v>4041</v>
      </c>
      <c r="L1419" s="42" t="str">
        <f>VLOOKUP(Table7[[#This Row],[Baseline Fixture Code]], 'Tables &amp; Ranges'!$A$114:$B$132, 2, FALSE)</f>
        <v>N/A</v>
      </c>
    </row>
    <row r="1420" spans="2:12" ht="40" customHeight="1">
      <c r="B1420" s="42">
        <v>226</v>
      </c>
      <c r="C1420" s="102" t="s">
        <v>597</v>
      </c>
      <c r="D1420" s="102" t="s">
        <v>247</v>
      </c>
      <c r="E1420" s="92" t="s">
        <v>598</v>
      </c>
      <c r="F1420" s="42" t="s">
        <v>146</v>
      </c>
      <c r="G1420" s="42" t="s">
        <v>146</v>
      </c>
      <c r="H1420" s="42">
        <v>176</v>
      </c>
      <c r="I1420" s="42" t="s">
        <v>147</v>
      </c>
      <c r="J1420" s="103" t="s">
        <v>3611</v>
      </c>
      <c r="K1420" s="42" t="s">
        <v>4041</v>
      </c>
      <c r="L1420" s="42" t="str">
        <f>VLOOKUP(Table7[[#This Row],[Baseline Fixture Code]], 'Tables &amp; Ranges'!$A$114:$B$132, 2, FALSE)</f>
        <v>N/A</v>
      </c>
    </row>
    <row r="1421" spans="2:12" ht="40" customHeight="1">
      <c r="B1421" s="42">
        <v>227</v>
      </c>
      <c r="C1421" s="102" t="s">
        <v>599</v>
      </c>
      <c r="D1421" s="102" t="s">
        <v>247</v>
      </c>
      <c r="E1421" s="92" t="s">
        <v>600</v>
      </c>
      <c r="F1421" s="42" t="s">
        <v>146</v>
      </c>
      <c r="G1421" s="42" t="s">
        <v>146</v>
      </c>
      <c r="H1421" s="42">
        <v>177</v>
      </c>
      <c r="I1421" s="42" t="s">
        <v>147</v>
      </c>
      <c r="J1421" s="103" t="s">
        <v>3611</v>
      </c>
      <c r="K1421" s="42" t="s">
        <v>4041</v>
      </c>
      <c r="L1421" s="42" t="str">
        <f>VLOOKUP(Table7[[#This Row],[Baseline Fixture Code]], 'Tables &amp; Ranges'!$A$114:$B$132, 2, FALSE)</f>
        <v>N/A</v>
      </c>
    </row>
    <row r="1422" spans="2:12" ht="40" customHeight="1">
      <c r="B1422" s="42">
        <v>228</v>
      </c>
      <c r="C1422" s="102" t="s">
        <v>601</v>
      </c>
      <c r="D1422" s="102" t="s">
        <v>247</v>
      </c>
      <c r="E1422" s="92" t="s">
        <v>602</v>
      </c>
      <c r="F1422" s="42" t="s">
        <v>146</v>
      </c>
      <c r="G1422" s="42" t="s">
        <v>146</v>
      </c>
      <c r="H1422" s="42">
        <v>178</v>
      </c>
      <c r="I1422" s="42" t="s">
        <v>147</v>
      </c>
      <c r="J1422" s="103" t="s">
        <v>3611</v>
      </c>
      <c r="K1422" s="42" t="s">
        <v>4041</v>
      </c>
      <c r="L1422" s="42" t="str">
        <f>VLOOKUP(Table7[[#This Row],[Baseline Fixture Code]], 'Tables &amp; Ranges'!$A$114:$B$132, 2, FALSE)</f>
        <v>N/A</v>
      </c>
    </row>
    <row r="1423" spans="2:12" ht="40" customHeight="1">
      <c r="B1423" s="42">
        <v>229</v>
      </c>
      <c r="C1423" s="102" t="s">
        <v>603</v>
      </c>
      <c r="D1423" s="102" t="s">
        <v>247</v>
      </c>
      <c r="E1423" s="92" t="s">
        <v>604</v>
      </c>
      <c r="F1423" s="42" t="s">
        <v>146</v>
      </c>
      <c r="G1423" s="42" t="s">
        <v>146</v>
      </c>
      <c r="H1423" s="42">
        <v>179</v>
      </c>
      <c r="I1423" s="42" t="s">
        <v>147</v>
      </c>
      <c r="J1423" s="103" t="s">
        <v>3611</v>
      </c>
      <c r="K1423" s="42" t="s">
        <v>4041</v>
      </c>
      <c r="L1423" s="42" t="str">
        <f>VLOOKUP(Table7[[#This Row],[Baseline Fixture Code]], 'Tables &amp; Ranges'!$A$114:$B$132, 2, FALSE)</f>
        <v>N/A</v>
      </c>
    </row>
    <row r="1424" spans="2:12" ht="40" customHeight="1">
      <c r="B1424" s="42">
        <v>230</v>
      </c>
      <c r="C1424" s="102" t="s">
        <v>605</v>
      </c>
      <c r="D1424" s="102" t="s">
        <v>247</v>
      </c>
      <c r="E1424" s="92" t="s">
        <v>606</v>
      </c>
      <c r="F1424" s="42" t="s">
        <v>146</v>
      </c>
      <c r="G1424" s="42" t="s">
        <v>146</v>
      </c>
      <c r="H1424" s="42">
        <v>180</v>
      </c>
      <c r="I1424" s="42" t="s">
        <v>147</v>
      </c>
      <c r="J1424" s="103" t="s">
        <v>3611</v>
      </c>
      <c r="K1424" s="42" t="s">
        <v>4041</v>
      </c>
      <c r="L1424" s="42" t="str">
        <f>VLOOKUP(Table7[[#This Row],[Baseline Fixture Code]], 'Tables &amp; Ranges'!$A$114:$B$132, 2, FALSE)</f>
        <v>N/A</v>
      </c>
    </row>
    <row r="1425" spans="2:12" ht="40" customHeight="1">
      <c r="B1425" s="42">
        <v>231</v>
      </c>
      <c r="C1425" s="102" t="s">
        <v>607</v>
      </c>
      <c r="D1425" s="102" t="s">
        <v>247</v>
      </c>
      <c r="E1425" s="92" t="s">
        <v>608</v>
      </c>
      <c r="F1425" s="42" t="s">
        <v>146</v>
      </c>
      <c r="G1425" s="42" t="s">
        <v>146</v>
      </c>
      <c r="H1425" s="42">
        <v>181</v>
      </c>
      <c r="I1425" s="42" t="s">
        <v>147</v>
      </c>
      <c r="J1425" s="103" t="s">
        <v>3611</v>
      </c>
      <c r="K1425" s="42" t="s">
        <v>4041</v>
      </c>
      <c r="L1425" s="42" t="str">
        <f>VLOOKUP(Table7[[#This Row],[Baseline Fixture Code]], 'Tables &amp; Ranges'!$A$114:$B$132, 2, FALSE)</f>
        <v>N/A</v>
      </c>
    </row>
    <row r="1426" spans="2:12" ht="40" customHeight="1">
      <c r="B1426" s="42">
        <v>232</v>
      </c>
      <c r="C1426" s="102" t="s">
        <v>609</v>
      </c>
      <c r="D1426" s="102" t="s">
        <v>247</v>
      </c>
      <c r="E1426" s="92" t="s">
        <v>610</v>
      </c>
      <c r="F1426" s="42" t="s">
        <v>146</v>
      </c>
      <c r="G1426" s="42" t="s">
        <v>146</v>
      </c>
      <c r="H1426" s="42">
        <v>182</v>
      </c>
      <c r="I1426" s="42" t="s">
        <v>147</v>
      </c>
      <c r="J1426" s="103" t="s">
        <v>3611</v>
      </c>
      <c r="K1426" s="42" t="s">
        <v>4041</v>
      </c>
      <c r="L1426" s="42" t="str">
        <f>VLOOKUP(Table7[[#This Row],[Baseline Fixture Code]], 'Tables &amp; Ranges'!$A$114:$B$132, 2, FALSE)</f>
        <v>N/A</v>
      </c>
    </row>
    <row r="1427" spans="2:12" ht="40" customHeight="1">
      <c r="B1427" s="42">
        <v>233</v>
      </c>
      <c r="C1427" s="102" t="s">
        <v>611</v>
      </c>
      <c r="D1427" s="102" t="s">
        <v>247</v>
      </c>
      <c r="E1427" s="92" t="s">
        <v>612</v>
      </c>
      <c r="F1427" s="42" t="s">
        <v>146</v>
      </c>
      <c r="G1427" s="42" t="s">
        <v>146</v>
      </c>
      <c r="H1427" s="42">
        <v>183</v>
      </c>
      <c r="I1427" s="42" t="s">
        <v>147</v>
      </c>
      <c r="J1427" s="103" t="s">
        <v>3611</v>
      </c>
      <c r="K1427" s="42" t="s">
        <v>4041</v>
      </c>
      <c r="L1427" s="42" t="str">
        <f>VLOOKUP(Table7[[#This Row],[Baseline Fixture Code]], 'Tables &amp; Ranges'!$A$114:$B$132, 2, FALSE)</f>
        <v>N/A</v>
      </c>
    </row>
    <row r="1428" spans="2:12" ht="40" customHeight="1">
      <c r="B1428" s="42">
        <v>234</v>
      </c>
      <c r="C1428" s="102" t="s">
        <v>613</v>
      </c>
      <c r="D1428" s="102" t="s">
        <v>247</v>
      </c>
      <c r="E1428" s="92" t="s">
        <v>614</v>
      </c>
      <c r="F1428" s="42" t="s">
        <v>146</v>
      </c>
      <c r="G1428" s="42" t="s">
        <v>146</v>
      </c>
      <c r="H1428" s="42">
        <v>184</v>
      </c>
      <c r="I1428" s="42" t="s">
        <v>147</v>
      </c>
      <c r="J1428" s="103" t="s">
        <v>3611</v>
      </c>
      <c r="K1428" s="42" t="s">
        <v>4041</v>
      </c>
      <c r="L1428" s="42" t="str">
        <f>VLOOKUP(Table7[[#This Row],[Baseline Fixture Code]], 'Tables &amp; Ranges'!$A$114:$B$132, 2, FALSE)</f>
        <v>N/A</v>
      </c>
    </row>
    <row r="1429" spans="2:12" ht="40" customHeight="1">
      <c r="B1429" s="42">
        <v>235</v>
      </c>
      <c r="C1429" s="102" t="s">
        <v>615</v>
      </c>
      <c r="D1429" s="102" t="s">
        <v>247</v>
      </c>
      <c r="E1429" s="92" t="s">
        <v>616</v>
      </c>
      <c r="F1429" s="42" t="s">
        <v>146</v>
      </c>
      <c r="G1429" s="42" t="s">
        <v>146</v>
      </c>
      <c r="H1429" s="42">
        <v>185</v>
      </c>
      <c r="I1429" s="42" t="s">
        <v>147</v>
      </c>
      <c r="J1429" s="103" t="s">
        <v>3611</v>
      </c>
      <c r="K1429" s="42" t="s">
        <v>4041</v>
      </c>
      <c r="L1429" s="42" t="str">
        <f>VLOOKUP(Table7[[#This Row],[Baseline Fixture Code]], 'Tables &amp; Ranges'!$A$114:$B$132, 2, FALSE)</f>
        <v>N/A</v>
      </c>
    </row>
    <row r="1430" spans="2:12" ht="40" customHeight="1">
      <c r="B1430" s="42">
        <v>236</v>
      </c>
      <c r="C1430" s="102" t="s">
        <v>617</v>
      </c>
      <c r="D1430" s="102" t="s">
        <v>247</v>
      </c>
      <c r="E1430" s="92" t="s">
        <v>618</v>
      </c>
      <c r="F1430" s="42" t="s">
        <v>146</v>
      </c>
      <c r="G1430" s="42" t="s">
        <v>146</v>
      </c>
      <c r="H1430" s="42">
        <v>186</v>
      </c>
      <c r="I1430" s="42" t="s">
        <v>147</v>
      </c>
      <c r="J1430" s="103" t="s">
        <v>3611</v>
      </c>
      <c r="K1430" s="42" t="s">
        <v>4041</v>
      </c>
      <c r="L1430" s="42" t="str">
        <f>VLOOKUP(Table7[[#This Row],[Baseline Fixture Code]], 'Tables &amp; Ranges'!$A$114:$B$132, 2, FALSE)</f>
        <v>N/A</v>
      </c>
    </row>
    <row r="1431" spans="2:12" ht="40" customHeight="1">
      <c r="B1431" s="42">
        <v>237</v>
      </c>
      <c r="C1431" s="102" t="s">
        <v>619</v>
      </c>
      <c r="D1431" s="102" t="s">
        <v>247</v>
      </c>
      <c r="E1431" s="92" t="s">
        <v>620</v>
      </c>
      <c r="F1431" s="42" t="s">
        <v>146</v>
      </c>
      <c r="G1431" s="42" t="s">
        <v>146</v>
      </c>
      <c r="H1431" s="42">
        <v>187</v>
      </c>
      <c r="I1431" s="42" t="s">
        <v>147</v>
      </c>
      <c r="J1431" s="103" t="s">
        <v>3611</v>
      </c>
      <c r="K1431" s="42" t="s">
        <v>4041</v>
      </c>
      <c r="L1431" s="42" t="str">
        <f>VLOOKUP(Table7[[#This Row],[Baseline Fixture Code]], 'Tables &amp; Ranges'!$A$114:$B$132, 2, FALSE)</f>
        <v>N/A</v>
      </c>
    </row>
    <row r="1432" spans="2:12" ht="40" customHeight="1">
      <c r="B1432" s="42">
        <v>238</v>
      </c>
      <c r="C1432" s="102" t="s">
        <v>621</v>
      </c>
      <c r="D1432" s="102" t="s">
        <v>247</v>
      </c>
      <c r="E1432" s="92" t="s">
        <v>622</v>
      </c>
      <c r="F1432" s="42" t="s">
        <v>146</v>
      </c>
      <c r="G1432" s="42" t="s">
        <v>146</v>
      </c>
      <c r="H1432" s="42">
        <v>188</v>
      </c>
      <c r="I1432" s="42" t="s">
        <v>147</v>
      </c>
      <c r="J1432" s="103" t="s">
        <v>3611</v>
      </c>
      <c r="K1432" s="42" t="s">
        <v>4041</v>
      </c>
      <c r="L1432" s="42" t="str">
        <f>VLOOKUP(Table7[[#This Row],[Baseline Fixture Code]], 'Tables &amp; Ranges'!$A$114:$B$132, 2, FALSE)</f>
        <v>N/A</v>
      </c>
    </row>
    <row r="1433" spans="2:12" ht="40" customHeight="1">
      <c r="B1433" s="42">
        <v>239</v>
      </c>
      <c r="C1433" s="102" t="s">
        <v>623</v>
      </c>
      <c r="D1433" s="102" t="s">
        <v>247</v>
      </c>
      <c r="E1433" s="92" t="s">
        <v>624</v>
      </c>
      <c r="F1433" s="42" t="s">
        <v>146</v>
      </c>
      <c r="G1433" s="42" t="s">
        <v>146</v>
      </c>
      <c r="H1433" s="42">
        <v>189</v>
      </c>
      <c r="I1433" s="42" t="s">
        <v>147</v>
      </c>
      <c r="J1433" s="103" t="s">
        <v>3611</v>
      </c>
      <c r="K1433" s="42" t="s">
        <v>4041</v>
      </c>
      <c r="L1433" s="42" t="str">
        <f>VLOOKUP(Table7[[#This Row],[Baseline Fixture Code]], 'Tables &amp; Ranges'!$A$114:$B$132, 2, FALSE)</f>
        <v>N/A</v>
      </c>
    </row>
    <row r="1434" spans="2:12" ht="40" customHeight="1">
      <c r="B1434" s="42">
        <v>240</v>
      </c>
      <c r="C1434" s="102" t="s">
        <v>625</v>
      </c>
      <c r="D1434" s="102" t="s">
        <v>247</v>
      </c>
      <c r="E1434" s="92" t="s">
        <v>626</v>
      </c>
      <c r="F1434" s="42" t="s">
        <v>146</v>
      </c>
      <c r="G1434" s="42" t="s">
        <v>146</v>
      </c>
      <c r="H1434" s="42">
        <v>190</v>
      </c>
      <c r="I1434" s="42" t="s">
        <v>147</v>
      </c>
      <c r="J1434" s="103" t="s">
        <v>3611</v>
      </c>
      <c r="K1434" s="42" t="s">
        <v>4041</v>
      </c>
      <c r="L1434" s="42" t="str">
        <f>VLOOKUP(Table7[[#This Row],[Baseline Fixture Code]], 'Tables &amp; Ranges'!$A$114:$B$132, 2, FALSE)</f>
        <v>N/A</v>
      </c>
    </row>
    <row r="1435" spans="2:12" ht="40" customHeight="1">
      <c r="B1435" s="42">
        <v>241</v>
      </c>
      <c r="C1435" s="102" t="s">
        <v>627</v>
      </c>
      <c r="D1435" s="102" t="s">
        <v>247</v>
      </c>
      <c r="E1435" s="92" t="s">
        <v>628</v>
      </c>
      <c r="F1435" s="42" t="s">
        <v>146</v>
      </c>
      <c r="G1435" s="42" t="s">
        <v>146</v>
      </c>
      <c r="H1435" s="42">
        <v>191</v>
      </c>
      <c r="I1435" s="42" t="s">
        <v>147</v>
      </c>
      <c r="J1435" s="103" t="s">
        <v>3611</v>
      </c>
      <c r="K1435" s="42" t="s">
        <v>4041</v>
      </c>
      <c r="L1435" s="42" t="str">
        <f>VLOOKUP(Table7[[#This Row],[Baseline Fixture Code]], 'Tables &amp; Ranges'!$A$114:$B$132, 2, FALSE)</f>
        <v>N/A</v>
      </c>
    </row>
    <row r="1436" spans="2:12" ht="40" customHeight="1">
      <c r="B1436" s="42">
        <v>242</v>
      </c>
      <c r="C1436" s="102" t="s">
        <v>629</v>
      </c>
      <c r="D1436" s="102" t="s">
        <v>247</v>
      </c>
      <c r="E1436" s="92" t="s">
        <v>630</v>
      </c>
      <c r="F1436" s="42" t="s">
        <v>146</v>
      </c>
      <c r="G1436" s="42" t="s">
        <v>146</v>
      </c>
      <c r="H1436" s="42">
        <v>192</v>
      </c>
      <c r="I1436" s="42" t="s">
        <v>147</v>
      </c>
      <c r="J1436" s="103" t="s">
        <v>3611</v>
      </c>
      <c r="K1436" s="42" t="s">
        <v>4041</v>
      </c>
      <c r="L1436" s="42" t="str">
        <f>VLOOKUP(Table7[[#This Row],[Baseline Fixture Code]], 'Tables &amp; Ranges'!$A$114:$B$132, 2, FALSE)</f>
        <v>N/A</v>
      </c>
    </row>
    <row r="1437" spans="2:12" ht="40" customHeight="1">
      <c r="B1437" s="42">
        <v>243</v>
      </c>
      <c r="C1437" s="102" t="s">
        <v>631</v>
      </c>
      <c r="D1437" s="102" t="s">
        <v>247</v>
      </c>
      <c r="E1437" s="92" t="s">
        <v>632</v>
      </c>
      <c r="F1437" s="42" t="s">
        <v>146</v>
      </c>
      <c r="G1437" s="42" t="s">
        <v>146</v>
      </c>
      <c r="H1437" s="42">
        <v>193</v>
      </c>
      <c r="I1437" s="42" t="s">
        <v>147</v>
      </c>
      <c r="J1437" s="103" t="s">
        <v>3611</v>
      </c>
      <c r="K1437" s="42" t="s">
        <v>4041</v>
      </c>
      <c r="L1437" s="42" t="str">
        <f>VLOOKUP(Table7[[#This Row],[Baseline Fixture Code]], 'Tables &amp; Ranges'!$A$114:$B$132, 2, FALSE)</f>
        <v>N/A</v>
      </c>
    </row>
    <row r="1438" spans="2:12" ht="40" customHeight="1">
      <c r="B1438" s="42">
        <v>244</v>
      </c>
      <c r="C1438" s="102" t="s">
        <v>633</v>
      </c>
      <c r="D1438" s="102" t="s">
        <v>247</v>
      </c>
      <c r="E1438" s="92" t="s">
        <v>634</v>
      </c>
      <c r="F1438" s="42" t="s">
        <v>146</v>
      </c>
      <c r="G1438" s="42" t="s">
        <v>146</v>
      </c>
      <c r="H1438" s="42">
        <v>194</v>
      </c>
      <c r="I1438" s="42" t="s">
        <v>147</v>
      </c>
      <c r="J1438" s="103" t="s">
        <v>3611</v>
      </c>
      <c r="K1438" s="42" t="s">
        <v>4041</v>
      </c>
      <c r="L1438" s="42" t="str">
        <f>VLOOKUP(Table7[[#This Row],[Baseline Fixture Code]], 'Tables &amp; Ranges'!$A$114:$B$132, 2, FALSE)</f>
        <v>N/A</v>
      </c>
    </row>
    <row r="1439" spans="2:12" ht="40" customHeight="1">
      <c r="B1439" s="42">
        <v>245</v>
      </c>
      <c r="C1439" s="102" t="s">
        <v>635</v>
      </c>
      <c r="D1439" s="102" t="s">
        <v>247</v>
      </c>
      <c r="E1439" s="92" t="s">
        <v>636</v>
      </c>
      <c r="F1439" s="42" t="s">
        <v>146</v>
      </c>
      <c r="G1439" s="42" t="s">
        <v>146</v>
      </c>
      <c r="H1439" s="42">
        <v>195</v>
      </c>
      <c r="I1439" s="42" t="s">
        <v>147</v>
      </c>
      <c r="J1439" s="103" t="s">
        <v>3611</v>
      </c>
      <c r="K1439" s="42" t="s">
        <v>4041</v>
      </c>
      <c r="L1439" s="42" t="str">
        <f>VLOOKUP(Table7[[#This Row],[Baseline Fixture Code]], 'Tables &amp; Ranges'!$A$114:$B$132, 2, FALSE)</f>
        <v>N/A</v>
      </c>
    </row>
    <row r="1440" spans="2:12" ht="40" customHeight="1">
      <c r="B1440" s="42">
        <v>246</v>
      </c>
      <c r="C1440" s="102" t="s">
        <v>637</v>
      </c>
      <c r="D1440" s="102" t="s">
        <v>247</v>
      </c>
      <c r="E1440" s="92" t="s">
        <v>638</v>
      </c>
      <c r="F1440" s="42" t="s">
        <v>146</v>
      </c>
      <c r="G1440" s="42" t="s">
        <v>146</v>
      </c>
      <c r="H1440" s="42">
        <v>196</v>
      </c>
      <c r="I1440" s="42" t="s">
        <v>147</v>
      </c>
      <c r="J1440" s="103" t="s">
        <v>3611</v>
      </c>
      <c r="K1440" s="42" t="s">
        <v>4041</v>
      </c>
      <c r="L1440" s="42" t="str">
        <f>VLOOKUP(Table7[[#This Row],[Baseline Fixture Code]], 'Tables &amp; Ranges'!$A$114:$B$132, 2, FALSE)</f>
        <v>N/A</v>
      </c>
    </row>
    <row r="1441" spans="2:12" ht="40" customHeight="1">
      <c r="B1441" s="42">
        <v>247</v>
      </c>
      <c r="C1441" s="102" t="s">
        <v>639</v>
      </c>
      <c r="D1441" s="102" t="s">
        <v>247</v>
      </c>
      <c r="E1441" s="92" t="s">
        <v>640</v>
      </c>
      <c r="F1441" s="42" t="s">
        <v>146</v>
      </c>
      <c r="G1441" s="42" t="s">
        <v>146</v>
      </c>
      <c r="H1441" s="42">
        <v>197</v>
      </c>
      <c r="I1441" s="42" t="s">
        <v>147</v>
      </c>
      <c r="J1441" s="103" t="s">
        <v>3611</v>
      </c>
      <c r="K1441" s="42" t="s">
        <v>4041</v>
      </c>
      <c r="L1441" s="42" t="str">
        <f>VLOOKUP(Table7[[#This Row],[Baseline Fixture Code]], 'Tables &amp; Ranges'!$A$114:$B$132, 2, FALSE)</f>
        <v>N/A</v>
      </c>
    </row>
    <row r="1442" spans="2:12" ht="40" customHeight="1">
      <c r="B1442" s="42">
        <v>248</v>
      </c>
      <c r="C1442" s="102" t="s">
        <v>641</v>
      </c>
      <c r="D1442" s="102" t="s">
        <v>247</v>
      </c>
      <c r="E1442" s="92" t="s">
        <v>642</v>
      </c>
      <c r="F1442" s="42" t="s">
        <v>146</v>
      </c>
      <c r="G1442" s="42" t="s">
        <v>146</v>
      </c>
      <c r="H1442" s="42">
        <v>198</v>
      </c>
      <c r="I1442" s="42" t="s">
        <v>147</v>
      </c>
      <c r="J1442" s="103" t="s">
        <v>3611</v>
      </c>
      <c r="K1442" s="42" t="s">
        <v>4041</v>
      </c>
      <c r="L1442" s="42" t="str">
        <f>VLOOKUP(Table7[[#This Row],[Baseline Fixture Code]], 'Tables &amp; Ranges'!$A$114:$B$132, 2, FALSE)</f>
        <v>N/A</v>
      </c>
    </row>
    <row r="1443" spans="2:12" ht="40" customHeight="1">
      <c r="B1443" s="42">
        <v>249</v>
      </c>
      <c r="C1443" s="102" t="s">
        <v>643</v>
      </c>
      <c r="D1443" s="102" t="s">
        <v>247</v>
      </c>
      <c r="E1443" s="92" t="s">
        <v>644</v>
      </c>
      <c r="F1443" s="42" t="s">
        <v>146</v>
      </c>
      <c r="G1443" s="42" t="s">
        <v>146</v>
      </c>
      <c r="H1443" s="42">
        <v>199</v>
      </c>
      <c r="I1443" s="42" t="s">
        <v>147</v>
      </c>
      <c r="J1443" s="103" t="s">
        <v>3611</v>
      </c>
      <c r="K1443" s="42" t="s">
        <v>4041</v>
      </c>
      <c r="L1443" s="42" t="str">
        <f>VLOOKUP(Table7[[#This Row],[Baseline Fixture Code]], 'Tables &amp; Ranges'!$A$114:$B$132, 2, FALSE)</f>
        <v>N/A</v>
      </c>
    </row>
    <row r="1444" spans="2:12" ht="40" customHeight="1">
      <c r="B1444" s="42">
        <v>250</v>
      </c>
      <c r="C1444" s="102" t="s">
        <v>645</v>
      </c>
      <c r="D1444" s="102" t="s">
        <v>247</v>
      </c>
      <c r="E1444" s="92" t="s">
        <v>646</v>
      </c>
      <c r="F1444" s="42" t="s">
        <v>146</v>
      </c>
      <c r="G1444" s="42" t="s">
        <v>146</v>
      </c>
      <c r="H1444" s="42">
        <v>200</v>
      </c>
      <c r="I1444" s="42" t="s">
        <v>147</v>
      </c>
      <c r="J1444" s="103" t="s">
        <v>3611</v>
      </c>
      <c r="K1444" s="42" t="s">
        <v>4041</v>
      </c>
      <c r="L1444" s="42" t="str">
        <f>VLOOKUP(Table7[[#This Row],[Baseline Fixture Code]], 'Tables &amp; Ranges'!$A$114:$B$132, 2, FALSE)</f>
        <v>N/A</v>
      </c>
    </row>
    <row r="1445" spans="2:12" ht="40" customHeight="1">
      <c r="B1445" s="42">
        <v>251</v>
      </c>
      <c r="C1445" s="102" t="s">
        <v>647</v>
      </c>
      <c r="D1445" s="102" t="s">
        <v>247</v>
      </c>
      <c r="E1445" s="92" t="s">
        <v>648</v>
      </c>
      <c r="F1445" s="42" t="s">
        <v>146</v>
      </c>
      <c r="G1445" s="42" t="s">
        <v>146</v>
      </c>
      <c r="H1445" s="42">
        <v>201</v>
      </c>
      <c r="I1445" s="42" t="s">
        <v>147</v>
      </c>
      <c r="J1445" s="103" t="s">
        <v>3611</v>
      </c>
      <c r="K1445" s="42" t="s">
        <v>4041</v>
      </c>
      <c r="L1445" s="42" t="str">
        <f>VLOOKUP(Table7[[#This Row],[Baseline Fixture Code]], 'Tables &amp; Ranges'!$A$114:$B$132, 2, FALSE)</f>
        <v>N/A</v>
      </c>
    </row>
    <row r="1446" spans="2:12" ht="40" customHeight="1">
      <c r="B1446" s="42">
        <v>252</v>
      </c>
      <c r="C1446" s="102" t="s">
        <v>649</v>
      </c>
      <c r="D1446" s="102" t="s">
        <v>247</v>
      </c>
      <c r="E1446" s="92" t="s">
        <v>650</v>
      </c>
      <c r="F1446" s="42" t="s">
        <v>146</v>
      </c>
      <c r="G1446" s="42" t="s">
        <v>146</v>
      </c>
      <c r="H1446" s="42">
        <v>202</v>
      </c>
      <c r="I1446" s="42" t="s">
        <v>147</v>
      </c>
      <c r="J1446" s="103" t="s">
        <v>3611</v>
      </c>
      <c r="K1446" s="42" t="s">
        <v>4041</v>
      </c>
      <c r="L1446" s="42" t="str">
        <f>VLOOKUP(Table7[[#This Row],[Baseline Fixture Code]], 'Tables &amp; Ranges'!$A$114:$B$132, 2, FALSE)</f>
        <v>N/A</v>
      </c>
    </row>
    <row r="1447" spans="2:12" ht="40" customHeight="1">
      <c r="B1447" s="42">
        <v>253</v>
      </c>
      <c r="C1447" s="102" t="s">
        <v>651</v>
      </c>
      <c r="D1447" s="102" t="s">
        <v>247</v>
      </c>
      <c r="E1447" s="92" t="s">
        <v>652</v>
      </c>
      <c r="F1447" s="42" t="s">
        <v>146</v>
      </c>
      <c r="G1447" s="42" t="s">
        <v>146</v>
      </c>
      <c r="H1447" s="42">
        <v>203</v>
      </c>
      <c r="I1447" s="42" t="s">
        <v>147</v>
      </c>
      <c r="J1447" s="103" t="s">
        <v>3611</v>
      </c>
      <c r="K1447" s="42" t="s">
        <v>4041</v>
      </c>
      <c r="L1447" s="42" t="str">
        <f>VLOOKUP(Table7[[#This Row],[Baseline Fixture Code]], 'Tables &amp; Ranges'!$A$114:$B$132, 2, FALSE)</f>
        <v>N/A</v>
      </c>
    </row>
    <row r="1448" spans="2:12" ht="40" customHeight="1">
      <c r="B1448" s="42">
        <v>254</v>
      </c>
      <c r="C1448" s="102" t="s">
        <v>653</v>
      </c>
      <c r="D1448" s="102" t="s">
        <v>247</v>
      </c>
      <c r="E1448" s="92" t="s">
        <v>654</v>
      </c>
      <c r="F1448" s="42" t="s">
        <v>146</v>
      </c>
      <c r="G1448" s="42" t="s">
        <v>146</v>
      </c>
      <c r="H1448" s="42">
        <v>204</v>
      </c>
      <c r="I1448" s="42" t="s">
        <v>147</v>
      </c>
      <c r="J1448" s="103" t="s">
        <v>3611</v>
      </c>
      <c r="K1448" s="42" t="s">
        <v>4041</v>
      </c>
      <c r="L1448" s="42" t="str">
        <f>VLOOKUP(Table7[[#This Row],[Baseline Fixture Code]], 'Tables &amp; Ranges'!$A$114:$B$132, 2, FALSE)</f>
        <v>N/A</v>
      </c>
    </row>
    <row r="1449" spans="2:12" ht="40" customHeight="1">
      <c r="B1449" s="42">
        <v>255</v>
      </c>
      <c r="C1449" s="102" t="s">
        <v>655</v>
      </c>
      <c r="D1449" s="102" t="s">
        <v>247</v>
      </c>
      <c r="E1449" s="92" t="s">
        <v>656</v>
      </c>
      <c r="F1449" s="42" t="s">
        <v>146</v>
      </c>
      <c r="G1449" s="42" t="s">
        <v>146</v>
      </c>
      <c r="H1449" s="42">
        <v>205</v>
      </c>
      <c r="I1449" s="42" t="s">
        <v>147</v>
      </c>
      <c r="J1449" s="103" t="s">
        <v>3611</v>
      </c>
      <c r="K1449" s="42" t="s">
        <v>4041</v>
      </c>
      <c r="L1449" s="42" t="str">
        <f>VLOOKUP(Table7[[#This Row],[Baseline Fixture Code]], 'Tables &amp; Ranges'!$A$114:$B$132, 2, FALSE)</f>
        <v>N/A</v>
      </c>
    </row>
    <row r="1450" spans="2:12" ht="40" customHeight="1">
      <c r="B1450" s="42">
        <v>256</v>
      </c>
      <c r="C1450" s="102" t="s">
        <v>657</v>
      </c>
      <c r="D1450" s="102" t="s">
        <v>247</v>
      </c>
      <c r="E1450" s="92" t="s">
        <v>658</v>
      </c>
      <c r="F1450" s="42" t="s">
        <v>146</v>
      </c>
      <c r="G1450" s="42" t="s">
        <v>146</v>
      </c>
      <c r="H1450" s="42">
        <v>206</v>
      </c>
      <c r="I1450" s="42" t="s">
        <v>147</v>
      </c>
      <c r="J1450" s="103" t="s">
        <v>3611</v>
      </c>
      <c r="K1450" s="42" t="s">
        <v>4041</v>
      </c>
      <c r="L1450" s="42" t="str">
        <f>VLOOKUP(Table7[[#This Row],[Baseline Fixture Code]], 'Tables &amp; Ranges'!$A$114:$B$132, 2, FALSE)</f>
        <v>N/A</v>
      </c>
    </row>
    <row r="1451" spans="2:12" ht="40" customHeight="1">
      <c r="B1451" s="42">
        <v>257</v>
      </c>
      <c r="C1451" s="102" t="s">
        <v>659</v>
      </c>
      <c r="D1451" s="102" t="s">
        <v>247</v>
      </c>
      <c r="E1451" s="92" t="s">
        <v>660</v>
      </c>
      <c r="F1451" s="42" t="s">
        <v>146</v>
      </c>
      <c r="G1451" s="42" t="s">
        <v>146</v>
      </c>
      <c r="H1451" s="42">
        <v>207</v>
      </c>
      <c r="I1451" s="42" t="s">
        <v>147</v>
      </c>
      <c r="J1451" s="103" t="s">
        <v>3611</v>
      </c>
      <c r="K1451" s="42" t="s">
        <v>4041</v>
      </c>
      <c r="L1451" s="42" t="str">
        <f>VLOOKUP(Table7[[#This Row],[Baseline Fixture Code]], 'Tables &amp; Ranges'!$A$114:$B$132, 2, FALSE)</f>
        <v>N/A</v>
      </c>
    </row>
    <row r="1452" spans="2:12" ht="40" customHeight="1">
      <c r="B1452" s="42">
        <v>258</v>
      </c>
      <c r="C1452" s="102" t="s">
        <v>661</v>
      </c>
      <c r="D1452" s="102" t="s">
        <v>247</v>
      </c>
      <c r="E1452" s="92" t="s">
        <v>662</v>
      </c>
      <c r="F1452" s="42" t="s">
        <v>146</v>
      </c>
      <c r="G1452" s="42" t="s">
        <v>146</v>
      </c>
      <c r="H1452" s="42">
        <v>208</v>
      </c>
      <c r="I1452" s="42" t="s">
        <v>147</v>
      </c>
      <c r="J1452" s="103" t="s">
        <v>3611</v>
      </c>
      <c r="K1452" s="42" t="s">
        <v>4041</v>
      </c>
      <c r="L1452" s="42" t="str">
        <f>VLOOKUP(Table7[[#This Row],[Baseline Fixture Code]], 'Tables &amp; Ranges'!$A$114:$B$132, 2, FALSE)</f>
        <v>N/A</v>
      </c>
    </row>
    <row r="1453" spans="2:12" ht="40" customHeight="1">
      <c r="B1453" s="42">
        <v>259</v>
      </c>
      <c r="C1453" s="102" t="s">
        <v>663</v>
      </c>
      <c r="D1453" s="102" t="s">
        <v>247</v>
      </c>
      <c r="E1453" s="92" t="s">
        <v>664</v>
      </c>
      <c r="F1453" s="42" t="s">
        <v>146</v>
      </c>
      <c r="G1453" s="42" t="s">
        <v>146</v>
      </c>
      <c r="H1453" s="42">
        <v>209</v>
      </c>
      <c r="I1453" s="42" t="s">
        <v>147</v>
      </c>
      <c r="J1453" s="103" t="s">
        <v>3611</v>
      </c>
      <c r="K1453" s="42" t="s">
        <v>4041</v>
      </c>
      <c r="L1453" s="42" t="str">
        <f>VLOOKUP(Table7[[#This Row],[Baseline Fixture Code]], 'Tables &amp; Ranges'!$A$114:$B$132, 2, FALSE)</f>
        <v>N/A</v>
      </c>
    </row>
    <row r="1454" spans="2:12" ht="40" customHeight="1">
      <c r="B1454" s="42">
        <v>260</v>
      </c>
      <c r="C1454" s="102" t="s">
        <v>665</v>
      </c>
      <c r="D1454" s="102" t="s">
        <v>247</v>
      </c>
      <c r="E1454" s="92" t="s">
        <v>666</v>
      </c>
      <c r="F1454" s="42" t="s">
        <v>146</v>
      </c>
      <c r="G1454" s="42" t="s">
        <v>146</v>
      </c>
      <c r="H1454" s="42">
        <v>210</v>
      </c>
      <c r="I1454" s="42" t="s">
        <v>147</v>
      </c>
      <c r="J1454" s="103" t="s">
        <v>3611</v>
      </c>
      <c r="K1454" s="42" t="s">
        <v>4041</v>
      </c>
      <c r="L1454" s="42" t="str">
        <f>VLOOKUP(Table7[[#This Row],[Baseline Fixture Code]], 'Tables &amp; Ranges'!$A$114:$B$132, 2, FALSE)</f>
        <v>N/A</v>
      </c>
    </row>
    <row r="1455" spans="2:12" ht="40" customHeight="1">
      <c r="B1455" s="42">
        <v>261</v>
      </c>
      <c r="C1455" s="102" t="s">
        <v>667</v>
      </c>
      <c r="D1455" s="102" t="s">
        <v>247</v>
      </c>
      <c r="E1455" s="92" t="s">
        <v>668</v>
      </c>
      <c r="F1455" s="42" t="s">
        <v>146</v>
      </c>
      <c r="G1455" s="42" t="s">
        <v>146</v>
      </c>
      <c r="H1455" s="42">
        <v>211</v>
      </c>
      <c r="I1455" s="42" t="s">
        <v>147</v>
      </c>
      <c r="J1455" s="103" t="s">
        <v>3611</v>
      </c>
      <c r="K1455" s="42" t="s">
        <v>4041</v>
      </c>
      <c r="L1455" s="42" t="str">
        <f>VLOOKUP(Table7[[#This Row],[Baseline Fixture Code]], 'Tables &amp; Ranges'!$A$114:$B$132, 2, FALSE)</f>
        <v>N/A</v>
      </c>
    </row>
    <row r="1456" spans="2:12" ht="40" customHeight="1">
      <c r="B1456" s="42">
        <v>262</v>
      </c>
      <c r="C1456" s="102" t="s">
        <v>669</v>
      </c>
      <c r="D1456" s="102" t="s">
        <v>247</v>
      </c>
      <c r="E1456" s="92" t="s">
        <v>670</v>
      </c>
      <c r="F1456" s="42" t="s">
        <v>146</v>
      </c>
      <c r="G1456" s="42" t="s">
        <v>146</v>
      </c>
      <c r="H1456" s="42">
        <v>212</v>
      </c>
      <c r="I1456" s="42" t="s">
        <v>147</v>
      </c>
      <c r="J1456" s="103" t="s">
        <v>3611</v>
      </c>
      <c r="K1456" s="42" t="s">
        <v>4041</v>
      </c>
      <c r="L1456" s="42" t="str">
        <f>VLOOKUP(Table7[[#This Row],[Baseline Fixture Code]], 'Tables &amp; Ranges'!$A$114:$B$132, 2, FALSE)</f>
        <v>N/A</v>
      </c>
    </row>
    <row r="1457" spans="2:12" ht="40" customHeight="1">
      <c r="B1457" s="42">
        <v>263</v>
      </c>
      <c r="C1457" s="102" t="s">
        <v>671</v>
      </c>
      <c r="D1457" s="102" t="s">
        <v>247</v>
      </c>
      <c r="E1457" s="92" t="s">
        <v>672</v>
      </c>
      <c r="F1457" s="42" t="s">
        <v>146</v>
      </c>
      <c r="G1457" s="42" t="s">
        <v>146</v>
      </c>
      <c r="H1457" s="42">
        <v>213</v>
      </c>
      <c r="I1457" s="42" t="s">
        <v>147</v>
      </c>
      <c r="J1457" s="103" t="s">
        <v>3611</v>
      </c>
      <c r="K1457" s="42" t="s">
        <v>4041</v>
      </c>
      <c r="L1457" s="42" t="str">
        <f>VLOOKUP(Table7[[#This Row],[Baseline Fixture Code]], 'Tables &amp; Ranges'!$A$114:$B$132, 2, FALSE)</f>
        <v>N/A</v>
      </c>
    </row>
    <row r="1458" spans="2:12" ht="40" customHeight="1">
      <c r="B1458" s="42">
        <v>264</v>
      </c>
      <c r="C1458" s="102" t="s">
        <v>673</v>
      </c>
      <c r="D1458" s="102" t="s">
        <v>247</v>
      </c>
      <c r="E1458" s="92" t="s">
        <v>674</v>
      </c>
      <c r="F1458" s="42" t="s">
        <v>146</v>
      </c>
      <c r="G1458" s="42" t="s">
        <v>146</v>
      </c>
      <c r="H1458" s="42">
        <v>214</v>
      </c>
      <c r="I1458" s="42" t="s">
        <v>147</v>
      </c>
      <c r="J1458" s="103" t="s">
        <v>3611</v>
      </c>
      <c r="K1458" s="42" t="s">
        <v>4041</v>
      </c>
      <c r="L1458" s="42" t="str">
        <f>VLOOKUP(Table7[[#This Row],[Baseline Fixture Code]], 'Tables &amp; Ranges'!$A$114:$B$132, 2, FALSE)</f>
        <v>N/A</v>
      </c>
    </row>
    <row r="1459" spans="2:12" ht="40" customHeight="1">
      <c r="B1459" s="42">
        <v>265</v>
      </c>
      <c r="C1459" s="102" t="s">
        <v>675</v>
      </c>
      <c r="D1459" s="102" t="s">
        <v>247</v>
      </c>
      <c r="E1459" s="92" t="s">
        <v>676</v>
      </c>
      <c r="F1459" s="42" t="s">
        <v>146</v>
      </c>
      <c r="G1459" s="42" t="s">
        <v>146</v>
      </c>
      <c r="H1459" s="42">
        <v>215</v>
      </c>
      <c r="I1459" s="42" t="s">
        <v>147</v>
      </c>
      <c r="J1459" s="103" t="s">
        <v>3611</v>
      </c>
      <c r="K1459" s="42" t="s">
        <v>4041</v>
      </c>
      <c r="L1459" s="42" t="str">
        <f>VLOOKUP(Table7[[#This Row],[Baseline Fixture Code]], 'Tables &amp; Ranges'!$A$114:$B$132, 2, FALSE)</f>
        <v>N/A</v>
      </c>
    </row>
    <row r="1460" spans="2:12" ht="40" customHeight="1">
      <c r="B1460" s="42">
        <v>266</v>
      </c>
      <c r="C1460" s="102" t="s">
        <v>677</v>
      </c>
      <c r="D1460" s="102" t="s">
        <v>247</v>
      </c>
      <c r="E1460" s="92" t="s">
        <v>678</v>
      </c>
      <c r="F1460" s="42" t="s">
        <v>146</v>
      </c>
      <c r="G1460" s="42" t="s">
        <v>146</v>
      </c>
      <c r="H1460" s="42">
        <v>216</v>
      </c>
      <c r="I1460" s="42" t="s">
        <v>147</v>
      </c>
      <c r="J1460" s="103" t="s">
        <v>3611</v>
      </c>
      <c r="K1460" s="42" t="s">
        <v>4041</v>
      </c>
      <c r="L1460" s="42" t="str">
        <f>VLOOKUP(Table7[[#This Row],[Baseline Fixture Code]], 'Tables &amp; Ranges'!$A$114:$B$132, 2, FALSE)</f>
        <v>N/A</v>
      </c>
    </row>
    <row r="1461" spans="2:12" ht="40" customHeight="1">
      <c r="B1461" s="42">
        <v>267</v>
      </c>
      <c r="C1461" s="102" t="s">
        <v>679</v>
      </c>
      <c r="D1461" s="102" t="s">
        <v>247</v>
      </c>
      <c r="E1461" s="92" t="s">
        <v>680</v>
      </c>
      <c r="F1461" s="42" t="s">
        <v>146</v>
      </c>
      <c r="G1461" s="42" t="s">
        <v>146</v>
      </c>
      <c r="H1461" s="42">
        <v>217</v>
      </c>
      <c r="I1461" s="42" t="s">
        <v>147</v>
      </c>
      <c r="J1461" s="103" t="s">
        <v>3611</v>
      </c>
      <c r="K1461" s="42" t="s">
        <v>4041</v>
      </c>
      <c r="L1461" s="42" t="str">
        <f>VLOOKUP(Table7[[#This Row],[Baseline Fixture Code]], 'Tables &amp; Ranges'!$A$114:$B$132, 2, FALSE)</f>
        <v>N/A</v>
      </c>
    </row>
    <row r="1462" spans="2:12" ht="40" customHeight="1">
      <c r="B1462" s="42">
        <v>268</v>
      </c>
      <c r="C1462" s="102" t="s">
        <v>681</v>
      </c>
      <c r="D1462" s="102" t="s">
        <v>247</v>
      </c>
      <c r="E1462" s="92" t="s">
        <v>682</v>
      </c>
      <c r="F1462" s="42" t="s">
        <v>146</v>
      </c>
      <c r="G1462" s="42" t="s">
        <v>146</v>
      </c>
      <c r="H1462" s="42">
        <v>218</v>
      </c>
      <c r="I1462" s="42" t="s">
        <v>147</v>
      </c>
      <c r="J1462" s="103" t="s">
        <v>3611</v>
      </c>
      <c r="K1462" s="42" t="s">
        <v>4041</v>
      </c>
      <c r="L1462" s="42" t="str">
        <f>VLOOKUP(Table7[[#This Row],[Baseline Fixture Code]], 'Tables &amp; Ranges'!$A$114:$B$132, 2, FALSE)</f>
        <v>N/A</v>
      </c>
    </row>
    <row r="1463" spans="2:12" ht="40" customHeight="1">
      <c r="B1463" s="42">
        <v>269</v>
      </c>
      <c r="C1463" s="102" t="s">
        <v>683</v>
      </c>
      <c r="D1463" s="102" t="s">
        <v>247</v>
      </c>
      <c r="E1463" s="92" t="s">
        <v>684</v>
      </c>
      <c r="F1463" s="42" t="s">
        <v>146</v>
      </c>
      <c r="G1463" s="42" t="s">
        <v>146</v>
      </c>
      <c r="H1463" s="42">
        <v>219</v>
      </c>
      <c r="I1463" s="42" t="s">
        <v>147</v>
      </c>
      <c r="J1463" s="103" t="s">
        <v>3611</v>
      </c>
      <c r="K1463" s="42" t="s">
        <v>4041</v>
      </c>
      <c r="L1463" s="42" t="str">
        <f>VLOOKUP(Table7[[#This Row],[Baseline Fixture Code]], 'Tables &amp; Ranges'!$A$114:$B$132, 2, FALSE)</f>
        <v>N/A</v>
      </c>
    </row>
    <row r="1464" spans="2:12" ht="40" customHeight="1">
      <c r="B1464" s="42">
        <v>270</v>
      </c>
      <c r="C1464" s="102" t="s">
        <v>685</v>
      </c>
      <c r="D1464" s="102" t="s">
        <v>247</v>
      </c>
      <c r="E1464" s="92" t="s">
        <v>686</v>
      </c>
      <c r="F1464" s="42" t="s">
        <v>146</v>
      </c>
      <c r="G1464" s="42" t="s">
        <v>146</v>
      </c>
      <c r="H1464" s="42">
        <v>220</v>
      </c>
      <c r="I1464" s="42" t="s">
        <v>147</v>
      </c>
      <c r="J1464" s="103" t="s">
        <v>3611</v>
      </c>
      <c r="K1464" s="42" t="s">
        <v>4041</v>
      </c>
      <c r="L1464" s="42" t="str">
        <f>VLOOKUP(Table7[[#This Row],[Baseline Fixture Code]], 'Tables &amp; Ranges'!$A$114:$B$132, 2, FALSE)</f>
        <v>N/A</v>
      </c>
    </row>
    <row r="1465" spans="2:12" ht="40" customHeight="1">
      <c r="B1465" s="42">
        <v>271</v>
      </c>
      <c r="C1465" s="102" t="s">
        <v>687</v>
      </c>
      <c r="D1465" s="102" t="s">
        <v>247</v>
      </c>
      <c r="E1465" s="92" t="s">
        <v>688</v>
      </c>
      <c r="F1465" s="42" t="s">
        <v>146</v>
      </c>
      <c r="G1465" s="42" t="s">
        <v>146</v>
      </c>
      <c r="H1465" s="42">
        <v>221</v>
      </c>
      <c r="I1465" s="42" t="s">
        <v>147</v>
      </c>
      <c r="J1465" s="103" t="s">
        <v>3611</v>
      </c>
      <c r="K1465" s="42" t="s">
        <v>4041</v>
      </c>
      <c r="L1465" s="42" t="str">
        <f>VLOOKUP(Table7[[#This Row],[Baseline Fixture Code]], 'Tables &amp; Ranges'!$A$114:$B$132, 2, FALSE)</f>
        <v>N/A</v>
      </c>
    </row>
    <row r="1466" spans="2:12" ht="40" customHeight="1">
      <c r="B1466" s="42">
        <v>272</v>
      </c>
      <c r="C1466" s="102" t="s">
        <v>689</v>
      </c>
      <c r="D1466" s="102" t="s">
        <v>247</v>
      </c>
      <c r="E1466" s="92" t="s">
        <v>690</v>
      </c>
      <c r="F1466" s="42" t="s">
        <v>146</v>
      </c>
      <c r="G1466" s="42" t="s">
        <v>146</v>
      </c>
      <c r="H1466" s="42">
        <v>222</v>
      </c>
      <c r="I1466" s="42" t="s">
        <v>147</v>
      </c>
      <c r="J1466" s="103" t="s">
        <v>3611</v>
      </c>
      <c r="K1466" s="42" t="s">
        <v>4041</v>
      </c>
      <c r="L1466" s="42" t="str">
        <f>VLOOKUP(Table7[[#This Row],[Baseline Fixture Code]], 'Tables &amp; Ranges'!$A$114:$B$132, 2, FALSE)</f>
        <v>N/A</v>
      </c>
    </row>
    <row r="1467" spans="2:12" ht="40" customHeight="1">
      <c r="B1467" s="42">
        <v>273</v>
      </c>
      <c r="C1467" s="102" t="s">
        <v>691</v>
      </c>
      <c r="D1467" s="102" t="s">
        <v>247</v>
      </c>
      <c r="E1467" s="92" t="s">
        <v>692</v>
      </c>
      <c r="F1467" s="42" t="s">
        <v>146</v>
      </c>
      <c r="G1467" s="42" t="s">
        <v>146</v>
      </c>
      <c r="H1467" s="42">
        <v>223</v>
      </c>
      <c r="I1467" s="42" t="s">
        <v>147</v>
      </c>
      <c r="J1467" s="103" t="s">
        <v>3611</v>
      </c>
      <c r="K1467" s="42" t="s">
        <v>4041</v>
      </c>
      <c r="L1467" s="42" t="str">
        <f>VLOOKUP(Table7[[#This Row],[Baseline Fixture Code]], 'Tables &amp; Ranges'!$A$114:$B$132, 2, FALSE)</f>
        <v>N/A</v>
      </c>
    </row>
    <row r="1468" spans="2:12" ht="40" customHeight="1">
      <c r="B1468" s="42">
        <v>274</v>
      </c>
      <c r="C1468" s="102" t="s">
        <v>693</v>
      </c>
      <c r="D1468" s="102" t="s">
        <v>247</v>
      </c>
      <c r="E1468" s="92" t="s">
        <v>694</v>
      </c>
      <c r="F1468" s="42" t="s">
        <v>146</v>
      </c>
      <c r="G1468" s="42" t="s">
        <v>146</v>
      </c>
      <c r="H1468" s="42">
        <v>224</v>
      </c>
      <c r="I1468" s="42" t="s">
        <v>147</v>
      </c>
      <c r="J1468" s="103" t="s">
        <v>3611</v>
      </c>
      <c r="K1468" s="42" t="s">
        <v>4041</v>
      </c>
      <c r="L1468" s="42" t="str">
        <f>VLOOKUP(Table7[[#This Row],[Baseline Fixture Code]], 'Tables &amp; Ranges'!$A$114:$B$132, 2, FALSE)</f>
        <v>N/A</v>
      </c>
    </row>
    <row r="1469" spans="2:12" ht="40" customHeight="1">
      <c r="B1469" s="42">
        <v>275</v>
      </c>
      <c r="C1469" s="102" t="s">
        <v>695</v>
      </c>
      <c r="D1469" s="102" t="s">
        <v>247</v>
      </c>
      <c r="E1469" s="92" t="s">
        <v>696</v>
      </c>
      <c r="F1469" s="42" t="s">
        <v>146</v>
      </c>
      <c r="G1469" s="42" t="s">
        <v>146</v>
      </c>
      <c r="H1469" s="42">
        <v>225</v>
      </c>
      <c r="I1469" s="42" t="s">
        <v>147</v>
      </c>
      <c r="J1469" s="103" t="s">
        <v>3611</v>
      </c>
      <c r="K1469" s="42" t="s">
        <v>4041</v>
      </c>
      <c r="L1469" s="42" t="str">
        <f>VLOOKUP(Table7[[#This Row],[Baseline Fixture Code]], 'Tables &amp; Ranges'!$A$114:$B$132, 2, FALSE)</f>
        <v>N/A</v>
      </c>
    </row>
    <row r="1470" spans="2:12" ht="40" customHeight="1">
      <c r="B1470" s="42">
        <v>276</v>
      </c>
      <c r="C1470" s="102" t="s">
        <v>697</v>
      </c>
      <c r="D1470" s="102" t="s">
        <v>247</v>
      </c>
      <c r="E1470" s="92" t="s">
        <v>698</v>
      </c>
      <c r="F1470" s="42" t="s">
        <v>146</v>
      </c>
      <c r="G1470" s="42" t="s">
        <v>146</v>
      </c>
      <c r="H1470" s="42">
        <v>226</v>
      </c>
      <c r="I1470" s="42" t="s">
        <v>147</v>
      </c>
      <c r="J1470" s="103" t="s">
        <v>3611</v>
      </c>
      <c r="K1470" s="42" t="s">
        <v>4041</v>
      </c>
      <c r="L1470" s="42" t="str">
        <f>VLOOKUP(Table7[[#This Row],[Baseline Fixture Code]], 'Tables &amp; Ranges'!$A$114:$B$132, 2, FALSE)</f>
        <v>N/A</v>
      </c>
    </row>
    <row r="1471" spans="2:12" ht="40" customHeight="1">
      <c r="B1471" s="42">
        <v>277</v>
      </c>
      <c r="C1471" s="102" t="s">
        <v>699</v>
      </c>
      <c r="D1471" s="102" t="s">
        <v>247</v>
      </c>
      <c r="E1471" s="92" t="s">
        <v>700</v>
      </c>
      <c r="F1471" s="42" t="s">
        <v>146</v>
      </c>
      <c r="G1471" s="42" t="s">
        <v>146</v>
      </c>
      <c r="H1471" s="42">
        <v>227</v>
      </c>
      <c r="I1471" s="42" t="s">
        <v>147</v>
      </c>
      <c r="J1471" s="103" t="s">
        <v>3611</v>
      </c>
      <c r="K1471" s="42" t="s">
        <v>4041</v>
      </c>
      <c r="L1471" s="42" t="str">
        <f>VLOOKUP(Table7[[#This Row],[Baseline Fixture Code]], 'Tables &amp; Ranges'!$A$114:$B$132, 2, FALSE)</f>
        <v>N/A</v>
      </c>
    </row>
    <row r="1472" spans="2:12" ht="40" customHeight="1">
      <c r="B1472" s="42">
        <v>278</v>
      </c>
      <c r="C1472" s="102" t="s">
        <v>701</v>
      </c>
      <c r="D1472" s="102" t="s">
        <v>247</v>
      </c>
      <c r="E1472" s="92" t="s">
        <v>702</v>
      </c>
      <c r="F1472" s="42" t="s">
        <v>146</v>
      </c>
      <c r="G1472" s="42" t="s">
        <v>146</v>
      </c>
      <c r="H1472" s="42">
        <v>228</v>
      </c>
      <c r="I1472" s="42" t="s">
        <v>147</v>
      </c>
      <c r="J1472" s="103" t="s">
        <v>3611</v>
      </c>
      <c r="K1472" s="42" t="s">
        <v>4041</v>
      </c>
      <c r="L1472" s="42" t="str">
        <f>VLOOKUP(Table7[[#This Row],[Baseline Fixture Code]], 'Tables &amp; Ranges'!$A$114:$B$132, 2, FALSE)</f>
        <v>N/A</v>
      </c>
    </row>
    <row r="1473" spans="2:12" ht="40" customHeight="1">
      <c r="B1473" s="42">
        <v>279</v>
      </c>
      <c r="C1473" s="102" t="s">
        <v>703</v>
      </c>
      <c r="D1473" s="102" t="s">
        <v>247</v>
      </c>
      <c r="E1473" s="92" t="s">
        <v>704</v>
      </c>
      <c r="F1473" s="42" t="s">
        <v>146</v>
      </c>
      <c r="G1473" s="42" t="s">
        <v>146</v>
      </c>
      <c r="H1473" s="42">
        <v>229</v>
      </c>
      <c r="I1473" s="42" t="s">
        <v>147</v>
      </c>
      <c r="J1473" s="103" t="s">
        <v>3611</v>
      </c>
      <c r="K1473" s="42" t="s">
        <v>4041</v>
      </c>
      <c r="L1473" s="42" t="str">
        <f>VLOOKUP(Table7[[#This Row],[Baseline Fixture Code]], 'Tables &amp; Ranges'!$A$114:$B$132, 2, FALSE)</f>
        <v>N/A</v>
      </c>
    </row>
    <row r="1474" spans="2:12" ht="40" customHeight="1">
      <c r="B1474" s="42">
        <v>280</v>
      </c>
      <c r="C1474" s="102" t="s">
        <v>705</v>
      </c>
      <c r="D1474" s="102" t="s">
        <v>247</v>
      </c>
      <c r="E1474" s="92" t="s">
        <v>706</v>
      </c>
      <c r="F1474" s="42" t="s">
        <v>146</v>
      </c>
      <c r="G1474" s="42" t="s">
        <v>146</v>
      </c>
      <c r="H1474" s="42">
        <v>230</v>
      </c>
      <c r="I1474" s="42" t="s">
        <v>147</v>
      </c>
      <c r="J1474" s="103" t="s">
        <v>3611</v>
      </c>
      <c r="K1474" s="42" t="s">
        <v>4041</v>
      </c>
      <c r="L1474" s="42" t="str">
        <f>VLOOKUP(Table7[[#This Row],[Baseline Fixture Code]], 'Tables &amp; Ranges'!$A$114:$B$132, 2, FALSE)</f>
        <v>N/A</v>
      </c>
    </row>
    <row r="1475" spans="2:12" ht="40" customHeight="1">
      <c r="B1475" s="42">
        <v>281</v>
      </c>
      <c r="C1475" s="102" t="s">
        <v>707</v>
      </c>
      <c r="D1475" s="102" t="s">
        <v>247</v>
      </c>
      <c r="E1475" s="92" t="s">
        <v>708</v>
      </c>
      <c r="F1475" s="42" t="s">
        <v>146</v>
      </c>
      <c r="G1475" s="42" t="s">
        <v>146</v>
      </c>
      <c r="H1475" s="42">
        <v>231</v>
      </c>
      <c r="I1475" s="42" t="s">
        <v>147</v>
      </c>
      <c r="J1475" s="103" t="s">
        <v>3611</v>
      </c>
      <c r="K1475" s="42" t="s">
        <v>4041</v>
      </c>
      <c r="L1475" s="42" t="str">
        <f>VLOOKUP(Table7[[#This Row],[Baseline Fixture Code]], 'Tables &amp; Ranges'!$A$114:$B$132, 2, FALSE)</f>
        <v>N/A</v>
      </c>
    </row>
    <row r="1476" spans="2:12" ht="40" customHeight="1">
      <c r="B1476" s="42">
        <v>282</v>
      </c>
      <c r="C1476" s="102" t="s">
        <v>709</v>
      </c>
      <c r="D1476" s="102" t="s">
        <v>247</v>
      </c>
      <c r="E1476" s="92" t="s">
        <v>710</v>
      </c>
      <c r="F1476" s="42" t="s">
        <v>146</v>
      </c>
      <c r="G1476" s="42" t="s">
        <v>146</v>
      </c>
      <c r="H1476" s="42">
        <v>232</v>
      </c>
      <c r="I1476" s="42" t="s">
        <v>147</v>
      </c>
      <c r="J1476" s="103" t="s">
        <v>3611</v>
      </c>
      <c r="K1476" s="42" t="s">
        <v>4041</v>
      </c>
      <c r="L1476" s="42" t="str">
        <f>VLOOKUP(Table7[[#This Row],[Baseline Fixture Code]], 'Tables &amp; Ranges'!$A$114:$B$132, 2, FALSE)</f>
        <v>N/A</v>
      </c>
    </row>
    <row r="1477" spans="2:12" ht="40" customHeight="1">
      <c r="B1477" s="42">
        <v>283</v>
      </c>
      <c r="C1477" s="102" t="s">
        <v>711</v>
      </c>
      <c r="D1477" s="102" t="s">
        <v>247</v>
      </c>
      <c r="E1477" s="92" t="s">
        <v>712</v>
      </c>
      <c r="F1477" s="42" t="s">
        <v>146</v>
      </c>
      <c r="G1477" s="42" t="s">
        <v>146</v>
      </c>
      <c r="H1477" s="42">
        <v>233</v>
      </c>
      <c r="I1477" s="42" t="s">
        <v>147</v>
      </c>
      <c r="J1477" s="103" t="s">
        <v>3611</v>
      </c>
      <c r="K1477" s="42" t="s">
        <v>4041</v>
      </c>
      <c r="L1477" s="42" t="str">
        <f>VLOOKUP(Table7[[#This Row],[Baseline Fixture Code]], 'Tables &amp; Ranges'!$A$114:$B$132, 2, FALSE)</f>
        <v>N/A</v>
      </c>
    </row>
    <row r="1478" spans="2:12" ht="40" customHeight="1">
      <c r="B1478" s="42">
        <v>284</v>
      </c>
      <c r="C1478" s="102" t="s">
        <v>713</v>
      </c>
      <c r="D1478" s="102" t="s">
        <v>247</v>
      </c>
      <c r="E1478" s="92" t="s">
        <v>714</v>
      </c>
      <c r="F1478" s="42" t="s">
        <v>146</v>
      </c>
      <c r="G1478" s="42" t="s">
        <v>146</v>
      </c>
      <c r="H1478" s="42">
        <v>234</v>
      </c>
      <c r="I1478" s="42" t="s">
        <v>147</v>
      </c>
      <c r="J1478" s="103" t="s">
        <v>3611</v>
      </c>
      <c r="K1478" s="42" t="s">
        <v>4041</v>
      </c>
      <c r="L1478" s="42" t="str">
        <f>VLOOKUP(Table7[[#This Row],[Baseline Fixture Code]], 'Tables &amp; Ranges'!$A$114:$B$132, 2, FALSE)</f>
        <v>N/A</v>
      </c>
    </row>
    <row r="1479" spans="2:12" ht="40" customHeight="1">
      <c r="B1479" s="42">
        <v>285</v>
      </c>
      <c r="C1479" s="102" t="s">
        <v>715</v>
      </c>
      <c r="D1479" s="102" t="s">
        <v>247</v>
      </c>
      <c r="E1479" s="92" t="s">
        <v>716</v>
      </c>
      <c r="F1479" s="42" t="s">
        <v>146</v>
      </c>
      <c r="G1479" s="42" t="s">
        <v>146</v>
      </c>
      <c r="H1479" s="42">
        <v>235</v>
      </c>
      <c r="I1479" s="42" t="s">
        <v>147</v>
      </c>
      <c r="J1479" s="103" t="s">
        <v>3611</v>
      </c>
      <c r="K1479" s="42" t="s">
        <v>4041</v>
      </c>
      <c r="L1479" s="42" t="str">
        <f>VLOOKUP(Table7[[#This Row],[Baseline Fixture Code]], 'Tables &amp; Ranges'!$A$114:$B$132, 2, FALSE)</f>
        <v>N/A</v>
      </c>
    </row>
    <row r="1480" spans="2:12" ht="40" customHeight="1">
      <c r="B1480" s="42">
        <v>286</v>
      </c>
      <c r="C1480" s="102" t="s">
        <v>717</v>
      </c>
      <c r="D1480" s="102" t="s">
        <v>247</v>
      </c>
      <c r="E1480" s="92" t="s">
        <v>718</v>
      </c>
      <c r="F1480" s="42" t="s">
        <v>146</v>
      </c>
      <c r="G1480" s="42" t="s">
        <v>146</v>
      </c>
      <c r="H1480" s="42">
        <v>236</v>
      </c>
      <c r="I1480" s="42" t="s">
        <v>147</v>
      </c>
      <c r="J1480" s="103" t="s">
        <v>3611</v>
      </c>
      <c r="K1480" s="42" t="s">
        <v>4041</v>
      </c>
      <c r="L1480" s="42" t="str">
        <f>VLOOKUP(Table7[[#This Row],[Baseline Fixture Code]], 'Tables &amp; Ranges'!$A$114:$B$132, 2, FALSE)</f>
        <v>N/A</v>
      </c>
    </row>
    <row r="1481" spans="2:12" ht="40" customHeight="1">
      <c r="B1481" s="42">
        <v>287</v>
      </c>
      <c r="C1481" s="102" t="s">
        <v>719</v>
      </c>
      <c r="D1481" s="102" t="s">
        <v>247</v>
      </c>
      <c r="E1481" s="92" t="s">
        <v>720</v>
      </c>
      <c r="F1481" s="42" t="s">
        <v>146</v>
      </c>
      <c r="G1481" s="42" t="s">
        <v>146</v>
      </c>
      <c r="H1481" s="42">
        <v>237</v>
      </c>
      <c r="I1481" s="42" t="s">
        <v>147</v>
      </c>
      <c r="J1481" s="103" t="s">
        <v>3611</v>
      </c>
      <c r="K1481" s="42" t="s">
        <v>4041</v>
      </c>
      <c r="L1481" s="42" t="str">
        <f>VLOOKUP(Table7[[#This Row],[Baseline Fixture Code]], 'Tables &amp; Ranges'!$A$114:$B$132, 2, FALSE)</f>
        <v>N/A</v>
      </c>
    </row>
    <row r="1482" spans="2:12" ht="40" customHeight="1">
      <c r="B1482" s="42">
        <v>288</v>
      </c>
      <c r="C1482" s="102" t="s">
        <v>721</v>
      </c>
      <c r="D1482" s="102" t="s">
        <v>247</v>
      </c>
      <c r="E1482" s="92" t="s">
        <v>722</v>
      </c>
      <c r="F1482" s="42" t="s">
        <v>146</v>
      </c>
      <c r="G1482" s="42" t="s">
        <v>146</v>
      </c>
      <c r="H1482" s="42">
        <v>238</v>
      </c>
      <c r="I1482" s="42" t="s">
        <v>147</v>
      </c>
      <c r="J1482" s="103" t="s">
        <v>3611</v>
      </c>
      <c r="K1482" s="42" t="s">
        <v>4041</v>
      </c>
      <c r="L1482" s="42" t="str">
        <f>VLOOKUP(Table7[[#This Row],[Baseline Fixture Code]], 'Tables &amp; Ranges'!$A$114:$B$132, 2, FALSE)</f>
        <v>N/A</v>
      </c>
    </row>
    <row r="1483" spans="2:12" ht="40" customHeight="1">
      <c r="B1483" s="42">
        <v>289</v>
      </c>
      <c r="C1483" s="102" t="s">
        <v>723</v>
      </c>
      <c r="D1483" s="102" t="s">
        <v>247</v>
      </c>
      <c r="E1483" s="92" t="s">
        <v>724</v>
      </c>
      <c r="F1483" s="42" t="s">
        <v>146</v>
      </c>
      <c r="G1483" s="42" t="s">
        <v>146</v>
      </c>
      <c r="H1483" s="42">
        <v>239</v>
      </c>
      <c r="I1483" s="42" t="s">
        <v>147</v>
      </c>
      <c r="J1483" s="103" t="s">
        <v>3611</v>
      </c>
      <c r="K1483" s="42" t="s">
        <v>4041</v>
      </c>
      <c r="L1483" s="42" t="str">
        <f>VLOOKUP(Table7[[#This Row],[Baseline Fixture Code]], 'Tables &amp; Ranges'!$A$114:$B$132, 2, FALSE)</f>
        <v>N/A</v>
      </c>
    </row>
    <row r="1484" spans="2:12" ht="40" customHeight="1">
      <c r="B1484" s="42">
        <v>290</v>
      </c>
      <c r="C1484" s="102" t="s">
        <v>725</v>
      </c>
      <c r="D1484" s="102" t="s">
        <v>247</v>
      </c>
      <c r="E1484" s="92" t="s">
        <v>726</v>
      </c>
      <c r="F1484" s="42" t="s">
        <v>146</v>
      </c>
      <c r="G1484" s="42" t="s">
        <v>146</v>
      </c>
      <c r="H1484" s="42">
        <v>240</v>
      </c>
      <c r="I1484" s="42" t="s">
        <v>147</v>
      </c>
      <c r="J1484" s="103" t="s">
        <v>3611</v>
      </c>
      <c r="K1484" s="42" t="s">
        <v>4041</v>
      </c>
      <c r="L1484" s="42" t="str">
        <f>VLOOKUP(Table7[[#This Row],[Baseline Fixture Code]], 'Tables &amp; Ranges'!$A$114:$B$132, 2, FALSE)</f>
        <v>N/A</v>
      </c>
    </row>
    <row r="1485" spans="2:12" ht="40" customHeight="1">
      <c r="B1485" s="42">
        <v>291</v>
      </c>
      <c r="C1485" s="102" t="s">
        <v>727</v>
      </c>
      <c r="D1485" s="102" t="s">
        <v>247</v>
      </c>
      <c r="E1485" s="92" t="s">
        <v>728</v>
      </c>
      <c r="F1485" s="42" t="s">
        <v>146</v>
      </c>
      <c r="G1485" s="42" t="s">
        <v>146</v>
      </c>
      <c r="H1485" s="42">
        <v>241</v>
      </c>
      <c r="I1485" s="42" t="s">
        <v>147</v>
      </c>
      <c r="J1485" s="103" t="s">
        <v>3611</v>
      </c>
      <c r="K1485" s="42" t="s">
        <v>4041</v>
      </c>
      <c r="L1485" s="42" t="str">
        <f>VLOOKUP(Table7[[#This Row],[Baseline Fixture Code]], 'Tables &amp; Ranges'!$A$114:$B$132, 2, FALSE)</f>
        <v>N/A</v>
      </c>
    </row>
    <row r="1486" spans="2:12" ht="40" customHeight="1">
      <c r="B1486" s="42">
        <v>292</v>
      </c>
      <c r="C1486" s="102" t="s">
        <v>729</v>
      </c>
      <c r="D1486" s="102" t="s">
        <v>247</v>
      </c>
      <c r="E1486" s="92" t="s">
        <v>730</v>
      </c>
      <c r="F1486" s="42" t="s">
        <v>146</v>
      </c>
      <c r="G1486" s="42" t="s">
        <v>146</v>
      </c>
      <c r="H1486" s="42">
        <v>242</v>
      </c>
      <c r="I1486" s="42" t="s">
        <v>147</v>
      </c>
      <c r="J1486" s="103" t="s">
        <v>3611</v>
      </c>
      <c r="K1486" s="42" t="s">
        <v>4041</v>
      </c>
      <c r="L1486" s="42" t="str">
        <f>VLOOKUP(Table7[[#This Row],[Baseline Fixture Code]], 'Tables &amp; Ranges'!$A$114:$B$132, 2, FALSE)</f>
        <v>N/A</v>
      </c>
    </row>
    <row r="1487" spans="2:12" ht="40" customHeight="1">
      <c r="B1487" s="42">
        <v>293</v>
      </c>
      <c r="C1487" s="102" t="s">
        <v>731</v>
      </c>
      <c r="D1487" s="102" t="s">
        <v>247</v>
      </c>
      <c r="E1487" s="92" t="s">
        <v>732</v>
      </c>
      <c r="F1487" s="42" t="s">
        <v>146</v>
      </c>
      <c r="G1487" s="42" t="s">
        <v>146</v>
      </c>
      <c r="H1487" s="42">
        <v>243</v>
      </c>
      <c r="I1487" s="42" t="s">
        <v>147</v>
      </c>
      <c r="J1487" s="103" t="s">
        <v>3611</v>
      </c>
      <c r="K1487" s="42" t="s">
        <v>4041</v>
      </c>
      <c r="L1487" s="42" t="str">
        <f>VLOOKUP(Table7[[#This Row],[Baseline Fixture Code]], 'Tables &amp; Ranges'!$A$114:$B$132, 2, FALSE)</f>
        <v>N/A</v>
      </c>
    </row>
    <row r="1488" spans="2:12" ht="40" customHeight="1">
      <c r="B1488" s="42">
        <v>294</v>
      </c>
      <c r="C1488" s="102" t="s">
        <v>733</v>
      </c>
      <c r="D1488" s="102" t="s">
        <v>247</v>
      </c>
      <c r="E1488" s="92" t="s">
        <v>734</v>
      </c>
      <c r="F1488" s="42" t="s">
        <v>146</v>
      </c>
      <c r="G1488" s="42" t="s">
        <v>146</v>
      </c>
      <c r="H1488" s="42">
        <v>244</v>
      </c>
      <c r="I1488" s="42" t="s">
        <v>147</v>
      </c>
      <c r="J1488" s="103" t="s">
        <v>3611</v>
      </c>
      <c r="K1488" s="42" t="s">
        <v>4041</v>
      </c>
      <c r="L1488" s="42" t="str">
        <f>VLOOKUP(Table7[[#This Row],[Baseline Fixture Code]], 'Tables &amp; Ranges'!$A$114:$B$132, 2, FALSE)</f>
        <v>N/A</v>
      </c>
    </row>
    <row r="1489" spans="2:12" ht="40" customHeight="1">
      <c r="B1489" s="42">
        <v>295</v>
      </c>
      <c r="C1489" s="102" t="s">
        <v>735</v>
      </c>
      <c r="D1489" s="102" t="s">
        <v>247</v>
      </c>
      <c r="E1489" s="92" t="s">
        <v>736</v>
      </c>
      <c r="F1489" s="42" t="s">
        <v>146</v>
      </c>
      <c r="G1489" s="42" t="s">
        <v>146</v>
      </c>
      <c r="H1489" s="42">
        <v>245</v>
      </c>
      <c r="I1489" s="42" t="s">
        <v>147</v>
      </c>
      <c r="J1489" s="103" t="s">
        <v>3611</v>
      </c>
      <c r="K1489" s="42" t="s">
        <v>4041</v>
      </c>
      <c r="L1489" s="42" t="str">
        <f>VLOOKUP(Table7[[#This Row],[Baseline Fixture Code]], 'Tables &amp; Ranges'!$A$114:$B$132, 2, FALSE)</f>
        <v>N/A</v>
      </c>
    </row>
    <row r="1490" spans="2:12" ht="40" customHeight="1">
      <c r="B1490" s="42">
        <v>296</v>
      </c>
      <c r="C1490" s="102" t="s">
        <v>737</v>
      </c>
      <c r="D1490" s="102" t="s">
        <v>247</v>
      </c>
      <c r="E1490" s="92" t="s">
        <v>738</v>
      </c>
      <c r="F1490" s="42" t="s">
        <v>146</v>
      </c>
      <c r="G1490" s="42" t="s">
        <v>146</v>
      </c>
      <c r="H1490" s="42">
        <v>246</v>
      </c>
      <c r="I1490" s="42" t="s">
        <v>147</v>
      </c>
      <c r="J1490" s="103" t="s">
        <v>3611</v>
      </c>
      <c r="K1490" s="42" t="s">
        <v>4041</v>
      </c>
      <c r="L1490" s="42" t="str">
        <f>VLOOKUP(Table7[[#This Row],[Baseline Fixture Code]], 'Tables &amp; Ranges'!$A$114:$B$132, 2, FALSE)</f>
        <v>N/A</v>
      </c>
    </row>
    <row r="1491" spans="2:12" ht="40" customHeight="1">
      <c r="B1491" s="42">
        <v>297</v>
      </c>
      <c r="C1491" s="102" t="s">
        <v>739</v>
      </c>
      <c r="D1491" s="102" t="s">
        <v>247</v>
      </c>
      <c r="E1491" s="92" t="s">
        <v>740</v>
      </c>
      <c r="F1491" s="42" t="s">
        <v>146</v>
      </c>
      <c r="G1491" s="42" t="s">
        <v>146</v>
      </c>
      <c r="H1491" s="42">
        <v>247</v>
      </c>
      <c r="I1491" s="42" t="s">
        <v>147</v>
      </c>
      <c r="J1491" s="103" t="s">
        <v>3611</v>
      </c>
      <c r="K1491" s="42" t="s">
        <v>4041</v>
      </c>
      <c r="L1491" s="42" t="str">
        <f>VLOOKUP(Table7[[#This Row],[Baseline Fixture Code]], 'Tables &amp; Ranges'!$A$114:$B$132, 2, FALSE)</f>
        <v>N/A</v>
      </c>
    </row>
    <row r="1492" spans="2:12" ht="40" customHeight="1">
      <c r="B1492" s="42">
        <v>298</v>
      </c>
      <c r="C1492" s="102" t="s">
        <v>741</v>
      </c>
      <c r="D1492" s="102" t="s">
        <v>247</v>
      </c>
      <c r="E1492" s="92" t="s">
        <v>742</v>
      </c>
      <c r="F1492" s="42" t="s">
        <v>146</v>
      </c>
      <c r="G1492" s="42" t="s">
        <v>146</v>
      </c>
      <c r="H1492" s="42">
        <v>248</v>
      </c>
      <c r="I1492" s="42" t="s">
        <v>147</v>
      </c>
      <c r="J1492" s="103" t="s">
        <v>3611</v>
      </c>
      <c r="K1492" s="42" t="s">
        <v>4041</v>
      </c>
      <c r="L1492" s="42" t="str">
        <f>VLOOKUP(Table7[[#This Row],[Baseline Fixture Code]], 'Tables &amp; Ranges'!$A$114:$B$132, 2, FALSE)</f>
        <v>N/A</v>
      </c>
    </row>
    <row r="1493" spans="2:12" ht="40" customHeight="1">
      <c r="B1493" s="42">
        <v>299</v>
      </c>
      <c r="C1493" s="102" t="s">
        <v>743</v>
      </c>
      <c r="D1493" s="102" t="s">
        <v>247</v>
      </c>
      <c r="E1493" s="92" t="s">
        <v>744</v>
      </c>
      <c r="F1493" s="42" t="s">
        <v>146</v>
      </c>
      <c r="G1493" s="42" t="s">
        <v>146</v>
      </c>
      <c r="H1493" s="42">
        <v>249</v>
      </c>
      <c r="I1493" s="42" t="s">
        <v>147</v>
      </c>
      <c r="J1493" s="103" t="s">
        <v>3611</v>
      </c>
      <c r="K1493" s="42" t="s">
        <v>4041</v>
      </c>
      <c r="L1493" s="42" t="str">
        <f>VLOOKUP(Table7[[#This Row],[Baseline Fixture Code]], 'Tables &amp; Ranges'!$A$114:$B$132, 2, FALSE)</f>
        <v>N/A</v>
      </c>
    </row>
    <row r="1494" spans="2:12" ht="40" customHeight="1">
      <c r="B1494" s="42">
        <v>300</v>
      </c>
      <c r="C1494" s="102" t="s">
        <v>745</v>
      </c>
      <c r="D1494" s="102" t="s">
        <v>247</v>
      </c>
      <c r="E1494" s="92" t="s">
        <v>746</v>
      </c>
      <c r="F1494" s="42" t="s">
        <v>146</v>
      </c>
      <c r="G1494" s="42" t="s">
        <v>146</v>
      </c>
      <c r="H1494" s="42">
        <v>250</v>
      </c>
      <c r="I1494" s="42" t="s">
        <v>147</v>
      </c>
      <c r="J1494" s="103" t="s">
        <v>3611</v>
      </c>
      <c r="K1494" s="42" t="s">
        <v>4041</v>
      </c>
      <c r="L1494" s="42" t="str">
        <f>VLOOKUP(Table7[[#This Row],[Baseline Fixture Code]], 'Tables &amp; Ranges'!$A$114:$B$132, 2, FALSE)</f>
        <v>N/A</v>
      </c>
    </row>
    <row r="1495" spans="2:12" ht="40" customHeight="1">
      <c r="B1495" s="42">
        <v>301</v>
      </c>
      <c r="C1495" s="102" t="s">
        <v>747</v>
      </c>
      <c r="D1495" s="102" t="s">
        <v>247</v>
      </c>
      <c r="E1495" s="92" t="s">
        <v>748</v>
      </c>
      <c r="F1495" s="42" t="s">
        <v>146</v>
      </c>
      <c r="G1495" s="42" t="s">
        <v>146</v>
      </c>
      <c r="H1495" s="42">
        <v>251</v>
      </c>
      <c r="I1495" s="42" t="s">
        <v>147</v>
      </c>
      <c r="J1495" s="103" t="s">
        <v>3611</v>
      </c>
      <c r="K1495" s="42" t="s">
        <v>4041</v>
      </c>
      <c r="L1495" s="42" t="str">
        <f>VLOOKUP(Table7[[#This Row],[Baseline Fixture Code]], 'Tables &amp; Ranges'!$A$114:$B$132, 2, FALSE)</f>
        <v>N/A</v>
      </c>
    </row>
    <row r="1496" spans="2:12" ht="40" customHeight="1">
      <c r="B1496" s="42">
        <v>302</v>
      </c>
      <c r="C1496" s="102" t="s">
        <v>749</v>
      </c>
      <c r="D1496" s="102" t="s">
        <v>247</v>
      </c>
      <c r="E1496" s="92" t="s">
        <v>750</v>
      </c>
      <c r="F1496" s="42" t="s">
        <v>146</v>
      </c>
      <c r="G1496" s="42" t="s">
        <v>146</v>
      </c>
      <c r="H1496" s="42">
        <v>252</v>
      </c>
      <c r="I1496" s="42" t="s">
        <v>147</v>
      </c>
      <c r="J1496" s="103" t="s">
        <v>3611</v>
      </c>
      <c r="K1496" s="42" t="s">
        <v>4041</v>
      </c>
      <c r="L1496" s="42" t="str">
        <f>VLOOKUP(Table7[[#This Row],[Baseline Fixture Code]], 'Tables &amp; Ranges'!$A$114:$B$132, 2, FALSE)</f>
        <v>N/A</v>
      </c>
    </row>
    <row r="1497" spans="2:12" ht="40" customHeight="1">
      <c r="B1497" s="42">
        <v>303</v>
      </c>
      <c r="C1497" s="102" t="s">
        <v>751</v>
      </c>
      <c r="D1497" s="102" t="s">
        <v>247</v>
      </c>
      <c r="E1497" s="92" t="s">
        <v>752</v>
      </c>
      <c r="F1497" s="42" t="s">
        <v>146</v>
      </c>
      <c r="G1497" s="42" t="s">
        <v>146</v>
      </c>
      <c r="H1497" s="42">
        <v>253</v>
      </c>
      <c r="I1497" s="42" t="s">
        <v>147</v>
      </c>
      <c r="J1497" s="103" t="s">
        <v>3611</v>
      </c>
      <c r="K1497" s="42" t="s">
        <v>4041</v>
      </c>
      <c r="L1497" s="42" t="str">
        <f>VLOOKUP(Table7[[#This Row],[Baseline Fixture Code]], 'Tables &amp; Ranges'!$A$114:$B$132, 2, FALSE)</f>
        <v>N/A</v>
      </c>
    </row>
    <row r="1498" spans="2:12" ht="40" customHeight="1">
      <c r="B1498" s="42">
        <v>304</v>
      </c>
      <c r="C1498" s="102" t="s">
        <v>753</v>
      </c>
      <c r="D1498" s="102" t="s">
        <v>247</v>
      </c>
      <c r="E1498" s="92" t="s">
        <v>754</v>
      </c>
      <c r="F1498" s="42" t="s">
        <v>146</v>
      </c>
      <c r="G1498" s="42" t="s">
        <v>146</v>
      </c>
      <c r="H1498" s="42">
        <v>254</v>
      </c>
      <c r="I1498" s="42" t="s">
        <v>147</v>
      </c>
      <c r="J1498" s="103" t="s">
        <v>3611</v>
      </c>
      <c r="K1498" s="42" t="s">
        <v>4041</v>
      </c>
      <c r="L1498" s="42" t="str">
        <f>VLOOKUP(Table7[[#This Row],[Baseline Fixture Code]], 'Tables &amp; Ranges'!$A$114:$B$132, 2, FALSE)</f>
        <v>N/A</v>
      </c>
    </row>
    <row r="1499" spans="2:12" ht="40" customHeight="1">
      <c r="B1499" s="42">
        <v>305</v>
      </c>
      <c r="C1499" s="102" t="s">
        <v>755</v>
      </c>
      <c r="D1499" s="102" t="s">
        <v>247</v>
      </c>
      <c r="E1499" s="92" t="s">
        <v>756</v>
      </c>
      <c r="F1499" s="42" t="s">
        <v>146</v>
      </c>
      <c r="G1499" s="42" t="s">
        <v>146</v>
      </c>
      <c r="H1499" s="42">
        <v>255</v>
      </c>
      <c r="I1499" s="42" t="s">
        <v>147</v>
      </c>
      <c r="J1499" s="103" t="s">
        <v>3611</v>
      </c>
      <c r="K1499" s="42" t="s">
        <v>4041</v>
      </c>
      <c r="L1499" s="42" t="str">
        <f>VLOOKUP(Table7[[#This Row],[Baseline Fixture Code]], 'Tables &amp; Ranges'!$A$114:$B$132, 2, FALSE)</f>
        <v>N/A</v>
      </c>
    </row>
    <row r="1500" spans="2:12" ht="40" customHeight="1">
      <c r="B1500" s="42">
        <v>306</v>
      </c>
      <c r="C1500" s="102" t="s">
        <v>757</v>
      </c>
      <c r="D1500" s="102" t="s">
        <v>247</v>
      </c>
      <c r="E1500" s="92" t="s">
        <v>758</v>
      </c>
      <c r="F1500" s="42" t="s">
        <v>146</v>
      </c>
      <c r="G1500" s="42" t="s">
        <v>146</v>
      </c>
      <c r="H1500" s="42">
        <v>256</v>
      </c>
      <c r="I1500" s="42" t="s">
        <v>147</v>
      </c>
      <c r="J1500" s="103" t="s">
        <v>3611</v>
      </c>
      <c r="K1500" s="42" t="s">
        <v>4041</v>
      </c>
      <c r="L1500" s="42" t="str">
        <f>VLOOKUP(Table7[[#This Row],[Baseline Fixture Code]], 'Tables &amp; Ranges'!$A$114:$B$132, 2, FALSE)</f>
        <v>N/A</v>
      </c>
    </row>
    <row r="1501" spans="2:12" ht="40" customHeight="1">
      <c r="B1501" s="42">
        <v>307</v>
      </c>
      <c r="C1501" s="102" t="s">
        <v>759</v>
      </c>
      <c r="D1501" s="102" t="s">
        <v>247</v>
      </c>
      <c r="E1501" s="92" t="s">
        <v>760</v>
      </c>
      <c r="F1501" s="42" t="s">
        <v>146</v>
      </c>
      <c r="G1501" s="42" t="s">
        <v>146</v>
      </c>
      <c r="H1501" s="42">
        <v>257</v>
      </c>
      <c r="I1501" s="42" t="s">
        <v>147</v>
      </c>
      <c r="J1501" s="103" t="s">
        <v>3611</v>
      </c>
      <c r="K1501" s="42" t="s">
        <v>4041</v>
      </c>
      <c r="L1501" s="42" t="str">
        <f>VLOOKUP(Table7[[#This Row],[Baseline Fixture Code]], 'Tables &amp; Ranges'!$A$114:$B$132, 2, FALSE)</f>
        <v>N/A</v>
      </c>
    </row>
    <row r="1502" spans="2:12" ht="40" customHeight="1">
      <c r="B1502" s="42">
        <v>308</v>
      </c>
      <c r="C1502" s="102" t="s">
        <v>761</v>
      </c>
      <c r="D1502" s="102" t="s">
        <v>247</v>
      </c>
      <c r="E1502" s="92" t="s">
        <v>762</v>
      </c>
      <c r="F1502" s="42" t="s">
        <v>146</v>
      </c>
      <c r="G1502" s="42" t="s">
        <v>146</v>
      </c>
      <c r="H1502" s="42">
        <v>258</v>
      </c>
      <c r="I1502" s="42" t="s">
        <v>147</v>
      </c>
      <c r="J1502" s="103" t="s">
        <v>3611</v>
      </c>
      <c r="K1502" s="42" t="s">
        <v>4041</v>
      </c>
      <c r="L1502" s="42" t="str">
        <f>VLOOKUP(Table7[[#This Row],[Baseline Fixture Code]], 'Tables &amp; Ranges'!$A$114:$B$132, 2, FALSE)</f>
        <v>N/A</v>
      </c>
    </row>
    <row r="1503" spans="2:12" ht="40" customHeight="1">
      <c r="B1503" s="42">
        <v>309</v>
      </c>
      <c r="C1503" s="102" t="s">
        <v>763</v>
      </c>
      <c r="D1503" s="102" t="s">
        <v>247</v>
      </c>
      <c r="E1503" s="92" t="s">
        <v>764</v>
      </c>
      <c r="F1503" s="42" t="s">
        <v>146</v>
      </c>
      <c r="G1503" s="42" t="s">
        <v>146</v>
      </c>
      <c r="H1503" s="42">
        <v>259</v>
      </c>
      <c r="I1503" s="42" t="s">
        <v>147</v>
      </c>
      <c r="J1503" s="103" t="s">
        <v>3611</v>
      </c>
      <c r="K1503" s="42" t="s">
        <v>4041</v>
      </c>
      <c r="L1503" s="42" t="str">
        <f>VLOOKUP(Table7[[#This Row],[Baseline Fixture Code]], 'Tables &amp; Ranges'!$A$114:$B$132, 2, FALSE)</f>
        <v>N/A</v>
      </c>
    </row>
    <row r="1504" spans="2:12" ht="40" customHeight="1">
      <c r="B1504" s="42">
        <v>310</v>
      </c>
      <c r="C1504" s="102" t="s">
        <v>765</v>
      </c>
      <c r="D1504" s="102" t="s">
        <v>247</v>
      </c>
      <c r="E1504" s="92" t="s">
        <v>766</v>
      </c>
      <c r="F1504" s="42" t="s">
        <v>146</v>
      </c>
      <c r="G1504" s="42" t="s">
        <v>146</v>
      </c>
      <c r="H1504" s="42">
        <v>260</v>
      </c>
      <c r="I1504" s="42" t="s">
        <v>147</v>
      </c>
      <c r="J1504" s="103" t="s">
        <v>3611</v>
      </c>
      <c r="K1504" s="42" t="s">
        <v>4041</v>
      </c>
      <c r="L1504" s="42" t="str">
        <f>VLOOKUP(Table7[[#This Row],[Baseline Fixture Code]], 'Tables &amp; Ranges'!$A$114:$B$132, 2, FALSE)</f>
        <v>N/A</v>
      </c>
    </row>
    <row r="1505" spans="2:12" ht="40" customHeight="1">
      <c r="B1505" s="42">
        <v>311</v>
      </c>
      <c r="C1505" s="102" t="s">
        <v>767</v>
      </c>
      <c r="D1505" s="102" t="s">
        <v>247</v>
      </c>
      <c r="E1505" s="92" t="s">
        <v>768</v>
      </c>
      <c r="F1505" s="42" t="s">
        <v>146</v>
      </c>
      <c r="G1505" s="42" t="s">
        <v>146</v>
      </c>
      <c r="H1505" s="42">
        <v>261</v>
      </c>
      <c r="I1505" s="42" t="s">
        <v>147</v>
      </c>
      <c r="J1505" s="103" t="s">
        <v>3611</v>
      </c>
      <c r="K1505" s="42" t="s">
        <v>4041</v>
      </c>
      <c r="L1505" s="42" t="str">
        <f>VLOOKUP(Table7[[#This Row],[Baseline Fixture Code]], 'Tables &amp; Ranges'!$A$114:$B$132, 2, FALSE)</f>
        <v>N/A</v>
      </c>
    </row>
    <row r="1506" spans="2:12" ht="40" customHeight="1">
      <c r="B1506" s="42">
        <v>312</v>
      </c>
      <c r="C1506" s="102" t="s">
        <v>769</v>
      </c>
      <c r="D1506" s="102" t="s">
        <v>247</v>
      </c>
      <c r="E1506" s="92" t="s">
        <v>770</v>
      </c>
      <c r="F1506" s="42" t="s">
        <v>146</v>
      </c>
      <c r="G1506" s="42" t="s">
        <v>146</v>
      </c>
      <c r="H1506" s="42">
        <v>262</v>
      </c>
      <c r="I1506" s="42" t="s">
        <v>147</v>
      </c>
      <c r="J1506" s="103" t="s">
        <v>3611</v>
      </c>
      <c r="K1506" s="42" t="s">
        <v>4041</v>
      </c>
      <c r="L1506" s="42" t="str">
        <f>VLOOKUP(Table7[[#This Row],[Baseline Fixture Code]], 'Tables &amp; Ranges'!$A$114:$B$132, 2, FALSE)</f>
        <v>N/A</v>
      </c>
    </row>
    <row r="1507" spans="2:12" ht="40" customHeight="1">
      <c r="B1507" s="42">
        <v>313</v>
      </c>
      <c r="C1507" s="102" t="s">
        <v>771</v>
      </c>
      <c r="D1507" s="102" t="s">
        <v>247</v>
      </c>
      <c r="E1507" s="92" t="s">
        <v>772</v>
      </c>
      <c r="F1507" s="42" t="s">
        <v>146</v>
      </c>
      <c r="G1507" s="42" t="s">
        <v>146</v>
      </c>
      <c r="H1507" s="42">
        <v>263</v>
      </c>
      <c r="I1507" s="42" t="s">
        <v>147</v>
      </c>
      <c r="J1507" s="103" t="s">
        <v>3611</v>
      </c>
      <c r="K1507" s="42" t="s">
        <v>4041</v>
      </c>
      <c r="L1507" s="42" t="str">
        <f>VLOOKUP(Table7[[#This Row],[Baseline Fixture Code]], 'Tables &amp; Ranges'!$A$114:$B$132, 2, FALSE)</f>
        <v>N/A</v>
      </c>
    </row>
    <row r="1508" spans="2:12" ht="40" customHeight="1">
      <c r="B1508" s="42">
        <v>314</v>
      </c>
      <c r="C1508" s="102" t="s">
        <v>773</v>
      </c>
      <c r="D1508" s="102" t="s">
        <v>247</v>
      </c>
      <c r="E1508" s="92" t="s">
        <v>774</v>
      </c>
      <c r="F1508" s="42" t="s">
        <v>146</v>
      </c>
      <c r="G1508" s="42" t="s">
        <v>146</v>
      </c>
      <c r="H1508" s="42">
        <v>264</v>
      </c>
      <c r="I1508" s="42" t="s">
        <v>147</v>
      </c>
      <c r="J1508" s="103" t="s">
        <v>3611</v>
      </c>
      <c r="K1508" s="42" t="s">
        <v>4041</v>
      </c>
      <c r="L1508" s="42" t="str">
        <f>VLOOKUP(Table7[[#This Row],[Baseline Fixture Code]], 'Tables &amp; Ranges'!$A$114:$B$132, 2, FALSE)</f>
        <v>N/A</v>
      </c>
    </row>
    <row r="1509" spans="2:12" ht="40" customHeight="1">
      <c r="B1509" s="42">
        <v>315</v>
      </c>
      <c r="C1509" s="102" t="s">
        <v>775</v>
      </c>
      <c r="D1509" s="102" t="s">
        <v>247</v>
      </c>
      <c r="E1509" s="92" t="s">
        <v>776</v>
      </c>
      <c r="F1509" s="42" t="s">
        <v>146</v>
      </c>
      <c r="G1509" s="42" t="s">
        <v>146</v>
      </c>
      <c r="H1509" s="42">
        <v>265</v>
      </c>
      <c r="I1509" s="42" t="s">
        <v>147</v>
      </c>
      <c r="J1509" s="103" t="s">
        <v>3611</v>
      </c>
      <c r="K1509" s="42" t="s">
        <v>4041</v>
      </c>
      <c r="L1509" s="42" t="str">
        <f>VLOOKUP(Table7[[#This Row],[Baseline Fixture Code]], 'Tables &amp; Ranges'!$A$114:$B$132, 2, FALSE)</f>
        <v>N/A</v>
      </c>
    </row>
    <row r="1510" spans="2:12" ht="40" customHeight="1">
      <c r="B1510" s="42">
        <v>316</v>
      </c>
      <c r="C1510" s="102" t="s">
        <v>777</v>
      </c>
      <c r="D1510" s="102" t="s">
        <v>247</v>
      </c>
      <c r="E1510" s="92" t="s">
        <v>778</v>
      </c>
      <c r="F1510" s="42" t="s">
        <v>146</v>
      </c>
      <c r="G1510" s="42" t="s">
        <v>146</v>
      </c>
      <c r="H1510" s="42">
        <v>266</v>
      </c>
      <c r="I1510" s="42" t="s">
        <v>147</v>
      </c>
      <c r="J1510" s="103" t="s">
        <v>3611</v>
      </c>
      <c r="K1510" s="42" t="s">
        <v>4041</v>
      </c>
      <c r="L1510" s="42" t="str">
        <f>VLOOKUP(Table7[[#This Row],[Baseline Fixture Code]], 'Tables &amp; Ranges'!$A$114:$B$132, 2, FALSE)</f>
        <v>N/A</v>
      </c>
    </row>
    <row r="1511" spans="2:12" ht="40" customHeight="1">
      <c r="B1511" s="42">
        <v>317</v>
      </c>
      <c r="C1511" s="102" t="s">
        <v>779</v>
      </c>
      <c r="D1511" s="102" t="s">
        <v>247</v>
      </c>
      <c r="E1511" s="92" t="s">
        <v>780</v>
      </c>
      <c r="F1511" s="42" t="s">
        <v>146</v>
      </c>
      <c r="G1511" s="42" t="s">
        <v>146</v>
      </c>
      <c r="H1511" s="42">
        <v>267</v>
      </c>
      <c r="I1511" s="42" t="s">
        <v>147</v>
      </c>
      <c r="J1511" s="103" t="s">
        <v>3611</v>
      </c>
      <c r="K1511" s="42" t="s">
        <v>4041</v>
      </c>
      <c r="L1511" s="42" t="str">
        <f>VLOOKUP(Table7[[#This Row],[Baseline Fixture Code]], 'Tables &amp; Ranges'!$A$114:$B$132, 2, FALSE)</f>
        <v>N/A</v>
      </c>
    </row>
    <row r="1512" spans="2:12" ht="40" customHeight="1">
      <c r="B1512" s="42">
        <v>318</v>
      </c>
      <c r="C1512" s="102" t="s">
        <v>781</v>
      </c>
      <c r="D1512" s="102" t="s">
        <v>247</v>
      </c>
      <c r="E1512" s="92" t="s">
        <v>782</v>
      </c>
      <c r="F1512" s="42" t="s">
        <v>146</v>
      </c>
      <c r="G1512" s="42" t="s">
        <v>146</v>
      </c>
      <c r="H1512" s="42">
        <v>268</v>
      </c>
      <c r="I1512" s="42" t="s">
        <v>147</v>
      </c>
      <c r="J1512" s="103" t="s">
        <v>3611</v>
      </c>
      <c r="K1512" s="42" t="s">
        <v>4041</v>
      </c>
      <c r="L1512" s="42" t="str">
        <f>VLOOKUP(Table7[[#This Row],[Baseline Fixture Code]], 'Tables &amp; Ranges'!$A$114:$B$132, 2, FALSE)</f>
        <v>N/A</v>
      </c>
    </row>
    <row r="1513" spans="2:12" ht="40" customHeight="1">
      <c r="B1513" s="42">
        <v>319</v>
      </c>
      <c r="C1513" s="102" t="s">
        <v>783</v>
      </c>
      <c r="D1513" s="102" t="s">
        <v>247</v>
      </c>
      <c r="E1513" s="92" t="s">
        <v>784</v>
      </c>
      <c r="F1513" s="42" t="s">
        <v>146</v>
      </c>
      <c r="G1513" s="42" t="s">
        <v>146</v>
      </c>
      <c r="H1513" s="42">
        <v>269</v>
      </c>
      <c r="I1513" s="42" t="s">
        <v>147</v>
      </c>
      <c r="J1513" s="103" t="s">
        <v>3611</v>
      </c>
      <c r="K1513" s="42" t="s">
        <v>4041</v>
      </c>
      <c r="L1513" s="42" t="str">
        <f>VLOOKUP(Table7[[#This Row],[Baseline Fixture Code]], 'Tables &amp; Ranges'!$A$114:$B$132, 2, FALSE)</f>
        <v>N/A</v>
      </c>
    </row>
    <row r="1514" spans="2:12" ht="40" customHeight="1">
      <c r="B1514" s="42">
        <v>320</v>
      </c>
      <c r="C1514" s="102" t="s">
        <v>785</v>
      </c>
      <c r="D1514" s="102" t="s">
        <v>247</v>
      </c>
      <c r="E1514" s="92" t="s">
        <v>786</v>
      </c>
      <c r="F1514" s="42" t="s">
        <v>146</v>
      </c>
      <c r="G1514" s="42" t="s">
        <v>146</v>
      </c>
      <c r="H1514" s="42">
        <v>270</v>
      </c>
      <c r="I1514" s="42" t="s">
        <v>147</v>
      </c>
      <c r="J1514" s="103" t="s">
        <v>3611</v>
      </c>
      <c r="K1514" s="42" t="s">
        <v>4041</v>
      </c>
      <c r="L1514" s="42" t="str">
        <f>VLOOKUP(Table7[[#This Row],[Baseline Fixture Code]], 'Tables &amp; Ranges'!$A$114:$B$132, 2, FALSE)</f>
        <v>N/A</v>
      </c>
    </row>
    <row r="1515" spans="2:12" ht="40" customHeight="1">
      <c r="B1515" s="42">
        <v>321</v>
      </c>
      <c r="C1515" s="102" t="s">
        <v>787</v>
      </c>
      <c r="D1515" s="102" t="s">
        <v>247</v>
      </c>
      <c r="E1515" s="92" t="s">
        <v>788</v>
      </c>
      <c r="F1515" s="42" t="s">
        <v>146</v>
      </c>
      <c r="G1515" s="42" t="s">
        <v>146</v>
      </c>
      <c r="H1515" s="42">
        <v>271</v>
      </c>
      <c r="I1515" s="42" t="s">
        <v>147</v>
      </c>
      <c r="J1515" s="103" t="s">
        <v>3611</v>
      </c>
      <c r="K1515" s="42" t="s">
        <v>4041</v>
      </c>
      <c r="L1515" s="42" t="str">
        <f>VLOOKUP(Table7[[#This Row],[Baseline Fixture Code]], 'Tables &amp; Ranges'!$A$114:$B$132, 2, FALSE)</f>
        <v>N/A</v>
      </c>
    </row>
    <row r="1516" spans="2:12" ht="40" customHeight="1">
      <c r="B1516" s="42">
        <v>322</v>
      </c>
      <c r="C1516" s="102" t="s">
        <v>789</v>
      </c>
      <c r="D1516" s="102" t="s">
        <v>247</v>
      </c>
      <c r="E1516" s="92" t="s">
        <v>790</v>
      </c>
      <c r="F1516" s="42" t="s">
        <v>146</v>
      </c>
      <c r="G1516" s="42" t="s">
        <v>146</v>
      </c>
      <c r="H1516" s="42">
        <v>272</v>
      </c>
      <c r="I1516" s="42" t="s">
        <v>147</v>
      </c>
      <c r="J1516" s="103" t="s">
        <v>3611</v>
      </c>
      <c r="K1516" s="42" t="s">
        <v>4041</v>
      </c>
      <c r="L1516" s="42" t="str">
        <f>VLOOKUP(Table7[[#This Row],[Baseline Fixture Code]], 'Tables &amp; Ranges'!$A$114:$B$132, 2, FALSE)</f>
        <v>N/A</v>
      </c>
    </row>
    <row r="1517" spans="2:12" ht="40" customHeight="1">
      <c r="B1517" s="42">
        <v>323</v>
      </c>
      <c r="C1517" s="102" t="s">
        <v>791</v>
      </c>
      <c r="D1517" s="102" t="s">
        <v>247</v>
      </c>
      <c r="E1517" s="92" t="s">
        <v>792</v>
      </c>
      <c r="F1517" s="42" t="s">
        <v>146</v>
      </c>
      <c r="G1517" s="42" t="s">
        <v>146</v>
      </c>
      <c r="H1517" s="42">
        <v>273</v>
      </c>
      <c r="I1517" s="42" t="s">
        <v>147</v>
      </c>
      <c r="J1517" s="103" t="s">
        <v>3611</v>
      </c>
      <c r="K1517" s="42" t="s">
        <v>4041</v>
      </c>
      <c r="L1517" s="42" t="str">
        <f>VLOOKUP(Table7[[#This Row],[Baseline Fixture Code]], 'Tables &amp; Ranges'!$A$114:$B$132, 2, FALSE)</f>
        <v>N/A</v>
      </c>
    </row>
    <row r="1518" spans="2:12" ht="40" customHeight="1">
      <c r="B1518" s="42">
        <v>324</v>
      </c>
      <c r="C1518" s="102" t="s">
        <v>793</v>
      </c>
      <c r="D1518" s="102" t="s">
        <v>247</v>
      </c>
      <c r="E1518" s="92" t="s">
        <v>794</v>
      </c>
      <c r="F1518" s="42" t="s">
        <v>146</v>
      </c>
      <c r="G1518" s="42" t="s">
        <v>146</v>
      </c>
      <c r="H1518" s="42">
        <v>274</v>
      </c>
      <c r="I1518" s="42" t="s">
        <v>147</v>
      </c>
      <c r="J1518" s="103" t="s">
        <v>3611</v>
      </c>
      <c r="K1518" s="42" t="s">
        <v>4041</v>
      </c>
      <c r="L1518" s="42" t="str">
        <f>VLOOKUP(Table7[[#This Row],[Baseline Fixture Code]], 'Tables &amp; Ranges'!$A$114:$B$132, 2, FALSE)</f>
        <v>N/A</v>
      </c>
    </row>
    <row r="1519" spans="2:12" ht="40" customHeight="1">
      <c r="B1519" s="42">
        <v>325</v>
      </c>
      <c r="C1519" s="102" t="s">
        <v>795</v>
      </c>
      <c r="D1519" s="102" t="s">
        <v>247</v>
      </c>
      <c r="E1519" s="92" t="s">
        <v>796</v>
      </c>
      <c r="F1519" s="42" t="s">
        <v>146</v>
      </c>
      <c r="G1519" s="42" t="s">
        <v>146</v>
      </c>
      <c r="H1519" s="42">
        <v>275</v>
      </c>
      <c r="I1519" s="42" t="s">
        <v>147</v>
      </c>
      <c r="J1519" s="103" t="s">
        <v>3611</v>
      </c>
      <c r="K1519" s="42" t="s">
        <v>4041</v>
      </c>
      <c r="L1519" s="42" t="str">
        <f>VLOOKUP(Table7[[#This Row],[Baseline Fixture Code]], 'Tables &amp; Ranges'!$A$114:$B$132, 2, FALSE)</f>
        <v>N/A</v>
      </c>
    </row>
    <row r="1520" spans="2:12" ht="40" customHeight="1">
      <c r="B1520" s="42">
        <v>326</v>
      </c>
      <c r="C1520" s="102" t="s">
        <v>797</v>
      </c>
      <c r="D1520" s="102" t="s">
        <v>247</v>
      </c>
      <c r="E1520" s="92" t="s">
        <v>798</v>
      </c>
      <c r="F1520" s="42" t="s">
        <v>146</v>
      </c>
      <c r="G1520" s="42" t="s">
        <v>146</v>
      </c>
      <c r="H1520" s="42">
        <v>276</v>
      </c>
      <c r="I1520" s="42" t="s">
        <v>147</v>
      </c>
      <c r="J1520" s="103" t="s">
        <v>3611</v>
      </c>
      <c r="K1520" s="42" t="s">
        <v>4041</v>
      </c>
      <c r="L1520" s="42" t="str">
        <f>VLOOKUP(Table7[[#This Row],[Baseline Fixture Code]], 'Tables &amp; Ranges'!$A$114:$B$132, 2, FALSE)</f>
        <v>N/A</v>
      </c>
    </row>
    <row r="1521" spans="2:12" ht="40" customHeight="1">
      <c r="B1521" s="42">
        <v>327</v>
      </c>
      <c r="C1521" s="102" t="s">
        <v>799</v>
      </c>
      <c r="D1521" s="102" t="s">
        <v>247</v>
      </c>
      <c r="E1521" s="92" t="s">
        <v>800</v>
      </c>
      <c r="F1521" s="42" t="s">
        <v>146</v>
      </c>
      <c r="G1521" s="42" t="s">
        <v>146</v>
      </c>
      <c r="H1521" s="42">
        <v>277</v>
      </c>
      <c r="I1521" s="42" t="s">
        <v>147</v>
      </c>
      <c r="J1521" s="103" t="s">
        <v>3611</v>
      </c>
      <c r="K1521" s="42" t="s">
        <v>4041</v>
      </c>
      <c r="L1521" s="42" t="str">
        <f>VLOOKUP(Table7[[#This Row],[Baseline Fixture Code]], 'Tables &amp; Ranges'!$A$114:$B$132, 2, FALSE)</f>
        <v>N/A</v>
      </c>
    </row>
    <row r="1522" spans="2:12" ht="40" customHeight="1">
      <c r="B1522" s="42">
        <v>328</v>
      </c>
      <c r="C1522" s="102" t="s">
        <v>801</v>
      </c>
      <c r="D1522" s="102" t="s">
        <v>247</v>
      </c>
      <c r="E1522" s="92" t="s">
        <v>802</v>
      </c>
      <c r="F1522" s="42" t="s">
        <v>146</v>
      </c>
      <c r="G1522" s="42" t="s">
        <v>146</v>
      </c>
      <c r="H1522" s="42">
        <v>278</v>
      </c>
      <c r="I1522" s="42" t="s">
        <v>147</v>
      </c>
      <c r="J1522" s="103" t="s">
        <v>3611</v>
      </c>
      <c r="K1522" s="42" t="s">
        <v>4041</v>
      </c>
      <c r="L1522" s="42" t="str">
        <f>VLOOKUP(Table7[[#This Row],[Baseline Fixture Code]], 'Tables &amp; Ranges'!$A$114:$B$132, 2, FALSE)</f>
        <v>N/A</v>
      </c>
    </row>
    <row r="1523" spans="2:12" ht="40" customHeight="1">
      <c r="B1523" s="42">
        <v>329</v>
      </c>
      <c r="C1523" s="102" t="s">
        <v>803</v>
      </c>
      <c r="D1523" s="102" t="s">
        <v>247</v>
      </c>
      <c r="E1523" s="92" t="s">
        <v>804</v>
      </c>
      <c r="F1523" s="42" t="s">
        <v>146</v>
      </c>
      <c r="G1523" s="42" t="s">
        <v>146</v>
      </c>
      <c r="H1523" s="42">
        <v>279</v>
      </c>
      <c r="I1523" s="42" t="s">
        <v>147</v>
      </c>
      <c r="J1523" s="103" t="s">
        <v>3611</v>
      </c>
      <c r="K1523" s="42" t="s">
        <v>4041</v>
      </c>
      <c r="L1523" s="42" t="str">
        <f>VLOOKUP(Table7[[#This Row],[Baseline Fixture Code]], 'Tables &amp; Ranges'!$A$114:$B$132, 2, FALSE)</f>
        <v>N/A</v>
      </c>
    </row>
    <row r="1524" spans="2:12" ht="40" customHeight="1">
      <c r="B1524" s="42">
        <v>330</v>
      </c>
      <c r="C1524" s="102" t="s">
        <v>805</v>
      </c>
      <c r="D1524" s="102" t="s">
        <v>247</v>
      </c>
      <c r="E1524" s="92" t="s">
        <v>806</v>
      </c>
      <c r="F1524" s="42" t="s">
        <v>146</v>
      </c>
      <c r="G1524" s="42" t="s">
        <v>146</v>
      </c>
      <c r="H1524" s="42">
        <v>280</v>
      </c>
      <c r="I1524" s="42" t="s">
        <v>147</v>
      </c>
      <c r="J1524" s="103" t="s">
        <v>3611</v>
      </c>
      <c r="K1524" s="42" t="s">
        <v>4041</v>
      </c>
      <c r="L1524" s="42" t="str">
        <f>VLOOKUP(Table7[[#This Row],[Baseline Fixture Code]], 'Tables &amp; Ranges'!$A$114:$B$132, 2, FALSE)</f>
        <v>N/A</v>
      </c>
    </row>
    <row r="1525" spans="2:12" ht="40" customHeight="1">
      <c r="B1525" s="42">
        <v>331</v>
      </c>
      <c r="C1525" s="102" t="s">
        <v>807</v>
      </c>
      <c r="D1525" s="102" t="s">
        <v>247</v>
      </c>
      <c r="E1525" s="92" t="s">
        <v>808</v>
      </c>
      <c r="F1525" s="42" t="s">
        <v>146</v>
      </c>
      <c r="G1525" s="42" t="s">
        <v>146</v>
      </c>
      <c r="H1525" s="42">
        <v>281</v>
      </c>
      <c r="I1525" s="42" t="s">
        <v>147</v>
      </c>
      <c r="J1525" s="103" t="s">
        <v>3611</v>
      </c>
      <c r="K1525" s="42" t="s">
        <v>4041</v>
      </c>
      <c r="L1525" s="42" t="str">
        <f>VLOOKUP(Table7[[#This Row],[Baseline Fixture Code]], 'Tables &amp; Ranges'!$A$114:$B$132, 2, FALSE)</f>
        <v>N/A</v>
      </c>
    </row>
    <row r="1526" spans="2:12" ht="40" customHeight="1">
      <c r="B1526" s="42">
        <v>332</v>
      </c>
      <c r="C1526" s="102" t="s">
        <v>809</v>
      </c>
      <c r="D1526" s="102" t="s">
        <v>247</v>
      </c>
      <c r="E1526" s="92" t="s">
        <v>810</v>
      </c>
      <c r="F1526" s="42" t="s">
        <v>146</v>
      </c>
      <c r="G1526" s="42" t="s">
        <v>146</v>
      </c>
      <c r="H1526" s="42">
        <v>282</v>
      </c>
      <c r="I1526" s="42" t="s">
        <v>147</v>
      </c>
      <c r="J1526" s="103" t="s">
        <v>3611</v>
      </c>
      <c r="K1526" s="42" t="s">
        <v>4041</v>
      </c>
      <c r="L1526" s="42" t="str">
        <f>VLOOKUP(Table7[[#This Row],[Baseline Fixture Code]], 'Tables &amp; Ranges'!$A$114:$B$132, 2, FALSE)</f>
        <v>N/A</v>
      </c>
    </row>
    <row r="1527" spans="2:12" ht="40" customHeight="1">
      <c r="B1527" s="42">
        <v>333</v>
      </c>
      <c r="C1527" s="102" t="s">
        <v>811</v>
      </c>
      <c r="D1527" s="102" t="s">
        <v>247</v>
      </c>
      <c r="E1527" s="92" t="s">
        <v>812</v>
      </c>
      <c r="F1527" s="42" t="s">
        <v>146</v>
      </c>
      <c r="G1527" s="42" t="s">
        <v>146</v>
      </c>
      <c r="H1527" s="42">
        <v>283</v>
      </c>
      <c r="I1527" s="42" t="s">
        <v>147</v>
      </c>
      <c r="J1527" s="103" t="s">
        <v>3611</v>
      </c>
      <c r="K1527" s="42" t="s">
        <v>4041</v>
      </c>
      <c r="L1527" s="42" t="str">
        <f>VLOOKUP(Table7[[#This Row],[Baseline Fixture Code]], 'Tables &amp; Ranges'!$A$114:$B$132, 2, FALSE)</f>
        <v>N/A</v>
      </c>
    </row>
    <row r="1528" spans="2:12" ht="40" customHeight="1">
      <c r="B1528" s="42">
        <v>334</v>
      </c>
      <c r="C1528" s="102" t="s">
        <v>813</v>
      </c>
      <c r="D1528" s="102" t="s">
        <v>247</v>
      </c>
      <c r="E1528" s="92" t="s">
        <v>814</v>
      </c>
      <c r="F1528" s="42" t="s">
        <v>146</v>
      </c>
      <c r="G1528" s="42" t="s">
        <v>146</v>
      </c>
      <c r="H1528" s="42">
        <v>284</v>
      </c>
      <c r="I1528" s="42" t="s">
        <v>147</v>
      </c>
      <c r="J1528" s="103" t="s">
        <v>3611</v>
      </c>
      <c r="K1528" s="42" t="s">
        <v>4041</v>
      </c>
      <c r="L1528" s="42" t="str">
        <f>VLOOKUP(Table7[[#This Row],[Baseline Fixture Code]], 'Tables &amp; Ranges'!$A$114:$B$132, 2, FALSE)</f>
        <v>N/A</v>
      </c>
    </row>
    <row r="1529" spans="2:12" ht="40" customHeight="1">
      <c r="B1529" s="42">
        <v>335</v>
      </c>
      <c r="C1529" s="102" t="s">
        <v>815</v>
      </c>
      <c r="D1529" s="102" t="s">
        <v>247</v>
      </c>
      <c r="E1529" s="92" t="s">
        <v>816</v>
      </c>
      <c r="F1529" s="42" t="s">
        <v>146</v>
      </c>
      <c r="G1529" s="42" t="s">
        <v>146</v>
      </c>
      <c r="H1529" s="42">
        <v>285</v>
      </c>
      <c r="I1529" s="42" t="s">
        <v>147</v>
      </c>
      <c r="J1529" s="103" t="s">
        <v>3611</v>
      </c>
      <c r="K1529" s="42" t="s">
        <v>4041</v>
      </c>
      <c r="L1529" s="42" t="str">
        <f>VLOOKUP(Table7[[#This Row],[Baseline Fixture Code]], 'Tables &amp; Ranges'!$A$114:$B$132, 2, FALSE)</f>
        <v>N/A</v>
      </c>
    </row>
    <row r="1530" spans="2:12" ht="40" customHeight="1">
      <c r="B1530" s="42">
        <v>336</v>
      </c>
      <c r="C1530" s="102" t="s">
        <v>817</v>
      </c>
      <c r="D1530" s="102" t="s">
        <v>247</v>
      </c>
      <c r="E1530" s="92" t="s">
        <v>818</v>
      </c>
      <c r="F1530" s="42" t="s">
        <v>146</v>
      </c>
      <c r="G1530" s="42" t="s">
        <v>146</v>
      </c>
      <c r="H1530" s="42">
        <v>286</v>
      </c>
      <c r="I1530" s="42" t="s">
        <v>147</v>
      </c>
      <c r="J1530" s="103" t="s">
        <v>3611</v>
      </c>
      <c r="K1530" s="42" t="s">
        <v>4041</v>
      </c>
      <c r="L1530" s="42" t="str">
        <f>VLOOKUP(Table7[[#This Row],[Baseline Fixture Code]], 'Tables &amp; Ranges'!$A$114:$B$132, 2, FALSE)</f>
        <v>N/A</v>
      </c>
    </row>
    <row r="1531" spans="2:12" ht="40" customHeight="1">
      <c r="B1531" s="42">
        <v>337</v>
      </c>
      <c r="C1531" s="102" t="s">
        <v>819</v>
      </c>
      <c r="D1531" s="102" t="s">
        <v>247</v>
      </c>
      <c r="E1531" s="92" t="s">
        <v>820</v>
      </c>
      <c r="F1531" s="42" t="s">
        <v>146</v>
      </c>
      <c r="G1531" s="42" t="s">
        <v>146</v>
      </c>
      <c r="H1531" s="42">
        <v>287</v>
      </c>
      <c r="I1531" s="42" t="s">
        <v>147</v>
      </c>
      <c r="J1531" s="103" t="s">
        <v>3611</v>
      </c>
      <c r="K1531" s="42" t="s">
        <v>4041</v>
      </c>
      <c r="L1531" s="42" t="str">
        <f>VLOOKUP(Table7[[#This Row],[Baseline Fixture Code]], 'Tables &amp; Ranges'!$A$114:$B$132, 2, FALSE)</f>
        <v>N/A</v>
      </c>
    </row>
    <row r="1532" spans="2:12" ht="40" customHeight="1">
      <c r="B1532" s="42">
        <v>338</v>
      </c>
      <c r="C1532" s="102" t="s">
        <v>821</v>
      </c>
      <c r="D1532" s="102" t="s">
        <v>247</v>
      </c>
      <c r="E1532" s="92" t="s">
        <v>822</v>
      </c>
      <c r="F1532" s="42" t="s">
        <v>146</v>
      </c>
      <c r="G1532" s="42" t="s">
        <v>146</v>
      </c>
      <c r="H1532" s="42">
        <v>288</v>
      </c>
      <c r="I1532" s="42" t="s">
        <v>147</v>
      </c>
      <c r="J1532" s="103" t="s">
        <v>3611</v>
      </c>
      <c r="K1532" s="42" t="s">
        <v>4041</v>
      </c>
      <c r="L1532" s="42" t="str">
        <f>VLOOKUP(Table7[[#This Row],[Baseline Fixture Code]], 'Tables &amp; Ranges'!$A$114:$B$132, 2, FALSE)</f>
        <v>N/A</v>
      </c>
    </row>
    <row r="1533" spans="2:12" ht="40" customHeight="1">
      <c r="B1533" s="42">
        <v>339</v>
      </c>
      <c r="C1533" s="102" t="s">
        <v>823</v>
      </c>
      <c r="D1533" s="102" t="s">
        <v>247</v>
      </c>
      <c r="E1533" s="92" t="s">
        <v>824</v>
      </c>
      <c r="F1533" s="42" t="s">
        <v>146</v>
      </c>
      <c r="G1533" s="42" t="s">
        <v>146</v>
      </c>
      <c r="H1533" s="42">
        <v>289</v>
      </c>
      <c r="I1533" s="42" t="s">
        <v>147</v>
      </c>
      <c r="J1533" s="103" t="s">
        <v>3611</v>
      </c>
      <c r="K1533" s="42" t="s">
        <v>4041</v>
      </c>
      <c r="L1533" s="42" t="str">
        <f>VLOOKUP(Table7[[#This Row],[Baseline Fixture Code]], 'Tables &amp; Ranges'!$A$114:$B$132, 2, FALSE)</f>
        <v>N/A</v>
      </c>
    </row>
    <row r="1534" spans="2:12" ht="40" customHeight="1">
      <c r="B1534" s="42">
        <v>340</v>
      </c>
      <c r="C1534" s="102" t="s">
        <v>825</v>
      </c>
      <c r="D1534" s="102" t="s">
        <v>247</v>
      </c>
      <c r="E1534" s="92" t="s">
        <v>826</v>
      </c>
      <c r="F1534" s="42" t="s">
        <v>146</v>
      </c>
      <c r="G1534" s="42" t="s">
        <v>146</v>
      </c>
      <c r="H1534" s="42">
        <v>290</v>
      </c>
      <c r="I1534" s="42" t="s">
        <v>147</v>
      </c>
      <c r="J1534" s="103" t="s">
        <v>3611</v>
      </c>
      <c r="K1534" s="42" t="s">
        <v>4041</v>
      </c>
      <c r="L1534" s="42" t="str">
        <f>VLOOKUP(Table7[[#This Row],[Baseline Fixture Code]], 'Tables &amp; Ranges'!$A$114:$B$132, 2, FALSE)</f>
        <v>N/A</v>
      </c>
    </row>
    <row r="1535" spans="2:12" ht="40" customHeight="1">
      <c r="B1535" s="42">
        <v>341</v>
      </c>
      <c r="C1535" s="102" t="s">
        <v>827</v>
      </c>
      <c r="D1535" s="102" t="s">
        <v>247</v>
      </c>
      <c r="E1535" s="92" t="s">
        <v>828</v>
      </c>
      <c r="F1535" s="42" t="s">
        <v>146</v>
      </c>
      <c r="G1535" s="42" t="s">
        <v>146</v>
      </c>
      <c r="H1535" s="42">
        <v>291</v>
      </c>
      <c r="I1535" s="42" t="s">
        <v>147</v>
      </c>
      <c r="J1535" s="103" t="s">
        <v>3611</v>
      </c>
      <c r="K1535" s="42" t="s">
        <v>4041</v>
      </c>
      <c r="L1535" s="42" t="str">
        <f>VLOOKUP(Table7[[#This Row],[Baseline Fixture Code]], 'Tables &amp; Ranges'!$A$114:$B$132, 2, FALSE)</f>
        <v>N/A</v>
      </c>
    </row>
    <row r="1536" spans="2:12" ht="40" customHeight="1">
      <c r="B1536" s="42">
        <v>342</v>
      </c>
      <c r="C1536" s="102" t="s">
        <v>829</v>
      </c>
      <c r="D1536" s="102" t="s">
        <v>247</v>
      </c>
      <c r="E1536" s="92" t="s">
        <v>830</v>
      </c>
      <c r="F1536" s="42" t="s">
        <v>146</v>
      </c>
      <c r="G1536" s="42" t="s">
        <v>146</v>
      </c>
      <c r="H1536" s="42">
        <v>292</v>
      </c>
      <c r="I1536" s="42" t="s">
        <v>147</v>
      </c>
      <c r="J1536" s="103" t="s">
        <v>3611</v>
      </c>
      <c r="K1536" s="42" t="s">
        <v>4041</v>
      </c>
      <c r="L1536" s="42" t="str">
        <f>VLOOKUP(Table7[[#This Row],[Baseline Fixture Code]], 'Tables &amp; Ranges'!$A$114:$B$132, 2, FALSE)</f>
        <v>N/A</v>
      </c>
    </row>
    <row r="1537" spans="2:12" ht="40" customHeight="1">
      <c r="B1537" s="42">
        <v>343</v>
      </c>
      <c r="C1537" s="102" t="s">
        <v>831</v>
      </c>
      <c r="D1537" s="102" t="s">
        <v>247</v>
      </c>
      <c r="E1537" s="92" t="s">
        <v>832</v>
      </c>
      <c r="F1537" s="42" t="s">
        <v>146</v>
      </c>
      <c r="G1537" s="42" t="s">
        <v>146</v>
      </c>
      <c r="H1537" s="42">
        <v>293</v>
      </c>
      <c r="I1537" s="42" t="s">
        <v>147</v>
      </c>
      <c r="J1537" s="103" t="s">
        <v>3611</v>
      </c>
      <c r="K1537" s="42" t="s">
        <v>4041</v>
      </c>
      <c r="L1537" s="42" t="str">
        <f>VLOOKUP(Table7[[#This Row],[Baseline Fixture Code]], 'Tables &amp; Ranges'!$A$114:$B$132, 2, FALSE)</f>
        <v>N/A</v>
      </c>
    </row>
    <row r="1538" spans="2:12" ht="40" customHeight="1">
      <c r="B1538" s="42">
        <v>344</v>
      </c>
      <c r="C1538" s="102" t="s">
        <v>833</v>
      </c>
      <c r="D1538" s="102" t="s">
        <v>247</v>
      </c>
      <c r="E1538" s="92" t="s">
        <v>834</v>
      </c>
      <c r="F1538" s="42" t="s">
        <v>146</v>
      </c>
      <c r="G1538" s="42" t="s">
        <v>146</v>
      </c>
      <c r="H1538" s="42">
        <v>294</v>
      </c>
      <c r="I1538" s="42" t="s">
        <v>147</v>
      </c>
      <c r="J1538" s="103" t="s">
        <v>3611</v>
      </c>
      <c r="K1538" s="42" t="s">
        <v>4041</v>
      </c>
      <c r="L1538" s="42" t="str">
        <f>VLOOKUP(Table7[[#This Row],[Baseline Fixture Code]], 'Tables &amp; Ranges'!$A$114:$B$132, 2, FALSE)</f>
        <v>N/A</v>
      </c>
    </row>
    <row r="1539" spans="2:12" ht="40" customHeight="1">
      <c r="B1539" s="42">
        <v>345</v>
      </c>
      <c r="C1539" s="102" t="s">
        <v>835</v>
      </c>
      <c r="D1539" s="102" t="s">
        <v>247</v>
      </c>
      <c r="E1539" s="92" t="s">
        <v>836</v>
      </c>
      <c r="F1539" s="42" t="s">
        <v>146</v>
      </c>
      <c r="G1539" s="42" t="s">
        <v>146</v>
      </c>
      <c r="H1539" s="42">
        <v>295</v>
      </c>
      <c r="I1539" s="42" t="s">
        <v>147</v>
      </c>
      <c r="J1539" s="103" t="s">
        <v>3611</v>
      </c>
      <c r="K1539" s="42" t="s">
        <v>4041</v>
      </c>
      <c r="L1539" s="42" t="str">
        <f>VLOOKUP(Table7[[#This Row],[Baseline Fixture Code]], 'Tables &amp; Ranges'!$A$114:$B$132, 2, FALSE)</f>
        <v>N/A</v>
      </c>
    </row>
    <row r="1540" spans="2:12" ht="40" customHeight="1">
      <c r="B1540" s="42">
        <v>346</v>
      </c>
      <c r="C1540" s="102" t="s">
        <v>837</v>
      </c>
      <c r="D1540" s="102" t="s">
        <v>247</v>
      </c>
      <c r="E1540" s="92" t="s">
        <v>838</v>
      </c>
      <c r="F1540" s="42" t="s">
        <v>146</v>
      </c>
      <c r="G1540" s="42" t="s">
        <v>146</v>
      </c>
      <c r="H1540" s="42">
        <v>296</v>
      </c>
      <c r="I1540" s="42" t="s">
        <v>147</v>
      </c>
      <c r="J1540" s="103" t="s">
        <v>3611</v>
      </c>
      <c r="K1540" s="42" t="s">
        <v>4041</v>
      </c>
      <c r="L1540" s="42" t="str">
        <f>VLOOKUP(Table7[[#This Row],[Baseline Fixture Code]], 'Tables &amp; Ranges'!$A$114:$B$132, 2, FALSE)</f>
        <v>N/A</v>
      </c>
    </row>
    <row r="1541" spans="2:12" ht="40" customHeight="1">
      <c r="B1541" s="42">
        <v>347</v>
      </c>
      <c r="C1541" s="102" t="s">
        <v>839</v>
      </c>
      <c r="D1541" s="102" t="s">
        <v>247</v>
      </c>
      <c r="E1541" s="92" t="s">
        <v>840</v>
      </c>
      <c r="F1541" s="42" t="s">
        <v>146</v>
      </c>
      <c r="G1541" s="42" t="s">
        <v>146</v>
      </c>
      <c r="H1541" s="42">
        <v>297</v>
      </c>
      <c r="I1541" s="42" t="s">
        <v>147</v>
      </c>
      <c r="J1541" s="103" t="s">
        <v>3611</v>
      </c>
      <c r="K1541" s="42" t="s">
        <v>4041</v>
      </c>
      <c r="L1541" s="42" t="str">
        <f>VLOOKUP(Table7[[#This Row],[Baseline Fixture Code]], 'Tables &amp; Ranges'!$A$114:$B$132, 2, FALSE)</f>
        <v>N/A</v>
      </c>
    </row>
    <row r="1542" spans="2:12" ht="40" customHeight="1">
      <c r="B1542" s="42">
        <v>348</v>
      </c>
      <c r="C1542" s="102" t="s">
        <v>841</v>
      </c>
      <c r="D1542" s="102" t="s">
        <v>247</v>
      </c>
      <c r="E1542" s="92" t="s">
        <v>842</v>
      </c>
      <c r="F1542" s="42" t="s">
        <v>146</v>
      </c>
      <c r="G1542" s="42" t="s">
        <v>146</v>
      </c>
      <c r="H1542" s="42">
        <v>298</v>
      </c>
      <c r="I1542" s="42" t="s">
        <v>147</v>
      </c>
      <c r="J1542" s="103" t="s">
        <v>3611</v>
      </c>
      <c r="K1542" s="42" t="s">
        <v>4041</v>
      </c>
      <c r="L1542" s="42" t="str">
        <f>VLOOKUP(Table7[[#This Row],[Baseline Fixture Code]], 'Tables &amp; Ranges'!$A$114:$B$132, 2, FALSE)</f>
        <v>N/A</v>
      </c>
    </row>
    <row r="1543" spans="2:12" ht="40" customHeight="1">
      <c r="B1543" s="42">
        <v>349</v>
      </c>
      <c r="C1543" s="102" t="s">
        <v>843</v>
      </c>
      <c r="D1543" s="102" t="s">
        <v>247</v>
      </c>
      <c r="E1543" s="92" t="s">
        <v>844</v>
      </c>
      <c r="F1543" s="42" t="s">
        <v>146</v>
      </c>
      <c r="G1543" s="42" t="s">
        <v>146</v>
      </c>
      <c r="H1543" s="42">
        <v>299</v>
      </c>
      <c r="I1543" s="42" t="s">
        <v>147</v>
      </c>
      <c r="J1543" s="103" t="s">
        <v>3611</v>
      </c>
      <c r="K1543" s="42" t="s">
        <v>4041</v>
      </c>
      <c r="L1543" s="42" t="str">
        <f>VLOOKUP(Table7[[#This Row],[Baseline Fixture Code]], 'Tables &amp; Ranges'!$A$114:$B$132, 2, FALSE)</f>
        <v>N/A</v>
      </c>
    </row>
    <row r="1544" spans="2:12" ht="40" customHeight="1">
      <c r="B1544" s="42">
        <v>350</v>
      </c>
      <c r="C1544" s="102" t="s">
        <v>845</v>
      </c>
      <c r="D1544" s="102" t="s">
        <v>247</v>
      </c>
      <c r="E1544" s="92" t="s">
        <v>846</v>
      </c>
      <c r="F1544" s="42" t="s">
        <v>146</v>
      </c>
      <c r="G1544" s="42" t="s">
        <v>146</v>
      </c>
      <c r="H1544" s="42">
        <v>300</v>
      </c>
      <c r="I1544" s="42" t="s">
        <v>147</v>
      </c>
      <c r="J1544" s="103" t="s">
        <v>3611</v>
      </c>
      <c r="K1544" s="42" t="s">
        <v>4041</v>
      </c>
      <c r="L1544" s="42" t="str">
        <f>VLOOKUP(Table7[[#This Row],[Baseline Fixture Code]], 'Tables &amp; Ranges'!$A$114:$B$132, 2, FALSE)</f>
        <v>N/A</v>
      </c>
    </row>
    <row r="1545" spans="2:12" ht="40" customHeight="1">
      <c r="B1545" s="42">
        <v>351</v>
      </c>
      <c r="C1545" s="102" t="s">
        <v>847</v>
      </c>
      <c r="D1545" s="102" t="s">
        <v>247</v>
      </c>
      <c r="E1545" s="92" t="s">
        <v>848</v>
      </c>
      <c r="F1545" s="42" t="s">
        <v>146</v>
      </c>
      <c r="G1545" s="42" t="s">
        <v>146</v>
      </c>
      <c r="H1545" s="42">
        <v>301</v>
      </c>
      <c r="I1545" s="42" t="s">
        <v>147</v>
      </c>
      <c r="J1545" s="103" t="s">
        <v>3611</v>
      </c>
      <c r="K1545" s="42" t="s">
        <v>4041</v>
      </c>
      <c r="L1545" s="42" t="str">
        <f>VLOOKUP(Table7[[#This Row],[Baseline Fixture Code]], 'Tables &amp; Ranges'!$A$114:$B$132, 2, FALSE)</f>
        <v>N/A</v>
      </c>
    </row>
    <row r="1546" spans="2:12" ht="40" customHeight="1">
      <c r="B1546" s="42">
        <v>352</v>
      </c>
      <c r="C1546" s="102" t="s">
        <v>849</v>
      </c>
      <c r="D1546" s="102" t="s">
        <v>247</v>
      </c>
      <c r="E1546" s="92" t="s">
        <v>850</v>
      </c>
      <c r="F1546" s="42" t="s">
        <v>146</v>
      </c>
      <c r="G1546" s="42" t="s">
        <v>146</v>
      </c>
      <c r="H1546" s="42">
        <v>302</v>
      </c>
      <c r="I1546" s="42" t="s">
        <v>147</v>
      </c>
      <c r="J1546" s="103" t="s">
        <v>3611</v>
      </c>
      <c r="K1546" s="42" t="s">
        <v>4041</v>
      </c>
      <c r="L1546" s="42" t="str">
        <f>VLOOKUP(Table7[[#This Row],[Baseline Fixture Code]], 'Tables &amp; Ranges'!$A$114:$B$132, 2, FALSE)</f>
        <v>N/A</v>
      </c>
    </row>
    <row r="1547" spans="2:12" ht="40" customHeight="1">
      <c r="B1547" s="42">
        <v>353</v>
      </c>
      <c r="C1547" s="102" t="s">
        <v>851</v>
      </c>
      <c r="D1547" s="102" t="s">
        <v>247</v>
      </c>
      <c r="E1547" s="92" t="s">
        <v>852</v>
      </c>
      <c r="F1547" s="42" t="s">
        <v>146</v>
      </c>
      <c r="G1547" s="42" t="s">
        <v>146</v>
      </c>
      <c r="H1547" s="42">
        <v>303</v>
      </c>
      <c r="I1547" s="42" t="s">
        <v>147</v>
      </c>
      <c r="J1547" s="103" t="s">
        <v>3611</v>
      </c>
      <c r="K1547" s="42" t="s">
        <v>4041</v>
      </c>
      <c r="L1547" s="42" t="str">
        <f>VLOOKUP(Table7[[#This Row],[Baseline Fixture Code]], 'Tables &amp; Ranges'!$A$114:$B$132, 2, FALSE)</f>
        <v>N/A</v>
      </c>
    </row>
    <row r="1548" spans="2:12" ht="40" customHeight="1">
      <c r="B1548" s="42">
        <v>354</v>
      </c>
      <c r="C1548" s="102" t="s">
        <v>853</v>
      </c>
      <c r="D1548" s="102" t="s">
        <v>247</v>
      </c>
      <c r="E1548" s="92" t="s">
        <v>854</v>
      </c>
      <c r="F1548" s="42" t="s">
        <v>146</v>
      </c>
      <c r="G1548" s="42" t="s">
        <v>146</v>
      </c>
      <c r="H1548" s="42">
        <v>304</v>
      </c>
      <c r="I1548" s="42" t="s">
        <v>147</v>
      </c>
      <c r="J1548" s="103" t="s">
        <v>3611</v>
      </c>
      <c r="K1548" s="42" t="s">
        <v>4041</v>
      </c>
      <c r="L1548" s="42" t="str">
        <f>VLOOKUP(Table7[[#This Row],[Baseline Fixture Code]], 'Tables &amp; Ranges'!$A$114:$B$132, 2, FALSE)</f>
        <v>N/A</v>
      </c>
    </row>
    <row r="1549" spans="2:12" ht="40" customHeight="1">
      <c r="B1549" s="42">
        <v>355</v>
      </c>
      <c r="C1549" s="102" t="s">
        <v>855</v>
      </c>
      <c r="D1549" s="102" t="s">
        <v>247</v>
      </c>
      <c r="E1549" s="92" t="s">
        <v>856</v>
      </c>
      <c r="F1549" s="42" t="s">
        <v>146</v>
      </c>
      <c r="G1549" s="42" t="s">
        <v>146</v>
      </c>
      <c r="H1549" s="42">
        <v>305</v>
      </c>
      <c r="I1549" s="42" t="s">
        <v>147</v>
      </c>
      <c r="J1549" s="103" t="s">
        <v>3611</v>
      </c>
      <c r="K1549" s="42" t="s">
        <v>4041</v>
      </c>
      <c r="L1549" s="42" t="str">
        <f>VLOOKUP(Table7[[#This Row],[Baseline Fixture Code]], 'Tables &amp; Ranges'!$A$114:$B$132, 2, FALSE)</f>
        <v>N/A</v>
      </c>
    </row>
    <row r="1550" spans="2:12" ht="40" customHeight="1">
      <c r="B1550" s="42">
        <v>356</v>
      </c>
      <c r="C1550" s="102" t="s">
        <v>857</v>
      </c>
      <c r="D1550" s="102" t="s">
        <v>247</v>
      </c>
      <c r="E1550" s="92" t="s">
        <v>858</v>
      </c>
      <c r="F1550" s="42" t="s">
        <v>146</v>
      </c>
      <c r="G1550" s="42" t="s">
        <v>146</v>
      </c>
      <c r="H1550" s="42">
        <v>306</v>
      </c>
      <c r="I1550" s="42" t="s">
        <v>147</v>
      </c>
      <c r="J1550" s="103" t="s">
        <v>3611</v>
      </c>
      <c r="K1550" s="42" t="s">
        <v>4041</v>
      </c>
      <c r="L1550" s="42" t="str">
        <f>VLOOKUP(Table7[[#This Row],[Baseline Fixture Code]], 'Tables &amp; Ranges'!$A$114:$B$132, 2, FALSE)</f>
        <v>N/A</v>
      </c>
    </row>
    <row r="1551" spans="2:12" ht="40" customHeight="1">
      <c r="B1551" s="42">
        <v>357</v>
      </c>
      <c r="C1551" s="102" t="s">
        <v>859</v>
      </c>
      <c r="D1551" s="102" t="s">
        <v>247</v>
      </c>
      <c r="E1551" s="92" t="s">
        <v>860</v>
      </c>
      <c r="F1551" s="42" t="s">
        <v>146</v>
      </c>
      <c r="G1551" s="42" t="s">
        <v>146</v>
      </c>
      <c r="H1551" s="42">
        <v>307</v>
      </c>
      <c r="I1551" s="42" t="s">
        <v>147</v>
      </c>
      <c r="J1551" s="103" t="s">
        <v>3611</v>
      </c>
      <c r="K1551" s="42" t="s">
        <v>4041</v>
      </c>
      <c r="L1551" s="42" t="str">
        <f>VLOOKUP(Table7[[#This Row],[Baseline Fixture Code]], 'Tables &amp; Ranges'!$A$114:$B$132, 2, FALSE)</f>
        <v>N/A</v>
      </c>
    </row>
    <row r="1552" spans="2:12" ht="40" customHeight="1">
      <c r="B1552" s="42">
        <v>358</v>
      </c>
      <c r="C1552" s="102" t="s">
        <v>861</v>
      </c>
      <c r="D1552" s="102" t="s">
        <v>247</v>
      </c>
      <c r="E1552" s="92" t="s">
        <v>862</v>
      </c>
      <c r="F1552" s="42" t="s">
        <v>146</v>
      </c>
      <c r="G1552" s="42" t="s">
        <v>146</v>
      </c>
      <c r="H1552" s="42">
        <v>308</v>
      </c>
      <c r="I1552" s="42" t="s">
        <v>147</v>
      </c>
      <c r="J1552" s="103" t="s">
        <v>3611</v>
      </c>
      <c r="K1552" s="42" t="s">
        <v>4041</v>
      </c>
      <c r="L1552" s="42" t="str">
        <f>VLOOKUP(Table7[[#This Row],[Baseline Fixture Code]], 'Tables &amp; Ranges'!$A$114:$B$132, 2, FALSE)</f>
        <v>N/A</v>
      </c>
    </row>
    <row r="1553" spans="2:12" ht="40" customHeight="1">
      <c r="B1553" s="42">
        <v>359</v>
      </c>
      <c r="C1553" s="102" t="s">
        <v>863</v>
      </c>
      <c r="D1553" s="102" t="s">
        <v>247</v>
      </c>
      <c r="E1553" s="92" t="s">
        <v>864</v>
      </c>
      <c r="F1553" s="42" t="s">
        <v>146</v>
      </c>
      <c r="G1553" s="42" t="s">
        <v>146</v>
      </c>
      <c r="H1553" s="42">
        <v>309</v>
      </c>
      <c r="I1553" s="42" t="s">
        <v>147</v>
      </c>
      <c r="J1553" s="103" t="s">
        <v>3611</v>
      </c>
      <c r="K1553" s="42" t="s">
        <v>4041</v>
      </c>
      <c r="L1553" s="42" t="str">
        <f>VLOOKUP(Table7[[#This Row],[Baseline Fixture Code]], 'Tables &amp; Ranges'!$A$114:$B$132, 2, FALSE)</f>
        <v>N/A</v>
      </c>
    </row>
    <row r="1554" spans="2:12" ht="40" customHeight="1">
      <c r="B1554" s="42">
        <v>360</v>
      </c>
      <c r="C1554" s="102" t="s">
        <v>865</v>
      </c>
      <c r="D1554" s="102" t="s">
        <v>247</v>
      </c>
      <c r="E1554" s="92" t="s">
        <v>866</v>
      </c>
      <c r="F1554" s="42" t="s">
        <v>146</v>
      </c>
      <c r="G1554" s="42" t="s">
        <v>146</v>
      </c>
      <c r="H1554" s="42">
        <v>310</v>
      </c>
      <c r="I1554" s="42" t="s">
        <v>147</v>
      </c>
      <c r="J1554" s="103" t="s">
        <v>3611</v>
      </c>
      <c r="K1554" s="42" t="s">
        <v>4041</v>
      </c>
      <c r="L1554" s="42" t="str">
        <f>VLOOKUP(Table7[[#This Row],[Baseline Fixture Code]], 'Tables &amp; Ranges'!$A$114:$B$132, 2, FALSE)</f>
        <v>N/A</v>
      </c>
    </row>
    <row r="1555" spans="2:12" ht="40" customHeight="1">
      <c r="B1555" s="42">
        <v>361</v>
      </c>
      <c r="C1555" s="102" t="s">
        <v>867</v>
      </c>
      <c r="D1555" s="102" t="s">
        <v>247</v>
      </c>
      <c r="E1555" s="92" t="s">
        <v>868</v>
      </c>
      <c r="F1555" s="42" t="s">
        <v>146</v>
      </c>
      <c r="G1555" s="42" t="s">
        <v>146</v>
      </c>
      <c r="H1555" s="42">
        <v>311</v>
      </c>
      <c r="I1555" s="42" t="s">
        <v>147</v>
      </c>
      <c r="J1555" s="103" t="s">
        <v>3611</v>
      </c>
      <c r="K1555" s="42" t="s">
        <v>4041</v>
      </c>
      <c r="L1555" s="42" t="str">
        <f>VLOOKUP(Table7[[#This Row],[Baseline Fixture Code]], 'Tables &amp; Ranges'!$A$114:$B$132, 2, FALSE)</f>
        <v>N/A</v>
      </c>
    </row>
    <row r="1556" spans="2:12" ht="40" customHeight="1">
      <c r="B1556" s="42">
        <v>362</v>
      </c>
      <c r="C1556" s="102" t="s">
        <v>869</v>
      </c>
      <c r="D1556" s="102" t="s">
        <v>247</v>
      </c>
      <c r="E1556" s="92" t="s">
        <v>870</v>
      </c>
      <c r="F1556" s="42" t="s">
        <v>146</v>
      </c>
      <c r="G1556" s="42" t="s">
        <v>146</v>
      </c>
      <c r="H1556" s="42">
        <v>312</v>
      </c>
      <c r="I1556" s="42" t="s">
        <v>147</v>
      </c>
      <c r="J1556" s="103" t="s">
        <v>3611</v>
      </c>
      <c r="K1556" s="42" t="s">
        <v>4041</v>
      </c>
      <c r="L1556" s="42" t="str">
        <f>VLOOKUP(Table7[[#This Row],[Baseline Fixture Code]], 'Tables &amp; Ranges'!$A$114:$B$132, 2, FALSE)</f>
        <v>N/A</v>
      </c>
    </row>
    <row r="1557" spans="2:12" ht="40" customHeight="1">
      <c r="B1557" s="42">
        <v>363</v>
      </c>
      <c r="C1557" s="102" t="s">
        <v>871</v>
      </c>
      <c r="D1557" s="102" t="s">
        <v>247</v>
      </c>
      <c r="E1557" s="92" t="s">
        <v>872</v>
      </c>
      <c r="F1557" s="42" t="s">
        <v>146</v>
      </c>
      <c r="G1557" s="42" t="s">
        <v>146</v>
      </c>
      <c r="H1557" s="42">
        <v>313</v>
      </c>
      <c r="I1557" s="42" t="s">
        <v>147</v>
      </c>
      <c r="J1557" s="103" t="s">
        <v>3611</v>
      </c>
      <c r="K1557" s="42" t="s">
        <v>4041</v>
      </c>
      <c r="L1557" s="42" t="str">
        <f>VLOOKUP(Table7[[#This Row],[Baseline Fixture Code]], 'Tables &amp; Ranges'!$A$114:$B$132, 2, FALSE)</f>
        <v>N/A</v>
      </c>
    </row>
    <row r="1558" spans="2:12" ht="40" customHeight="1">
      <c r="B1558" s="42">
        <v>364</v>
      </c>
      <c r="C1558" s="102" t="s">
        <v>873</v>
      </c>
      <c r="D1558" s="102" t="s">
        <v>247</v>
      </c>
      <c r="E1558" s="92" t="s">
        <v>874</v>
      </c>
      <c r="F1558" s="42" t="s">
        <v>146</v>
      </c>
      <c r="G1558" s="42" t="s">
        <v>146</v>
      </c>
      <c r="H1558" s="42">
        <v>314</v>
      </c>
      <c r="I1558" s="42" t="s">
        <v>147</v>
      </c>
      <c r="J1558" s="103" t="s">
        <v>3611</v>
      </c>
      <c r="K1558" s="42" t="s">
        <v>4041</v>
      </c>
      <c r="L1558" s="42" t="str">
        <f>VLOOKUP(Table7[[#This Row],[Baseline Fixture Code]], 'Tables &amp; Ranges'!$A$114:$B$132, 2, FALSE)</f>
        <v>N/A</v>
      </c>
    </row>
    <row r="1559" spans="2:12" ht="40" customHeight="1">
      <c r="B1559" s="42">
        <v>365</v>
      </c>
      <c r="C1559" s="102" t="s">
        <v>875</v>
      </c>
      <c r="D1559" s="102" t="s">
        <v>247</v>
      </c>
      <c r="E1559" s="92" t="s">
        <v>876</v>
      </c>
      <c r="F1559" s="42" t="s">
        <v>146</v>
      </c>
      <c r="G1559" s="42" t="s">
        <v>146</v>
      </c>
      <c r="H1559" s="42">
        <v>315</v>
      </c>
      <c r="I1559" s="42" t="s">
        <v>147</v>
      </c>
      <c r="J1559" s="103" t="s">
        <v>3611</v>
      </c>
      <c r="K1559" s="42" t="s">
        <v>4041</v>
      </c>
      <c r="L1559" s="42" t="str">
        <f>VLOOKUP(Table7[[#This Row],[Baseline Fixture Code]], 'Tables &amp; Ranges'!$A$114:$B$132, 2, FALSE)</f>
        <v>N/A</v>
      </c>
    </row>
    <row r="1560" spans="2:12" ht="40" customHeight="1">
      <c r="B1560" s="42">
        <v>366</v>
      </c>
      <c r="C1560" s="102" t="s">
        <v>877</v>
      </c>
      <c r="D1560" s="102" t="s">
        <v>247</v>
      </c>
      <c r="E1560" s="92" t="s">
        <v>878</v>
      </c>
      <c r="F1560" s="42" t="s">
        <v>146</v>
      </c>
      <c r="G1560" s="42" t="s">
        <v>146</v>
      </c>
      <c r="H1560" s="42">
        <v>316</v>
      </c>
      <c r="I1560" s="42" t="s">
        <v>147</v>
      </c>
      <c r="J1560" s="103" t="s">
        <v>3611</v>
      </c>
      <c r="K1560" s="42" t="s">
        <v>4041</v>
      </c>
      <c r="L1560" s="42" t="str">
        <f>VLOOKUP(Table7[[#This Row],[Baseline Fixture Code]], 'Tables &amp; Ranges'!$A$114:$B$132, 2, FALSE)</f>
        <v>N/A</v>
      </c>
    </row>
    <row r="1561" spans="2:12" ht="40" customHeight="1">
      <c r="B1561" s="42">
        <v>367</v>
      </c>
      <c r="C1561" s="102" t="s">
        <v>879</v>
      </c>
      <c r="D1561" s="102" t="s">
        <v>247</v>
      </c>
      <c r="E1561" s="92" t="s">
        <v>880</v>
      </c>
      <c r="F1561" s="42" t="s">
        <v>146</v>
      </c>
      <c r="G1561" s="42" t="s">
        <v>146</v>
      </c>
      <c r="H1561" s="42">
        <v>317</v>
      </c>
      <c r="I1561" s="42" t="s">
        <v>147</v>
      </c>
      <c r="J1561" s="103" t="s">
        <v>3611</v>
      </c>
      <c r="K1561" s="42" t="s">
        <v>4041</v>
      </c>
      <c r="L1561" s="42" t="str">
        <f>VLOOKUP(Table7[[#This Row],[Baseline Fixture Code]], 'Tables &amp; Ranges'!$A$114:$B$132, 2, FALSE)</f>
        <v>N/A</v>
      </c>
    </row>
    <row r="1562" spans="2:12" ht="40" customHeight="1">
      <c r="B1562" s="42">
        <v>368</v>
      </c>
      <c r="C1562" s="102" t="s">
        <v>881</v>
      </c>
      <c r="D1562" s="102" t="s">
        <v>247</v>
      </c>
      <c r="E1562" s="92" t="s">
        <v>882</v>
      </c>
      <c r="F1562" s="42" t="s">
        <v>146</v>
      </c>
      <c r="G1562" s="42" t="s">
        <v>146</v>
      </c>
      <c r="H1562" s="42">
        <v>318</v>
      </c>
      <c r="I1562" s="42" t="s">
        <v>147</v>
      </c>
      <c r="J1562" s="103" t="s">
        <v>3611</v>
      </c>
      <c r="K1562" s="42" t="s">
        <v>4041</v>
      </c>
      <c r="L1562" s="42" t="str">
        <f>VLOOKUP(Table7[[#This Row],[Baseline Fixture Code]], 'Tables &amp; Ranges'!$A$114:$B$132, 2, FALSE)</f>
        <v>N/A</v>
      </c>
    </row>
    <row r="1563" spans="2:12" ht="40" customHeight="1">
      <c r="B1563" s="42">
        <v>369</v>
      </c>
      <c r="C1563" s="102" t="s">
        <v>883</v>
      </c>
      <c r="D1563" s="102" t="s">
        <v>247</v>
      </c>
      <c r="E1563" s="92" t="s">
        <v>884</v>
      </c>
      <c r="F1563" s="42" t="s">
        <v>146</v>
      </c>
      <c r="G1563" s="42" t="s">
        <v>146</v>
      </c>
      <c r="H1563" s="42">
        <v>319</v>
      </c>
      <c r="I1563" s="42" t="s">
        <v>147</v>
      </c>
      <c r="J1563" s="103" t="s">
        <v>3611</v>
      </c>
      <c r="K1563" s="42" t="s">
        <v>4041</v>
      </c>
      <c r="L1563" s="42" t="str">
        <f>VLOOKUP(Table7[[#This Row],[Baseline Fixture Code]], 'Tables &amp; Ranges'!$A$114:$B$132, 2, FALSE)</f>
        <v>N/A</v>
      </c>
    </row>
    <row r="1564" spans="2:12" ht="40" customHeight="1">
      <c r="B1564" s="42">
        <v>370</v>
      </c>
      <c r="C1564" s="102" t="s">
        <v>885</v>
      </c>
      <c r="D1564" s="102" t="s">
        <v>247</v>
      </c>
      <c r="E1564" s="92" t="s">
        <v>886</v>
      </c>
      <c r="F1564" s="42" t="s">
        <v>146</v>
      </c>
      <c r="G1564" s="42" t="s">
        <v>146</v>
      </c>
      <c r="H1564" s="42">
        <v>320</v>
      </c>
      <c r="I1564" s="42" t="s">
        <v>147</v>
      </c>
      <c r="J1564" s="103" t="s">
        <v>3611</v>
      </c>
      <c r="K1564" s="42" t="s">
        <v>4041</v>
      </c>
      <c r="L1564" s="42" t="str">
        <f>VLOOKUP(Table7[[#This Row],[Baseline Fixture Code]], 'Tables &amp; Ranges'!$A$114:$B$132, 2, FALSE)</f>
        <v>N/A</v>
      </c>
    </row>
    <row r="1565" spans="2:12" ht="40" customHeight="1">
      <c r="B1565" s="42">
        <v>371</v>
      </c>
      <c r="C1565" s="102" t="s">
        <v>887</v>
      </c>
      <c r="D1565" s="102" t="s">
        <v>247</v>
      </c>
      <c r="E1565" s="92" t="s">
        <v>888</v>
      </c>
      <c r="F1565" s="42" t="s">
        <v>146</v>
      </c>
      <c r="G1565" s="42" t="s">
        <v>146</v>
      </c>
      <c r="H1565" s="42">
        <v>321</v>
      </c>
      <c r="I1565" s="42" t="s">
        <v>147</v>
      </c>
      <c r="J1565" s="103" t="s">
        <v>3611</v>
      </c>
      <c r="K1565" s="42" t="s">
        <v>4041</v>
      </c>
      <c r="L1565" s="42" t="str">
        <f>VLOOKUP(Table7[[#This Row],[Baseline Fixture Code]], 'Tables &amp; Ranges'!$A$114:$B$132, 2, FALSE)</f>
        <v>N/A</v>
      </c>
    </row>
    <row r="1566" spans="2:12" ht="40" customHeight="1">
      <c r="B1566" s="42">
        <v>372</v>
      </c>
      <c r="C1566" s="102" t="s">
        <v>889</v>
      </c>
      <c r="D1566" s="102" t="s">
        <v>247</v>
      </c>
      <c r="E1566" s="92" t="s">
        <v>890</v>
      </c>
      <c r="F1566" s="42" t="s">
        <v>146</v>
      </c>
      <c r="G1566" s="42" t="s">
        <v>146</v>
      </c>
      <c r="H1566" s="42">
        <v>322</v>
      </c>
      <c r="I1566" s="42" t="s">
        <v>147</v>
      </c>
      <c r="J1566" s="103" t="s">
        <v>3611</v>
      </c>
      <c r="K1566" s="42" t="s">
        <v>4041</v>
      </c>
      <c r="L1566" s="42" t="str">
        <f>VLOOKUP(Table7[[#This Row],[Baseline Fixture Code]], 'Tables &amp; Ranges'!$A$114:$B$132, 2, FALSE)</f>
        <v>N/A</v>
      </c>
    </row>
    <row r="1567" spans="2:12" ht="40" customHeight="1">
      <c r="B1567" s="42">
        <v>373</v>
      </c>
      <c r="C1567" s="102" t="s">
        <v>891</v>
      </c>
      <c r="D1567" s="102" t="s">
        <v>247</v>
      </c>
      <c r="E1567" s="92" t="s">
        <v>892</v>
      </c>
      <c r="F1567" s="42" t="s">
        <v>146</v>
      </c>
      <c r="G1567" s="42" t="s">
        <v>146</v>
      </c>
      <c r="H1567" s="42">
        <v>323</v>
      </c>
      <c r="I1567" s="42" t="s">
        <v>147</v>
      </c>
      <c r="J1567" s="103" t="s">
        <v>3611</v>
      </c>
      <c r="K1567" s="42" t="s">
        <v>4041</v>
      </c>
      <c r="L1567" s="42" t="str">
        <f>VLOOKUP(Table7[[#This Row],[Baseline Fixture Code]], 'Tables &amp; Ranges'!$A$114:$B$132, 2, FALSE)</f>
        <v>N/A</v>
      </c>
    </row>
    <row r="1568" spans="2:12" ht="40" customHeight="1">
      <c r="B1568" s="42">
        <v>374</v>
      </c>
      <c r="C1568" s="102" t="s">
        <v>893</v>
      </c>
      <c r="D1568" s="102" t="s">
        <v>247</v>
      </c>
      <c r="E1568" s="92" t="s">
        <v>894</v>
      </c>
      <c r="F1568" s="42" t="s">
        <v>146</v>
      </c>
      <c r="G1568" s="42" t="s">
        <v>146</v>
      </c>
      <c r="H1568" s="42">
        <v>324</v>
      </c>
      <c r="I1568" s="42" t="s">
        <v>147</v>
      </c>
      <c r="J1568" s="103" t="s">
        <v>3611</v>
      </c>
      <c r="K1568" s="42" t="s">
        <v>4041</v>
      </c>
      <c r="L1568" s="42" t="str">
        <f>VLOOKUP(Table7[[#This Row],[Baseline Fixture Code]], 'Tables &amp; Ranges'!$A$114:$B$132, 2, FALSE)</f>
        <v>N/A</v>
      </c>
    </row>
    <row r="1569" spans="2:12" ht="40" customHeight="1">
      <c r="B1569" s="42">
        <v>375</v>
      </c>
      <c r="C1569" s="102" t="s">
        <v>895</v>
      </c>
      <c r="D1569" s="102" t="s">
        <v>247</v>
      </c>
      <c r="E1569" s="92" t="s">
        <v>896</v>
      </c>
      <c r="F1569" s="42" t="s">
        <v>146</v>
      </c>
      <c r="G1569" s="42" t="s">
        <v>146</v>
      </c>
      <c r="H1569" s="42">
        <v>325</v>
      </c>
      <c r="I1569" s="42" t="s">
        <v>147</v>
      </c>
      <c r="J1569" s="103" t="s">
        <v>3611</v>
      </c>
      <c r="K1569" s="42" t="s">
        <v>4041</v>
      </c>
      <c r="L1569" s="42" t="str">
        <f>VLOOKUP(Table7[[#This Row],[Baseline Fixture Code]], 'Tables &amp; Ranges'!$A$114:$B$132, 2, FALSE)</f>
        <v>N/A</v>
      </c>
    </row>
    <row r="1570" spans="2:12" ht="40" customHeight="1">
      <c r="B1570" s="42">
        <v>376</v>
      </c>
      <c r="C1570" s="102" t="s">
        <v>897</v>
      </c>
      <c r="D1570" s="102" t="s">
        <v>247</v>
      </c>
      <c r="E1570" s="92" t="s">
        <v>898</v>
      </c>
      <c r="F1570" s="42" t="s">
        <v>146</v>
      </c>
      <c r="G1570" s="42" t="s">
        <v>146</v>
      </c>
      <c r="H1570" s="42">
        <v>326</v>
      </c>
      <c r="I1570" s="42" t="s">
        <v>147</v>
      </c>
      <c r="J1570" s="103" t="s">
        <v>3611</v>
      </c>
      <c r="K1570" s="42" t="s">
        <v>4041</v>
      </c>
      <c r="L1570" s="42" t="str">
        <f>VLOOKUP(Table7[[#This Row],[Baseline Fixture Code]], 'Tables &amp; Ranges'!$A$114:$B$132, 2, FALSE)</f>
        <v>N/A</v>
      </c>
    </row>
    <row r="1571" spans="2:12" ht="40" customHeight="1">
      <c r="B1571" s="42">
        <v>377</v>
      </c>
      <c r="C1571" s="102" t="s">
        <v>899</v>
      </c>
      <c r="D1571" s="102" t="s">
        <v>247</v>
      </c>
      <c r="E1571" s="92" t="s">
        <v>900</v>
      </c>
      <c r="F1571" s="42" t="s">
        <v>146</v>
      </c>
      <c r="G1571" s="42" t="s">
        <v>146</v>
      </c>
      <c r="H1571" s="42">
        <v>327</v>
      </c>
      <c r="I1571" s="42" t="s">
        <v>147</v>
      </c>
      <c r="J1571" s="103" t="s">
        <v>3611</v>
      </c>
      <c r="K1571" s="42" t="s">
        <v>4041</v>
      </c>
      <c r="L1571" s="42" t="str">
        <f>VLOOKUP(Table7[[#This Row],[Baseline Fixture Code]], 'Tables &amp; Ranges'!$A$114:$B$132, 2, FALSE)</f>
        <v>N/A</v>
      </c>
    </row>
    <row r="1572" spans="2:12" ht="40" customHeight="1">
      <c r="B1572" s="42">
        <v>378</v>
      </c>
      <c r="C1572" s="102" t="s">
        <v>901</v>
      </c>
      <c r="D1572" s="102" t="s">
        <v>247</v>
      </c>
      <c r="E1572" s="92" t="s">
        <v>902</v>
      </c>
      <c r="F1572" s="42" t="s">
        <v>146</v>
      </c>
      <c r="G1572" s="42" t="s">
        <v>146</v>
      </c>
      <c r="H1572" s="42">
        <v>328</v>
      </c>
      <c r="I1572" s="42" t="s">
        <v>147</v>
      </c>
      <c r="J1572" s="103" t="s">
        <v>3611</v>
      </c>
      <c r="K1572" s="42" t="s">
        <v>4041</v>
      </c>
      <c r="L1572" s="42" t="str">
        <f>VLOOKUP(Table7[[#This Row],[Baseline Fixture Code]], 'Tables &amp; Ranges'!$A$114:$B$132, 2, FALSE)</f>
        <v>N/A</v>
      </c>
    </row>
    <row r="1573" spans="2:12" ht="40" customHeight="1">
      <c r="B1573" s="42">
        <v>379</v>
      </c>
      <c r="C1573" s="102" t="s">
        <v>903</v>
      </c>
      <c r="D1573" s="102" t="s">
        <v>247</v>
      </c>
      <c r="E1573" s="92" t="s">
        <v>904</v>
      </c>
      <c r="F1573" s="42" t="s">
        <v>146</v>
      </c>
      <c r="G1573" s="42" t="s">
        <v>146</v>
      </c>
      <c r="H1573" s="42">
        <v>329</v>
      </c>
      <c r="I1573" s="42" t="s">
        <v>147</v>
      </c>
      <c r="J1573" s="103" t="s">
        <v>3611</v>
      </c>
      <c r="K1573" s="42" t="s">
        <v>4041</v>
      </c>
      <c r="L1573" s="42" t="str">
        <f>VLOOKUP(Table7[[#This Row],[Baseline Fixture Code]], 'Tables &amp; Ranges'!$A$114:$B$132, 2, FALSE)</f>
        <v>N/A</v>
      </c>
    </row>
    <row r="1574" spans="2:12" ht="40" customHeight="1">
      <c r="B1574" s="42">
        <v>380</v>
      </c>
      <c r="C1574" s="102" t="s">
        <v>905</v>
      </c>
      <c r="D1574" s="102" t="s">
        <v>247</v>
      </c>
      <c r="E1574" s="92" t="s">
        <v>906</v>
      </c>
      <c r="F1574" s="42" t="s">
        <v>146</v>
      </c>
      <c r="G1574" s="42" t="s">
        <v>146</v>
      </c>
      <c r="H1574" s="42">
        <v>330</v>
      </c>
      <c r="I1574" s="42" t="s">
        <v>147</v>
      </c>
      <c r="J1574" s="103" t="s">
        <v>3611</v>
      </c>
      <c r="K1574" s="42" t="s">
        <v>4041</v>
      </c>
      <c r="L1574" s="42" t="str">
        <f>VLOOKUP(Table7[[#This Row],[Baseline Fixture Code]], 'Tables &amp; Ranges'!$A$114:$B$132, 2, FALSE)</f>
        <v>N/A</v>
      </c>
    </row>
    <row r="1575" spans="2:12" ht="40" customHeight="1">
      <c r="B1575" s="42">
        <v>381</v>
      </c>
      <c r="C1575" s="102" t="s">
        <v>907</v>
      </c>
      <c r="D1575" s="102" t="s">
        <v>247</v>
      </c>
      <c r="E1575" s="92" t="s">
        <v>908</v>
      </c>
      <c r="F1575" s="42" t="s">
        <v>146</v>
      </c>
      <c r="G1575" s="42" t="s">
        <v>146</v>
      </c>
      <c r="H1575" s="42">
        <v>331</v>
      </c>
      <c r="I1575" s="42" t="s">
        <v>147</v>
      </c>
      <c r="J1575" s="103" t="s">
        <v>3611</v>
      </c>
      <c r="K1575" s="42" t="s">
        <v>4041</v>
      </c>
      <c r="L1575" s="42" t="str">
        <f>VLOOKUP(Table7[[#This Row],[Baseline Fixture Code]], 'Tables &amp; Ranges'!$A$114:$B$132, 2, FALSE)</f>
        <v>N/A</v>
      </c>
    </row>
    <row r="1576" spans="2:12" ht="40" customHeight="1">
      <c r="B1576" s="42">
        <v>382</v>
      </c>
      <c r="C1576" s="102" t="s">
        <v>909</v>
      </c>
      <c r="D1576" s="102" t="s">
        <v>247</v>
      </c>
      <c r="E1576" s="92" t="s">
        <v>910</v>
      </c>
      <c r="F1576" s="42" t="s">
        <v>146</v>
      </c>
      <c r="G1576" s="42" t="s">
        <v>146</v>
      </c>
      <c r="H1576" s="42">
        <v>332</v>
      </c>
      <c r="I1576" s="42" t="s">
        <v>147</v>
      </c>
      <c r="J1576" s="103" t="s">
        <v>3611</v>
      </c>
      <c r="K1576" s="42" t="s">
        <v>4041</v>
      </c>
      <c r="L1576" s="42" t="str">
        <f>VLOOKUP(Table7[[#This Row],[Baseline Fixture Code]], 'Tables &amp; Ranges'!$A$114:$B$132, 2, FALSE)</f>
        <v>N/A</v>
      </c>
    </row>
    <row r="1577" spans="2:12" ht="40" customHeight="1">
      <c r="B1577" s="42">
        <v>383</v>
      </c>
      <c r="C1577" s="102" t="s">
        <v>911</v>
      </c>
      <c r="D1577" s="102" t="s">
        <v>247</v>
      </c>
      <c r="E1577" s="92" t="s">
        <v>912</v>
      </c>
      <c r="F1577" s="42" t="s">
        <v>146</v>
      </c>
      <c r="G1577" s="42" t="s">
        <v>146</v>
      </c>
      <c r="H1577" s="42">
        <v>333</v>
      </c>
      <c r="I1577" s="42" t="s">
        <v>147</v>
      </c>
      <c r="J1577" s="103" t="s">
        <v>3611</v>
      </c>
      <c r="K1577" s="42" t="s">
        <v>4041</v>
      </c>
      <c r="L1577" s="42" t="str">
        <f>VLOOKUP(Table7[[#This Row],[Baseline Fixture Code]], 'Tables &amp; Ranges'!$A$114:$B$132, 2, FALSE)</f>
        <v>N/A</v>
      </c>
    </row>
    <row r="1578" spans="2:12" ht="40" customHeight="1">
      <c r="B1578" s="42">
        <v>384</v>
      </c>
      <c r="C1578" s="102" t="s">
        <v>913</v>
      </c>
      <c r="D1578" s="102" t="s">
        <v>247</v>
      </c>
      <c r="E1578" s="92" t="s">
        <v>914</v>
      </c>
      <c r="F1578" s="42" t="s">
        <v>146</v>
      </c>
      <c r="G1578" s="42" t="s">
        <v>146</v>
      </c>
      <c r="H1578" s="42">
        <v>334</v>
      </c>
      <c r="I1578" s="42" t="s">
        <v>147</v>
      </c>
      <c r="J1578" s="103" t="s">
        <v>3611</v>
      </c>
      <c r="K1578" s="42" t="s">
        <v>4041</v>
      </c>
      <c r="L1578" s="42" t="str">
        <f>VLOOKUP(Table7[[#This Row],[Baseline Fixture Code]], 'Tables &amp; Ranges'!$A$114:$B$132, 2, FALSE)</f>
        <v>N/A</v>
      </c>
    </row>
    <row r="1579" spans="2:12" ht="40" customHeight="1">
      <c r="B1579" s="42">
        <v>385</v>
      </c>
      <c r="C1579" s="102" t="s">
        <v>915</v>
      </c>
      <c r="D1579" s="102" t="s">
        <v>247</v>
      </c>
      <c r="E1579" s="92" t="s">
        <v>916</v>
      </c>
      <c r="F1579" s="42" t="s">
        <v>146</v>
      </c>
      <c r="G1579" s="42" t="s">
        <v>146</v>
      </c>
      <c r="H1579" s="42">
        <v>335</v>
      </c>
      <c r="I1579" s="42" t="s">
        <v>147</v>
      </c>
      <c r="J1579" s="103" t="s">
        <v>3611</v>
      </c>
      <c r="K1579" s="42" t="s">
        <v>4041</v>
      </c>
      <c r="L1579" s="42" t="str">
        <f>VLOOKUP(Table7[[#This Row],[Baseline Fixture Code]], 'Tables &amp; Ranges'!$A$114:$B$132, 2, FALSE)</f>
        <v>N/A</v>
      </c>
    </row>
    <row r="1580" spans="2:12" ht="40" customHeight="1">
      <c r="B1580" s="42">
        <v>386</v>
      </c>
      <c r="C1580" s="102" t="s">
        <v>917</v>
      </c>
      <c r="D1580" s="102" t="s">
        <v>247</v>
      </c>
      <c r="E1580" s="92" t="s">
        <v>918</v>
      </c>
      <c r="F1580" s="42" t="s">
        <v>146</v>
      </c>
      <c r="G1580" s="42" t="s">
        <v>146</v>
      </c>
      <c r="H1580" s="42">
        <v>336</v>
      </c>
      <c r="I1580" s="42" t="s">
        <v>147</v>
      </c>
      <c r="J1580" s="103" t="s">
        <v>3611</v>
      </c>
      <c r="K1580" s="42" t="s">
        <v>4041</v>
      </c>
      <c r="L1580" s="42" t="str">
        <f>VLOOKUP(Table7[[#This Row],[Baseline Fixture Code]], 'Tables &amp; Ranges'!$A$114:$B$132, 2, FALSE)</f>
        <v>N/A</v>
      </c>
    </row>
    <row r="1581" spans="2:12" ht="40" customHeight="1">
      <c r="B1581" s="42">
        <v>387</v>
      </c>
      <c r="C1581" s="102" t="s">
        <v>919</v>
      </c>
      <c r="D1581" s="102" t="s">
        <v>247</v>
      </c>
      <c r="E1581" s="92" t="s">
        <v>920</v>
      </c>
      <c r="F1581" s="42" t="s">
        <v>146</v>
      </c>
      <c r="G1581" s="42" t="s">
        <v>146</v>
      </c>
      <c r="H1581" s="42">
        <v>337</v>
      </c>
      <c r="I1581" s="42" t="s">
        <v>147</v>
      </c>
      <c r="J1581" s="103" t="s">
        <v>3611</v>
      </c>
      <c r="K1581" s="42" t="s">
        <v>4041</v>
      </c>
      <c r="L1581" s="42" t="str">
        <f>VLOOKUP(Table7[[#This Row],[Baseline Fixture Code]], 'Tables &amp; Ranges'!$A$114:$B$132, 2, FALSE)</f>
        <v>N/A</v>
      </c>
    </row>
    <row r="1582" spans="2:12" ht="40" customHeight="1">
      <c r="B1582" s="42">
        <v>388</v>
      </c>
      <c r="C1582" s="102" t="s">
        <v>921</v>
      </c>
      <c r="D1582" s="102" t="s">
        <v>247</v>
      </c>
      <c r="E1582" s="92" t="s">
        <v>922</v>
      </c>
      <c r="F1582" s="42" t="s">
        <v>146</v>
      </c>
      <c r="G1582" s="42" t="s">
        <v>146</v>
      </c>
      <c r="H1582" s="42">
        <v>338</v>
      </c>
      <c r="I1582" s="42" t="s">
        <v>147</v>
      </c>
      <c r="J1582" s="103" t="s">
        <v>3611</v>
      </c>
      <c r="K1582" s="42" t="s">
        <v>4041</v>
      </c>
      <c r="L1582" s="42" t="str">
        <f>VLOOKUP(Table7[[#This Row],[Baseline Fixture Code]], 'Tables &amp; Ranges'!$A$114:$B$132, 2, FALSE)</f>
        <v>N/A</v>
      </c>
    </row>
    <row r="1583" spans="2:12" ht="40" customHeight="1">
      <c r="B1583" s="42">
        <v>389</v>
      </c>
      <c r="C1583" s="102" t="s">
        <v>923</v>
      </c>
      <c r="D1583" s="102" t="s">
        <v>247</v>
      </c>
      <c r="E1583" s="92" t="s">
        <v>924</v>
      </c>
      <c r="F1583" s="42" t="s">
        <v>146</v>
      </c>
      <c r="G1583" s="42" t="s">
        <v>146</v>
      </c>
      <c r="H1583" s="42">
        <v>339</v>
      </c>
      <c r="I1583" s="42" t="s">
        <v>147</v>
      </c>
      <c r="J1583" s="103" t="s">
        <v>3611</v>
      </c>
      <c r="K1583" s="42" t="s">
        <v>4041</v>
      </c>
      <c r="L1583" s="42" t="str">
        <f>VLOOKUP(Table7[[#This Row],[Baseline Fixture Code]], 'Tables &amp; Ranges'!$A$114:$B$132, 2, FALSE)</f>
        <v>N/A</v>
      </c>
    </row>
    <row r="1584" spans="2:12" ht="40" customHeight="1">
      <c r="B1584" s="42">
        <v>390</v>
      </c>
      <c r="C1584" s="102" t="s">
        <v>925</v>
      </c>
      <c r="D1584" s="102" t="s">
        <v>247</v>
      </c>
      <c r="E1584" s="92" t="s">
        <v>926</v>
      </c>
      <c r="F1584" s="42" t="s">
        <v>146</v>
      </c>
      <c r="G1584" s="42" t="s">
        <v>146</v>
      </c>
      <c r="H1584" s="42">
        <v>340</v>
      </c>
      <c r="I1584" s="42" t="s">
        <v>147</v>
      </c>
      <c r="J1584" s="103" t="s">
        <v>3611</v>
      </c>
      <c r="K1584" s="42" t="s">
        <v>4041</v>
      </c>
      <c r="L1584" s="42" t="str">
        <f>VLOOKUP(Table7[[#This Row],[Baseline Fixture Code]], 'Tables &amp; Ranges'!$A$114:$B$132, 2, FALSE)</f>
        <v>N/A</v>
      </c>
    </row>
    <row r="1585" spans="2:12" ht="40" customHeight="1">
      <c r="B1585" s="42">
        <v>391</v>
      </c>
      <c r="C1585" s="102" t="s">
        <v>927</v>
      </c>
      <c r="D1585" s="102" t="s">
        <v>247</v>
      </c>
      <c r="E1585" s="92" t="s">
        <v>928</v>
      </c>
      <c r="F1585" s="42" t="s">
        <v>146</v>
      </c>
      <c r="G1585" s="42" t="s">
        <v>146</v>
      </c>
      <c r="H1585" s="42">
        <v>341</v>
      </c>
      <c r="I1585" s="42" t="s">
        <v>147</v>
      </c>
      <c r="J1585" s="103" t="s">
        <v>3611</v>
      </c>
      <c r="K1585" s="42" t="s">
        <v>4041</v>
      </c>
      <c r="L1585" s="42" t="str">
        <f>VLOOKUP(Table7[[#This Row],[Baseline Fixture Code]], 'Tables &amp; Ranges'!$A$114:$B$132, 2, FALSE)</f>
        <v>N/A</v>
      </c>
    </row>
    <row r="1586" spans="2:12" ht="40" customHeight="1">
      <c r="B1586" s="42">
        <v>392</v>
      </c>
      <c r="C1586" s="102" t="s">
        <v>929</v>
      </c>
      <c r="D1586" s="102" t="s">
        <v>247</v>
      </c>
      <c r="E1586" s="92" t="s">
        <v>930</v>
      </c>
      <c r="F1586" s="42" t="s">
        <v>146</v>
      </c>
      <c r="G1586" s="42" t="s">
        <v>146</v>
      </c>
      <c r="H1586" s="42">
        <v>342</v>
      </c>
      <c r="I1586" s="42" t="s">
        <v>147</v>
      </c>
      <c r="J1586" s="103" t="s">
        <v>3611</v>
      </c>
      <c r="K1586" s="42" t="s">
        <v>4041</v>
      </c>
      <c r="L1586" s="42" t="str">
        <f>VLOOKUP(Table7[[#This Row],[Baseline Fixture Code]], 'Tables &amp; Ranges'!$A$114:$B$132, 2, FALSE)</f>
        <v>N/A</v>
      </c>
    </row>
    <row r="1587" spans="2:12" ht="40" customHeight="1">
      <c r="B1587" s="42">
        <v>393</v>
      </c>
      <c r="C1587" s="102" t="s">
        <v>931</v>
      </c>
      <c r="D1587" s="102" t="s">
        <v>247</v>
      </c>
      <c r="E1587" s="92" t="s">
        <v>932</v>
      </c>
      <c r="F1587" s="42" t="s">
        <v>146</v>
      </c>
      <c r="G1587" s="42" t="s">
        <v>146</v>
      </c>
      <c r="H1587" s="42">
        <v>343</v>
      </c>
      <c r="I1587" s="42" t="s">
        <v>147</v>
      </c>
      <c r="J1587" s="103" t="s">
        <v>3611</v>
      </c>
      <c r="K1587" s="42" t="s">
        <v>4041</v>
      </c>
      <c r="L1587" s="42" t="str">
        <f>VLOOKUP(Table7[[#This Row],[Baseline Fixture Code]], 'Tables &amp; Ranges'!$A$114:$B$132, 2, FALSE)</f>
        <v>N/A</v>
      </c>
    </row>
    <row r="1588" spans="2:12" ht="40" customHeight="1">
      <c r="B1588" s="42">
        <v>394</v>
      </c>
      <c r="C1588" s="102" t="s">
        <v>933</v>
      </c>
      <c r="D1588" s="102" t="s">
        <v>247</v>
      </c>
      <c r="E1588" s="92" t="s">
        <v>934</v>
      </c>
      <c r="F1588" s="42" t="s">
        <v>146</v>
      </c>
      <c r="G1588" s="42" t="s">
        <v>146</v>
      </c>
      <c r="H1588" s="42">
        <v>344</v>
      </c>
      <c r="I1588" s="42" t="s">
        <v>147</v>
      </c>
      <c r="J1588" s="103" t="s">
        <v>3611</v>
      </c>
      <c r="K1588" s="42" t="s">
        <v>4041</v>
      </c>
      <c r="L1588" s="42" t="str">
        <f>VLOOKUP(Table7[[#This Row],[Baseline Fixture Code]], 'Tables &amp; Ranges'!$A$114:$B$132, 2, FALSE)</f>
        <v>N/A</v>
      </c>
    </row>
    <row r="1589" spans="2:12" ht="40" customHeight="1">
      <c r="B1589" s="42">
        <v>395</v>
      </c>
      <c r="C1589" s="102" t="s">
        <v>935</v>
      </c>
      <c r="D1589" s="102" t="s">
        <v>247</v>
      </c>
      <c r="E1589" s="92" t="s">
        <v>936</v>
      </c>
      <c r="F1589" s="42" t="s">
        <v>146</v>
      </c>
      <c r="G1589" s="42" t="s">
        <v>146</v>
      </c>
      <c r="H1589" s="42">
        <v>345</v>
      </c>
      <c r="I1589" s="42" t="s">
        <v>147</v>
      </c>
      <c r="J1589" s="103" t="s">
        <v>3611</v>
      </c>
      <c r="K1589" s="42" t="s">
        <v>4041</v>
      </c>
      <c r="L1589" s="42" t="str">
        <f>VLOOKUP(Table7[[#This Row],[Baseline Fixture Code]], 'Tables &amp; Ranges'!$A$114:$B$132, 2, FALSE)</f>
        <v>N/A</v>
      </c>
    </row>
    <row r="1590" spans="2:12" ht="40" customHeight="1">
      <c r="B1590" s="42">
        <v>396</v>
      </c>
      <c r="C1590" s="102" t="s">
        <v>937</v>
      </c>
      <c r="D1590" s="102" t="s">
        <v>247</v>
      </c>
      <c r="E1590" s="92" t="s">
        <v>938</v>
      </c>
      <c r="F1590" s="42" t="s">
        <v>146</v>
      </c>
      <c r="G1590" s="42" t="s">
        <v>146</v>
      </c>
      <c r="H1590" s="42">
        <v>346</v>
      </c>
      <c r="I1590" s="42" t="s">
        <v>147</v>
      </c>
      <c r="J1590" s="103" t="s">
        <v>3611</v>
      </c>
      <c r="K1590" s="42" t="s">
        <v>4041</v>
      </c>
      <c r="L1590" s="42" t="str">
        <f>VLOOKUP(Table7[[#This Row],[Baseline Fixture Code]], 'Tables &amp; Ranges'!$A$114:$B$132, 2, FALSE)</f>
        <v>N/A</v>
      </c>
    </row>
    <row r="1591" spans="2:12" ht="40" customHeight="1">
      <c r="B1591" s="42">
        <v>397</v>
      </c>
      <c r="C1591" s="102" t="s">
        <v>939</v>
      </c>
      <c r="D1591" s="102" t="s">
        <v>247</v>
      </c>
      <c r="E1591" s="92" t="s">
        <v>940</v>
      </c>
      <c r="F1591" s="42" t="s">
        <v>146</v>
      </c>
      <c r="G1591" s="42" t="s">
        <v>146</v>
      </c>
      <c r="H1591" s="42">
        <v>347</v>
      </c>
      <c r="I1591" s="42" t="s">
        <v>147</v>
      </c>
      <c r="J1591" s="103" t="s">
        <v>3611</v>
      </c>
      <c r="K1591" s="42" t="s">
        <v>4041</v>
      </c>
      <c r="L1591" s="42" t="str">
        <f>VLOOKUP(Table7[[#This Row],[Baseline Fixture Code]], 'Tables &amp; Ranges'!$A$114:$B$132, 2, FALSE)</f>
        <v>N/A</v>
      </c>
    </row>
    <row r="1592" spans="2:12" ht="40" customHeight="1">
      <c r="B1592" s="42">
        <v>398</v>
      </c>
      <c r="C1592" s="102" t="s">
        <v>941</v>
      </c>
      <c r="D1592" s="102" t="s">
        <v>247</v>
      </c>
      <c r="E1592" s="92" t="s">
        <v>942</v>
      </c>
      <c r="F1592" s="42" t="s">
        <v>146</v>
      </c>
      <c r="G1592" s="42" t="s">
        <v>146</v>
      </c>
      <c r="H1592" s="42">
        <v>348</v>
      </c>
      <c r="I1592" s="42" t="s">
        <v>147</v>
      </c>
      <c r="J1592" s="103" t="s">
        <v>3611</v>
      </c>
      <c r="K1592" s="42" t="s">
        <v>4041</v>
      </c>
      <c r="L1592" s="42" t="str">
        <f>VLOOKUP(Table7[[#This Row],[Baseline Fixture Code]], 'Tables &amp; Ranges'!$A$114:$B$132, 2, FALSE)</f>
        <v>N/A</v>
      </c>
    </row>
    <row r="1593" spans="2:12" ht="40" customHeight="1">
      <c r="B1593" s="42">
        <v>399</v>
      </c>
      <c r="C1593" s="102" t="s">
        <v>943</v>
      </c>
      <c r="D1593" s="102" t="s">
        <v>247</v>
      </c>
      <c r="E1593" s="92" t="s">
        <v>944</v>
      </c>
      <c r="F1593" s="42" t="s">
        <v>146</v>
      </c>
      <c r="G1593" s="42" t="s">
        <v>146</v>
      </c>
      <c r="H1593" s="42">
        <v>349</v>
      </c>
      <c r="I1593" s="42" t="s">
        <v>147</v>
      </c>
      <c r="J1593" s="103" t="s">
        <v>3611</v>
      </c>
      <c r="K1593" s="42" t="s">
        <v>4041</v>
      </c>
      <c r="L1593" s="42" t="str">
        <f>VLOOKUP(Table7[[#This Row],[Baseline Fixture Code]], 'Tables &amp; Ranges'!$A$114:$B$132, 2, FALSE)</f>
        <v>N/A</v>
      </c>
    </row>
    <row r="1594" spans="2:12" ht="40" customHeight="1">
      <c r="B1594" s="42">
        <v>400</v>
      </c>
      <c r="C1594" s="102" t="s">
        <v>945</v>
      </c>
      <c r="D1594" s="102" t="s">
        <v>247</v>
      </c>
      <c r="E1594" s="92" t="s">
        <v>946</v>
      </c>
      <c r="F1594" s="42" t="s">
        <v>146</v>
      </c>
      <c r="G1594" s="42" t="s">
        <v>146</v>
      </c>
      <c r="H1594" s="42">
        <v>350</v>
      </c>
      <c r="I1594" s="42" t="s">
        <v>147</v>
      </c>
      <c r="J1594" s="103" t="s">
        <v>3611</v>
      </c>
      <c r="K1594" s="42" t="s">
        <v>4041</v>
      </c>
      <c r="L1594" s="42" t="str">
        <f>VLOOKUP(Table7[[#This Row],[Baseline Fixture Code]], 'Tables &amp; Ranges'!$A$114:$B$132, 2, FALSE)</f>
        <v>N/A</v>
      </c>
    </row>
    <row r="1595" spans="2:12" ht="40" customHeight="1">
      <c r="B1595" s="42">
        <v>401</v>
      </c>
      <c r="C1595" s="102" t="s">
        <v>947</v>
      </c>
      <c r="D1595" s="102" t="s">
        <v>247</v>
      </c>
      <c r="E1595" s="92" t="s">
        <v>948</v>
      </c>
      <c r="F1595" s="42" t="s">
        <v>146</v>
      </c>
      <c r="G1595" s="42" t="s">
        <v>146</v>
      </c>
      <c r="H1595" s="42">
        <v>351</v>
      </c>
      <c r="I1595" s="42" t="s">
        <v>147</v>
      </c>
      <c r="J1595" s="103" t="s">
        <v>3611</v>
      </c>
      <c r="K1595" s="42" t="s">
        <v>4041</v>
      </c>
      <c r="L1595" s="42" t="str">
        <f>VLOOKUP(Table7[[#This Row],[Baseline Fixture Code]], 'Tables &amp; Ranges'!$A$114:$B$132, 2, FALSE)</f>
        <v>N/A</v>
      </c>
    </row>
    <row r="1596" spans="2:12" ht="40" customHeight="1">
      <c r="B1596" s="42">
        <v>402</v>
      </c>
      <c r="C1596" s="102" t="s">
        <v>949</v>
      </c>
      <c r="D1596" s="102" t="s">
        <v>247</v>
      </c>
      <c r="E1596" s="92" t="s">
        <v>950</v>
      </c>
      <c r="F1596" s="42" t="s">
        <v>146</v>
      </c>
      <c r="G1596" s="42" t="s">
        <v>146</v>
      </c>
      <c r="H1596" s="42">
        <v>352</v>
      </c>
      <c r="I1596" s="42" t="s">
        <v>147</v>
      </c>
      <c r="J1596" s="103" t="s">
        <v>3611</v>
      </c>
      <c r="K1596" s="42" t="s">
        <v>4041</v>
      </c>
      <c r="L1596" s="42" t="str">
        <f>VLOOKUP(Table7[[#This Row],[Baseline Fixture Code]], 'Tables &amp; Ranges'!$A$114:$B$132, 2, FALSE)</f>
        <v>N/A</v>
      </c>
    </row>
    <row r="1597" spans="2:12" ht="40" customHeight="1">
      <c r="B1597" s="42">
        <v>403</v>
      </c>
      <c r="C1597" s="102" t="s">
        <v>951</v>
      </c>
      <c r="D1597" s="102" t="s">
        <v>247</v>
      </c>
      <c r="E1597" s="92" t="s">
        <v>952</v>
      </c>
      <c r="F1597" s="42" t="s">
        <v>146</v>
      </c>
      <c r="G1597" s="42" t="s">
        <v>146</v>
      </c>
      <c r="H1597" s="42">
        <v>353</v>
      </c>
      <c r="I1597" s="42" t="s">
        <v>147</v>
      </c>
      <c r="J1597" s="103" t="s">
        <v>3611</v>
      </c>
      <c r="K1597" s="42" t="s">
        <v>4041</v>
      </c>
      <c r="L1597" s="42" t="str">
        <f>VLOOKUP(Table7[[#This Row],[Baseline Fixture Code]], 'Tables &amp; Ranges'!$A$114:$B$132, 2, FALSE)</f>
        <v>N/A</v>
      </c>
    </row>
    <row r="1598" spans="2:12" ht="40" customHeight="1">
      <c r="B1598" s="42">
        <v>404</v>
      </c>
      <c r="C1598" s="102" t="s">
        <v>953</v>
      </c>
      <c r="D1598" s="102" t="s">
        <v>247</v>
      </c>
      <c r="E1598" s="92" t="s">
        <v>954</v>
      </c>
      <c r="F1598" s="42" t="s">
        <v>146</v>
      </c>
      <c r="G1598" s="42" t="s">
        <v>146</v>
      </c>
      <c r="H1598" s="42">
        <v>354</v>
      </c>
      <c r="I1598" s="42" t="s">
        <v>147</v>
      </c>
      <c r="J1598" s="103" t="s">
        <v>3611</v>
      </c>
      <c r="K1598" s="42" t="s">
        <v>4041</v>
      </c>
      <c r="L1598" s="42" t="str">
        <f>VLOOKUP(Table7[[#This Row],[Baseline Fixture Code]], 'Tables &amp; Ranges'!$A$114:$B$132, 2, FALSE)</f>
        <v>N/A</v>
      </c>
    </row>
    <row r="1599" spans="2:12" ht="40" customHeight="1">
      <c r="B1599" s="42">
        <v>405</v>
      </c>
      <c r="C1599" s="102" t="s">
        <v>955</v>
      </c>
      <c r="D1599" s="102" t="s">
        <v>247</v>
      </c>
      <c r="E1599" s="92" t="s">
        <v>956</v>
      </c>
      <c r="F1599" s="42" t="s">
        <v>146</v>
      </c>
      <c r="G1599" s="42" t="s">
        <v>146</v>
      </c>
      <c r="H1599" s="42">
        <v>355</v>
      </c>
      <c r="I1599" s="42" t="s">
        <v>147</v>
      </c>
      <c r="J1599" s="103" t="s">
        <v>3611</v>
      </c>
      <c r="K1599" s="42" t="s">
        <v>4041</v>
      </c>
      <c r="L1599" s="42" t="str">
        <f>VLOOKUP(Table7[[#This Row],[Baseline Fixture Code]], 'Tables &amp; Ranges'!$A$114:$B$132, 2, FALSE)</f>
        <v>N/A</v>
      </c>
    </row>
    <row r="1600" spans="2:12" ht="40" customHeight="1">
      <c r="B1600" s="42">
        <v>406</v>
      </c>
      <c r="C1600" s="102" t="s">
        <v>957</v>
      </c>
      <c r="D1600" s="102" t="s">
        <v>247</v>
      </c>
      <c r="E1600" s="92" t="s">
        <v>958</v>
      </c>
      <c r="F1600" s="42" t="s">
        <v>146</v>
      </c>
      <c r="G1600" s="42" t="s">
        <v>146</v>
      </c>
      <c r="H1600" s="42">
        <v>356</v>
      </c>
      <c r="I1600" s="42" t="s">
        <v>147</v>
      </c>
      <c r="J1600" s="103" t="s">
        <v>3611</v>
      </c>
      <c r="K1600" s="42" t="s">
        <v>4041</v>
      </c>
      <c r="L1600" s="42" t="str">
        <f>VLOOKUP(Table7[[#This Row],[Baseline Fixture Code]], 'Tables &amp; Ranges'!$A$114:$B$132, 2, FALSE)</f>
        <v>N/A</v>
      </c>
    </row>
    <row r="1601" spans="2:12" ht="40" customHeight="1">
      <c r="B1601" s="42">
        <v>407</v>
      </c>
      <c r="C1601" s="102" t="s">
        <v>959</v>
      </c>
      <c r="D1601" s="102" t="s">
        <v>247</v>
      </c>
      <c r="E1601" s="92" t="s">
        <v>960</v>
      </c>
      <c r="F1601" s="42" t="s">
        <v>146</v>
      </c>
      <c r="G1601" s="42" t="s">
        <v>146</v>
      </c>
      <c r="H1601" s="42">
        <v>357</v>
      </c>
      <c r="I1601" s="42" t="s">
        <v>147</v>
      </c>
      <c r="J1601" s="103" t="s">
        <v>3611</v>
      </c>
      <c r="K1601" s="42" t="s">
        <v>4041</v>
      </c>
      <c r="L1601" s="42" t="str">
        <f>VLOOKUP(Table7[[#This Row],[Baseline Fixture Code]], 'Tables &amp; Ranges'!$A$114:$B$132, 2, FALSE)</f>
        <v>N/A</v>
      </c>
    </row>
    <row r="1602" spans="2:12" ht="40" customHeight="1">
      <c r="B1602" s="42">
        <v>408</v>
      </c>
      <c r="C1602" s="102" t="s">
        <v>961</v>
      </c>
      <c r="D1602" s="102" t="s">
        <v>247</v>
      </c>
      <c r="E1602" s="92" t="s">
        <v>962</v>
      </c>
      <c r="F1602" s="42" t="s">
        <v>146</v>
      </c>
      <c r="G1602" s="42" t="s">
        <v>146</v>
      </c>
      <c r="H1602" s="42">
        <v>358</v>
      </c>
      <c r="I1602" s="42" t="s">
        <v>147</v>
      </c>
      <c r="J1602" s="103" t="s">
        <v>3611</v>
      </c>
      <c r="K1602" s="42" t="s">
        <v>4041</v>
      </c>
      <c r="L1602" s="42" t="str">
        <f>VLOOKUP(Table7[[#This Row],[Baseline Fixture Code]], 'Tables &amp; Ranges'!$A$114:$B$132, 2, FALSE)</f>
        <v>N/A</v>
      </c>
    </row>
    <row r="1603" spans="2:12" ht="40" customHeight="1">
      <c r="B1603" s="42">
        <v>409</v>
      </c>
      <c r="C1603" s="102" t="s">
        <v>963</v>
      </c>
      <c r="D1603" s="102" t="s">
        <v>247</v>
      </c>
      <c r="E1603" s="92" t="s">
        <v>964</v>
      </c>
      <c r="F1603" s="42" t="s">
        <v>146</v>
      </c>
      <c r="G1603" s="42" t="s">
        <v>146</v>
      </c>
      <c r="H1603" s="42">
        <v>359</v>
      </c>
      <c r="I1603" s="42" t="s">
        <v>147</v>
      </c>
      <c r="J1603" s="103" t="s">
        <v>3611</v>
      </c>
      <c r="K1603" s="42" t="s">
        <v>4041</v>
      </c>
      <c r="L1603" s="42" t="str">
        <f>VLOOKUP(Table7[[#This Row],[Baseline Fixture Code]], 'Tables &amp; Ranges'!$A$114:$B$132, 2, FALSE)</f>
        <v>N/A</v>
      </c>
    </row>
    <row r="1604" spans="2:12" ht="40" customHeight="1">
      <c r="B1604" s="42">
        <v>410</v>
      </c>
      <c r="C1604" s="102" t="s">
        <v>965</v>
      </c>
      <c r="D1604" s="102" t="s">
        <v>247</v>
      </c>
      <c r="E1604" s="92" t="s">
        <v>966</v>
      </c>
      <c r="F1604" s="42" t="s">
        <v>146</v>
      </c>
      <c r="G1604" s="42" t="s">
        <v>146</v>
      </c>
      <c r="H1604" s="42">
        <v>360</v>
      </c>
      <c r="I1604" s="42" t="s">
        <v>147</v>
      </c>
      <c r="J1604" s="103" t="s">
        <v>3611</v>
      </c>
      <c r="K1604" s="42" t="s">
        <v>4041</v>
      </c>
      <c r="L1604" s="42" t="str">
        <f>VLOOKUP(Table7[[#This Row],[Baseline Fixture Code]], 'Tables &amp; Ranges'!$A$114:$B$132, 2, FALSE)</f>
        <v>N/A</v>
      </c>
    </row>
    <row r="1605" spans="2:12" ht="40" customHeight="1">
      <c r="B1605" s="42">
        <v>411</v>
      </c>
      <c r="C1605" s="102" t="s">
        <v>967</v>
      </c>
      <c r="D1605" s="102" t="s">
        <v>247</v>
      </c>
      <c r="E1605" s="92" t="s">
        <v>968</v>
      </c>
      <c r="F1605" s="42" t="s">
        <v>146</v>
      </c>
      <c r="G1605" s="42" t="s">
        <v>146</v>
      </c>
      <c r="H1605" s="42">
        <v>361</v>
      </c>
      <c r="I1605" s="42" t="s">
        <v>147</v>
      </c>
      <c r="J1605" s="103" t="s">
        <v>3611</v>
      </c>
      <c r="K1605" s="42" t="s">
        <v>4041</v>
      </c>
      <c r="L1605" s="42" t="str">
        <f>VLOOKUP(Table7[[#This Row],[Baseline Fixture Code]], 'Tables &amp; Ranges'!$A$114:$B$132, 2, FALSE)</f>
        <v>N/A</v>
      </c>
    </row>
    <row r="1606" spans="2:12" ht="40" customHeight="1">
      <c r="B1606" s="42">
        <v>412</v>
      </c>
      <c r="C1606" s="102" t="s">
        <v>969</v>
      </c>
      <c r="D1606" s="102" t="s">
        <v>247</v>
      </c>
      <c r="E1606" s="92" t="s">
        <v>970</v>
      </c>
      <c r="F1606" s="42" t="s">
        <v>146</v>
      </c>
      <c r="G1606" s="42" t="s">
        <v>146</v>
      </c>
      <c r="H1606" s="42">
        <v>362</v>
      </c>
      <c r="I1606" s="42" t="s">
        <v>147</v>
      </c>
      <c r="J1606" s="103" t="s">
        <v>3611</v>
      </c>
      <c r="K1606" s="42" t="s">
        <v>4041</v>
      </c>
      <c r="L1606" s="42" t="str">
        <f>VLOOKUP(Table7[[#This Row],[Baseline Fixture Code]], 'Tables &amp; Ranges'!$A$114:$B$132, 2, FALSE)</f>
        <v>N/A</v>
      </c>
    </row>
    <row r="1607" spans="2:12" ht="40" customHeight="1">
      <c r="B1607" s="42">
        <v>413</v>
      </c>
      <c r="C1607" s="102" t="s">
        <v>971</v>
      </c>
      <c r="D1607" s="102" t="s">
        <v>247</v>
      </c>
      <c r="E1607" s="92" t="s">
        <v>972</v>
      </c>
      <c r="F1607" s="42" t="s">
        <v>146</v>
      </c>
      <c r="G1607" s="42" t="s">
        <v>146</v>
      </c>
      <c r="H1607" s="42">
        <v>363</v>
      </c>
      <c r="I1607" s="42" t="s">
        <v>147</v>
      </c>
      <c r="J1607" s="103" t="s">
        <v>3611</v>
      </c>
      <c r="K1607" s="42" t="s">
        <v>4041</v>
      </c>
      <c r="L1607" s="42" t="str">
        <f>VLOOKUP(Table7[[#This Row],[Baseline Fixture Code]], 'Tables &amp; Ranges'!$A$114:$B$132, 2, FALSE)</f>
        <v>N/A</v>
      </c>
    </row>
    <row r="1608" spans="2:12" ht="40" customHeight="1">
      <c r="B1608" s="42">
        <v>414</v>
      </c>
      <c r="C1608" s="102" t="s">
        <v>973</v>
      </c>
      <c r="D1608" s="102" t="s">
        <v>247</v>
      </c>
      <c r="E1608" s="92" t="s">
        <v>974</v>
      </c>
      <c r="F1608" s="42" t="s">
        <v>146</v>
      </c>
      <c r="G1608" s="42" t="s">
        <v>146</v>
      </c>
      <c r="H1608" s="42">
        <v>364</v>
      </c>
      <c r="I1608" s="42" t="s">
        <v>147</v>
      </c>
      <c r="J1608" s="103" t="s">
        <v>3611</v>
      </c>
      <c r="K1608" s="42" t="s">
        <v>4041</v>
      </c>
      <c r="L1608" s="42" t="str">
        <f>VLOOKUP(Table7[[#This Row],[Baseline Fixture Code]], 'Tables &amp; Ranges'!$A$114:$B$132, 2, FALSE)</f>
        <v>N/A</v>
      </c>
    </row>
    <row r="1609" spans="2:12" ht="40" customHeight="1">
      <c r="B1609" s="42">
        <v>415</v>
      </c>
      <c r="C1609" s="102" t="s">
        <v>975</v>
      </c>
      <c r="D1609" s="102" t="s">
        <v>247</v>
      </c>
      <c r="E1609" s="92" t="s">
        <v>976</v>
      </c>
      <c r="F1609" s="42" t="s">
        <v>146</v>
      </c>
      <c r="G1609" s="42" t="s">
        <v>146</v>
      </c>
      <c r="H1609" s="42">
        <v>365</v>
      </c>
      <c r="I1609" s="42" t="s">
        <v>147</v>
      </c>
      <c r="J1609" s="103" t="s">
        <v>3611</v>
      </c>
      <c r="K1609" s="42" t="s">
        <v>4041</v>
      </c>
      <c r="L1609" s="42" t="str">
        <f>VLOOKUP(Table7[[#This Row],[Baseline Fixture Code]], 'Tables &amp; Ranges'!$A$114:$B$132, 2, FALSE)</f>
        <v>N/A</v>
      </c>
    </row>
    <row r="1610" spans="2:12" ht="40" customHeight="1">
      <c r="B1610" s="42">
        <v>416</v>
      </c>
      <c r="C1610" s="102" t="s">
        <v>977</v>
      </c>
      <c r="D1610" s="102" t="s">
        <v>247</v>
      </c>
      <c r="E1610" s="92" t="s">
        <v>978</v>
      </c>
      <c r="F1610" s="42" t="s">
        <v>146</v>
      </c>
      <c r="G1610" s="42" t="s">
        <v>146</v>
      </c>
      <c r="H1610" s="42">
        <v>366</v>
      </c>
      <c r="I1610" s="42" t="s">
        <v>147</v>
      </c>
      <c r="J1610" s="103" t="s">
        <v>3611</v>
      </c>
      <c r="K1610" s="42" t="s">
        <v>4041</v>
      </c>
      <c r="L1610" s="42" t="str">
        <f>VLOOKUP(Table7[[#This Row],[Baseline Fixture Code]], 'Tables &amp; Ranges'!$A$114:$B$132, 2, FALSE)</f>
        <v>N/A</v>
      </c>
    </row>
    <row r="1611" spans="2:12" ht="40" customHeight="1">
      <c r="B1611" s="42">
        <v>417</v>
      </c>
      <c r="C1611" s="102" t="s">
        <v>979</v>
      </c>
      <c r="D1611" s="102" t="s">
        <v>247</v>
      </c>
      <c r="E1611" s="92" t="s">
        <v>980</v>
      </c>
      <c r="F1611" s="42" t="s">
        <v>146</v>
      </c>
      <c r="G1611" s="42" t="s">
        <v>146</v>
      </c>
      <c r="H1611" s="42">
        <v>367</v>
      </c>
      <c r="I1611" s="42" t="s">
        <v>147</v>
      </c>
      <c r="J1611" s="103" t="s">
        <v>3611</v>
      </c>
      <c r="K1611" s="42" t="s">
        <v>4041</v>
      </c>
      <c r="L1611" s="42" t="str">
        <f>VLOOKUP(Table7[[#This Row],[Baseline Fixture Code]], 'Tables &amp; Ranges'!$A$114:$B$132, 2, FALSE)</f>
        <v>N/A</v>
      </c>
    </row>
    <row r="1612" spans="2:12" ht="40" customHeight="1">
      <c r="B1612" s="42">
        <v>418</v>
      </c>
      <c r="C1612" s="102" t="s">
        <v>981</v>
      </c>
      <c r="D1612" s="102" t="s">
        <v>247</v>
      </c>
      <c r="E1612" s="92" t="s">
        <v>982</v>
      </c>
      <c r="F1612" s="42" t="s">
        <v>146</v>
      </c>
      <c r="G1612" s="42" t="s">
        <v>146</v>
      </c>
      <c r="H1612" s="42">
        <v>368</v>
      </c>
      <c r="I1612" s="42" t="s">
        <v>147</v>
      </c>
      <c r="J1612" s="103" t="s">
        <v>3611</v>
      </c>
      <c r="K1612" s="42" t="s">
        <v>4041</v>
      </c>
      <c r="L1612" s="42" t="str">
        <f>VLOOKUP(Table7[[#This Row],[Baseline Fixture Code]], 'Tables &amp; Ranges'!$A$114:$B$132, 2, FALSE)</f>
        <v>N/A</v>
      </c>
    </row>
    <row r="1613" spans="2:12" ht="40" customHeight="1">
      <c r="B1613" s="42">
        <v>419</v>
      </c>
      <c r="C1613" s="102" t="s">
        <v>983</v>
      </c>
      <c r="D1613" s="102" t="s">
        <v>247</v>
      </c>
      <c r="E1613" s="92" t="s">
        <v>984</v>
      </c>
      <c r="F1613" s="42" t="s">
        <v>146</v>
      </c>
      <c r="G1613" s="42" t="s">
        <v>146</v>
      </c>
      <c r="H1613" s="42">
        <v>369</v>
      </c>
      <c r="I1613" s="42" t="s">
        <v>147</v>
      </c>
      <c r="J1613" s="103" t="s">
        <v>3611</v>
      </c>
      <c r="K1613" s="42" t="s">
        <v>4041</v>
      </c>
      <c r="L1613" s="42" t="str">
        <f>VLOOKUP(Table7[[#This Row],[Baseline Fixture Code]], 'Tables &amp; Ranges'!$A$114:$B$132, 2, FALSE)</f>
        <v>N/A</v>
      </c>
    </row>
    <row r="1614" spans="2:12" ht="40" customHeight="1">
      <c r="B1614" s="42">
        <v>420</v>
      </c>
      <c r="C1614" s="102" t="s">
        <v>985</v>
      </c>
      <c r="D1614" s="102" t="s">
        <v>247</v>
      </c>
      <c r="E1614" s="92" t="s">
        <v>986</v>
      </c>
      <c r="F1614" s="42" t="s">
        <v>146</v>
      </c>
      <c r="G1614" s="42" t="s">
        <v>146</v>
      </c>
      <c r="H1614" s="42">
        <v>370</v>
      </c>
      <c r="I1614" s="42" t="s">
        <v>147</v>
      </c>
      <c r="J1614" s="103" t="s">
        <v>3611</v>
      </c>
      <c r="K1614" s="42" t="s">
        <v>4041</v>
      </c>
      <c r="L1614" s="42" t="str">
        <f>VLOOKUP(Table7[[#This Row],[Baseline Fixture Code]], 'Tables &amp; Ranges'!$A$114:$B$132, 2, FALSE)</f>
        <v>N/A</v>
      </c>
    </row>
    <row r="1615" spans="2:12" ht="40" customHeight="1">
      <c r="B1615" s="42">
        <v>421</v>
      </c>
      <c r="C1615" s="102" t="s">
        <v>987</v>
      </c>
      <c r="D1615" s="102" t="s">
        <v>247</v>
      </c>
      <c r="E1615" s="92" t="s">
        <v>988</v>
      </c>
      <c r="F1615" s="42" t="s">
        <v>146</v>
      </c>
      <c r="G1615" s="42" t="s">
        <v>146</v>
      </c>
      <c r="H1615" s="42">
        <v>371</v>
      </c>
      <c r="I1615" s="42" t="s">
        <v>147</v>
      </c>
      <c r="J1615" s="103" t="s">
        <v>3611</v>
      </c>
      <c r="K1615" s="42" t="s">
        <v>4041</v>
      </c>
      <c r="L1615" s="42" t="str">
        <f>VLOOKUP(Table7[[#This Row],[Baseline Fixture Code]], 'Tables &amp; Ranges'!$A$114:$B$132, 2, FALSE)</f>
        <v>N/A</v>
      </c>
    </row>
    <row r="1616" spans="2:12" ht="40" customHeight="1">
      <c r="B1616" s="42">
        <v>422</v>
      </c>
      <c r="C1616" s="102" t="s">
        <v>989</v>
      </c>
      <c r="D1616" s="102" t="s">
        <v>247</v>
      </c>
      <c r="E1616" s="92" t="s">
        <v>990</v>
      </c>
      <c r="F1616" s="42" t="s">
        <v>146</v>
      </c>
      <c r="G1616" s="42" t="s">
        <v>146</v>
      </c>
      <c r="H1616" s="42">
        <v>372</v>
      </c>
      <c r="I1616" s="42" t="s">
        <v>147</v>
      </c>
      <c r="J1616" s="103" t="s">
        <v>3611</v>
      </c>
      <c r="K1616" s="42" t="s">
        <v>4041</v>
      </c>
      <c r="L1616" s="42" t="str">
        <f>VLOOKUP(Table7[[#This Row],[Baseline Fixture Code]], 'Tables &amp; Ranges'!$A$114:$B$132, 2, FALSE)</f>
        <v>N/A</v>
      </c>
    </row>
    <row r="1617" spans="2:12" ht="40" customHeight="1">
      <c r="B1617" s="42">
        <v>423</v>
      </c>
      <c r="C1617" s="102" t="s">
        <v>991</v>
      </c>
      <c r="D1617" s="102" t="s">
        <v>247</v>
      </c>
      <c r="E1617" s="92" t="s">
        <v>992</v>
      </c>
      <c r="F1617" s="42" t="s">
        <v>146</v>
      </c>
      <c r="G1617" s="42" t="s">
        <v>146</v>
      </c>
      <c r="H1617" s="42">
        <v>373</v>
      </c>
      <c r="I1617" s="42" t="s">
        <v>147</v>
      </c>
      <c r="J1617" s="103" t="s">
        <v>3611</v>
      </c>
      <c r="K1617" s="42" t="s">
        <v>4041</v>
      </c>
      <c r="L1617" s="42" t="str">
        <f>VLOOKUP(Table7[[#This Row],[Baseline Fixture Code]], 'Tables &amp; Ranges'!$A$114:$B$132, 2, FALSE)</f>
        <v>N/A</v>
      </c>
    </row>
    <row r="1618" spans="2:12" ht="40" customHeight="1">
      <c r="B1618" s="42">
        <v>424</v>
      </c>
      <c r="C1618" s="102" t="s">
        <v>993</v>
      </c>
      <c r="D1618" s="102" t="s">
        <v>247</v>
      </c>
      <c r="E1618" s="92" t="s">
        <v>994</v>
      </c>
      <c r="F1618" s="42" t="s">
        <v>146</v>
      </c>
      <c r="G1618" s="42" t="s">
        <v>146</v>
      </c>
      <c r="H1618" s="42">
        <v>374</v>
      </c>
      <c r="I1618" s="42" t="s">
        <v>147</v>
      </c>
      <c r="J1618" s="103" t="s">
        <v>3611</v>
      </c>
      <c r="K1618" s="42" t="s">
        <v>4041</v>
      </c>
      <c r="L1618" s="42" t="str">
        <f>VLOOKUP(Table7[[#This Row],[Baseline Fixture Code]], 'Tables &amp; Ranges'!$A$114:$B$132, 2, FALSE)</f>
        <v>N/A</v>
      </c>
    </row>
    <row r="1619" spans="2:12" ht="40" customHeight="1">
      <c r="B1619" s="42">
        <v>425</v>
      </c>
      <c r="C1619" s="102" t="s">
        <v>995</v>
      </c>
      <c r="D1619" s="102" t="s">
        <v>247</v>
      </c>
      <c r="E1619" s="92" t="s">
        <v>996</v>
      </c>
      <c r="F1619" s="42" t="s">
        <v>146</v>
      </c>
      <c r="G1619" s="42" t="s">
        <v>146</v>
      </c>
      <c r="H1619" s="42">
        <v>375</v>
      </c>
      <c r="I1619" s="42" t="s">
        <v>147</v>
      </c>
      <c r="J1619" s="103" t="s">
        <v>3611</v>
      </c>
      <c r="K1619" s="42" t="s">
        <v>4041</v>
      </c>
      <c r="L1619" s="42" t="str">
        <f>VLOOKUP(Table7[[#This Row],[Baseline Fixture Code]], 'Tables &amp; Ranges'!$A$114:$B$132, 2, FALSE)</f>
        <v>N/A</v>
      </c>
    </row>
    <row r="1620" spans="2:12" ht="40" customHeight="1">
      <c r="B1620" s="42">
        <v>426</v>
      </c>
      <c r="C1620" s="102" t="s">
        <v>997</v>
      </c>
      <c r="D1620" s="102" t="s">
        <v>247</v>
      </c>
      <c r="E1620" s="92" t="s">
        <v>998</v>
      </c>
      <c r="F1620" s="42" t="s">
        <v>146</v>
      </c>
      <c r="G1620" s="42" t="s">
        <v>146</v>
      </c>
      <c r="H1620" s="42">
        <v>376</v>
      </c>
      <c r="I1620" s="42" t="s">
        <v>147</v>
      </c>
      <c r="J1620" s="103" t="s">
        <v>3611</v>
      </c>
      <c r="K1620" s="42" t="s">
        <v>4041</v>
      </c>
      <c r="L1620" s="42" t="str">
        <f>VLOOKUP(Table7[[#This Row],[Baseline Fixture Code]], 'Tables &amp; Ranges'!$A$114:$B$132, 2, FALSE)</f>
        <v>N/A</v>
      </c>
    </row>
    <row r="1621" spans="2:12" ht="40" customHeight="1">
      <c r="B1621" s="42">
        <v>427</v>
      </c>
      <c r="C1621" s="102" t="s">
        <v>999</v>
      </c>
      <c r="D1621" s="102" t="s">
        <v>247</v>
      </c>
      <c r="E1621" s="92" t="s">
        <v>1000</v>
      </c>
      <c r="F1621" s="42" t="s">
        <v>146</v>
      </c>
      <c r="G1621" s="42" t="s">
        <v>146</v>
      </c>
      <c r="H1621" s="42">
        <v>377</v>
      </c>
      <c r="I1621" s="42" t="s">
        <v>147</v>
      </c>
      <c r="J1621" s="103" t="s">
        <v>3611</v>
      </c>
      <c r="K1621" s="42" t="s">
        <v>4041</v>
      </c>
      <c r="L1621" s="42" t="str">
        <f>VLOOKUP(Table7[[#This Row],[Baseline Fixture Code]], 'Tables &amp; Ranges'!$A$114:$B$132, 2, FALSE)</f>
        <v>N/A</v>
      </c>
    </row>
    <row r="1622" spans="2:12" ht="40" customHeight="1">
      <c r="B1622" s="42">
        <v>428</v>
      </c>
      <c r="C1622" s="102" t="s">
        <v>1001</v>
      </c>
      <c r="D1622" s="102" t="s">
        <v>247</v>
      </c>
      <c r="E1622" s="92" t="s">
        <v>1002</v>
      </c>
      <c r="F1622" s="42" t="s">
        <v>146</v>
      </c>
      <c r="G1622" s="42" t="s">
        <v>146</v>
      </c>
      <c r="H1622" s="42">
        <v>378</v>
      </c>
      <c r="I1622" s="42" t="s">
        <v>147</v>
      </c>
      <c r="J1622" s="103" t="s">
        <v>3611</v>
      </c>
      <c r="K1622" s="42" t="s">
        <v>4041</v>
      </c>
      <c r="L1622" s="42" t="str">
        <f>VLOOKUP(Table7[[#This Row],[Baseline Fixture Code]], 'Tables &amp; Ranges'!$A$114:$B$132, 2, FALSE)</f>
        <v>N/A</v>
      </c>
    </row>
    <row r="1623" spans="2:12" ht="40" customHeight="1">
      <c r="B1623" s="42">
        <v>429</v>
      </c>
      <c r="C1623" s="102" t="s">
        <v>1003</v>
      </c>
      <c r="D1623" s="102" t="s">
        <v>247</v>
      </c>
      <c r="E1623" s="92" t="s">
        <v>1004</v>
      </c>
      <c r="F1623" s="42" t="s">
        <v>146</v>
      </c>
      <c r="G1623" s="42" t="s">
        <v>146</v>
      </c>
      <c r="H1623" s="42">
        <v>379</v>
      </c>
      <c r="I1623" s="42" t="s">
        <v>147</v>
      </c>
      <c r="J1623" s="103" t="s">
        <v>3611</v>
      </c>
      <c r="K1623" s="42" t="s">
        <v>4041</v>
      </c>
      <c r="L1623" s="42" t="str">
        <f>VLOOKUP(Table7[[#This Row],[Baseline Fixture Code]], 'Tables &amp; Ranges'!$A$114:$B$132, 2, FALSE)</f>
        <v>N/A</v>
      </c>
    </row>
    <row r="1624" spans="2:12" ht="40" customHeight="1">
      <c r="B1624" s="42">
        <v>430</v>
      </c>
      <c r="C1624" s="102" t="s">
        <v>1005</v>
      </c>
      <c r="D1624" s="102" t="s">
        <v>247</v>
      </c>
      <c r="E1624" s="92" t="s">
        <v>1006</v>
      </c>
      <c r="F1624" s="42" t="s">
        <v>146</v>
      </c>
      <c r="G1624" s="42" t="s">
        <v>146</v>
      </c>
      <c r="H1624" s="42">
        <v>380</v>
      </c>
      <c r="I1624" s="42" t="s">
        <v>147</v>
      </c>
      <c r="J1624" s="103" t="s">
        <v>3611</v>
      </c>
      <c r="K1624" s="42" t="s">
        <v>4041</v>
      </c>
      <c r="L1624" s="42" t="str">
        <f>VLOOKUP(Table7[[#This Row],[Baseline Fixture Code]], 'Tables &amp; Ranges'!$A$114:$B$132, 2, FALSE)</f>
        <v>N/A</v>
      </c>
    </row>
    <row r="1625" spans="2:12" ht="40" customHeight="1">
      <c r="B1625" s="42">
        <v>431</v>
      </c>
      <c r="C1625" s="102" t="s">
        <v>1007</v>
      </c>
      <c r="D1625" s="102" t="s">
        <v>247</v>
      </c>
      <c r="E1625" s="92" t="s">
        <v>1008</v>
      </c>
      <c r="F1625" s="42" t="s">
        <v>146</v>
      </c>
      <c r="G1625" s="42" t="s">
        <v>146</v>
      </c>
      <c r="H1625" s="42">
        <v>381</v>
      </c>
      <c r="I1625" s="42" t="s">
        <v>147</v>
      </c>
      <c r="J1625" s="103" t="s">
        <v>3611</v>
      </c>
      <c r="K1625" s="42" t="s">
        <v>4041</v>
      </c>
      <c r="L1625" s="42" t="str">
        <f>VLOOKUP(Table7[[#This Row],[Baseline Fixture Code]], 'Tables &amp; Ranges'!$A$114:$B$132, 2, FALSE)</f>
        <v>N/A</v>
      </c>
    </row>
    <row r="1626" spans="2:12" ht="40" customHeight="1">
      <c r="B1626" s="42">
        <v>432</v>
      </c>
      <c r="C1626" s="102" t="s">
        <v>1009</v>
      </c>
      <c r="D1626" s="102" t="s">
        <v>247</v>
      </c>
      <c r="E1626" s="92" t="s">
        <v>1010</v>
      </c>
      <c r="F1626" s="42" t="s">
        <v>146</v>
      </c>
      <c r="G1626" s="42" t="s">
        <v>146</v>
      </c>
      <c r="H1626" s="42">
        <v>382</v>
      </c>
      <c r="I1626" s="42" t="s">
        <v>147</v>
      </c>
      <c r="J1626" s="103" t="s">
        <v>3611</v>
      </c>
      <c r="K1626" s="42" t="s">
        <v>4041</v>
      </c>
      <c r="L1626" s="42" t="str">
        <f>VLOOKUP(Table7[[#This Row],[Baseline Fixture Code]], 'Tables &amp; Ranges'!$A$114:$B$132, 2, FALSE)</f>
        <v>N/A</v>
      </c>
    </row>
    <row r="1627" spans="2:12" ht="40" customHeight="1">
      <c r="B1627" s="42">
        <v>433</v>
      </c>
      <c r="C1627" s="102" t="s">
        <v>1011</v>
      </c>
      <c r="D1627" s="102" t="s">
        <v>247</v>
      </c>
      <c r="E1627" s="92" t="s">
        <v>1012</v>
      </c>
      <c r="F1627" s="42" t="s">
        <v>146</v>
      </c>
      <c r="G1627" s="42" t="s">
        <v>146</v>
      </c>
      <c r="H1627" s="42">
        <v>383</v>
      </c>
      <c r="I1627" s="42" t="s">
        <v>147</v>
      </c>
      <c r="J1627" s="103" t="s">
        <v>3611</v>
      </c>
      <c r="K1627" s="42" t="s">
        <v>4041</v>
      </c>
      <c r="L1627" s="42" t="str">
        <f>VLOOKUP(Table7[[#This Row],[Baseline Fixture Code]], 'Tables &amp; Ranges'!$A$114:$B$132, 2, FALSE)</f>
        <v>N/A</v>
      </c>
    </row>
    <row r="1628" spans="2:12" ht="40" customHeight="1">
      <c r="B1628" s="42">
        <v>434</v>
      </c>
      <c r="C1628" s="102" t="s">
        <v>1013</v>
      </c>
      <c r="D1628" s="102" t="s">
        <v>247</v>
      </c>
      <c r="E1628" s="92" t="s">
        <v>1014</v>
      </c>
      <c r="F1628" s="42" t="s">
        <v>146</v>
      </c>
      <c r="G1628" s="42" t="s">
        <v>146</v>
      </c>
      <c r="H1628" s="42">
        <v>384</v>
      </c>
      <c r="I1628" s="42" t="s">
        <v>147</v>
      </c>
      <c r="J1628" s="103" t="s">
        <v>3611</v>
      </c>
      <c r="K1628" s="42" t="s">
        <v>4041</v>
      </c>
      <c r="L1628" s="42" t="str">
        <f>VLOOKUP(Table7[[#This Row],[Baseline Fixture Code]], 'Tables &amp; Ranges'!$A$114:$B$132, 2, FALSE)</f>
        <v>N/A</v>
      </c>
    </row>
    <row r="1629" spans="2:12" ht="40" customHeight="1">
      <c r="B1629" s="42">
        <v>435</v>
      </c>
      <c r="C1629" s="102" t="s">
        <v>1015</v>
      </c>
      <c r="D1629" s="102" t="s">
        <v>247</v>
      </c>
      <c r="E1629" s="92" t="s">
        <v>1016</v>
      </c>
      <c r="F1629" s="42" t="s">
        <v>146</v>
      </c>
      <c r="G1629" s="42" t="s">
        <v>146</v>
      </c>
      <c r="H1629" s="42">
        <v>385</v>
      </c>
      <c r="I1629" s="42" t="s">
        <v>147</v>
      </c>
      <c r="J1629" s="103" t="s">
        <v>3611</v>
      </c>
      <c r="K1629" s="42" t="s">
        <v>4041</v>
      </c>
      <c r="L1629" s="42" t="str">
        <f>VLOOKUP(Table7[[#This Row],[Baseline Fixture Code]], 'Tables &amp; Ranges'!$A$114:$B$132, 2, FALSE)</f>
        <v>N/A</v>
      </c>
    </row>
    <row r="1630" spans="2:12" ht="40" customHeight="1">
      <c r="B1630" s="42">
        <v>436</v>
      </c>
      <c r="C1630" s="102" t="s">
        <v>1017</v>
      </c>
      <c r="D1630" s="102" t="s">
        <v>247</v>
      </c>
      <c r="E1630" s="92" t="s">
        <v>1018</v>
      </c>
      <c r="F1630" s="42" t="s">
        <v>146</v>
      </c>
      <c r="G1630" s="42" t="s">
        <v>146</v>
      </c>
      <c r="H1630" s="42">
        <v>386</v>
      </c>
      <c r="I1630" s="42" t="s">
        <v>147</v>
      </c>
      <c r="J1630" s="103" t="s">
        <v>3611</v>
      </c>
      <c r="K1630" s="42" t="s">
        <v>4041</v>
      </c>
      <c r="L1630" s="42" t="str">
        <f>VLOOKUP(Table7[[#This Row],[Baseline Fixture Code]], 'Tables &amp; Ranges'!$A$114:$B$132, 2, FALSE)</f>
        <v>N/A</v>
      </c>
    </row>
    <row r="1631" spans="2:12" ht="40" customHeight="1">
      <c r="B1631" s="42">
        <v>437</v>
      </c>
      <c r="C1631" s="102" t="s">
        <v>1019</v>
      </c>
      <c r="D1631" s="102" t="s">
        <v>247</v>
      </c>
      <c r="E1631" s="92" t="s">
        <v>1020</v>
      </c>
      <c r="F1631" s="42" t="s">
        <v>146</v>
      </c>
      <c r="G1631" s="42" t="s">
        <v>146</v>
      </c>
      <c r="H1631" s="42">
        <v>387</v>
      </c>
      <c r="I1631" s="42" t="s">
        <v>147</v>
      </c>
      <c r="J1631" s="103" t="s">
        <v>3611</v>
      </c>
      <c r="K1631" s="42" t="s">
        <v>4041</v>
      </c>
      <c r="L1631" s="42" t="str">
        <f>VLOOKUP(Table7[[#This Row],[Baseline Fixture Code]], 'Tables &amp; Ranges'!$A$114:$B$132, 2, FALSE)</f>
        <v>N/A</v>
      </c>
    </row>
    <row r="1632" spans="2:12" ht="40" customHeight="1">
      <c r="B1632" s="42">
        <v>438</v>
      </c>
      <c r="C1632" s="102" t="s">
        <v>1021</v>
      </c>
      <c r="D1632" s="102" t="s">
        <v>247</v>
      </c>
      <c r="E1632" s="92" t="s">
        <v>1022</v>
      </c>
      <c r="F1632" s="42" t="s">
        <v>146</v>
      </c>
      <c r="G1632" s="42" t="s">
        <v>146</v>
      </c>
      <c r="H1632" s="42">
        <v>388</v>
      </c>
      <c r="I1632" s="42" t="s">
        <v>147</v>
      </c>
      <c r="J1632" s="103" t="s">
        <v>3611</v>
      </c>
      <c r="K1632" s="42" t="s">
        <v>4041</v>
      </c>
      <c r="L1632" s="42" t="str">
        <f>VLOOKUP(Table7[[#This Row],[Baseline Fixture Code]], 'Tables &amp; Ranges'!$A$114:$B$132, 2, FALSE)</f>
        <v>N/A</v>
      </c>
    </row>
    <row r="1633" spans="2:12" ht="40" customHeight="1">
      <c r="B1633" s="42">
        <v>439</v>
      </c>
      <c r="C1633" s="102" t="s">
        <v>1023</v>
      </c>
      <c r="D1633" s="102" t="s">
        <v>247</v>
      </c>
      <c r="E1633" s="92" t="s">
        <v>1024</v>
      </c>
      <c r="F1633" s="42" t="s">
        <v>146</v>
      </c>
      <c r="G1633" s="42" t="s">
        <v>146</v>
      </c>
      <c r="H1633" s="42">
        <v>389</v>
      </c>
      <c r="I1633" s="42" t="s">
        <v>147</v>
      </c>
      <c r="J1633" s="103" t="s">
        <v>3611</v>
      </c>
      <c r="K1633" s="42" t="s">
        <v>4041</v>
      </c>
      <c r="L1633" s="42" t="str">
        <f>VLOOKUP(Table7[[#This Row],[Baseline Fixture Code]], 'Tables &amp; Ranges'!$A$114:$B$132, 2, FALSE)</f>
        <v>N/A</v>
      </c>
    </row>
    <row r="1634" spans="2:12" ht="40" customHeight="1">
      <c r="B1634" s="42">
        <v>440</v>
      </c>
      <c r="C1634" s="102" t="s">
        <v>1025</v>
      </c>
      <c r="D1634" s="102" t="s">
        <v>247</v>
      </c>
      <c r="E1634" s="92" t="s">
        <v>1026</v>
      </c>
      <c r="F1634" s="42" t="s">
        <v>146</v>
      </c>
      <c r="G1634" s="42" t="s">
        <v>146</v>
      </c>
      <c r="H1634" s="42">
        <v>390</v>
      </c>
      <c r="I1634" s="42" t="s">
        <v>147</v>
      </c>
      <c r="J1634" s="103" t="s">
        <v>3611</v>
      </c>
      <c r="K1634" s="42" t="s">
        <v>4041</v>
      </c>
      <c r="L1634" s="42" t="str">
        <f>VLOOKUP(Table7[[#This Row],[Baseline Fixture Code]], 'Tables &amp; Ranges'!$A$114:$B$132, 2, FALSE)</f>
        <v>N/A</v>
      </c>
    </row>
    <row r="1635" spans="2:12" ht="40" customHeight="1">
      <c r="B1635" s="42">
        <v>441</v>
      </c>
      <c r="C1635" s="102" t="s">
        <v>1027</v>
      </c>
      <c r="D1635" s="102" t="s">
        <v>247</v>
      </c>
      <c r="E1635" s="92" t="s">
        <v>1028</v>
      </c>
      <c r="F1635" s="42" t="s">
        <v>146</v>
      </c>
      <c r="G1635" s="42" t="s">
        <v>146</v>
      </c>
      <c r="H1635" s="42">
        <v>391</v>
      </c>
      <c r="I1635" s="42" t="s">
        <v>147</v>
      </c>
      <c r="J1635" s="103" t="s">
        <v>3611</v>
      </c>
      <c r="K1635" s="42" t="s">
        <v>4041</v>
      </c>
      <c r="L1635" s="42" t="str">
        <f>VLOOKUP(Table7[[#This Row],[Baseline Fixture Code]], 'Tables &amp; Ranges'!$A$114:$B$132, 2, FALSE)</f>
        <v>N/A</v>
      </c>
    </row>
    <row r="1636" spans="2:12" ht="40" customHeight="1">
      <c r="B1636" s="42">
        <v>442</v>
      </c>
      <c r="C1636" s="102" t="s">
        <v>1029</v>
      </c>
      <c r="D1636" s="102" t="s">
        <v>247</v>
      </c>
      <c r="E1636" s="92" t="s">
        <v>1030</v>
      </c>
      <c r="F1636" s="42" t="s">
        <v>146</v>
      </c>
      <c r="G1636" s="42" t="s">
        <v>146</v>
      </c>
      <c r="H1636" s="42">
        <v>392</v>
      </c>
      <c r="I1636" s="42" t="s">
        <v>147</v>
      </c>
      <c r="J1636" s="103" t="s">
        <v>3611</v>
      </c>
      <c r="K1636" s="42" t="s">
        <v>4041</v>
      </c>
      <c r="L1636" s="42" t="str">
        <f>VLOOKUP(Table7[[#This Row],[Baseline Fixture Code]], 'Tables &amp; Ranges'!$A$114:$B$132, 2, FALSE)</f>
        <v>N/A</v>
      </c>
    </row>
    <row r="1637" spans="2:12" ht="40" customHeight="1">
      <c r="B1637" s="42">
        <v>443</v>
      </c>
      <c r="C1637" s="102" t="s">
        <v>1031</v>
      </c>
      <c r="D1637" s="102" t="s">
        <v>247</v>
      </c>
      <c r="E1637" s="92" t="s">
        <v>1032</v>
      </c>
      <c r="F1637" s="42" t="s">
        <v>146</v>
      </c>
      <c r="G1637" s="42" t="s">
        <v>146</v>
      </c>
      <c r="H1637" s="42">
        <v>393</v>
      </c>
      <c r="I1637" s="42" t="s">
        <v>147</v>
      </c>
      <c r="J1637" s="103" t="s">
        <v>3611</v>
      </c>
      <c r="K1637" s="42" t="s">
        <v>4041</v>
      </c>
      <c r="L1637" s="42" t="str">
        <f>VLOOKUP(Table7[[#This Row],[Baseline Fixture Code]], 'Tables &amp; Ranges'!$A$114:$B$132, 2, FALSE)</f>
        <v>N/A</v>
      </c>
    </row>
    <row r="1638" spans="2:12" ht="40" customHeight="1">
      <c r="B1638" s="42">
        <v>444</v>
      </c>
      <c r="C1638" s="102" t="s">
        <v>1033</v>
      </c>
      <c r="D1638" s="102" t="s">
        <v>247</v>
      </c>
      <c r="E1638" s="92" t="s">
        <v>1034</v>
      </c>
      <c r="F1638" s="42" t="s">
        <v>146</v>
      </c>
      <c r="G1638" s="42" t="s">
        <v>146</v>
      </c>
      <c r="H1638" s="42">
        <v>394</v>
      </c>
      <c r="I1638" s="42" t="s">
        <v>147</v>
      </c>
      <c r="J1638" s="103" t="s">
        <v>3611</v>
      </c>
      <c r="K1638" s="42" t="s">
        <v>4041</v>
      </c>
      <c r="L1638" s="42" t="str">
        <f>VLOOKUP(Table7[[#This Row],[Baseline Fixture Code]], 'Tables &amp; Ranges'!$A$114:$B$132, 2, FALSE)</f>
        <v>N/A</v>
      </c>
    </row>
    <row r="1639" spans="2:12" ht="40" customHeight="1">
      <c r="B1639" s="42">
        <v>445</v>
      </c>
      <c r="C1639" s="102" t="s">
        <v>1035</v>
      </c>
      <c r="D1639" s="102" t="s">
        <v>247</v>
      </c>
      <c r="E1639" s="92" t="s">
        <v>1036</v>
      </c>
      <c r="F1639" s="42" t="s">
        <v>146</v>
      </c>
      <c r="G1639" s="42" t="s">
        <v>146</v>
      </c>
      <c r="H1639" s="42">
        <v>395</v>
      </c>
      <c r="I1639" s="42" t="s">
        <v>147</v>
      </c>
      <c r="J1639" s="103" t="s">
        <v>3611</v>
      </c>
      <c r="K1639" s="42" t="s">
        <v>4041</v>
      </c>
      <c r="L1639" s="42" t="str">
        <f>VLOOKUP(Table7[[#This Row],[Baseline Fixture Code]], 'Tables &amp; Ranges'!$A$114:$B$132, 2, FALSE)</f>
        <v>N/A</v>
      </c>
    </row>
    <row r="1640" spans="2:12" ht="40" customHeight="1">
      <c r="B1640" s="42">
        <v>446</v>
      </c>
      <c r="C1640" s="102" t="s">
        <v>1037</v>
      </c>
      <c r="D1640" s="102" t="s">
        <v>247</v>
      </c>
      <c r="E1640" s="92" t="s">
        <v>1038</v>
      </c>
      <c r="F1640" s="42" t="s">
        <v>146</v>
      </c>
      <c r="G1640" s="42" t="s">
        <v>146</v>
      </c>
      <c r="H1640" s="42">
        <v>396</v>
      </c>
      <c r="I1640" s="42" t="s">
        <v>147</v>
      </c>
      <c r="J1640" s="103" t="s">
        <v>3611</v>
      </c>
      <c r="K1640" s="42" t="s">
        <v>4041</v>
      </c>
      <c r="L1640" s="42" t="str">
        <f>VLOOKUP(Table7[[#This Row],[Baseline Fixture Code]], 'Tables &amp; Ranges'!$A$114:$B$132, 2, FALSE)</f>
        <v>N/A</v>
      </c>
    </row>
    <row r="1641" spans="2:12" ht="40" customHeight="1">
      <c r="B1641" s="42">
        <v>447</v>
      </c>
      <c r="C1641" s="102" t="s">
        <v>1039</v>
      </c>
      <c r="D1641" s="102" t="s">
        <v>247</v>
      </c>
      <c r="E1641" s="92" t="s">
        <v>1040</v>
      </c>
      <c r="F1641" s="42" t="s">
        <v>146</v>
      </c>
      <c r="G1641" s="42" t="s">
        <v>146</v>
      </c>
      <c r="H1641" s="42">
        <v>397</v>
      </c>
      <c r="I1641" s="42" t="s">
        <v>147</v>
      </c>
      <c r="J1641" s="103" t="s">
        <v>3611</v>
      </c>
      <c r="K1641" s="42" t="s">
        <v>4041</v>
      </c>
      <c r="L1641" s="42" t="str">
        <f>VLOOKUP(Table7[[#This Row],[Baseline Fixture Code]], 'Tables &amp; Ranges'!$A$114:$B$132, 2, FALSE)</f>
        <v>N/A</v>
      </c>
    </row>
    <row r="1642" spans="2:12" ht="40" customHeight="1">
      <c r="B1642" s="42">
        <v>448</v>
      </c>
      <c r="C1642" s="102" t="s">
        <v>1041</v>
      </c>
      <c r="D1642" s="102" t="s">
        <v>247</v>
      </c>
      <c r="E1642" s="92" t="s">
        <v>1042</v>
      </c>
      <c r="F1642" s="42" t="s">
        <v>146</v>
      </c>
      <c r="G1642" s="42" t="s">
        <v>146</v>
      </c>
      <c r="H1642" s="42">
        <v>398</v>
      </c>
      <c r="I1642" s="42" t="s">
        <v>147</v>
      </c>
      <c r="J1642" s="103" t="s">
        <v>3611</v>
      </c>
      <c r="K1642" s="42" t="s">
        <v>4041</v>
      </c>
      <c r="L1642" s="42" t="str">
        <f>VLOOKUP(Table7[[#This Row],[Baseline Fixture Code]], 'Tables &amp; Ranges'!$A$114:$B$132, 2, FALSE)</f>
        <v>N/A</v>
      </c>
    </row>
    <row r="1643" spans="2:12" ht="40" customHeight="1">
      <c r="B1643" s="42">
        <v>449</v>
      </c>
      <c r="C1643" s="102" t="s">
        <v>1043</v>
      </c>
      <c r="D1643" s="102" t="s">
        <v>247</v>
      </c>
      <c r="E1643" s="92" t="s">
        <v>1044</v>
      </c>
      <c r="F1643" s="42" t="s">
        <v>146</v>
      </c>
      <c r="G1643" s="42" t="s">
        <v>146</v>
      </c>
      <c r="H1643" s="42">
        <v>399</v>
      </c>
      <c r="I1643" s="42" t="s">
        <v>147</v>
      </c>
      <c r="J1643" s="103" t="s">
        <v>3611</v>
      </c>
      <c r="K1643" s="42" t="s">
        <v>4041</v>
      </c>
      <c r="L1643" s="42" t="str">
        <f>VLOOKUP(Table7[[#This Row],[Baseline Fixture Code]], 'Tables &amp; Ranges'!$A$114:$B$132, 2, FALSE)</f>
        <v>N/A</v>
      </c>
    </row>
    <row r="1644" spans="2:12" ht="40" customHeight="1">
      <c r="B1644" s="42">
        <v>450</v>
      </c>
      <c r="C1644" s="102" t="s">
        <v>1045</v>
      </c>
      <c r="D1644" s="102" t="s">
        <v>247</v>
      </c>
      <c r="E1644" s="92" t="s">
        <v>1046</v>
      </c>
      <c r="F1644" s="42" t="s">
        <v>146</v>
      </c>
      <c r="G1644" s="42" t="s">
        <v>146</v>
      </c>
      <c r="H1644" s="42">
        <v>400</v>
      </c>
      <c r="I1644" s="42" t="s">
        <v>147</v>
      </c>
      <c r="J1644" s="103" t="s">
        <v>3611</v>
      </c>
      <c r="K1644" s="42" t="s">
        <v>4041</v>
      </c>
      <c r="L1644" s="42" t="str">
        <f>VLOOKUP(Table7[[#This Row],[Baseline Fixture Code]], 'Tables &amp; Ranges'!$A$114:$B$132, 2, FALSE)</f>
        <v>N/A</v>
      </c>
    </row>
    <row r="1645" spans="2:12" ht="40" customHeight="1">
      <c r="B1645" s="42">
        <v>451</v>
      </c>
      <c r="C1645" s="102" t="s">
        <v>1047</v>
      </c>
      <c r="D1645" s="102" t="s">
        <v>247</v>
      </c>
      <c r="E1645" s="92" t="s">
        <v>1048</v>
      </c>
      <c r="F1645" s="42" t="s">
        <v>146</v>
      </c>
      <c r="G1645" s="42" t="s">
        <v>146</v>
      </c>
      <c r="H1645" s="42">
        <v>401</v>
      </c>
      <c r="I1645" s="42" t="s">
        <v>147</v>
      </c>
      <c r="J1645" s="103" t="s">
        <v>3611</v>
      </c>
      <c r="K1645" s="42" t="s">
        <v>4041</v>
      </c>
      <c r="L1645" s="42" t="str">
        <f>VLOOKUP(Table7[[#This Row],[Baseline Fixture Code]], 'Tables &amp; Ranges'!$A$114:$B$132, 2, FALSE)</f>
        <v>N/A</v>
      </c>
    </row>
    <row r="1646" spans="2:12" ht="40" customHeight="1">
      <c r="B1646" s="42">
        <v>452</v>
      </c>
      <c r="C1646" s="102" t="s">
        <v>1049</v>
      </c>
      <c r="D1646" s="102" t="s">
        <v>247</v>
      </c>
      <c r="E1646" s="92" t="s">
        <v>1050</v>
      </c>
      <c r="F1646" s="42" t="s">
        <v>146</v>
      </c>
      <c r="G1646" s="42" t="s">
        <v>146</v>
      </c>
      <c r="H1646" s="42">
        <v>402</v>
      </c>
      <c r="I1646" s="42" t="s">
        <v>147</v>
      </c>
      <c r="J1646" s="103" t="s">
        <v>3611</v>
      </c>
      <c r="K1646" s="42" t="s">
        <v>4041</v>
      </c>
      <c r="L1646" s="42" t="str">
        <f>VLOOKUP(Table7[[#This Row],[Baseline Fixture Code]], 'Tables &amp; Ranges'!$A$114:$B$132, 2, FALSE)</f>
        <v>N/A</v>
      </c>
    </row>
    <row r="1647" spans="2:12" ht="40" customHeight="1">
      <c r="B1647" s="42">
        <v>453</v>
      </c>
      <c r="C1647" s="102" t="s">
        <v>1051</v>
      </c>
      <c r="D1647" s="102" t="s">
        <v>247</v>
      </c>
      <c r="E1647" s="92" t="s">
        <v>1052</v>
      </c>
      <c r="F1647" s="42" t="s">
        <v>146</v>
      </c>
      <c r="G1647" s="42" t="s">
        <v>146</v>
      </c>
      <c r="H1647" s="42">
        <v>403</v>
      </c>
      <c r="I1647" s="42" t="s">
        <v>147</v>
      </c>
      <c r="J1647" s="103" t="s">
        <v>3611</v>
      </c>
      <c r="K1647" s="42" t="s">
        <v>4041</v>
      </c>
      <c r="L1647" s="42" t="str">
        <f>VLOOKUP(Table7[[#This Row],[Baseline Fixture Code]], 'Tables &amp; Ranges'!$A$114:$B$132, 2, FALSE)</f>
        <v>N/A</v>
      </c>
    </row>
    <row r="1648" spans="2:12" ht="40" customHeight="1">
      <c r="B1648" s="42">
        <v>454</v>
      </c>
      <c r="C1648" s="102" t="s">
        <v>1053</v>
      </c>
      <c r="D1648" s="102" t="s">
        <v>247</v>
      </c>
      <c r="E1648" s="92" t="s">
        <v>1054</v>
      </c>
      <c r="F1648" s="42" t="s">
        <v>146</v>
      </c>
      <c r="G1648" s="42" t="s">
        <v>146</v>
      </c>
      <c r="H1648" s="42">
        <v>404</v>
      </c>
      <c r="I1648" s="42" t="s">
        <v>147</v>
      </c>
      <c r="J1648" s="103" t="s">
        <v>3611</v>
      </c>
      <c r="K1648" s="42" t="s">
        <v>4041</v>
      </c>
      <c r="L1648" s="42" t="str">
        <f>VLOOKUP(Table7[[#This Row],[Baseline Fixture Code]], 'Tables &amp; Ranges'!$A$114:$B$132, 2, FALSE)</f>
        <v>N/A</v>
      </c>
    </row>
    <row r="1649" spans="2:12" ht="40" customHeight="1">
      <c r="B1649" s="42">
        <v>455</v>
      </c>
      <c r="C1649" s="102" t="s">
        <v>1055</v>
      </c>
      <c r="D1649" s="102" t="s">
        <v>247</v>
      </c>
      <c r="E1649" s="92" t="s">
        <v>1056</v>
      </c>
      <c r="F1649" s="42" t="s">
        <v>146</v>
      </c>
      <c r="G1649" s="42" t="s">
        <v>146</v>
      </c>
      <c r="H1649" s="42">
        <v>405</v>
      </c>
      <c r="I1649" s="42" t="s">
        <v>147</v>
      </c>
      <c r="J1649" s="103" t="s">
        <v>3611</v>
      </c>
      <c r="K1649" s="42" t="s">
        <v>4041</v>
      </c>
      <c r="L1649" s="42" t="str">
        <f>VLOOKUP(Table7[[#This Row],[Baseline Fixture Code]], 'Tables &amp; Ranges'!$A$114:$B$132, 2, FALSE)</f>
        <v>N/A</v>
      </c>
    </row>
    <row r="1650" spans="2:12" ht="40" customHeight="1">
      <c r="B1650" s="42">
        <v>456</v>
      </c>
      <c r="C1650" s="102" t="s">
        <v>1057</v>
      </c>
      <c r="D1650" s="102" t="s">
        <v>247</v>
      </c>
      <c r="E1650" s="92" t="s">
        <v>1058</v>
      </c>
      <c r="F1650" s="42" t="s">
        <v>146</v>
      </c>
      <c r="G1650" s="42" t="s">
        <v>146</v>
      </c>
      <c r="H1650" s="42">
        <v>406</v>
      </c>
      <c r="I1650" s="42" t="s">
        <v>147</v>
      </c>
      <c r="J1650" s="103" t="s">
        <v>3611</v>
      </c>
      <c r="K1650" s="42" t="s">
        <v>4041</v>
      </c>
      <c r="L1650" s="42" t="str">
        <f>VLOOKUP(Table7[[#This Row],[Baseline Fixture Code]], 'Tables &amp; Ranges'!$A$114:$B$132, 2, FALSE)</f>
        <v>N/A</v>
      </c>
    </row>
    <row r="1651" spans="2:12" ht="40" customHeight="1">
      <c r="B1651" s="42">
        <v>457</v>
      </c>
      <c r="C1651" s="102" t="s">
        <v>1059</v>
      </c>
      <c r="D1651" s="102" t="s">
        <v>247</v>
      </c>
      <c r="E1651" s="92" t="s">
        <v>1060</v>
      </c>
      <c r="F1651" s="42" t="s">
        <v>146</v>
      </c>
      <c r="G1651" s="42" t="s">
        <v>146</v>
      </c>
      <c r="H1651" s="42">
        <v>407</v>
      </c>
      <c r="I1651" s="42" t="s">
        <v>147</v>
      </c>
      <c r="J1651" s="103" t="s">
        <v>3611</v>
      </c>
      <c r="K1651" s="42" t="s">
        <v>4041</v>
      </c>
      <c r="L1651" s="42" t="str">
        <f>VLOOKUP(Table7[[#This Row],[Baseline Fixture Code]], 'Tables &amp; Ranges'!$A$114:$B$132, 2, FALSE)</f>
        <v>N/A</v>
      </c>
    </row>
    <row r="1652" spans="2:12" ht="40" customHeight="1">
      <c r="B1652" s="42">
        <v>458</v>
      </c>
      <c r="C1652" s="102" t="s">
        <v>1061</v>
      </c>
      <c r="D1652" s="102" t="s">
        <v>247</v>
      </c>
      <c r="E1652" s="92" t="s">
        <v>1062</v>
      </c>
      <c r="F1652" s="42" t="s">
        <v>146</v>
      </c>
      <c r="G1652" s="42" t="s">
        <v>146</v>
      </c>
      <c r="H1652" s="42">
        <v>408</v>
      </c>
      <c r="I1652" s="42" t="s">
        <v>147</v>
      </c>
      <c r="J1652" s="103" t="s">
        <v>3611</v>
      </c>
      <c r="K1652" s="42" t="s">
        <v>4041</v>
      </c>
      <c r="L1652" s="42" t="str">
        <f>VLOOKUP(Table7[[#This Row],[Baseline Fixture Code]], 'Tables &amp; Ranges'!$A$114:$B$132, 2, FALSE)</f>
        <v>N/A</v>
      </c>
    </row>
    <row r="1653" spans="2:12" ht="40" customHeight="1">
      <c r="B1653" s="42">
        <v>459</v>
      </c>
      <c r="C1653" s="102" t="s">
        <v>1063</v>
      </c>
      <c r="D1653" s="102" t="s">
        <v>247</v>
      </c>
      <c r="E1653" s="92" t="s">
        <v>1064</v>
      </c>
      <c r="F1653" s="42" t="s">
        <v>146</v>
      </c>
      <c r="G1653" s="42" t="s">
        <v>146</v>
      </c>
      <c r="H1653" s="42">
        <v>409</v>
      </c>
      <c r="I1653" s="42" t="s">
        <v>147</v>
      </c>
      <c r="J1653" s="103" t="s">
        <v>3611</v>
      </c>
      <c r="K1653" s="42" t="s">
        <v>4041</v>
      </c>
      <c r="L1653" s="42" t="str">
        <f>VLOOKUP(Table7[[#This Row],[Baseline Fixture Code]], 'Tables &amp; Ranges'!$A$114:$B$132, 2, FALSE)</f>
        <v>N/A</v>
      </c>
    </row>
    <row r="1654" spans="2:12" ht="40" customHeight="1">
      <c r="B1654" s="42">
        <v>460</v>
      </c>
      <c r="C1654" s="102" t="s">
        <v>1065</v>
      </c>
      <c r="D1654" s="102" t="s">
        <v>247</v>
      </c>
      <c r="E1654" s="92" t="s">
        <v>1066</v>
      </c>
      <c r="F1654" s="42" t="s">
        <v>146</v>
      </c>
      <c r="G1654" s="42" t="s">
        <v>146</v>
      </c>
      <c r="H1654" s="42">
        <v>410</v>
      </c>
      <c r="I1654" s="42" t="s">
        <v>147</v>
      </c>
      <c r="J1654" s="103" t="s">
        <v>3611</v>
      </c>
      <c r="K1654" s="42" t="s">
        <v>4041</v>
      </c>
      <c r="L1654" s="42" t="str">
        <f>VLOOKUP(Table7[[#This Row],[Baseline Fixture Code]], 'Tables &amp; Ranges'!$A$114:$B$132, 2, FALSE)</f>
        <v>N/A</v>
      </c>
    </row>
    <row r="1655" spans="2:12" ht="40" customHeight="1">
      <c r="B1655" s="42">
        <v>461</v>
      </c>
      <c r="C1655" s="102" t="s">
        <v>1067</v>
      </c>
      <c r="D1655" s="102" t="s">
        <v>247</v>
      </c>
      <c r="E1655" s="92" t="s">
        <v>1068</v>
      </c>
      <c r="F1655" s="42" t="s">
        <v>146</v>
      </c>
      <c r="G1655" s="42" t="s">
        <v>146</v>
      </c>
      <c r="H1655" s="42">
        <v>411</v>
      </c>
      <c r="I1655" s="42" t="s">
        <v>147</v>
      </c>
      <c r="J1655" s="103" t="s">
        <v>3611</v>
      </c>
      <c r="K1655" s="42" t="s">
        <v>4041</v>
      </c>
      <c r="L1655" s="42" t="str">
        <f>VLOOKUP(Table7[[#This Row],[Baseline Fixture Code]], 'Tables &amp; Ranges'!$A$114:$B$132, 2, FALSE)</f>
        <v>N/A</v>
      </c>
    </row>
    <row r="1656" spans="2:12" ht="40" customHeight="1">
      <c r="B1656" s="42">
        <v>462</v>
      </c>
      <c r="C1656" s="102" t="s">
        <v>1069</v>
      </c>
      <c r="D1656" s="102" t="s">
        <v>247</v>
      </c>
      <c r="E1656" s="92" t="s">
        <v>1070</v>
      </c>
      <c r="F1656" s="42" t="s">
        <v>146</v>
      </c>
      <c r="G1656" s="42" t="s">
        <v>146</v>
      </c>
      <c r="H1656" s="42">
        <v>412</v>
      </c>
      <c r="I1656" s="42" t="s">
        <v>147</v>
      </c>
      <c r="J1656" s="103" t="s">
        <v>3611</v>
      </c>
      <c r="K1656" s="42" t="s">
        <v>4041</v>
      </c>
      <c r="L1656" s="42" t="str">
        <f>VLOOKUP(Table7[[#This Row],[Baseline Fixture Code]], 'Tables &amp; Ranges'!$A$114:$B$132, 2, FALSE)</f>
        <v>N/A</v>
      </c>
    </row>
    <row r="1657" spans="2:12" ht="40" customHeight="1">
      <c r="B1657" s="42">
        <v>463</v>
      </c>
      <c r="C1657" s="102" t="s">
        <v>1071</v>
      </c>
      <c r="D1657" s="102" t="s">
        <v>247</v>
      </c>
      <c r="E1657" s="92" t="s">
        <v>1072</v>
      </c>
      <c r="F1657" s="42" t="s">
        <v>146</v>
      </c>
      <c r="G1657" s="42" t="s">
        <v>146</v>
      </c>
      <c r="H1657" s="42">
        <v>413</v>
      </c>
      <c r="I1657" s="42" t="s">
        <v>147</v>
      </c>
      <c r="J1657" s="103" t="s">
        <v>3611</v>
      </c>
      <c r="K1657" s="42" t="s">
        <v>4041</v>
      </c>
      <c r="L1657" s="42" t="str">
        <f>VLOOKUP(Table7[[#This Row],[Baseline Fixture Code]], 'Tables &amp; Ranges'!$A$114:$B$132, 2, FALSE)</f>
        <v>N/A</v>
      </c>
    </row>
    <row r="1658" spans="2:12" ht="40" customHeight="1">
      <c r="B1658" s="42">
        <v>464</v>
      </c>
      <c r="C1658" s="102" t="s">
        <v>1073</v>
      </c>
      <c r="D1658" s="102" t="s">
        <v>247</v>
      </c>
      <c r="E1658" s="92" t="s">
        <v>1074</v>
      </c>
      <c r="F1658" s="42" t="s">
        <v>146</v>
      </c>
      <c r="G1658" s="42" t="s">
        <v>146</v>
      </c>
      <c r="H1658" s="42">
        <v>414</v>
      </c>
      <c r="I1658" s="42" t="s">
        <v>147</v>
      </c>
      <c r="J1658" s="103" t="s">
        <v>3611</v>
      </c>
      <c r="K1658" s="42" t="s">
        <v>4041</v>
      </c>
      <c r="L1658" s="42" t="str">
        <f>VLOOKUP(Table7[[#This Row],[Baseline Fixture Code]], 'Tables &amp; Ranges'!$A$114:$B$132, 2, FALSE)</f>
        <v>N/A</v>
      </c>
    </row>
    <row r="1659" spans="2:12" ht="40" customHeight="1">
      <c r="B1659" s="42">
        <v>465</v>
      </c>
      <c r="C1659" s="102" t="s">
        <v>1075</v>
      </c>
      <c r="D1659" s="102" t="s">
        <v>247</v>
      </c>
      <c r="E1659" s="92" t="s">
        <v>1076</v>
      </c>
      <c r="F1659" s="42" t="s">
        <v>146</v>
      </c>
      <c r="G1659" s="42" t="s">
        <v>146</v>
      </c>
      <c r="H1659" s="42">
        <v>415</v>
      </c>
      <c r="I1659" s="42" t="s">
        <v>147</v>
      </c>
      <c r="J1659" s="103" t="s">
        <v>3611</v>
      </c>
      <c r="K1659" s="42" t="s">
        <v>4041</v>
      </c>
      <c r="L1659" s="42" t="str">
        <f>VLOOKUP(Table7[[#This Row],[Baseline Fixture Code]], 'Tables &amp; Ranges'!$A$114:$B$132, 2, FALSE)</f>
        <v>N/A</v>
      </c>
    </row>
    <row r="1660" spans="2:12" ht="40" customHeight="1">
      <c r="B1660" s="42">
        <v>466</v>
      </c>
      <c r="C1660" s="102" t="s">
        <v>1077</v>
      </c>
      <c r="D1660" s="102" t="s">
        <v>247</v>
      </c>
      <c r="E1660" s="92" t="s">
        <v>1078</v>
      </c>
      <c r="F1660" s="42" t="s">
        <v>146</v>
      </c>
      <c r="G1660" s="42" t="s">
        <v>146</v>
      </c>
      <c r="H1660" s="42">
        <v>416</v>
      </c>
      <c r="I1660" s="42" t="s">
        <v>147</v>
      </c>
      <c r="J1660" s="103" t="s">
        <v>3611</v>
      </c>
      <c r="K1660" s="42" t="s">
        <v>4041</v>
      </c>
      <c r="L1660" s="42" t="str">
        <f>VLOOKUP(Table7[[#This Row],[Baseline Fixture Code]], 'Tables &amp; Ranges'!$A$114:$B$132, 2, FALSE)</f>
        <v>N/A</v>
      </c>
    </row>
    <row r="1661" spans="2:12" ht="40" customHeight="1">
      <c r="B1661" s="42">
        <v>467</v>
      </c>
      <c r="C1661" s="102" t="s">
        <v>1079</v>
      </c>
      <c r="D1661" s="102" t="s">
        <v>247</v>
      </c>
      <c r="E1661" s="92" t="s">
        <v>1080</v>
      </c>
      <c r="F1661" s="42" t="s">
        <v>146</v>
      </c>
      <c r="G1661" s="42" t="s">
        <v>146</v>
      </c>
      <c r="H1661" s="42">
        <v>417</v>
      </c>
      <c r="I1661" s="42" t="s">
        <v>147</v>
      </c>
      <c r="J1661" s="103" t="s">
        <v>3611</v>
      </c>
      <c r="K1661" s="42" t="s">
        <v>4041</v>
      </c>
      <c r="L1661" s="42" t="str">
        <f>VLOOKUP(Table7[[#This Row],[Baseline Fixture Code]], 'Tables &amp; Ranges'!$A$114:$B$132, 2, FALSE)</f>
        <v>N/A</v>
      </c>
    </row>
    <row r="1662" spans="2:12" ht="40" customHeight="1">
      <c r="B1662" s="42">
        <v>468</v>
      </c>
      <c r="C1662" s="102" t="s">
        <v>1081</v>
      </c>
      <c r="D1662" s="102" t="s">
        <v>247</v>
      </c>
      <c r="E1662" s="92" t="s">
        <v>1082</v>
      </c>
      <c r="F1662" s="42" t="s">
        <v>146</v>
      </c>
      <c r="G1662" s="42" t="s">
        <v>146</v>
      </c>
      <c r="H1662" s="42">
        <v>418</v>
      </c>
      <c r="I1662" s="42" t="s">
        <v>147</v>
      </c>
      <c r="J1662" s="103" t="s">
        <v>3611</v>
      </c>
      <c r="K1662" s="42" t="s">
        <v>4041</v>
      </c>
      <c r="L1662" s="42" t="str">
        <f>VLOOKUP(Table7[[#This Row],[Baseline Fixture Code]], 'Tables &amp; Ranges'!$A$114:$B$132, 2, FALSE)</f>
        <v>N/A</v>
      </c>
    </row>
    <row r="1663" spans="2:12" ht="40" customHeight="1">
      <c r="B1663" s="42">
        <v>469</v>
      </c>
      <c r="C1663" s="102" t="s">
        <v>1083</v>
      </c>
      <c r="D1663" s="102" t="s">
        <v>247</v>
      </c>
      <c r="E1663" s="92" t="s">
        <v>1084</v>
      </c>
      <c r="F1663" s="42" t="s">
        <v>146</v>
      </c>
      <c r="G1663" s="42" t="s">
        <v>146</v>
      </c>
      <c r="H1663" s="42">
        <v>419</v>
      </c>
      <c r="I1663" s="42" t="s">
        <v>147</v>
      </c>
      <c r="J1663" s="103" t="s">
        <v>3611</v>
      </c>
      <c r="K1663" s="42" t="s">
        <v>4041</v>
      </c>
      <c r="L1663" s="42" t="str">
        <f>VLOOKUP(Table7[[#This Row],[Baseline Fixture Code]], 'Tables &amp; Ranges'!$A$114:$B$132, 2, FALSE)</f>
        <v>N/A</v>
      </c>
    </row>
    <row r="1664" spans="2:12" ht="40" customHeight="1">
      <c r="B1664" s="42">
        <v>470</v>
      </c>
      <c r="C1664" s="102" t="s">
        <v>1085</v>
      </c>
      <c r="D1664" s="102" t="s">
        <v>247</v>
      </c>
      <c r="E1664" s="92" t="s">
        <v>1086</v>
      </c>
      <c r="F1664" s="42" t="s">
        <v>146</v>
      </c>
      <c r="G1664" s="42" t="s">
        <v>146</v>
      </c>
      <c r="H1664" s="42">
        <v>420</v>
      </c>
      <c r="I1664" s="42" t="s">
        <v>147</v>
      </c>
      <c r="J1664" s="103" t="s">
        <v>3611</v>
      </c>
      <c r="K1664" s="42" t="s">
        <v>4041</v>
      </c>
      <c r="L1664" s="42" t="str">
        <f>VLOOKUP(Table7[[#This Row],[Baseline Fixture Code]], 'Tables &amp; Ranges'!$A$114:$B$132, 2, FALSE)</f>
        <v>N/A</v>
      </c>
    </row>
    <row r="1665" spans="2:12" ht="40" customHeight="1">
      <c r="B1665" s="42">
        <v>471</v>
      </c>
      <c r="C1665" s="102" t="s">
        <v>1087</v>
      </c>
      <c r="D1665" s="102" t="s">
        <v>247</v>
      </c>
      <c r="E1665" s="92" t="s">
        <v>1088</v>
      </c>
      <c r="F1665" s="42" t="s">
        <v>146</v>
      </c>
      <c r="G1665" s="42" t="s">
        <v>146</v>
      </c>
      <c r="H1665" s="42">
        <v>421</v>
      </c>
      <c r="I1665" s="42" t="s">
        <v>147</v>
      </c>
      <c r="J1665" s="103" t="s">
        <v>3611</v>
      </c>
      <c r="K1665" s="42" t="s">
        <v>4041</v>
      </c>
      <c r="L1665" s="42" t="str">
        <f>VLOOKUP(Table7[[#This Row],[Baseline Fixture Code]], 'Tables &amp; Ranges'!$A$114:$B$132, 2, FALSE)</f>
        <v>N/A</v>
      </c>
    </row>
    <row r="1666" spans="2:12" ht="40" customHeight="1">
      <c r="B1666" s="42">
        <v>472</v>
      </c>
      <c r="C1666" s="102" t="s">
        <v>1089</v>
      </c>
      <c r="D1666" s="102" t="s">
        <v>247</v>
      </c>
      <c r="E1666" s="92" t="s">
        <v>1090</v>
      </c>
      <c r="F1666" s="42" t="s">
        <v>146</v>
      </c>
      <c r="G1666" s="42" t="s">
        <v>146</v>
      </c>
      <c r="H1666" s="42">
        <v>422</v>
      </c>
      <c r="I1666" s="42" t="s">
        <v>147</v>
      </c>
      <c r="J1666" s="103" t="s">
        <v>3611</v>
      </c>
      <c r="K1666" s="42" t="s">
        <v>4041</v>
      </c>
      <c r="L1666" s="42" t="str">
        <f>VLOOKUP(Table7[[#This Row],[Baseline Fixture Code]], 'Tables &amp; Ranges'!$A$114:$B$132, 2, FALSE)</f>
        <v>N/A</v>
      </c>
    </row>
    <row r="1667" spans="2:12" ht="40" customHeight="1">
      <c r="B1667" s="42">
        <v>473</v>
      </c>
      <c r="C1667" s="102" t="s">
        <v>1091</v>
      </c>
      <c r="D1667" s="102" t="s">
        <v>247</v>
      </c>
      <c r="E1667" s="92" t="s">
        <v>1092</v>
      </c>
      <c r="F1667" s="42" t="s">
        <v>146</v>
      </c>
      <c r="G1667" s="42" t="s">
        <v>146</v>
      </c>
      <c r="H1667" s="42">
        <v>423</v>
      </c>
      <c r="I1667" s="42" t="s">
        <v>147</v>
      </c>
      <c r="J1667" s="103" t="s">
        <v>3611</v>
      </c>
      <c r="K1667" s="42" t="s">
        <v>4041</v>
      </c>
      <c r="L1667" s="42" t="str">
        <f>VLOOKUP(Table7[[#This Row],[Baseline Fixture Code]], 'Tables &amp; Ranges'!$A$114:$B$132, 2, FALSE)</f>
        <v>N/A</v>
      </c>
    </row>
    <row r="1668" spans="2:12" ht="40" customHeight="1">
      <c r="B1668" s="42">
        <v>474</v>
      </c>
      <c r="C1668" s="102" t="s">
        <v>1093</v>
      </c>
      <c r="D1668" s="102" t="s">
        <v>247</v>
      </c>
      <c r="E1668" s="92" t="s">
        <v>1094</v>
      </c>
      <c r="F1668" s="42" t="s">
        <v>146</v>
      </c>
      <c r="G1668" s="42" t="s">
        <v>146</v>
      </c>
      <c r="H1668" s="42">
        <v>424</v>
      </c>
      <c r="I1668" s="42" t="s">
        <v>147</v>
      </c>
      <c r="J1668" s="103" t="s">
        <v>3611</v>
      </c>
      <c r="K1668" s="42" t="s">
        <v>4041</v>
      </c>
      <c r="L1668" s="42" t="str">
        <f>VLOOKUP(Table7[[#This Row],[Baseline Fixture Code]], 'Tables &amp; Ranges'!$A$114:$B$132, 2, FALSE)</f>
        <v>N/A</v>
      </c>
    </row>
    <row r="1669" spans="2:12" ht="40" customHeight="1">
      <c r="B1669" s="42">
        <v>475</v>
      </c>
      <c r="C1669" s="102" t="s">
        <v>1095</v>
      </c>
      <c r="D1669" s="102" t="s">
        <v>247</v>
      </c>
      <c r="E1669" s="92" t="s">
        <v>1096</v>
      </c>
      <c r="F1669" s="42" t="s">
        <v>146</v>
      </c>
      <c r="G1669" s="42" t="s">
        <v>146</v>
      </c>
      <c r="H1669" s="42">
        <v>425</v>
      </c>
      <c r="I1669" s="42" t="s">
        <v>147</v>
      </c>
      <c r="J1669" s="103" t="s">
        <v>3611</v>
      </c>
      <c r="K1669" s="42" t="s">
        <v>4041</v>
      </c>
      <c r="L1669" s="42" t="str">
        <f>VLOOKUP(Table7[[#This Row],[Baseline Fixture Code]], 'Tables &amp; Ranges'!$A$114:$B$132, 2, FALSE)</f>
        <v>N/A</v>
      </c>
    </row>
    <row r="1670" spans="2:12" ht="40" customHeight="1">
      <c r="B1670" s="42">
        <v>476</v>
      </c>
      <c r="C1670" s="102" t="s">
        <v>1097</v>
      </c>
      <c r="D1670" s="102" t="s">
        <v>247</v>
      </c>
      <c r="E1670" s="92" t="s">
        <v>1098</v>
      </c>
      <c r="F1670" s="42" t="s">
        <v>146</v>
      </c>
      <c r="G1670" s="42" t="s">
        <v>146</v>
      </c>
      <c r="H1670" s="42">
        <v>426</v>
      </c>
      <c r="I1670" s="42" t="s">
        <v>147</v>
      </c>
      <c r="J1670" s="103" t="s">
        <v>3611</v>
      </c>
      <c r="K1670" s="42" t="s">
        <v>4041</v>
      </c>
      <c r="L1670" s="42" t="str">
        <f>VLOOKUP(Table7[[#This Row],[Baseline Fixture Code]], 'Tables &amp; Ranges'!$A$114:$B$132, 2, FALSE)</f>
        <v>N/A</v>
      </c>
    </row>
    <row r="1671" spans="2:12" ht="40" customHeight="1">
      <c r="B1671" s="42">
        <v>477</v>
      </c>
      <c r="C1671" s="102" t="s">
        <v>1099</v>
      </c>
      <c r="D1671" s="102" t="s">
        <v>247</v>
      </c>
      <c r="E1671" s="92" t="s">
        <v>1100</v>
      </c>
      <c r="F1671" s="42" t="s">
        <v>146</v>
      </c>
      <c r="G1671" s="42" t="s">
        <v>146</v>
      </c>
      <c r="H1671" s="42">
        <v>427</v>
      </c>
      <c r="I1671" s="42" t="s">
        <v>147</v>
      </c>
      <c r="J1671" s="103" t="s">
        <v>3611</v>
      </c>
      <c r="K1671" s="42" t="s">
        <v>4041</v>
      </c>
      <c r="L1671" s="42" t="str">
        <f>VLOOKUP(Table7[[#This Row],[Baseline Fixture Code]], 'Tables &amp; Ranges'!$A$114:$B$132, 2, FALSE)</f>
        <v>N/A</v>
      </c>
    </row>
    <row r="1672" spans="2:12" ht="40" customHeight="1">
      <c r="B1672" s="42">
        <v>478</v>
      </c>
      <c r="C1672" s="102" t="s">
        <v>1101</v>
      </c>
      <c r="D1672" s="102" t="s">
        <v>247</v>
      </c>
      <c r="E1672" s="92" t="s">
        <v>1102</v>
      </c>
      <c r="F1672" s="42" t="s">
        <v>146</v>
      </c>
      <c r="G1672" s="42" t="s">
        <v>146</v>
      </c>
      <c r="H1672" s="42">
        <v>428</v>
      </c>
      <c r="I1672" s="42" t="s">
        <v>147</v>
      </c>
      <c r="J1672" s="103" t="s">
        <v>3611</v>
      </c>
      <c r="K1672" s="42" t="s">
        <v>4041</v>
      </c>
      <c r="L1672" s="42" t="str">
        <f>VLOOKUP(Table7[[#This Row],[Baseline Fixture Code]], 'Tables &amp; Ranges'!$A$114:$B$132, 2, FALSE)</f>
        <v>N/A</v>
      </c>
    </row>
    <row r="1673" spans="2:12" ht="40" customHeight="1">
      <c r="B1673" s="42">
        <v>479</v>
      </c>
      <c r="C1673" s="102" t="s">
        <v>1103</v>
      </c>
      <c r="D1673" s="102" t="s">
        <v>247</v>
      </c>
      <c r="E1673" s="92" t="s">
        <v>1104</v>
      </c>
      <c r="F1673" s="42" t="s">
        <v>146</v>
      </c>
      <c r="G1673" s="42" t="s">
        <v>146</v>
      </c>
      <c r="H1673" s="42">
        <v>429</v>
      </c>
      <c r="I1673" s="42" t="s">
        <v>147</v>
      </c>
      <c r="J1673" s="103" t="s">
        <v>3611</v>
      </c>
      <c r="K1673" s="42" t="s">
        <v>4041</v>
      </c>
      <c r="L1673" s="42" t="str">
        <f>VLOOKUP(Table7[[#This Row],[Baseline Fixture Code]], 'Tables &amp; Ranges'!$A$114:$B$132, 2, FALSE)</f>
        <v>N/A</v>
      </c>
    </row>
    <row r="1674" spans="2:12" ht="40" customHeight="1">
      <c r="B1674" s="42">
        <v>480</v>
      </c>
      <c r="C1674" s="102" t="s">
        <v>1105</v>
      </c>
      <c r="D1674" s="102" t="s">
        <v>247</v>
      </c>
      <c r="E1674" s="92" t="s">
        <v>1106</v>
      </c>
      <c r="F1674" s="42" t="s">
        <v>146</v>
      </c>
      <c r="G1674" s="42" t="s">
        <v>146</v>
      </c>
      <c r="H1674" s="42">
        <v>430</v>
      </c>
      <c r="I1674" s="42" t="s">
        <v>147</v>
      </c>
      <c r="J1674" s="103" t="s">
        <v>3611</v>
      </c>
      <c r="K1674" s="42" t="s">
        <v>4041</v>
      </c>
      <c r="L1674" s="42" t="str">
        <f>VLOOKUP(Table7[[#This Row],[Baseline Fixture Code]], 'Tables &amp; Ranges'!$A$114:$B$132, 2, FALSE)</f>
        <v>N/A</v>
      </c>
    </row>
    <row r="1675" spans="2:12" ht="40" customHeight="1">
      <c r="B1675" s="42">
        <v>481</v>
      </c>
      <c r="C1675" s="102" t="s">
        <v>1107</v>
      </c>
      <c r="D1675" s="102" t="s">
        <v>247</v>
      </c>
      <c r="E1675" s="92" t="s">
        <v>1108</v>
      </c>
      <c r="F1675" s="42" t="s">
        <v>146</v>
      </c>
      <c r="G1675" s="42" t="s">
        <v>146</v>
      </c>
      <c r="H1675" s="42">
        <v>431</v>
      </c>
      <c r="I1675" s="42" t="s">
        <v>147</v>
      </c>
      <c r="J1675" s="103" t="s">
        <v>3611</v>
      </c>
      <c r="K1675" s="42" t="s">
        <v>4041</v>
      </c>
      <c r="L1675" s="42" t="str">
        <f>VLOOKUP(Table7[[#This Row],[Baseline Fixture Code]], 'Tables &amp; Ranges'!$A$114:$B$132, 2, FALSE)</f>
        <v>N/A</v>
      </c>
    </row>
    <row r="1676" spans="2:12" ht="40" customHeight="1">
      <c r="B1676" s="42">
        <v>482</v>
      </c>
      <c r="C1676" s="102" t="s">
        <v>1109</v>
      </c>
      <c r="D1676" s="102" t="s">
        <v>247</v>
      </c>
      <c r="E1676" s="92" t="s">
        <v>1110</v>
      </c>
      <c r="F1676" s="42" t="s">
        <v>146</v>
      </c>
      <c r="G1676" s="42" t="s">
        <v>146</v>
      </c>
      <c r="H1676" s="42">
        <v>432</v>
      </c>
      <c r="I1676" s="42" t="s">
        <v>147</v>
      </c>
      <c r="J1676" s="103" t="s">
        <v>3611</v>
      </c>
      <c r="K1676" s="42" t="s">
        <v>4041</v>
      </c>
      <c r="L1676" s="42" t="str">
        <f>VLOOKUP(Table7[[#This Row],[Baseline Fixture Code]], 'Tables &amp; Ranges'!$A$114:$B$132, 2, FALSE)</f>
        <v>N/A</v>
      </c>
    </row>
    <row r="1677" spans="2:12" ht="40" customHeight="1">
      <c r="B1677" s="42">
        <v>483</v>
      </c>
      <c r="C1677" s="102" t="s">
        <v>1111</v>
      </c>
      <c r="D1677" s="102" t="s">
        <v>247</v>
      </c>
      <c r="E1677" s="92" t="s">
        <v>1112</v>
      </c>
      <c r="F1677" s="42" t="s">
        <v>146</v>
      </c>
      <c r="G1677" s="42" t="s">
        <v>146</v>
      </c>
      <c r="H1677" s="42">
        <v>433</v>
      </c>
      <c r="I1677" s="42" t="s">
        <v>147</v>
      </c>
      <c r="J1677" s="103" t="s">
        <v>3611</v>
      </c>
      <c r="K1677" s="42" t="s">
        <v>4041</v>
      </c>
      <c r="L1677" s="42" t="str">
        <f>VLOOKUP(Table7[[#This Row],[Baseline Fixture Code]], 'Tables &amp; Ranges'!$A$114:$B$132, 2, FALSE)</f>
        <v>N/A</v>
      </c>
    </row>
    <row r="1678" spans="2:12" ht="40" customHeight="1">
      <c r="B1678" s="42">
        <v>484</v>
      </c>
      <c r="C1678" s="102" t="s">
        <v>1113</v>
      </c>
      <c r="D1678" s="102" t="s">
        <v>247</v>
      </c>
      <c r="E1678" s="92" t="s">
        <v>1114</v>
      </c>
      <c r="F1678" s="42" t="s">
        <v>146</v>
      </c>
      <c r="G1678" s="42" t="s">
        <v>146</v>
      </c>
      <c r="H1678" s="42">
        <v>434</v>
      </c>
      <c r="I1678" s="42" t="s">
        <v>147</v>
      </c>
      <c r="J1678" s="103" t="s">
        <v>3611</v>
      </c>
      <c r="K1678" s="42" t="s">
        <v>4041</v>
      </c>
      <c r="L1678" s="42" t="str">
        <f>VLOOKUP(Table7[[#This Row],[Baseline Fixture Code]], 'Tables &amp; Ranges'!$A$114:$B$132, 2, FALSE)</f>
        <v>N/A</v>
      </c>
    </row>
    <row r="1679" spans="2:12" ht="40" customHeight="1">
      <c r="B1679" s="42">
        <v>485</v>
      </c>
      <c r="C1679" s="102" t="s">
        <v>1115</v>
      </c>
      <c r="D1679" s="102" t="s">
        <v>247</v>
      </c>
      <c r="E1679" s="92" t="s">
        <v>1116</v>
      </c>
      <c r="F1679" s="42" t="s">
        <v>146</v>
      </c>
      <c r="G1679" s="42" t="s">
        <v>146</v>
      </c>
      <c r="H1679" s="42">
        <v>435</v>
      </c>
      <c r="I1679" s="42" t="s">
        <v>147</v>
      </c>
      <c r="J1679" s="103" t="s">
        <v>3611</v>
      </c>
      <c r="K1679" s="42" t="s">
        <v>4041</v>
      </c>
      <c r="L1679" s="42" t="str">
        <f>VLOOKUP(Table7[[#This Row],[Baseline Fixture Code]], 'Tables &amp; Ranges'!$A$114:$B$132, 2, FALSE)</f>
        <v>N/A</v>
      </c>
    </row>
    <row r="1680" spans="2:12" ht="40" customHeight="1">
      <c r="B1680" s="42">
        <v>486</v>
      </c>
      <c r="C1680" s="102" t="s">
        <v>1117</v>
      </c>
      <c r="D1680" s="102" t="s">
        <v>247</v>
      </c>
      <c r="E1680" s="92" t="s">
        <v>1118</v>
      </c>
      <c r="F1680" s="42" t="s">
        <v>146</v>
      </c>
      <c r="G1680" s="42" t="s">
        <v>146</v>
      </c>
      <c r="H1680" s="42">
        <v>436</v>
      </c>
      <c r="I1680" s="42" t="s">
        <v>147</v>
      </c>
      <c r="J1680" s="103" t="s">
        <v>3611</v>
      </c>
      <c r="K1680" s="42" t="s">
        <v>4041</v>
      </c>
      <c r="L1680" s="42" t="str">
        <f>VLOOKUP(Table7[[#This Row],[Baseline Fixture Code]], 'Tables &amp; Ranges'!$A$114:$B$132, 2, FALSE)</f>
        <v>N/A</v>
      </c>
    </row>
    <row r="1681" spans="2:12" ht="40" customHeight="1">
      <c r="B1681" s="42">
        <v>487</v>
      </c>
      <c r="C1681" s="102" t="s">
        <v>1119</v>
      </c>
      <c r="D1681" s="102" t="s">
        <v>247</v>
      </c>
      <c r="E1681" s="92" t="s">
        <v>1120</v>
      </c>
      <c r="F1681" s="42" t="s">
        <v>146</v>
      </c>
      <c r="G1681" s="42" t="s">
        <v>146</v>
      </c>
      <c r="H1681" s="42">
        <v>437</v>
      </c>
      <c r="I1681" s="42" t="s">
        <v>147</v>
      </c>
      <c r="J1681" s="103" t="s">
        <v>3611</v>
      </c>
      <c r="K1681" s="42" t="s">
        <v>4041</v>
      </c>
      <c r="L1681" s="42" t="str">
        <f>VLOOKUP(Table7[[#This Row],[Baseline Fixture Code]], 'Tables &amp; Ranges'!$A$114:$B$132, 2, FALSE)</f>
        <v>N/A</v>
      </c>
    </row>
    <row r="1682" spans="2:12" ht="40" customHeight="1">
      <c r="B1682" s="42">
        <v>488</v>
      </c>
      <c r="C1682" s="102" t="s">
        <v>1121</v>
      </c>
      <c r="D1682" s="102" t="s">
        <v>247</v>
      </c>
      <c r="E1682" s="92" t="s">
        <v>1122</v>
      </c>
      <c r="F1682" s="42" t="s">
        <v>146</v>
      </c>
      <c r="G1682" s="42" t="s">
        <v>146</v>
      </c>
      <c r="H1682" s="42">
        <v>438</v>
      </c>
      <c r="I1682" s="42" t="s">
        <v>147</v>
      </c>
      <c r="J1682" s="103" t="s">
        <v>3611</v>
      </c>
      <c r="K1682" s="42" t="s">
        <v>4041</v>
      </c>
      <c r="L1682" s="42" t="str">
        <f>VLOOKUP(Table7[[#This Row],[Baseline Fixture Code]], 'Tables &amp; Ranges'!$A$114:$B$132, 2, FALSE)</f>
        <v>N/A</v>
      </c>
    </row>
    <row r="1683" spans="2:12" ht="40" customHeight="1">
      <c r="B1683" s="42">
        <v>489</v>
      </c>
      <c r="C1683" s="102" t="s">
        <v>1123</v>
      </c>
      <c r="D1683" s="102" t="s">
        <v>247</v>
      </c>
      <c r="E1683" s="92" t="s">
        <v>1124</v>
      </c>
      <c r="F1683" s="42" t="s">
        <v>146</v>
      </c>
      <c r="G1683" s="42" t="s">
        <v>146</v>
      </c>
      <c r="H1683" s="42">
        <v>439</v>
      </c>
      <c r="I1683" s="42" t="s">
        <v>147</v>
      </c>
      <c r="J1683" s="103" t="s">
        <v>3611</v>
      </c>
      <c r="K1683" s="42" t="s">
        <v>4041</v>
      </c>
      <c r="L1683" s="42" t="str">
        <f>VLOOKUP(Table7[[#This Row],[Baseline Fixture Code]], 'Tables &amp; Ranges'!$A$114:$B$132, 2, FALSE)</f>
        <v>N/A</v>
      </c>
    </row>
    <row r="1684" spans="2:12" ht="40" customHeight="1">
      <c r="B1684" s="42">
        <v>490</v>
      </c>
      <c r="C1684" s="102" t="s">
        <v>1125</v>
      </c>
      <c r="D1684" s="102" t="s">
        <v>247</v>
      </c>
      <c r="E1684" s="92" t="s">
        <v>1126</v>
      </c>
      <c r="F1684" s="42" t="s">
        <v>146</v>
      </c>
      <c r="G1684" s="42" t="s">
        <v>146</v>
      </c>
      <c r="H1684" s="42">
        <v>440</v>
      </c>
      <c r="I1684" s="42" t="s">
        <v>147</v>
      </c>
      <c r="J1684" s="103" t="s">
        <v>3611</v>
      </c>
      <c r="K1684" s="42" t="s">
        <v>4041</v>
      </c>
      <c r="L1684" s="42" t="str">
        <f>VLOOKUP(Table7[[#This Row],[Baseline Fixture Code]], 'Tables &amp; Ranges'!$A$114:$B$132, 2, FALSE)</f>
        <v>N/A</v>
      </c>
    </row>
    <row r="1685" spans="2:12" ht="40" customHeight="1">
      <c r="B1685" s="42">
        <v>491</v>
      </c>
      <c r="C1685" s="102" t="s">
        <v>1127</v>
      </c>
      <c r="D1685" s="102" t="s">
        <v>247</v>
      </c>
      <c r="E1685" s="92" t="s">
        <v>1128</v>
      </c>
      <c r="F1685" s="42" t="s">
        <v>146</v>
      </c>
      <c r="G1685" s="42" t="s">
        <v>146</v>
      </c>
      <c r="H1685" s="42">
        <v>441</v>
      </c>
      <c r="I1685" s="42" t="s">
        <v>147</v>
      </c>
      <c r="J1685" s="103" t="s">
        <v>3611</v>
      </c>
      <c r="K1685" s="42" t="s">
        <v>4041</v>
      </c>
      <c r="L1685" s="42" t="str">
        <f>VLOOKUP(Table7[[#This Row],[Baseline Fixture Code]], 'Tables &amp; Ranges'!$A$114:$B$132, 2, FALSE)</f>
        <v>N/A</v>
      </c>
    </row>
    <row r="1686" spans="2:12" ht="40" customHeight="1">
      <c r="B1686" s="42">
        <v>492</v>
      </c>
      <c r="C1686" s="102" t="s">
        <v>1129</v>
      </c>
      <c r="D1686" s="102" t="s">
        <v>247</v>
      </c>
      <c r="E1686" s="92" t="s">
        <v>1130</v>
      </c>
      <c r="F1686" s="42" t="s">
        <v>146</v>
      </c>
      <c r="G1686" s="42" t="s">
        <v>146</v>
      </c>
      <c r="H1686" s="42">
        <v>442</v>
      </c>
      <c r="I1686" s="42" t="s">
        <v>147</v>
      </c>
      <c r="J1686" s="103" t="s">
        <v>3611</v>
      </c>
      <c r="K1686" s="42" t="s">
        <v>4041</v>
      </c>
      <c r="L1686" s="42" t="str">
        <f>VLOOKUP(Table7[[#This Row],[Baseline Fixture Code]], 'Tables &amp; Ranges'!$A$114:$B$132, 2, FALSE)</f>
        <v>N/A</v>
      </c>
    </row>
    <row r="1687" spans="2:12" ht="40" customHeight="1">
      <c r="B1687" s="42">
        <v>493</v>
      </c>
      <c r="C1687" s="102" t="s">
        <v>1131</v>
      </c>
      <c r="D1687" s="102" t="s">
        <v>247</v>
      </c>
      <c r="E1687" s="92" t="s">
        <v>1132</v>
      </c>
      <c r="F1687" s="42" t="s">
        <v>146</v>
      </c>
      <c r="G1687" s="42" t="s">
        <v>146</v>
      </c>
      <c r="H1687" s="42">
        <v>443</v>
      </c>
      <c r="I1687" s="42" t="s">
        <v>147</v>
      </c>
      <c r="J1687" s="103" t="s">
        <v>3611</v>
      </c>
      <c r="K1687" s="42" t="s">
        <v>4041</v>
      </c>
      <c r="L1687" s="42" t="str">
        <f>VLOOKUP(Table7[[#This Row],[Baseline Fixture Code]], 'Tables &amp; Ranges'!$A$114:$B$132, 2, FALSE)</f>
        <v>N/A</v>
      </c>
    </row>
    <row r="1688" spans="2:12" ht="40" customHeight="1">
      <c r="B1688" s="42">
        <v>494</v>
      </c>
      <c r="C1688" s="102" t="s">
        <v>1133</v>
      </c>
      <c r="D1688" s="102" t="s">
        <v>247</v>
      </c>
      <c r="E1688" s="92" t="s">
        <v>1134</v>
      </c>
      <c r="F1688" s="42" t="s">
        <v>146</v>
      </c>
      <c r="G1688" s="42" t="s">
        <v>146</v>
      </c>
      <c r="H1688" s="42">
        <v>444</v>
      </c>
      <c r="I1688" s="42" t="s">
        <v>147</v>
      </c>
      <c r="J1688" s="103" t="s">
        <v>3611</v>
      </c>
      <c r="K1688" s="42" t="s">
        <v>4041</v>
      </c>
      <c r="L1688" s="42" t="str">
        <f>VLOOKUP(Table7[[#This Row],[Baseline Fixture Code]], 'Tables &amp; Ranges'!$A$114:$B$132, 2, FALSE)</f>
        <v>N/A</v>
      </c>
    </row>
    <row r="1689" spans="2:12" ht="40" customHeight="1">
      <c r="B1689" s="42">
        <v>495</v>
      </c>
      <c r="C1689" s="102" t="s">
        <v>1135</v>
      </c>
      <c r="D1689" s="102" t="s">
        <v>247</v>
      </c>
      <c r="E1689" s="92" t="s">
        <v>1136</v>
      </c>
      <c r="F1689" s="42" t="s">
        <v>146</v>
      </c>
      <c r="G1689" s="42" t="s">
        <v>146</v>
      </c>
      <c r="H1689" s="42">
        <v>445</v>
      </c>
      <c r="I1689" s="42" t="s">
        <v>147</v>
      </c>
      <c r="J1689" s="103" t="s">
        <v>3611</v>
      </c>
      <c r="K1689" s="42" t="s">
        <v>4041</v>
      </c>
      <c r="L1689" s="42" t="str">
        <f>VLOOKUP(Table7[[#This Row],[Baseline Fixture Code]], 'Tables &amp; Ranges'!$A$114:$B$132, 2, FALSE)</f>
        <v>N/A</v>
      </c>
    </row>
    <row r="1690" spans="2:12" ht="40" customHeight="1">
      <c r="B1690" s="42">
        <v>496</v>
      </c>
      <c r="C1690" s="102" t="s">
        <v>1137</v>
      </c>
      <c r="D1690" s="102" t="s">
        <v>247</v>
      </c>
      <c r="E1690" s="92" t="s">
        <v>1138</v>
      </c>
      <c r="F1690" s="42" t="s">
        <v>146</v>
      </c>
      <c r="G1690" s="42" t="s">
        <v>146</v>
      </c>
      <c r="H1690" s="42">
        <v>446</v>
      </c>
      <c r="I1690" s="42" t="s">
        <v>147</v>
      </c>
      <c r="J1690" s="103" t="s">
        <v>3611</v>
      </c>
      <c r="K1690" s="42" t="s">
        <v>4041</v>
      </c>
      <c r="L1690" s="42" t="str">
        <f>VLOOKUP(Table7[[#This Row],[Baseline Fixture Code]], 'Tables &amp; Ranges'!$A$114:$B$132, 2, FALSE)</f>
        <v>N/A</v>
      </c>
    </row>
    <row r="1691" spans="2:12" ht="40" customHeight="1">
      <c r="B1691" s="42">
        <v>497</v>
      </c>
      <c r="C1691" s="102" t="s">
        <v>1139</v>
      </c>
      <c r="D1691" s="102" t="s">
        <v>247</v>
      </c>
      <c r="E1691" s="92" t="s">
        <v>1140</v>
      </c>
      <c r="F1691" s="42" t="s">
        <v>146</v>
      </c>
      <c r="G1691" s="42" t="s">
        <v>146</v>
      </c>
      <c r="H1691" s="42">
        <v>447</v>
      </c>
      <c r="I1691" s="42" t="s">
        <v>147</v>
      </c>
      <c r="J1691" s="103" t="s">
        <v>3611</v>
      </c>
      <c r="K1691" s="42" t="s">
        <v>4041</v>
      </c>
      <c r="L1691" s="42" t="str">
        <f>VLOOKUP(Table7[[#This Row],[Baseline Fixture Code]], 'Tables &amp; Ranges'!$A$114:$B$132, 2, FALSE)</f>
        <v>N/A</v>
      </c>
    </row>
    <row r="1692" spans="2:12" ht="40" customHeight="1">
      <c r="B1692" s="42">
        <v>498</v>
      </c>
      <c r="C1692" s="102" t="s">
        <v>1141</v>
      </c>
      <c r="D1692" s="102" t="s">
        <v>247</v>
      </c>
      <c r="E1692" s="92" t="s">
        <v>1142</v>
      </c>
      <c r="F1692" s="42" t="s">
        <v>146</v>
      </c>
      <c r="G1692" s="42" t="s">
        <v>146</v>
      </c>
      <c r="H1692" s="42">
        <v>448</v>
      </c>
      <c r="I1692" s="42" t="s">
        <v>147</v>
      </c>
      <c r="J1692" s="103" t="s">
        <v>3611</v>
      </c>
      <c r="K1692" s="42" t="s">
        <v>4041</v>
      </c>
      <c r="L1692" s="42" t="str">
        <f>VLOOKUP(Table7[[#This Row],[Baseline Fixture Code]], 'Tables &amp; Ranges'!$A$114:$B$132, 2, FALSE)</f>
        <v>N/A</v>
      </c>
    </row>
    <row r="1693" spans="2:12" ht="40" customHeight="1">
      <c r="B1693" s="42">
        <v>499</v>
      </c>
      <c r="C1693" s="102" t="s">
        <v>1143</v>
      </c>
      <c r="D1693" s="102" t="s">
        <v>247</v>
      </c>
      <c r="E1693" s="92" t="s">
        <v>1144</v>
      </c>
      <c r="F1693" s="42" t="s">
        <v>146</v>
      </c>
      <c r="G1693" s="42" t="s">
        <v>146</v>
      </c>
      <c r="H1693" s="42">
        <v>449</v>
      </c>
      <c r="I1693" s="42" t="s">
        <v>147</v>
      </c>
      <c r="J1693" s="103" t="s">
        <v>3611</v>
      </c>
      <c r="K1693" s="42" t="s">
        <v>4041</v>
      </c>
      <c r="L1693" s="42" t="str">
        <f>VLOOKUP(Table7[[#This Row],[Baseline Fixture Code]], 'Tables &amp; Ranges'!$A$114:$B$132, 2, FALSE)</f>
        <v>N/A</v>
      </c>
    </row>
    <row r="1694" spans="2:12" ht="40" customHeight="1">
      <c r="B1694" s="42">
        <v>500</v>
      </c>
      <c r="C1694" s="102" t="s">
        <v>1145</v>
      </c>
      <c r="D1694" s="102" t="s">
        <v>247</v>
      </c>
      <c r="E1694" s="92" t="s">
        <v>1146</v>
      </c>
      <c r="F1694" s="42" t="s">
        <v>146</v>
      </c>
      <c r="G1694" s="42" t="s">
        <v>146</v>
      </c>
      <c r="H1694" s="42">
        <v>450</v>
      </c>
      <c r="I1694" s="42" t="s">
        <v>147</v>
      </c>
      <c r="J1694" s="103" t="s">
        <v>3611</v>
      </c>
      <c r="K1694" s="42" t="s">
        <v>4041</v>
      </c>
      <c r="L1694" s="42" t="str">
        <f>VLOOKUP(Table7[[#This Row],[Baseline Fixture Code]], 'Tables &amp; Ranges'!$A$114:$B$132, 2, FALSE)</f>
        <v>N/A</v>
      </c>
    </row>
    <row r="1695" spans="2:12" ht="40" customHeight="1">
      <c r="B1695" s="42">
        <v>501</v>
      </c>
      <c r="C1695" s="102" t="s">
        <v>1147</v>
      </c>
      <c r="D1695" s="102" t="s">
        <v>247</v>
      </c>
      <c r="E1695" s="92" t="s">
        <v>1148</v>
      </c>
      <c r="F1695" s="42" t="s">
        <v>146</v>
      </c>
      <c r="G1695" s="42" t="s">
        <v>146</v>
      </c>
      <c r="H1695" s="42">
        <v>451</v>
      </c>
      <c r="I1695" s="42" t="s">
        <v>147</v>
      </c>
      <c r="J1695" s="103" t="s">
        <v>3611</v>
      </c>
      <c r="K1695" s="42" t="s">
        <v>4041</v>
      </c>
      <c r="L1695" s="42" t="str">
        <f>VLOOKUP(Table7[[#This Row],[Baseline Fixture Code]], 'Tables &amp; Ranges'!$A$114:$B$132, 2, FALSE)</f>
        <v>N/A</v>
      </c>
    </row>
    <row r="1696" spans="2:12" ht="40" customHeight="1">
      <c r="B1696" s="42">
        <v>502</v>
      </c>
      <c r="C1696" s="102" t="s">
        <v>1149</v>
      </c>
      <c r="D1696" s="102" t="s">
        <v>247</v>
      </c>
      <c r="E1696" s="92" t="s">
        <v>1150</v>
      </c>
      <c r="F1696" s="42" t="s">
        <v>146</v>
      </c>
      <c r="G1696" s="42" t="s">
        <v>146</v>
      </c>
      <c r="H1696" s="42">
        <v>452</v>
      </c>
      <c r="I1696" s="42" t="s">
        <v>147</v>
      </c>
      <c r="J1696" s="103" t="s">
        <v>3611</v>
      </c>
      <c r="K1696" s="42" t="s">
        <v>4041</v>
      </c>
      <c r="L1696" s="42" t="str">
        <f>VLOOKUP(Table7[[#This Row],[Baseline Fixture Code]], 'Tables &amp; Ranges'!$A$114:$B$132, 2, FALSE)</f>
        <v>N/A</v>
      </c>
    </row>
    <row r="1697" spans="2:12" ht="40" customHeight="1">
      <c r="B1697" s="42">
        <v>503</v>
      </c>
      <c r="C1697" s="102" t="s">
        <v>1151</v>
      </c>
      <c r="D1697" s="102" t="s">
        <v>247</v>
      </c>
      <c r="E1697" s="92" t="s">
        <v>1152</v>
      </c>
      <c r="F1697" s="42" t="s">
        <v>146</v>
      </c>
      <c r="G1697" s="42" t="s">
        <v>146</v>
      </c>
      <c r="H1697" s="42">
        <v>453</v>
      </c>
      <c r="I1697" s="42" t="s">
        <v>147</v>
      </c>
      <c r="J1697" s="103" t="s">
        <v>3611</v>
      </c>
      <c r="K1697" s="42" t="s">
        <v>4041</v>
      </c>
      <c r="L1697" s="42" t="str">
        <f>VLOOKUP(Table7[[#This Row],[Baseline Fixture Code]], 'Tables &amp; Ranges'!$A$114:$B$132, 2, FALSE)</f>
        <v>N/A</v>
      </c>
    </row>
    <row r="1698" spans="2:12" ht="40" customHeight="1">
      <c r="B1698" s="42">
        <v>504</v>
      </c>
      <c r="C1698" s="102" t="s">
        <v>1153</v>
      </c>
      <c r="D1698" s="102" t="s">
        <v>247</v>
      </c>
      <c r="E1698" s="92" t="s">
        <v>1154</v>
      </c>
      <c r="F1698" s="42" t="s">
        <v>146</v>
      </c>
      <c r="G1698" s="42" t="s">
        <v>146</v>
      </c>
      <c r="H1698" s="42">
        <v>454</v>
      </c>
      <c r="I1698" s="42" t="s">
        <v>147</v>
      </c>
      <c r="J1698" s="103" t="s">
        <v>3611</v>
      </c>
      <c r="K1698" s="42" t="s">
        <v>4041</v>
      </c>
      <c r="L1698" s="42" t="str">
        <f>VLOOKUP(Table7[[#This Row],[Baseline Fixture Code]], 'Tables &amp; Ranges'!$A$114:$B$132, 2, FALSE)</f>
        <v>N/A</v>
      </c>
    </row>
    <row r="1699" spans="2:12" ht="40" customHeight="1">
      <c r="B1699" s="42">
        <v>505</v>
      </c>
      <c r="C1699" s="102" t="s">
        <v>1155</v>
      </c>
      <c r="D1699" s="102" t="s">
        <v>247</v>
      </c>
      <c r="E1699" s="92" t="s">
        <v>1156</v>
      </c>
      <c r="F1699" s="42" t="s">
        <v>146</v>
      </c>
      <c r="G1699" s="42" t="s">
        <v>146</v>
      </c>
      <c r="H1699" s="42">
        <v>455</v>
      </c>
      <c r="I1699" s="42" t="s">
        <v>147</v>
      </c>
      <c r="J1699" s="103" t="s">
        <v>3611</v>
      </c>
      <c r="K1699" s="42" t="s">
        <v>4041</v>
      </c>
      <c r="L1699" s="42" t="str">
        <f>VLOOKUP(Table7[[#This Row],[Baseline Fixture Code]], 'Tables &amp; Ranges'!$A$114:$B$132, 2, FALSE)</f>
        <v>N/A</v>
      </c>
    </row>
    <row r="1700" spans="2:12" ht="40" customHeight="1">
      <c r="B1700" s="42">
        <v>506</v>
      </c>
      <c r="C1700" s="102" t="s">
        <v>1157</v>
      </c>
      <c r="D1700" s="102" t="s">
        <v>247</v>
      </c>
      <c r="E1700" s="92" t="s">
        <v>1158</v>
      </c>
      <c r="F1700" s="42" t="s">
        <v>146</v>
      </c>
      <c r="G1700" s="42" t="s">
        <v>146</v>
      </c>
      <c r="H1700" s="42">
        <v>456</v>
      </c>
      <c r="I1700" s="42" t="s">
        <v>147</v>
      </c>
      <c r="J1700" s="103" t="s">
        <v>3611</v>
      </c>
      <c r="K1700" s="42" t="s">
        <v>4041</v>
      </c>
      <c r="L1700" s="42" t="str">
        <f>VLOOKUP(Table7[[#This Row],[Baseline Fixture Code]], 'Tables &amp; Ranges'!$A$114:$B$132, 2, FALSE)</f>
        <v>N/A</v>
      </c>
    </row>
    <row r="1701" spans="2:12" ht="40" customHeight="1">
      <c r="B1701" s="42">
        <v>507</v>
      </c>
      <c r="C1701" s="102" t="s">
        <v>1159</v>
      </c>
      <c r="D1701" s="102" t="s">
        <v>247</v>
      </c>
      <c r="E1701" s="92" t="s">
        <v>1160</v>
      </c>
      <c r="F1701" s="42" t="s">
        <v>146</v>
      </c>
      <c r="G1701" s="42" t="s">
        <v>146</v>
      </c>
      <c r="H1701" s="42">
        <v>457</v>
      </c>
      <c r="I1701" s="42" t="s">
        <v>147</v>
      </c>
      <c r="J1701" s="103" t="s">
        <v>3611</v>
      </c>
      <c r="K1701" s="42" t="s">
        <v>4041</v>
      </c>
      <c r="L1701" s="42" t="str">
        <f>VLOOKUP(Table7[[#This Row],[Baseline Fixture Code]], 'Tables &amp; Ranges'!$A$114:$B$132, 2, FALSE)</f>
        <v>N/A</v>
      </c>
    </row>
    <row r="1702" spans="2:12" ht="40" customHeight="1">
      <c r="B1702" s="42">
        <v>508</v>
      </c>
      <c r="C1702" s="102" t="s">
        <v>1161</v>
      </c>
      <c r="D1702" s="102" t="s">
        <v>247</v>
      </c>
      <c r="E1702" s="92" t="s">
        <v>1162</v>
      </c>
      <c r="F1702" s="42" t="s">
        <v>146</v>
      </c>
      <c r="G1702" s="42" t="s">
        <v>146</v>
      </c>
      <c r="H1702" s="42">
        <v>458</v>
      </c>
      <c r="I1702" s="42" t="s">
        <v>147</v>
      </c>
      <c r="J1702" s="103" t="s">
        <v>3611</v>
      </c>
      <c r="K1702" s="42" t="s">
        <v>4041</v>
      </c>
      <c r="L1702" s="42" t="str">
        <f>VLOOKUP(Table7[[#This Row],[Baseline Fixture Code]], 'Tables &amp; Ranges'!$A$114:$B$132, 2, FALSE)</f>
        <v>N/A</v>
      </c>
    </row>
    <row r="1703" spans="2:12" ht="40" customHeight="1">
      <c r="B1703" s="42">
        <v>509</v>
      </c>
      <c r="C1703" s="102" t="s">
        <v>1163</v>
      </c>
      <c r="D1703" s="102" t="s">
        <v>247</v>
      </c>
      <c r="E1703" s="92" t="s">
        <v>1164</v>
      </c>
      <c r="F1703" s="42" t="s">
        <v>146</v>
      </c>
      <c r="G1703" s="42" t="s">
        <v>146</v>
      </c>
      <c r="H1703" s="42">
        <v>459</v>
      </c>
      <c r="I1703" s="42" t="s">
        <v>147</v>
      </c>
      <c r="J1703" s="103" t="s">
        <v>3611</v>
      </c>
      <c r="K1703" s="42" t="s">
        <v>4041</v>
      </c>
      <c r="L1703" s="42" t="str">
        <f>VLOOKUP(Table7[[#This Row],[Baseline Fixture Code]], 'Tables &amp; Ranges'!$A$114:$B$132, 2, FALSE)</f>
        <v>N/A</v>
      </c>
    </row>
    <row r="1704" spans="2:12" ht="40" customHeight="1">
      <c r="B1704" s="42">
        <v>510</v>
      </c>
      <c r="C1704" s="102" t="s">
        <v>1165</v>
      </c>
      <c r="D1704" s="102" t="s">
        <v>247</v>
      </c>
      <c r="E1704" s="92" t="s">
        <v>1166</v>
      </c>
      <c r="F1704" s="42" t="s">
        <v>146</v>
      </c>
      <c r="G1704" s="42" t="s">
        <v>146</v>
      </c>
      <c r="H1704" s="42">
        <v>460</v>
      </c>
      <c r="I1704" s="42" t="s">
        <v>147</v>
      </c>
      <c r="J1704" s="103" t="s">
        <v>3611</v>
      </c>
      <c r="K1704" s="42" t="s">
        <v>4041</v>
      </c>
      <c r="L1704" s="42" t="str">
        <f>VLOOKUP(Table7[[#This Row],[Baseline Fixture Code]], 'Tables &amp; Ranges'!$A$114:$B$132, 2, FALSE)</f>
        <v>N/A</v>
      </c>
    </row>
    <row r="1705" spans="2:12" ht="40" customHeight="1">
      <c r="B1705" s="42">
        <v>511</v>
      </c>
      <c r="C1705" s="102" t="s">
        <v>1167</v>
      </c>
      <c r="D1705" s="102" t="s">
        <v>247</v>
      </c>
      <c r="E1705" s="92" t="s">
        <v>1168</v>
      </c>
      <c r="F1705" s="42" t="s">
        <v>146</v>
      </c>
      <c r="G1705" s="42" t="s">
        <v>146</v>
      </c>
      <c r="H1705" s="42">
        <v>461</v>
      </c>
      <c r="I1705" s="42" t="s">
        <v>147</v>
      </c>
      <c r="J1705" s="103" t="s">
        <v>3611</v>
      </c>
      <c r="K1705" s="42" t="s">
        <v>4041</v>
      </c>
      <c r="L1705" s="42" t="str">
        <f>VLOOKUP(Table7[[#This Row],[Baseline Fixture Code]], 'Tables &amp; Ranges'!$A$114:$B$132, 2, FALSE)</f>
        <v>N/A</v>
      </c>
    </row>
    <row r="1706" spans="2:12" ht="40" customHeight="1">
      <c r="B1706" s="42">
        <v>512</v>
      </c>
      <c r="C1706" s="102" t="s">
        <v>1169</v>
      </c>
      <c r="D1706" s="102" t="s">
        <v>247</v>
      </c>
      <c r="E1706" s="92" t="s">
        <v>1170</v>
      </c>
      <c r="F1706" s="42" t="s">
        <v>146</v>
      </c>
      <c r="G1706" s="42" t="s">
        <v>146</v>
      </c>
      <c r="H1706" s="42">
        <v>462</v>
      </c>
      <c r="I1706" s="42" t="s">
        <v>147</v>
      </c>
      <c r="J1706" s="103" t="s">
        <v>3611</v>
      </c>
      <c r="K1706" s="42" t="s">
        <v>4041</v>
      </c>
      <c r="L1706" s="42" t="str">
        <f>VLOOKUP(Table7[[#This Row],[Baseline Fixture Code]], 'Tables &amp; Ranges'!$A$114:$B$132, 2, FALSE)</f>
        <v>N/A</v>
      </c>
    </row>
    <row r="1707" spans="2:12" ht="40" customHeight="1">
      <c r="B1707" s="42">
        <v>513</v>
      </c>
      <c r="C1707" s="102" t="s">
        <v>1171</v>
      </c>
      <c r="D1707" s="102" t="s">
        <v>247</v>
      </c>
      <c r="E1707" s="92" t="s">
        <v>1172</v>
      </c>
      <c r="F1707" s="42" t="s">
        <v>146</v>
      </c>
      <c r="G1707" s="42" t="s">
        <v>146</v>
      </c>
      <c r="H1707" s="42">
        <v>463</v>
      </c>
      <c r="I1707" s="42" t="s">
        <v>147</v>
      </c>
      <c r="J1707" s="103" t="s">
        <v>3611</v>
      </c>
      <c r="K1707" s="42" t="s">
        <v>4041</v>
      </c>
      <c r="L1707" s="42" t="str">
        <f>VLOOKUP(Table7[[#This Row],[Baseline Fixture Code]], 'Tables &amp; Ranges'!$A$114:$B$132, 2, FALSE)</f>
        <v>N/A</v>
      </c>
    </row>
    <row r="1708" spans="2:12" ht="40" customHeight="1">
      <c r="B1708" s="42">
        <v>514</v>
      </c>
      <c r="C1708" s="102" t="s">
        <v>1173</v>
      </c>
      <c r="D1708" s="102" t="s">
        <v>247</v>
      </c>
      <c r="E1708" s="92" t="s">
        <v>1174</v>
      </c>
      <c r="F1708" s="42" t="s">
        <v>146</v>
      </c>
      <c r="G1708" s="42" t="s">
        <v>146</v>
      </c>
      <c r="H1708" s="42">
        <v>464</v>
      </c>
      <c r="I1708" s="42" t="s">
        <v>147</v>
      </c>
      <c r="J1708" s="103" t="s">
        <v>3611</v>
      </c>
      <c r="K1708" s="42" t="s">
        <v>4041</v>
      </c>
      <c r="L1708" s="42" t="str">
        <f>VLOOKUP(Table7[[#This Row],[Baseline Fixture Code]], 'Tables &amp; Ranges'!$A$114:$B$132, 2, FALSE)</f>
        <v>N/A</v>
      </c>
    </row>
    <row r="1709" spans="2:12" ht="40" customHeight="1">
      <c r="B1709" s="42">
        <v>515</v>
      </c>
      <c r="C1709" s="102" t="s">
        <v>1175</v>
      </c>
      <c r="D1709" s="102" t="s">
        <v>247</v>
      </c>
      <c r="E1709" s="92" t="s">
        <v>1176</v>
      </c>
      <c r="F1709" s="42" t="s">
        <v>146</v>
      </c>
      <c r="G1709" s="42" t="s">
        <v>146</v>
      </c>
      <c r="H1709" s="42">
        <v>465</v>
      </c>
      <c r="I1709" s="42" t="s">
        <v>147</v>
      </c>
      <c r="J1709" s="103" t="s">
        <v>3611</v>
      </c>
      <c r="K1709" s="42" t="s">
        <v>4041</v>
      </c>
      <c r="L1709" s="42" t="str">
        <f>VLOOKUP(Table7[[#This Row],[Baseline Fixture Code]], 'Tables &amp; Ranges'!$A$114:$B$132, 2, FALSE)</f>
        <v>N/A</v>
      </c>
    </row>
    <row r="1710" spans="2:12" ht="40" customHeight="1">
      <c r="B1710" s="42">
        <v>516</v>
      </c>
      <c r="C1710" s="102" t="s">
        <v>1177</v>
      </c>
      <c r="D1710" s="102" t="s">
        <v>247</v>
      </c>
      <c r="E1710" s="92" t="s">
        <v>1178</v>
      </c>
      <c r="F1710" s="42" t="s">
        <v>146</v>
      </c>
      <c r="G1710" s="42" t="s">
        <v>146</v>
      </c>
      <c r="H1710" s="42">
        <v>466</v>
      </c>
      <c r="I1710" s="42" t="s">
        <v>147</v>
      </c>
      <c r="J1710" s="103" t="s">
        <v>3611</v>
      </c>
      <c r="K1710" s="42" t="s">
        <v>4041</v>
      </c>
      <c r="L1710" s="42" t="str">
        <f>VLOOKUP(Table7[[#This Row],[Baseline Fixture Code]], 'Tables &amp; Ranges'!$A$114:$B$132, 2, FALSE)</f>
        <v>N/A</v>
      </c>
    </row>
    <row r="1711" spans="2:12" ht="40" customHeight="1">
      <c r="B1711" s="42">
        <v>517</v>
      </c>
      <c r="C1711" s="102" t="s">
        <v>1179</v>
      </c>
      <c r="D1711" s="102" t="s">
        <v>247</v>
      </c>
      <c r="E1711" s="92" t="s">
        <v>1180</v>
      </c>
      <c r="F1711" s="42" t="s">
        <v>146</v>
      </c>
      <c r="G1711" s="42" t="s">
        <v>146</v>
      </c>
      <c r="H1711" s="42">
        <v>467</v>
      </c>
      <c r="I1711" s="42" t="s">
        <v>147</v>
      </c>
      <c r="J1711" s="103" t="s">
        <v>3611</v>
      </c>
      <c r="K1711" s="42" t="s">
        <v>4041</v>
      </c>
      <c r="L1711" s="42" t="str">
        <f>VLOOKUP(Table7[[#This Row],[Baseline Fixture Code]], 'Tables &amp; Ranges'!$A$114:$B$132, 2, FALSE)</f>
        <v>N/A</v>
      </c>
    </row>
    <row r="1712" spans="2:12" ht="40" customHeight="1">
      <c r="B1712" s="42">
        <v>518</v>
      </c>
      <c r="C1712" s="102" t="s">
        <v>1181</v>
      </c>
      <c r="D1712" s="102" t="s">
        <v>247</v>
      </c>
      <c r="E1712" s="92" t="s">
        <v>1182</v>
      </c>
      <c r="F1712" s="42" t="s">
        <v>146</v>
      </c>
      <c r="G1712" s="42" t="s">
        <v>146</v>
      </c>
      <c r="H1712" s="42">
        <v>468</v>
      </c>
      <c r="I1712" s="42" t="s">
        <v>147</v>
      </c>
      <c r="J1712" s="103" t="s">
        <v>3611</v>
      </c>
      <c r="K1712" s="42" t="s">
        <v>4041</v>
      </c>
      <c r="L1712" s="42" t="str">
        <f>VLOOKUP(Table7[[#This Row],[Baseline Fixture Code]], 'Tables &amp; Ranges'!$A$114:$B$132, 2, FALSE)</f>
        <v>N/A</v>
      </c>
    </row>
    <row r="1713" spans="2:12" ht="40" customHeight="1">
      <c r="B1713" s="42">
        <v>519</v>
      </c>
      <c r="C1713" s="102" t="s">
        <v>1183</v>
      </c>
      <c r="D1713" s="102" t="s">
        <v>247</v>
      </c>
      <c r="E1713" s="92" t="s">
        <v>1184</v>
      </c>
      <c r="F1713" s="42" t="s">
        <v>146</v>
      </c>
      <c r="G1713" s="42" t="s">
        <v>146</v>
      </c>
      <c r="H1713" s="42">
        <v>469</v>
      </c>
      <c r="I1713" s="42" t="s">
        <v>147</v>
      </c>
      <c r="J1713" s="103" t="s">
        <v>3611</v>
      </c>
      <c r="K1713" s="42" t="s">
        <v>4041</v>
      </c>
      <c r="L1713" s="42" t="str">
        <f>VLOOKUP(Table7[[#This Row],[Baseline Fixture Code]], 'Tables &amp; Ranges'!$A$114:$B$132, 2, FALSE)</f>
        <v>N/A</v>
      </c>
    </row>
    <row r="1714" spans="2:12" ht="40" customHeight="1">
      <c r="B1714" s="42">
        <v>520</v>
      </c>
      <c r="C1714" s="102" t="s">
        <v>1185</v>
      </c>
      <c r="D1714" s="102" t="s">
        <v>247</v>
      </c>
      <c r="E1714" s="92" t="s">
        <v>1186</v>
      </c>
      <c r="F1714" s="42" t="s">
        <v>146</v>
      </c>
      <c r="G1714" s="42" t="s">
        <v>146</v>
      </c>
      <c r="H1714" s="42">
        <v>470</v>
      </c>
      <c r="I1714" s="42" t="s">
        <v>147</v>
      </c>
      <c r="J1714" s="103" t="s">
        <v>3611</v>
      </c>
      <c r="K1714" s="42" t="s">
        <v>4041</v>
      </c>
      <c r="L1714" s="42" t="str">
        <f>VLOOKUP(Table7[[#This Row],[Baseline Fixture Code]], 'Tables &amp; Ranges'!$A$114:$B$132, 2, FALSE)</f>
        <v>N/A</v>
      </c>
    </row>
    <row r="1715" spans="2:12" ht="40" customHeight="1">
      <c r="B1715" s="42">
        <v>521</v>
      </c>
      <c r="C1715" s="102" t="s">
        <v>1187</v>
      </c>
      <c r="D1715" s="102" t="s">
        <v>247</v>
      </c>
      <c r="E1715" s="92" t="s">
        <v>1188</v>
      </c>
      <c r="F1715" s="42" t="s">
        <v>146</v>
      </c>
      <c r="G1715" s="42" t="s">
        <v>146</v>
      </c>
      <c r="H1715" s="42">
        <v>471</v>
      </c>
      <c r="I1715" s="42" t="s">
        <v>147</v>
      </c>
      <c r="J1715" s="103" t="s">
        <v>3611</v>
      </c>
      <c r="K1715" s="42" t="s">
        <v>4041</v>
      </c>
      <c r="L1715" s="42" t="str">
        <f>VLOOKUP(Table7[[#This Row],[Baseline Fixture Code]], 'Tables &amp; Ranges'!$A$114:$B$132, 2, FALSE)</f>
        <v>N/A</v>
      </c>
    </row>
    <row r="1716" spans="2:12" ht="40" customHeight="1">
      <c r="B1716" s="42">
        <v>522</v>
      </c>
      <c r="C1716" s="102" t="s">
        <v>1189</v>
      </c>
      <c r="D1716" s="102" t="s">
        <v>247</v>
      </c>
      <c r="E1716" s="92" t="s">
        <v>1190</v>
      </c>
      <c r="F1716" s="42" t="s">
        <v>146</v>
      </c>
      <c r="G1716" s="42" t="s">
        <v>146</v>
      </c>
      <c r="H1716" s="42">
        <v>472</v>
      </c>
      <c r="I1716" s="42" t="s">
        <v>147</v>
      </c>
      <c r="J1716" s="103" t="s">
        <v>3611</v>
      </c>
      <c r="K1716" s="42" t="s">
        <v>4041</v>
      </c>
      <c r="L1716" s="42" t="str">
        <f>VLOOKUP(Table7[[#This Row],[Baseline Fixture Code]], 'Tables &amp; Ranges'!$A$114:$B$132, 2, FALSE)</f>
        <v>N/A</v>
      </c>
    </row>
    <row r="1717" spans="2:12" ht="40" customHeight="1">
      <c r="B1717" s="42">
        <v>523</v>
      </c>
      <c r="C1717" s="102" t="s">
        <v>1191</v>
      </c>
      <c r="D1717" s="102" t="s">
        <v>247</v>
      </c>
      <c r="E1717" s="92" t="s">
        <v>1192</v>
      </c>
      <c r="F1717" s="42" t="s">
        <v>146</v>
      </c>
      <c r="G1717" s="42" t="s">
        <v>146</v>
      </c>
      <c r="H1717" s="42">
        <v>473</v>
      </c>
      <c r="I1717" s="42" t="s">
        <v>147</v>
      </c>
      <c r="J1717" s="103" t="s">
        <v>3611</v>
      </c>
      <c r="K1717" s="42" t="s">
        <v>4041</v>
      </c>
      <c r="L1717" s="42" t="str">
        <f>VLOOKUP(Table7[[#This Row],[Baseline Fixture Code]], 'Tables &amp; Ranges'!$A$114:$B$132, 2, FALSE)</f>
        <v>N/A</v>
      </c>
    </row>
    <row r="1718" spans="2:12" ht="40" customHeight="1">
      <c r="B1718" s="42">
        <v>524</v>
      </c>
      <c r="C1718" s="102" t="s">
        <v>1193</v>
      </c>
      <c r="D1718" s="102" t="s">
        <v>247</v>
      </c>
      <c r="E1718" s="92" t="s">
        <v>1194</v>
      </c>
      <c r="F1718" s="42" t="s">
        <v>146</v>
      </c>
      <c r="G1718" s="42" t="s">
        <v>146</v>
      </c>
      <c r="H1718" s="42">
        <v>474</v>
      </c>
      <c r="I1718" s="42" t="s">
        <v>147</v>
      </c>
      <c r="J1718" s="103" t="s">
        <v>3611</v>
      </c>
      <c r="K1718" s="42" t="s">
        <v>4041</v>
      </c>
      <c r="L1718" s="42" t="str">
        <f>VLOOKUP(Table7[[#This Row],[Baseline Fixture Code]], 'Tables &amp; Ranges'!$A$114:$B$132, 2, FALSE)</f>
        <v>N/A</v>
      </c>
    </row>
    <row r="1719" spans="2:12" ht="40" customHeight="1">
      <c r="B1719" s="42">
        <v>525</v>
      </c>
      <c r="C1719" s="102" t="s">
        <v>1195</v>
      </c>
      <c r="D1719" s="102" t="s">
        <v>247</v>
      </c>
      <c r="E1719" s="92" t="s">
        <v>1196</v>
      </c>
      <c r="F1719" s="42" t="s">
        <v>146</v>
      </c>
      <c r="G1719" s="42" t="s">
        <v>146</v>
      </c>
      <c r="H1719" s="42">
        <v>475</v>
      </c>
      <c r="I1719" s="42" t="s">
        <v>147</v>
      </c>
      <c r="J1719" s="103" t="s">
        <v>3611</v>
      </c>
      <c r="K1719" s="42" t="s">
        <v>4041</v>
      </c>
      <c r="L1719" s="42" t="str">
        <f>VLOOKUP(Table7[[#This Row],[Baseline Fixture Code]], 'Tables &amp; Ranges'!$A$114:$B$132, 2, FALSE)</f>
        <v>N/A</v>
      </c>
    </row>
    <row r="1720" spans="2:12" ht="40" customHeight="1">
      <c r="B1720" s="42">
        <v>526</v>
      </c>
      <c r="C1720" s="102" t="s">
        <v>1197</v>
      </c>
      <c r="D1720" s="102" t="s">
        <v>247</v>
      </c>
      <c r="E1720" s="92" t="s">
        <v>1198</v>
      </c>
      <c r="F1720" s="42" t="s">
        <v>146</v>
      </c>
      <c r="G1720" s="42" t="s">
        <v>146</v>
      </c>
      <c r="H1720" s="42">
        <v>476</v>
      </c>
      <c r="I1720" s="42" t="s">
        <v>147</v>
      </c>
      <c r="J1720" s="103" t="s">
        <v>3611</v>
      </c>
      <c r="K1720" s="42" t="s">
        <v>4041</v>
      </c>
      <c r="L1720" s="42" t="str">
        <f>VLOOKUP(Table7[[#This Row],[Baseline Fixture Code]], 'Tables &amp; Ranges'!$A$114:$B$132, 2, FALSE)</f>
        <v>N/A</v>
      </c>
    </row>
    <row r="1721" spans="2:12" ht="40" customHeight="1">
      <c r="B1721" s="42">
        <v>527</v>
      </c>
      <c r="C1721" s="102" t="s">
        <v>1199</v>
      </c>
      <c r="D1721" s="102" t="s">
        <v>247</v>
      </c>
      <c r="E1721" s="92" t="s">
        <v>1200</v>
      </c>
      <c r="F1721" s="42" t="s">
        <v>146</v>
      </c>
      <c r="G1721" s="42" t="s">
        <v>146</v>
      </c>
      <c r="H1721" s="42">
        <v>477</v>
      </c>
      <c r="I1721" s="42" t="s">
        <v>147</v>
      </c>
      <c r="J1721" s="103" t="s">
        <v>3611</v>
      </c>
      <c r="K1721" s="42" t="s">
        <v>4041</v>
      </c>
      <c r="L1721" s="42" t="str">
        <f>VLOOKUP(Table7[[#This Row],[Baseline Fixture Code]], 'Tables &amp; Ranges'!$A$114:$B$132, 2, FALSE)</f>
        <v>N/A</v>
      </c>
    </row>
    <row r="1722" spans="2:12" ht="40" customHeight="1">
      <c r="B1722" s="42">
        <v>528</v>
      </c>
      <c r="C1722" s="102" t="s">
        <v>1201</v>
      </c>
      <c r="D1722" s="102" t="s">
        <v>247</v>
      </c>
      <c r="E1722" s="92" t="s">
        <v>1202</v>
      </c>
      <c r="F1722" s="42" t="s">
        <v>146</v>
      </c>
      <c r="G1722" s="42" t="s">
        <v>146</v>
      </c>
      <c r="H1722" s="42">
        <v>478</v>
      </c>
      <c r="I1722" s="42" t="s">
        <v>147</v>
      </c>
      <c r="J1722" s="103" t="s">
        <v>3611</v>
      </c>
      <c r="K1722" s="42" t="s">
        <v>4041</v>
      </c>
      <c r="L1722" s="42" t="str">
        <f>VLOOKUP(Table7[[#This Row],[Baseline Fixture Code]], 'Tables &amp; Ranges'!$A$114:$B$132, 2, FALSE)</f>
        <v>N/A</v>
      </c>
    </row>
    <row r="1723" spans="2:12" ht="40" customHeight="1">
      <c r="B1723" s="42">
        <v>529</v>
      </c>
      <c r="C1723" s="102" t="s">
        <v>1203</v>
      </c>
      <c r="D1723" s="102" t="s">
        <v>247</v>
      </c>
      <c r="E1723" s="92" t="s">
        <v>1204</v>
      </c>
      <c r="F1723" s="42" t="s">
        <v>146</v>
      </c>
      <c r="G1723" s="42" t="s">
        <v>146</v>
      </c>
      <c r="H1723" s="42">
        <v>479</v>
      </c>
      <c r="I1723" s="42" t="s">
        <v>147</v>
      </c>
      <c r="J1723" s="103" t="s">
        <v>3611</v>
      </c>
      <c r="K1723" s="42" t="s">
        <v>4041</v>
      </c>
      <c r="L1723" s="42" t="str">
        <f>VLOOKUP(Table7[[#This Row],[Baseline Fixture Code]], 'Tables &amp; Ranges'!$A$114:$B$132, 2, FALSE)</f>
        <v>N/A</v>
      </c>
    </row>
    <row r="1724" spans="2:12" ht="40" customHeight="1">
      <c r="B1724" s="42">
        <v>530</v>
      </c>
      <c r="C1724" s="102" t="s">
        <v>1205</v>
      </c>
      <c r="D1724" s="102" t="s">
        <v>247</v>
      </c>
      <c r="E1724" s="92" t="s">
        <v>1206</v>
      </c>
      <c r="F1724" s="42" t="s">
        <v>146</v>
      </c>
      <c r="G1724" s="42" t="s">
        <v>146</v>
      </c>
      <c r="H1724" s="42">
        <v>480</v>
      </c>
      <c r="I1724" s="42" t="s">
        <v>147</v>
      </c>
      <c r="J1724" s="103" t="s">
        <v>3611</v>
      </c>
      <c r="K1724" s="42" t="s">
        <v>4041</v>
      </c>
      <c r="L1724" s="42" t="str">
        <f>VLOOKUP(Table7[[#This Row],[Baseline Fixture Code]], 'Tables &amp; Ranges'!$A$114:$B$132, 2, FALSE)</f>
        <v>N/A</v>
      </c>
    </row>
    <row r="1725" spans="2:12" ht="40" customHeight="1">
      <c r="B1725" s="42">
        <v>531</v>
      </c>
      <c r="C1725" s="102" t="s">
        <v>1207</v>
      </c>
      <c r="D1725" s="102" t="s">
        <v>247</v>
      </c>
      <c r="E1725" s="92" t="s">
        <v>1208</v>
      </c>
      <c r="F1725" s="42" t="s">
        <v>146</v>
      </c>
      <c r="G1725" s="42" t="s">
        <v>146</v>
      </c>
      <c r="H1725" s="42">
        <v>481</v>
      </c>
      <c r="I1725" s="42" t="s">
        <v>147</v>
      </c>
      <c r="J1725" s="103" t="s">
        <v>3611</v>
      </c>
      <c r="K1725" s="42" t="s">
        <v>4041</v>
      </c>
      <c r="L1725" s="42" t="str">
        <f>VLOOKUP(Table7[[#This Row],[Baseline Fixture Code]], 'Tables &amp; Ranges'!$A$114:$B$132, 2, FALSE)</f>
        <v>N/A</v>
      </c>
    </row>
    <row r="1726" spans="2:12" ht="40" customHeight="1">
      <c r="B1726" s="42">
        <v>532</v>
      </c>
      <c r="C1726" s="102" t="s">
        <v>1209</v>
      </c>
      <c r="D1726" s="102" t="s">
        <v>247</v>
      </c>
      <c r="E1726" s="92" t="s">
        <v>1210</v>
      </c>
      <c r="F1726" s="42" t="s">
        <v>146</v>
      </c>
      <c r="G1726" s="42" t="s">
        <v>146</v>
      </c>
      <c r="H1726" s="42">
        <v>482</v>
      </c>
      <c r="I1726" s="42" t="s">
        <v>147</v>
      </c>
      <c r="J1726" s="103" t="s">
        <v>3611</v>
      </c>
      <c r="K1726" s="42" t="s">
        <v>4041</v>
      </c>
      <c r="L1726" s="42" t="str">
        <f>VLOOKUP(Table7[[#This Row],[Baseline Fixture Code]], 'Tables &amp; Ranges'!$A$114:$B$132, 2, FALSE)</f>
        <v>N/A</v>
      </c>
    </row>
    <row r="1727" spans="2:12" ht="40" customHeight="1">
      <c r="B1727" s="42">
        <v>533</v>
      </c>
      <c r="C1727" s="102" t="s">
        <v>1211</v>
      </c>
      <c r="D1727" s="102" t="s">
        <v>247</v>
      </c>
      <c r="E1727" s="92" t="s">
        <v>1212</v>
      </c>
      <c r="F1727" s="42" t="s">
        <v>146</v>
      </c>
      <c r="G1727" s="42" t="s">
        <v>146</v>
      </c>
      <c r="H1727" s="42">
        <v>483</v>
      </c>
      <c r="I1727" s="42" t="s">
        <v>147</v>
      </c>
      <c r="J1727" s="103" t="s">
        <v>3611</v>
      </c>
      <c r="K1727" s="42" t="s">
        <v>4041</v>
      </c>
      <c r="L1727" s="42" t="str">
        <f>VLOOKUP(Table7[[#This Row],[Baseline Fixture Code]], 'Tables &amp; Ranges'!$A$114:$B$132, 2, FALSE)</f>
        <v>N/A</v>
      </c>
    </row>
    <row r="1728" spans="2:12" ht="40" customHeight="1">
      <c r="B1728" s="42">
        <v>534</v>
      </c>
      <c r="C1728" s="102" t="s">
        <v>1213</v>
      </c>
      <c r="D1728" s="102" t="s">
        <v>247</v>
      </c>
      <c r="E1728" s="92" t="s">
        <v>1214</v>
      </c>
      <c r="F1728" s="42" t="s">
        <v>146</v>
      </c>
      <c r="G1728" s="42" t="s">
        <v>146</v>
      </c>
      <c r="H1728" s="42">
        <v>484</v>
      </c>
      <c r="I1728" s="42" t="s">
        <v>147</v>
      </c>
      <c r="J1728" s="103" t="s">
        <v>3611</v>
      </c>
      <c r="K1728" s="42" t="s">
        <v>4041</v>
      </c>
      <c r="L1728" s="42" t="str">
        <f>VLOOKUP(Table7[[#This Row],[Baseline Fixture Code]], 'Tables &amp; Ranges'!$A$114:$B$132, 2, FALSE)</f>
        <v>N/A</v>
      </c>
    </row>
    <row r="1729" spans="2:12" ht="40" customHeight="1">
      <c r="B1729" s="42">
        <v>535</v>
      </c>
      <c r="C1729" s="102" t="s">
        <v>1215</v>
      </c>
      <c r="D1729" s="102" t="s">
        <v>247</v>
      </c>
      <c r="E1729" s="92" t="s">
        <v>1216</v>
      </c>
      <c r="F1729" s="42" t="s">
        <v>146</v>
      </c>
      <c r="G1729" s="42" t="s">
        <v>146</v>
      </c>
      <c r="H1729" s="42">
        <v>485</v>
      </c>
      <c r="I1729" s="42" t="s">
        <v>147</v>
      </c>
      <c r="J1729" s="103" t="s">
        <v>3611</v>
      </c>
      <c r="K1729" s="42" t="s">
        <v>4041</v>
      </c>
      <c r="L1729" s="42" t="str">
        <f>VLOOKUP(Table7[[#This Row],[Baseline Fixture Code]], 'Tables &amp; Ranges'!$A$114:$B$132, 2, FALSE)</f>
        <v>N/A</v>
      </c>
    </row>
    <row r="1730" spans="2:12" ht="40" customHeight="1">
      <c r="B1730" s="42">
        <v>536</v>
      </c>
      <c r="C1730" s="102" t="s">
        <v>1217</v>
      </c>
      <c r="D1730" s="102" t="s">
        <v>247</v>
      </c>
      <c r="E1730" s="92" t="s">
        <v>1218</v>
      </c>
      <c r="F1730" s="42" t="s">
        <v>146</v>
      </c>
      <c r="G1730" s="42" t="s">
        <v>146</v>
      </c>
      <c r="H1730" s="42">
        <v>486</v>
      </c>
      <c r="I1730" s="42" t="s">
        <v>147</v>
      </c>
      <c r="J1730" s="103" t="s">
        <v>3611</v>
      </c>
      <c r="K1730" s="42" t="s">
        <v>4041</v>
      </c>
      <c r="L1730" s="42" t="str">
        <f>VLOOKUP(Table7[[#This Row],[Baseline Fixture Code]], 'Tables &amp; Ranges'!$A$114:$B$132, 2, FALSE)</f>
        <v>N/A</v>
      </c>
    </row>
    <row r="1731" spans="2:12" ht="40" customHeight="1">
      <c r="B1731" s="42">
        <v>537</v>
      </c>
      <c r="C1731" s="102" t="s">
        <v>1219</v>
      </c>
      <c r="D1731" s="102" t="s">
        <v>247</v>
      </c>
      <c r="E1731" s="92" t="s">
        <v>1220</v>
      </c>
      <c r="F1731" s="42" t="s">
        <v>146</v>
      </c>
      <c r="G1731" s="42" t="s">
        <v>146</v>
      </c>
      <c r="H1731" s="42">
        <v>487</v>
      </c>
      <c r="I1731" s="42" t="s">
        <v>147</v>
      </c>
      <c r="J1731" s="103" t="s">
        <v>3611</v>
      </c>
      <c r="K1731" s="42" t="s">
        <v>4041</v>
      </c>
      <c r="L1731" s="42" t="str">
        <f>VLOOKUP(Table7[[#This Row],[Baseline Fixture Code]], 'Tables &amp; Ranges'!$A$114:$B$132, 2, FALSE)</f>
        <v>N/A</v>
      </c>
    </row>
    <row r="1732" spans="2:12" ht="40" customHeight="1">
      <c r="B1732" s="42">
        <v>538</v>
      </c>
      <c r="C1732" s="102" t="s">
        <v>1221</v>
      </c>
      <c r="D1732" s="102" t="s">
        <v>247</v>
      </c>
      <c r="E1732" s="92" t="s">
        <v>1222</v>
      </c>
      <c r="F1732" s="42" t="s">
        <v>146</v>
      </c>
      <c r="G1732" s="42" t="s">
        <v>146</v>
      </c>
      <c r="H1732" s="42">
        <v>488</v>
      </c>
      <c r="I1732" s="42" t="s">
        <v>147</v>
      </c>
      <c r="J1732" s="103" t="s">
        <v>3611</v>
      </c>
      <c r="K1732" s="42" t="s">
        <v>4041</v>
      </c>
      <c r="L1732" s="42" t="str">
        <f>VLOOKUP(Table7[[#This Row],[Baseline Fixture Code]], 'Tables &amp; Ranges'!$A$114:$B$132, 2, FALSE)</f>
        <v>N/A</v>
      </c>
    </row>
    <row r="1733" spans="2:12" ht="40" customHeight="1">
      <c r="B1733" s="42">
        <v>539</v>
      </c>
      <c r="C1733" s="102" t="s">
        <v>1223</v>
      </c>
      <c r="D1733" s="102" t="s">
        <v>247</v>
      </c>
      <c r="E1733" s="92" t="s">
        <v>1224</v>
      </c>
      <c r="F1733" s="42" t="s">
        <v>146</v>
      </c>
      <c r="G1733" s="42" t="s">
        <v>146</v>
      </c>
      <c r="H1733" s="42">
        <v>489</v>
      </c>
      <c r="I1733" s="42" t="s">
        <v>147</v>
      </c>
      <c r="J1733" s="103" t="s">
        <v>3611</v>
      </c>
      <c r="K1733" s="42" t="s">
        <v>4041</v>
      </c>
      <c r="L1733" s="42" t="str">
        <f>VLOOKUP(Table7[[#This Row],[Baseline Fixture Code]], 'Tables &amp; Ranges'!$A$114:$B$132, 2, FALSE)</f>
        <v>N/A</v>
      </c>
    </row>
    <row r="1734" spans="2:12" ht="40" customHeight="1">
      <c r="B1734" s="42">
        <v>540</v>
      </c>
      <c r="C1734" s="102" t="s">
        <v>1225</v>
      </c>
      <c r="D1734" s="102" t="s">
        <v>247</v>
      </c>
      <c r="E1734" s="92" t="s">
        <v>1226</v>
      </c>
      <c r="F1734" s="42" t="s">
        <v>146</v>
      </c>
      <c r="G1734" s="42" t="s">
        <v>146</v>
      </c>
      <c r="H1734" s="42">
        <v>490</v>
      </c>
      <c r="I1734" s="42" t="s">
        <v>147</v>
      </c>
      <c r="J1734" s="103" t="s">
        <v>3611</v>
      </c>
      <c r="K1734" s="42" t="s">
        <v>4041</v>
      </c>
      <c r="L1734" s="42" t="str">
        <f>VLOOKUP(Table7[[#This Row],[Baseline Fixture Code]], 'Tables &amp; Ranges'!$A$114:$B$132, 2, FALSE)</f>
        <v>N/A</v>
      </c>
    </row>
    <row r="1735" spans="2:12" ht="40" customHeight="1">
      <c r="B1735" s="42">
        <v>541</v>
      </c>
      <c r="C1735" s="102" t="s">
        <v>1227</v>
      </c>
      <c r="D1735" s="102" t="s">
        <v>247</v>
      </c>
      <c r="E1735" s="92" t="s">
        <v>1228</v>
      </c>
      <c r="F1735" s="42" t="s">
        <v>146</v>
      </c>
      <c r="G1735" s="42" t="s">
        <v>146</v>
      </c>
      <c r="H1735" s="42">
        <v>491</v>
      </c>
      <c r="I1735" s="42" t="s">
        <v>147</v>
      </c>
      <c r="J1735" s="103" t="s">
        <v>3611</v>
      </c>
      <c r="K1735" s="42" t="s">
        <v>4041</v>
      </c>
      <c r="L1735" s="42" t="str">
        <f>VLOOKUP(Table7[[#This Row],[Baseline Fixture Code]], 'Tables &amp; Ranges'!$A$114:$B$132, 2, FALSE)</f>
        <v>N/A</v>
      </c>
    </row>
    <row r="1736" spans="2:12" ht="40" customHeight="1">
      <c r="B1736" s="42">
        <v>542</v>
      </c>
      <c r="C1736" s="102" t="s">
        <v>1229</v>
      </c>
      <c r="D1736" s="102" t="s">
        <v>247</v>
      </c>
      <c r="E1736" s="92" t="s">
        <v>1230</v>
      </c>
      <c r="F1736" s="42" t="s">
        <v>146</v>
      </c>
      <c r="G1736" s="42" t="s">
        <v>146</v>
      </c>
      <c r="H1736" s="42">
        <v>492</v>
      </c>
      <c r="I1736" s="42" t="s">
        <v>147</v>
      </c>
      <c r="J1736" s="103" t="s">
        <v>3611</v>
      </c>
      <c r="K1736" s="42" t="s">
        <v>4041</v>
      </c>
      <c r="L1736" s="42" t="str">
        <f>VLOOKUP(Table7[[#This Row],[Baseline Fixture Code]], 'Tables &amp; Ranges'!$A$114:$B$132, 2, FALSE)</f>
        <v>N/A</v>
      </c>
    </row>
    <row r="1737" spans="2:12" ht="40" customHeight="1">
      <c r="B1737" s="42">
        <v>543</v>
      </c>
      <c r="C1737" s="102" t="s">
        <v>1231</v>
      </c>
      <c r="D1737" s="102" t="s">
        <v>247</v>
      </c>
      <c r="E1737" s="92" t="s">
        <v>1232</v>
      </c>
      <c r="F1737" s="42" t="s">
        <v>146</v>
      </c>
      <c r="G1737" s="42" t="s">
        <v>146</v>
      </c>
      <c r="H1737" s="42">
        <v>493</v>
      </c>
      <c r="I1737" s="42" t="s">
        <v>147</v>
      </c>
      <c r="J1737" s="103" t="s">
        <v>3611</v>
      </c>
      <c r="K1737" s="42" t="s">
        <v>4041</v>
      </c>
      <c r="L1737" s="42" t="str">
        <f>VLOOKUP(Table7[[#This Row],[Baseline Fixture Code]], 'Tables &amp; Ranges'!$A$114:$B$132, 2, FALSE)</f>
        <v>N/A</v>
      </c>
    </row>
    <row r="1738" spans="2:12" ht="40" customHeight="1">
      <c r="B1738" s="42">
        <v>544</v>
      </c>
      <c r="C1738" s="102" t="s">
        <v>1233</v>
      </c>
      <c r="D1738" s="102" t="s">
        <v>247</v>
      </c>
      <c r="E1738" s="92" t="s">
        <v>1234</v>
      </c>
      <c r="F1738" s="42" t="s">
        <v>146</v>
      </c>
      <c r="G1738" s="42" t="s">
        <v>146</v>
      </c>
      <c r="H1738" s="42">
        <v>494</v>
      </c>
      <c r="I1738" s="42" t="s">
        <v>147</v>
      </c>
      <c r="J1738" s="103" t="s">
        <v>3611</v>
      </c>
      <c r="K1738" s="42" t="s">
        <v>4041</v>
      </c>
      <c r="L1738" s="42" t="str">
        <f>VLOOKUP(Table7[[#This Row],[Baseline Fixture Code]], 'Tables &amp; Ranges'!$A$114:$B$132, 2, FALSE)</f>
        <v>N/A</v>
      </c>
    </row>
    <row r="1739" spans="2:12" ht="40" customHeight="1">
      <c r="B1739" s="42">
        <v>545</v>
      </c>
      <c r="C1739" s="102" t="s">
        <v>1235</v>
      </c>
      <c r="D1739" s="102" t="s">
        <v>247</v>
      </c>
      <c r="E1739" s="92" t="s">
        <v>1236</v>
      </c>
      <c r="F1739" s="42" t="s">
        <v>146</v>
      </c>
      <c r="G1739" s="42" t="s">
        <v>146</v>
      </c>
      <c r="H1739" s="42">
        <v>495</v>
      </c>
      <c r="I1739" s="42" t="s">
        <v>147</v>
      </c>
      <c r="J1739" s="103" t="s">
        <v>3611</v>
      </c>
      <c r="K1739" s="42" t="s">
        <v>4041</v>
      </c>
      <c r="L1739" s="42" t="str">
        <f>VLOOKUP(Table7[[#This Row],[Baseline Fixture Code]], 'Tables &amp; Ranges'!$A$114:$B$132, 2, FALSE)</f>
        <v>N/A</v>
      </c>
    </row>
    <row r="1740" spans="2:12" ht="40" customHeight="1">
      <c r="B1740" s="42">
        <v>546</v>
      </c>
      <c r="C1740" s="102" t="s">
        <v>1237</v>
      </c>
      <c r="D1740" s="102" t="s">
        <v>247</v>
      </c>
      <c r="E1740" s="92" t="s">
        <v>1238</v>
      </c>
      <c r="F1740" s="42" t="s">
        <v>146</v>
      </c>
      <c r="G1740" s="42" t="s">
        <v>146</v>
      </c>
      <c r="H1740" s="42">
        <v>496</v>
      </c>
      <c r="I1740" s="42" t="s">
        <v>147</v>
      </c>
      <c r="J1740" s="103" t="s">
        <v>3611</v>
      </c>
      <c r="K1740" s="42" t="s">
        <v>4041</v>
      </c>
      <c r="L1740" s="42" t="str">
        <f>VLOOKUP(Table7[[#This Row],[Baseline Fixture Code]], 'Tables &amp; Ranges'!$A$114:$B$132, 2, FALSE)</f>
        <v>N/A</v>
      </c>
    </row>
    <row r="1741" spans="2:12" ht="40" customHeight="1">
      <c r="B1741" s="42">
        <v>547</v>
      </c>
      <c r="C1741" s="102" t="s">
        <v>1239</v>
      </c>
      <c r="D1741" s="102" t="s">
        <v>247</v>
      </c>
      <c r="E1741" s="92" t="s">
        <v>1240</v>
      </c>
      <c r="F1741" s="42" t="s">
        <v>146</v>
      </c>
      <c r="G1741" s="42" t="s">
        <v>146</v>
      </c>
      <c r="H1741" s="42">
        <v>497</v>
      </c>
      <c r="I1741" s="42" t="s">
        <v>147</v>
      </c>
      <c r="J1741" s="103" t="s">
        <v>3611</v>
      </c>
      <c r="K1741" s="42" t="s">
        <v>4041</v>
      </c>
      <c r="L1741" s="42" t="str">
        <f>VLOOKUP(Table7[[#This Row],[Baseline Fixture Code]], 'Tables &amp; Ranges'!$A$114:$B$132, 2, FALSE)</f>
        <v>N/A</v>
      </c>
    </row>
    <row r="1742" spans="2:12" ht="40" customHeight="1">
      <c r="B1742" s="42">
        <v>548</v>
      </c>
      <c r="C1742" s="102" t="s">
        <v>1241</v>
      </c>
      <c r="D1742" s="102" t="s">
        <v>247</v>
      </c>
      <c r="E1742" s="92" t="s">
        <v>1242</v>
      </c>
      <c r="F1742" s="42" t="s">
        <v>146</v>
      </c>
      <c r="G1742" s="42" t="s">
        <v>146</v>
      </c>
      <c r="H1742" s="42">
        <v>498</v>
      </c>
      <c r="I1742" s="42" t="s">
        <v>147</v>
      </c>
      <c r="J1742" s="103" t="s">
        <v>3611</v>
      </c>
      <c r="K1742" s="42" t="s">
        <v>4041</v>
      </c>
      <c r="L1742" s="42" t="str">
        <f>VLOOKUP(Table7[[#This Row],[Baseline Fixture Code]], 'Tables &amp; Ranges'!$A$114:$B$132, 2, FALSE)</f>
        <v>N/A</v>
      </c>
    </row>
    <row r="1743" spans="2:12" ht="40" customHeight="1">
      <c r="B1743" s="42">
        <v>549</v>
      </c>
      <c r="C1743" s="102" t="s">
        <v>1243</v>
      </c>
      <c r="D1743" s="102" t="s">
        <v>247</v>
      </c>
      <c r="E1743" s="92" t="s">
        <v>1244</v>
      </c>
      <c r="F1743" s="42" t="s">
        <v>146</v>
      </c>
      <c r="G1743" s="42" t="s">
        <v>146</v>
      </c>
      <c r="H1743" s="42">
        <v>499</v>
      </c>
      <c r="I1743" s="42" t="s">
        <v>147</v>
      </c>
      <c r="J1743" s="103" t="s">
        <v>3611</v>
      </c>
      <c r="K1743" s="42" t="s">
        <v>4041</v>
      </c>
      <c r="L1743" s="42" t="str">
        <f>VLOOKUP(Table7[[#This Row],[Baseline Fixture Code]], 'Tables &amp; Ranges'!$A$114:$B$132, 2, FALSE)</f>
        <v>N/A</v>
      </c>
    </row>
    <row r="1744" spans="2:12" ht="40" customHeight="1">
      <c r="B1744" s="42">
        <v>550</v>
      </c>
      <c r="C1744" s="102" t="s">
        <v>1245</v>
      </c>
      <c r="D1744" s="102" t="s">
        <v>247</v>
      </c>
      <c r="E1744" s="92" t="s">
        <v>1246</v>
      </c>
      <c r="F1744" s="42" t="s">
        <v>146</v>
      </c>
      <c r="G1744" s="42" t="s">
        <v>146</v>
      </c>
      <c r="H1744" s="42">
        <v>500</v>
      </c>
      <c r="I1744" s="42" t="s">
        <v>147</v>
      </c>
      <c r="J1744" s="103" t="s">
        <v>3611</v>
      </c>
      <c r="K1744" s="42" t="s">
        <v>4041</v>
      </c>
      <c r="L1744" s="42" t="str">
        <f>VLOOKUP(Table7[[#This Row],[Baseline Fixture Code]], 'Tables &amp; Ranges'!$A$114:$B$132, 2, FALSE)</f>
        <v>N/A</v>
      </c>
    </row>
    <row r="1745" spans="2:12" ht="40" customHeight="1">
      <c r="B1745" s="42">
        <v>551</v>
      </c>
      <c r="C1745" s="102" t="s">
        <v>1247</v>
      </c>
      <c r="D1745" s="102" t="s">
        <v>247</v>
      </c>
      <c r="E1745" s="92" t="s">
        <v>1248</v>
      </c>
      <c r="F1745" s="42" t="s">
        <v>146</v>
      </c>
      <c r="G1745" s="42" t="s">
        <v>146</v>
      </c>
      <c r="H1745" s="42">
        <v>505</v>
      </c>
      <c r="I1745" s="42" t="s">
        <v>147</v>
      </c>
      <c r="J1745" s="103" t="s">
        <v>3611</v>
      </c>
      <c r="K1745" s="42" t="s">
        <v>4041</v>
      </c>
      <c r="L1745" s="42" t="str">
        <f>VLOOKUP(Table7[[#This Row],[Baseline Fixture Code]], 'Tables &amp; Ranges'!$A$114:$B$132, 2, FALSE)</f>
        <v>N/A</v>
      </c>
    </row>
    <row r="1746" spans="2:12" ht="40" customHeight="1">
      <c r="B1746" s="42">
        <v>552</v>
      </c>
      <c r="C1746" s="102" t="s">
        <v>1249</v>
      </c>
      <c r="D1746" s="102" t="s">
        <v>247</v>
      </c>
      <c r="E1746" s="92" t="s">
        <v>1250</v>
      </c>
      <c r="F1746" s="42" t="s">
        <v>146</v>
      </c>
      <c r="G1746" s="42" t="s">
        <v>146</v>
      </c>
      <c r="H1746" s="42">
        <v>510</v>
      </c>
      <c r="I1746" s="42" t="s">
        <v>147</v>
      </c>
      <c r="J1746" s="103" t="s">
        <v>3611</v>
      </c>
      <c r="K1746" s="42" t="s">
        <v>4041</v>
      </c>
      <c r="L1746" s="42" t="str">
        <f>VLOOKUP(Table7[[#This Row],[Baseline Fixture Code]], 'Tables &amp; Ranges'!$A$114:$B$132, 2, FALSE)</f>
        <v>N/A</v>
      </c>
    </row>
    <row r="1747" spans="2:12" ht="40" customHeight="1">
      <c r="B1747" s="42">
        <v>553</v>
      </c>
      <c r="C1747" s="102" t="s">
        <v>1251</v>
      </c>
      <c r="D1747" s="102" t="s">
        <v>247</v>
      </c>
      <c r="E1747" s="92" t="s">
        <v>1252</v>
      </c>
      <c r="F1747" s="42" t="s">
        <v>146</v>
      </c>
      <c r="G1747" s="42" t="s">
        <v>146</v>
      </c>
      <c r="H1747" s="42">
        <v>515</v>
      </c>
      <c r="I1747" s="42" t="s">
        <v>147</v>
      </c>
      <c r="J1747" s="103" t="s">
        <v>3611</v>
      </c>
      <c r="K1747" s="42" t="s">
        <v>4041</v>
      </c>
      <c r="L1747" s="42" t="str">
        <f>VLOOKUP(Table7[[#This Row],[Baseline Fixture Code]], 'Tables &amp; Ranges'!$A$114:$B$132, 2, FALSE)</f>
        <v>N/A</v>
      </c>
    </row>
    <row r="1748" spans="2:12" ht="40" customHeight="1">
      <c r="B1748" s="42">
        <v>554</v>
      </c>
      <c r="C1748" s="102" t="s">
        <v>1253</v>
      </c>
      <c r="D1748" s="102" t="s">
        <v>247</v>
      </c>
      <c r="E1748" s="92" t="s">
        <v>1254</v>
      </c>
      <c r="F1748" s="42" t="s">
        <v>146</v>
      </c>
      <c r="G1748" s="42" t="s">
        <v>146</v>
      </c>
      <c r="H1748" s="42">
        <v>520</v>
      </c>
      <c r="I1748" s="42" t="s">
        <v>147</v>
      </c>
      <c r="J1748" s="103" t="s">
        <v>3611</v>
      </c>
      <c r="K1748" s="42" t="s">
        <v>4041</v>
      </c>
      <c r="L1748" s="42" t="str">
        <f>VLOOKUP(Table7[[#This Row],[Baseline Fixture Code]], 'Tables &amp; Ranges'!$A$114:$B$132, 2, FALSE)</f>
        <v>N/A</v>
      </c>
    </row>
    <row r="1749" spans="2:12" ht="40" customHeight="1">
      <c r="B1749" s="42">
        <v>555</v>
      </c>
      <c r="C1749" s="102" t="s">
        <v>1255</v>
      </c>
      <c r="D1749" s="102" t="s">
        <v>247</v>
      </c>
      <c r="E1749" s="92" t="s">
        <v>1256</v>
      </c>
      <c r="F1749" s="42" t="s">
        <v>146</v>
      </c>
      <c r="G1749" s="42" t="s">
        <v>146</v>
      </c>
      <c r="H1749" s="42">
        <v>525</v>
      </c>
      <c r="I1749" s="42" t="s">
        <v>147</v>
      </c>
      <c r="J1749" s="103" t="s">
        <v>3611</v>
      </c>
      <c r="K1749" s="42" t="s">
        <v>4041</v>
      </c>
      <c r="L1749" s="42" t="str">
        <f>VLOOKUP(Table7[[#This Row],[Baseline Fixture Code]], 'Tables &amp; Ranges'!$A$114:$B$132, 2, FALSE)</f>
        <v>N/A</v>
      </c>
    </row>
    <row r="1750" spans="2:12" ht="40" customHeight="1">
      <c r="B1750" s="42">
        <v>556</v>
      </c>
      <c r="C1750" s="102" t="s">
        <v>1257</v>
      </c>
      <c r="D1750" s="102" t="s">
        <v>247</v>
      </c>
      <c r="E1750" s="92" t="s">
        <v>1258</v>
      </c>
      <c r="F1750" s="42" t="s">
        <v>146</v>
      </c>
      <c r="G1750" s="42" t="s">
        <v>146</v>
      </c>
      <c r="H1750" s="42">
        <v>530</v>
      </c>
      <c r="I1750" s="42" t="s">
        <v>147</v>
      </c>
      <c r="J1750" s="103" t="s">
        <v>3611</v>
      </c>
      <c r="K1750" s="42" t="s">
        <v>4041</v>
      </c>
      <c r="L1750" s="42" t="str">
        <f>VLOOKUP(Table7[[#This Row],[Baseline Fixture Code]], 'Tables &amp; Ranges'!$A$114:$B$132, 2, FALSE)</f>
        <v>N/A</v>
      </c>
    </row>
    <row r="1751" spans="2:12" ht="40" customHeight="1">
      <c r="B1751" s="42">
        <v>557</v>
      </c>
      <c r="C1751" s="102" t="s">
        <v>1259</v>
      </c>
      <c r="D1751" s="102" t="s">
        <v>247</v>
      </c>
      <c r="E1751" s="92" t="s">
        <v>1260</v>
      </c>
      <c r="F1751" s="42" t="s">
        <v>146</v>
      </c>
      <c r="G1751" s="42" t="s">
        <v>146</v>
      </c>
      <c r="H1751" s="42">
        <v>535</v>
      </c>
      <c r="I1751" s="42" t="s">
        <v>147</v>
      </c>
      <c r="J1751" s="103" t="s">
        <v>3611</v>
      </c>
      <c r="K1751" s="42" t="s">
        <v>4041</v>
      </c>
      <c r="L1751" s="42" t="str">
        <f>VLOOKUP(Table7[[#This Row],[Baseline Fixture Code]], 'Tables &amp; Ranges'!$A$114:$B$132, 2, FALSE)</f>
        <v>N/A</v>
      </c>
    </row>
    <row r="1752" spans="2:12" ht="40" customHeight="1">
      <c r="B1752" s="42">
        <v>558</v>
      </c>
      <c r="C1752" s="102" t="s">
        <v>1261</v>
      </c>
      <c r="D1752" s="102" t="s">
        <v>247</v>
      </c>
      <c r="E1752" s="92" t="s">
        <v>1262</v>
      </c>
      <c r="F1752" s="42" t="s">
        <v>146</v>
      </c>
      <c r="G1752" s="42" t="s">
        <v>146</v>
      </c>
      <c r="H1752" s="42">
        <v>540</v>
      </c>
      <c r="I1752" s="42" t="s">
        <v>147</v>
      </c>
      <c r="J1752" s="103" t="s">
        <v>3611</v>
      </c>
      <c r="K1752" s="42" t="s">
        <v>4041</v>
      </c>
      <c r="L1752" s="42" t="str">
        <f>VLOOKUP(Table7[[#This Row],[Baseline Fixture Code]], 'Tables &amp; Ranges'!$A$114:$B$132, 2, FALSE)</f>
        <v>N/A</v>
      </c>
    </row>
    <row r="1753" spans="2:12" ht="40" customHeight="1">
      <c r="B1753" s="42">
        <v>559</v>
      </c>
      <c r="C1753" s="102" t="s">
        <v>1263</v>
      </c>
      <c r="D1753" s="102" t="s">
        <v>247</v>
      </c>
      <c r="E1753" s="92" t="s">
        <v>1264</v>
      </c>
      <c r="F1753" s="42" t="s">
        <v>146</v>
      </c>
      <c r="G1753" s="42" t="s">
        <v>146</v>
      </c>
      <c r="H1753" s="42">
        <v>545</v>
      </c>
      <c r="I1753" s="42" t="s">
        <v>147</v>
      </c>
      <c r="J1753" s="103" t="s">
        <v>3611</v>
      </c>
      <c r="K1753" s="42" t="s">
        <v>4041</v>
      </c>
      <c r="L1753" s="42" t="str">
        <f>VLOOKUP(Table7[[#This Row],[Baseline Fixture Code]], 'Tables &amp; Ranges'!$A$114:$B$132, 2, FALSE)</f>
        <v>N/A</v>
      </c>
    </row>
    <row r="1754" spans="2:12" ht="40" customHeight="1">
      <c r="B1754" s="42">
        <v>560</v>
      </c>
      <c r="C1754" s="102" t="s">
        <v>1265</v>
      </c>
      <c r="D1754" s="102" t="s">
        <v>247</v>
      </c>
      <c r="E1754" s="92" t="s">
        <v>1266</v>
      </c>
      <c r="F1754" s="42" t="s">
        <v>146</v>
      </c>
      <c r="G1754" s="42" t="s">
        <v>146</v>
      </c>
      <c r="H1754" s="42">
        <v>550</v>
      </c>
      <c r="I1754" s="42" t="s">
        <v>147</v>
      </c>
      <c r="J1754" s="103" t="s">
        <v>3611</v>
      </c>
      <c r="K1754" s="42" t="s">
        <v>4041</v>
      </c>
      <c r="L1754" s="42" t="str">
        <f>VLOOKUP(Table7[[#This Row],[Baseline Fixture Code]], 'Tables &amp; Ranges'!$A$114:$B$132, 2, FALSE)</f>
        <v>N/A</v>
      </c>
    </row>
    <row r="1755" spans="2:12" ht="40" customHeight="1">
      <c r="B1755" s="42">
        <v>1753</v>
      </c>
      <c r="C1755" s="102" t="s">
        <v>3501</v>
      </c>
      <c r="D1755" s="102" t="s">
        <v>1455</v>
      </c>
      <c r="E1755" s="92" t="s">
        <v>3502</v>
      </c>
      <c r="F1755" s="42">
        <v>1</v>
      </c>
      <c r="G1755" s="42">
        <v>26</v>
      </c>
      <c r="H1755" s="42">
        <v>26</v>
      </c>
      <c r="I1755" s="42" t="s">
        <v>146</v>
      </c>
      <c r="J1755" s="103" t="s">
        <v>3611</v>
      </c>
      <c r="K1755" s="95" t="s">
        <v>4046</v>
      </c>
      <c r="L1755" s="42">
        <f>VLOOKUP(Table7[[#This Row],[Baseline Fixture Code]], 'Tables &amp; Ranges'!$A$114:$B$132, 2, FALSE)</f>
        <v>101112</v>
      </c>
    </row>
    <row r="1756" spans="2:12" ht="40" customHeight="1">
      <c r="B1756" s="42">
        <v>1754</v>
      </c>
      <c r="C1756" s="102" t="s">
        <v>3503</v>
      </c>
      <c r="D1756" s="102" t="s">
        <v>1455</v>
      </c>
      <c r="E1756" s="92" t="s">
        <v>3504</v>
      </c>
      <c r="F1756" s="42">
        <v>1</v>
      </c>
      <c r="G1756" s="42">
        <v>26</v>
      </c>
      <c r="H1756" s="42">
        <v>26</v>
      </c>
      <c r="I1756" s="42" t="s">
        <v>146</v>
      </c>
      <c r="J1756" s="103" t="s">
        <v>3611</v>
      </c>
      <c r="K1756" s="95" t="s">
        <v>4046</v>
      </c>
      <c r="L1756" s="42">
        <f>VLOOKUP(Table7[[#This Row],[Baseline Fixture Code]], 'Tables &amp; Ranges'!$A$114:$B$132, 2, FALSE)</f>
        <v>101112</v>
      </c>
    </row>
    <row r="1757" spans="2:12" ht="40" customHeight="1">
      <c r="B1757" s="42">
        <v>1755</v>
      </c>
      <c r="C1757" s="102" t="s">
        <v>3505</v>
      </c>
      <c r="D1757" s="102" t="s">
        <v>1455</v>
      </c>
      <c r="E1757" s="92" t="s">
        <v>3506</v>
      </c>
      <c r="F1757" s="42">
        <v>1</v>
      </c>
      <c r="G1757" s="42">
        <v>81</v>
      </c>
      <c r="H1757" s="42">
        <v>81</v>
      </c>
      <c r="I1757" s="42" t="s">
        <v>146</v>
      </c>
      <c r="J1757" s="103" t="s">
        <v>3611</v>
      </c>
      <c r="K1757" s="95" t="s">
        <v>4046</v>
      </c>
      <c r="L1757" s="42">
        <f>VLOOKUP(Table7[[#This Row],[Baseline Fixture Code]], 'Tables &amp; Ranges'!$A$114:$B$132, 2, FALSE)</f>
        <v>101112</v>
      </c>
    </row>
    <row r="1758" spans="2:12" ht="40" customHeight="1">
      <c r="B1758" s="42">
        <v>1756</v>
      </c>
      <c r="C1758" s="102" t="s">
        <v>3507</v>
      </c>
      <c r="D1758" s="102" t="s">
        <v>1455</v>
      </c>
      <c r="E1758" s="92" t="s">
        <v>3508</v>
      </c>
      <c r="F1758" s="42">
        <v>1</v>
      </c>
      <c r="G1758" s="42">
        <v>45</v>
      </c>
      <c r="H1758" s="42">
        <v>45</v>
      </c>
      <c r="I1758" s="42" t="s">
        <v>146</v>
      </c>
      <c r="J1758" s="103" t="s">
        <v>3611</v>
      </c>
      <c r="K1758" s="95" t="s">
        <v>4046</v>
      </c>
      <c r="L1758" s="42">
        <f>VLOOKUP(Table7[[#This Row],[Baseline Fixture Code]], 'Tables &amp; Ranges'!$A$114:$B$132, 2, FALSE)</f>
        <v>101112</v>
      </c>
    </row>
    <row r="1759" spans="2:12" ht="40" customHeight="1">
      <c r="B1759" s="42">
        <v>1757</v>
      </c>
      <c r="C1759" s="102" t="s">
        <v>3509</v>
      </c>
      <c r="D1759" s="102" t="s">
        <v>1455</v>
      </c>
      <c r="E1759" s="92" t="s">
        <v>3510</v>
      </c>
      <c r="F1759" s="42">
        <v>1</v>
      </c>
      <c r="G1759" s="42">
        <v>38</v>
      </c>
      <c r="H1759" s="42">
        <v>38</v>
      </c>
      <c r="I1759" s="42" t="s">
        <v>146</v>
      </c>
      <c r="J1759" s="103" t="s">
        <v>3611</v>
      </c>
      <c r="K1759" s="95" t="s">
        <v>4046</v>
      </c>
      <c r="L1759" s="42">
        <f>VLOOKUP(Table7[[#This Row],[Baseline Fixture Code]], 'Tables &amp; Ranges'!$A$114:$B$132, 2, FALSE)</f>
        <v>101112</v>
      </c>
    </row>
    <row r="1760" spans="2:12" ht="40" customHeight="1">
      <c r="B1760" s="42">
        <v>1766</v>
      </c>
      <c r="C1760" s="102" t="s">
        <v>3528</v>
      </c>
      <c r="D1760" s="102" t="s">
        <v>3512</v>
      </c>
      <c r="E1760" s="92" t="s">
        <v>3529</v>
      </c>
      <c r="F1760" s="42">
        <v>1</v>
      </c>
      <c r="G1760" s="42">
        <v>128</v>
      </c>
      <c r="H1760" s="42">
        <v>128</v>
      </c>
      <c r="I1760" s="42" t="s">
        <v>146</v>
      </c>
      <c r="J1760" s="103" t="s">
        <v>3611</v>
      </c>
      <c r="K1760" s="42" t="s">
        <v>108</v>
      </c>
      <c r="L1760" s="42" t="str">
        <f>VLOOKUP(Table7[[#This Row],[Baseline Fixture Code]], 'Tables &amp; Ranges'!$A$114:$B$132, 2, FALSE)</f>
        <v>N/A</v>
      </c>
    </row>
    <row r="1761" spans="2:12" ht="40" customHeight="1">
      <c r="B1761" s="42">
        <v>1760</v>
      </c>
      <c r="C1761" s="102" t="s">
        <v>3516</v>
      </c>
      <c r="D1761" s="102" t="s">
        <v>3512</v>
      </c>
      <c r="E1761" s="92" t="s">
        <v>3517</v>
      </c>
      <c r="F1761" s="42">
        <v>1</v>
      </c>
      <c r="G1761" s="42">
        <v>149</v>
      </c>
      <c r="H1761" s="42">
        <v>149</v>
      </c>
      <c r="I1761" s="42" t="s">
        <v>146</v>
      </c>
      <c r="J1761" s="103" t="s">
        <v>3611</v>
      </c>
      <c r="K1761" s="42" t="s">
        <v>108</v>
      </c>
      <c r="L1761" s="42" t="str">
        <f>VLOOKUP(Table7[[#This Row],[Baseline Fixture Code]], 'Tables &amp; Ranges'!$A$114:$B$132, 2, FALSE)</f>
        <v>N/A</v>
      </c>
    </row>
    <row r="1762" spans="2:12" ht="40" customHeight="1">
      <c r="B1762" s="42">
        <v>1764</v>
      </c>
      <c r="C1762" s="102" t="s">
        <v>3524</v>
      </c>
      <c r="D1762" s="102" t="s">
        <v>3512</v>
      </c>
      <c r="E1762" s="92" t="s">
        <v>3525</v>
      </c>
      <c r="F1762" s="42">
        <v>1</v>
      </c>
      <c r="G1762" s="42">
        <v>128</v>
      </c>
      <c r="H1762" s="42">
        <v>128</v>
      </c>
      <c r="I1762" s="42" t="s">
        <v>146</v>
      </c>
      <c r="J1762" s="103" t="s">
        <v>3611</v>
      </c>
      <c r="K1762" s="42" t="s">
        <v>108</v>
      </c>
      <c r="L1762" s="42" t="str">
        <f>VLOOKUP(Table7[[#This Row],[Baseline Fixture Code]], 'Tables &amp; Ranges'!$A$114:$B$132, 2, FALSE)</f>
        <v>N/A</v>
      </c>
    </row>
    <row r="1763" spans="2:12" ht="40" customHeight="1">
      <c r="B1763" s="42">
        <v>1758</v>
      </c>
      <c r="C1763" s="102" t="s">
        <v>3511</v>
      </c>
      <c r="D1763" s="102" t="s">
        <v>3512</v>
      </c>
      <c r="E1763" s="92" t="s">
        <v>3513</v>
      </c>
      <c r="F1763" s="42">
        <v>1</v>
      </c>
      <c r="G1763" s="42">
        <v>149</v>
      </c>
      <c r="H1763" s="42">
        <v>149</v>
      </c>
      <c r="I1763" s="42" t="s">
        <v>146</v>
      </c>
      <c r="J1763" s="103" t="s">
        <v>3611</v>
      </c>
      <c r="K1763" s="42" t="s">
        <v>108</v>
      </c>
      <c r="L1763" s="42" t="str">
        <f>VLOOKUP(Table7[[#This Row],[Baseline Fixture Code]], 'Tables &amp; Ranges'!$A$114:$B$132, 2, FALSE)</f>
        <v>N/A</v>
      </c>
    </row>
    <row r="1764" spans="2:12" ht="40" customHeight="1">
      <c r="B1764" s="42">
        <v>1765</v>
      </c>
      <c r="C1764" s="102" t="s">
        <v>3526</v>
      </c>
      <c r="D1764" s="102" t="s">
        <v>3512</v>
      </c>
      <c r="E1764" s="92" t="s">
        <v>3527</v>
      </c>
      <c r="F1764" s="42">
        <v>1</v>
      </c>
      <c r="G1764" s="42">
        <v>128</v>
      </c>
      <c r="H1764" s="42">
        <v>128</v>
      </c>
      <c r="I1764" s="42" t="s">
        <v>146</v>
      </c>
      <c r="J1764" s="103" t="s">
        <v>3611</v>
      </c>
      <c r="K1764" s="42" t="s">
        <v>108</v>
      </c>
      <c r="L1764" s="42" t="str">
        <f>VLOOKUP(Table7[[#This Row],[Baseline Fixture Code]], 'Tables &amp; Ranges'!$A$114:$B$132, 2, FALSE)</f>
        <v>N/A</v>
      </c>
    </row>
    <row r="1765" spans="2:12" ht="40" customHeight="1">
      <c r="B1765" s="42">
        <v>1759</v>
      </c>
      <c r="C1765" s="102" t="s">
        <v>3514</v>
      </c>
      <c r="D1765" s="102" t="s">
        <v>3512</v>
      </c>
      <c r="E1765" s="92" t="s">
        <v>3515</v>
      </c>
      <c r="F1765" s="42">
        <v>1</v>
      </c>
      <c r="G1765" s="42">
        <v>149</v>
      </c>
      <c r="H1765" s="42">
        <v>149</v>
      </c>
      <c r="I1765" s="42" t="s">
        <v>146</v>
      </c>
      <c r="J1765" s="103" t="s">
        <v>3611</v>
      </c>
      <c r="K1765" s="42" t="s">
        <v>108</v>
      </c>
      <c r="L1765" s="42" t="str">
        <f>VLOOKUP(Table7[[#This Row],[Baseline Fixture Code]], 'Tables &amp; Ranges'!$A$114:$B$132, 2, FALSE)</f>
        <v>N/A</v>
      </c>
    </row>
    <row r="1766" spans="2:12" ht="40" customHeight="1">
      <c r="B1766" s="42">
        <v>1763</v>
      </c>
      <c r="C1766" s="102" t="s">
        <v>3522</v>
      </c>
      <c r="D1766" s="102" t="s">
        <v>3512</v>
      </c>
      <c r="E1766" s="92" t="s">
        <v>3523</v>
      </c>
      <c r="F1766" s="42">
        <v>1</v>
      </c>
      <c r="G1766" s="42">
        <v>86</v>
      </c>
      <c r="H1766" s="42">
        <v>86</v>
      </c>
      <c r="I1766" s="42" t="s">
        <v>146</v>
      </c>
      <c r="J1766" s="103" t="s">
        <v>3611</v>
      </c>
      <c r="K1766" s="42" t="s">
        <v>108</v>
      </c>
      <c r="L1766" s="42" t="str">
        <f>VLOOKUP(Table7[[#This Row],[Baseline Fixture Code]], 'Tables &amp; Ranges'!$A$114:$B$132, 2, FALSE)</f>
        <v>N/A</v>
      </c>
    </row>
    <row r="1767" spans="2:12" ht="40" customHeight="1">
      <c r="B1767" s="42">
        <v>1761</v>
      </c>
      <c r="C1767" s="102" t="s">
        <v>3518</v>
      </c>
      <c r="D1767" s="102" t="s">
        <v>3512</v>
      </c>
      <c r="E1767" s="92" t="s">
        <v>3519</v>
      </c>
      <c r="F1767" s="42">
        <v>1</v>
      </c>
      <c r="G1767" s="42">
        <v>86</v>
      </c>
      <c r="H1767" s="42">
        <v>86</v>
      </c>
      <c r="I1767" s="42" t="s">
        <v>146</v>
      </c>
      <c r="J1767" s="103" t="s">
        <v>3611</v>
      </c>
      <c r="K1767" s="42" t="s">
        <v>108</v>
      </c>
      <c r="L1767" s="42" t="str">
        <f>VLOOKUP(Table7[[#This Row],[Baseline Fixture Code]], 'Tables &amp; Ranges'!$A$114:$B$132, 2, FALSE)</f>
        <v>N/A</v>
      </c>
    </row>
    <row r="1768" spans="2:12" ht="40" customHeight="1">
      <c r="B1768" s="42">
        <v>1762</v>
      </c>
      <c r="C1768" s="102" t="s">
        <v>3520</v>
      </c>
      <c r="D1768" s="102" t="s">
        <v>3512</v>
      </c>
      <c r="E1768" s="92" t="s">
        <v>3521</v>
      </c>
      <c r="F1768" s="42">
        <v>1</v>
      </c>
      <c r="G1768" s="42">
        <v>86</v>
      </c>
      <c r="H1768" s="42">
        <v>86</v>
      </c>
      <c r="I1768" s="42" t="s">
        <v>146</v>
      </c>
      <c r="J1768" s="103" t="s">
        <v>3611</v>
      </c>
      <c r="K1768" s="42" t="s">
        <v>108</v>
      </c>
      <c r="L1768" s="42" t="str">
        <f>VLOOKUP(Table7[[#This Row],[Baseline Fixture Code]], 'Tables &amp; Ranges'!$A$114:$B$132, 2, FALSE)</f>
        <v>N/A</v>
      </c>
    </row>
    <row r="1769" spans="2:12" ht="40" customHeight="1">
      <c r="B1769" s="42">
        <v>1769</v>
      </c>
      <c r="C1769" s="102" t="s">
        <v>3534</v>
      </c>
      <c r="D1769" s="102" t="s">
        <v>3512</v>
      </c>
      <c r="E1769" s="92" t="s">
        <v>3535</v>
      </c>
      <c r="F1769" s="42">
        <v>1</v>
      </c>
      <c r="G1769" s="42">
        <v>116</v>
      </c>
      <c r="H1769" s="42">
        <v>116</v>
      </c>
      <c r="I1769" s="42" t="s">
        <v>146</v>
      </c>
      <c r="J1769" s="103" t="s">
        <v>3611</v>
      </c>
      <c r="K1769" s="42" t="s">
        <v>108</v>
      </c>
      <c r="L1769" s="42" t="str">
        <f>VLOOKUP(Table7[[#This Row],[Baseline Fixture Code]], 'Tables &amp; Ranges'!$A$114:$B$132, 2, FALSE)</f>
        <v>N/A</v>
      </c>
    </row>
    <row r="1770" spans="2:12" ht="40" customHeight="1">
      <c r="B1770" s="42">
        <v>1767</v>
      </c>
      <c r="C1770" s="102" t="s">
        <v>3530</v>
      </c>
      <c r="D1770" s="102" t="s">
        <v>3512</v>
      </c>
      <c r="E1770" s="92" t="s">
        <v>3531</v>
      </c>
      <c r="F1770" s="42">
        <v>1</v>
      </c>
      <c r="G1770" s="42">
        <v>149</v>
      </c>
      <c r="H1770" s="42">
        <v>149</v>
      </c>
      <c r="I1770" s="42" t="s">
        <v>146</v>
      </c>
      <c r="J1770" s="103" t="s">
        <v>3611</v>
      </c>
      <c r="K1770" s="42" t="s">
        <v>108</v>
      </c>
      <c r="L1770" s="42" t="str">
        <f>VLOOKUP(Table7[[#This Row],[Baseline Fixture Code]], 'Tables &amp; Ranges'!$A$114:$B$132, 2, FALSE)</f>
        <v>N/A</v>
      </c>
    </row>
    <row r="1771" spans="2:12" ht="40" customHeight="1">
      <c r="B1771" s="42">
        <v>1770</v>
      </c>
      <c r="C1771" s="102" t="s">
        <v>3536</v>
      </c>
      <c r="D1771" s="102" t="s">
        <v>3512</v>
      </c>
      <c r="E1771" s="92" t="s">
        <v>3537</v>
      </c>
      <c r="F1771" s="42">
        <v>1</v>
      </c>
      <c r="G1771" s="42">
        <v>68</v>
      </c>
      <c r="H1771" s="42">
        <v>68</v>
      </c>
      <c r="I1771" s="42" t="s">
        <v>146</v>
      </c>
      <c r="J1771" s="103" t="s">
        <v>3611</v>
      </c>
      <c r="K1771" s="42" t="s">
        <v>108</v>
      </c>
      <c r="L1771" s="42" t="str">
        <f>VLOOKUP(Table7[[#This Row],[Baseline Fixture Code]], 'Tables &amp; Ranges'!$A$114:$B$132, 2, FALSE)</f>
        <v>N/A</v>
      </c>
    </row>
    <row r="1772" spans="2:12" ht="40" customHeight="1">
      <c r="B1772" s="42">
        <v>1768</v>
      </c>
      <c r="C1772" s="102" t="s">
        <v>3532</v>
      </c>
      <c r="D1772" s="102" t="s">
        <v>3512</v>
      </c>
      <c r="E1772" s="92" t="s">
        <v>3533</v>
      </c>
      <c r="F1772" s="42">
        <v>1</v>
      </c>
      <c r="G1772" s="42">
        <v>107</v>
      </c>
      <c r="H1772" s="42">
        <v>107</v>
      </c>
      <c r="I1772" s="42" t="s">
        <v>146</v>
      </c>
      <c r="J1772" s="103" t="s">
        <v>3611</v>
      </c>
      <c r="K1772" s="42" t="s">
        <v>108</v>
      </c>
      <c r="L1772" s="42" t="str">
        <f>VLOOKUP(Table7[[#This Row],[Baseline Fixture Code]], 'Tables &amp; Ranges'!$A$114:$B$132, 2, FALSE)</f>
        <v>N/A</v>
      </c>
    </row>
    <row r="1773" spans="2:12" ht="40" customHeight="1">
      <c r="B1773" s="42">
        <v>1779</v>
      </c>
      <c r="C1773" s="102" t="s">
        <v>3555</v>
      </c>
      <c r="D1773" s="102" t="s">
        <v>3539</v>
      </c>
      <c r="E1773" s="92" t="s">
        <v>3556</v>
      </c>
      <c r="F1773" s="42">
        <v>1</v>
      </c>
      <c r="G1773" s="42">
        <v>5</v>
      </c>
      <c r="H1773" s="42">
        <v>5</v>
      </c>
      <c r="I1773" s="42" t="s">
        <v>146</v>
      </c>
      <c r="J1773" s="103" t="s">
        <v>3611</v>
      </c>
      <c r="K1773" s="42" t="s">
        <v>4041</v>
      </c>
      <c r="L1773" s="42" t="str">
        <f>VLOOKUP(Table7[[#This Row],[Baseline Fixture Code]], 'Tables &amp; Ranges'!$A$114:$B$132, 2, FALSE)</f>
        <v>N/A</v>
      </c>
    </row>
    <row r="1774" spans="2:12" ht="40" customHeight="1">
      <c r="B1774" s="42">
        <v>1773</v>
      </c>
      <c r="C1774" s="102" t="s">
        <v>3543</v>
      </c>
      <c r="D1774" s="102" t="s">
        <v>3539</v>
      </c>
      <c r="E1774" s="92" t="s">
        <v>3544</v>
      </c>
      <c r="F1774" s="42">
        <v>1</v>
      </c>
      <c r="G1774" s="42">
        <v>11</v>
      </c>
      <c r="H1774" s="42">
        <v>11</v>
      </c>
      <c r="I1774" s="42" t="s">
        <v>146</v>
      </c>
      <c r="J1774" s="103" t="s">
        <v>3611</v>
      </c>
      <c r="K1774" s="42" t="s">
        <v>4041</v>
      </c>
      <c r="L1774" s="42" t="str">
        <f>VLOOKUP(Table7[[#This Row],[Baseline Fixture Code]], 'Tables &amp; Ranges'!$A$114:$B$132, 2, FALSE)</f>
        <v>N/A</v>
      </c>
    </row>
    <row r="1775" spans="2:12" ht="40" customHeight="1">
      <c r="B1775" s="42">
        <v>1777</v>
      </c>
      <c r="C1775" s="102" t="s">
        <v>3551</v>
      </c>
      <c r="D1775" s="102" t="s">
        <v>3539</v>
      </c>
      <c r="E1775" s="92" t="s">
        <v>3552</v>
      </c>
      <c r="F1775" s="42">
        <v>1</v>
      </c>
      <c r="G1775" s="42">
        <v>5</v>
      </c>
      <c r="H1775" s="42">
        <v>5</v>
      </c>
      <c r="I1775" s="42" t="s">
        <v>146</v>
      </c>
      <c r="J1775" s="103" t="s">
        <v>3611</v>
      </c>
      <c r="K1775" s="42" t="s">
        <v>4041</v>
      </c>
      <c r="L1775" s="42" t="str">
        <f>VLOOKUP(Table7[[#This Row],[Baseline Fixture Code]], 'Tables &amp; Ranges'!$A$114:$B$132, 2, FALSE)</f>
        <v>N/A</v>
      </c>
    </row>
    <row r="1776" spans="2:12" ht="40" customHeight="1">
      <c r="B1776" s="42">
        <v>1771</v>
      </c>
      <c r="C1776" s="102" t="s">
        <v>3538</v>
      </c>
      <c r="D1776" s="102" t="s">
        <v>3539</v>
      </c>
      <c r="E1776" s="92" t="s">
        <v>3540</v>
      </c>
      <c r="F1776" s="42">
        <v>1</v>
      </c>
      <c r="G1776" s="42">
        <v>9</v>
      </c>
      <c r="H1776" s="42">
        <v>9</v>
      </c>
      <c r="I1776" s="42" t="s">
        <v>146</v>
      </c>
      <c r="J1776" s="103" t="s">
        <v>3611</v>
      </c>
      <c r="K1776" s="42" t="s">
        <v>4041</v>
      </c>
      <c r="L1776" s="42" t="str">
        <f>VLOOKUP(Table7[[#This Row],[Baseline Fixture Code]], 'Tables &amp; Ranges'!$A$114:$B$132, 2, FALSE)</f>
        <v>N/A</v>
      </c>
    </row>
    <row r="1777" spans="2:12" ht="40" customHeight="1">
      <c r="B1777" s="42">
        <v>1778</v>
      </c>
      <c r="C1777" s="102" t="s">
        <v>3553</v>
      </c>
      <c r="D1777" s="102" t="s">
        <v>3539</v>
      </c>
      <c r="E1777" s="92" t="s">
        <v>3554</v>
      </c>
      <c r="F1777" s="42">
        <v>1</v>
      </c>
      <c r="G1777" s="42">
        <v>8</v>
      </c>
      <c r="H1777" s="42">
        <v>8</v>
      </c>
      <c r="I1777" s="42" t="s">
        <v>146</v>
      </c>
      <c r="J1777" s="103" t="s">
        <v>3611</v>
      </c>
      <c r="K1777" s="42" t="s">
        <v>4041</v>
      </c>
      <c r="L1777" s="42" t="str">
        <f>VLOOKUP(Table7[[#This Row],[Baseline Fixture Code]], 'Tables &amp; Ranges'!$A$114:$B$132, 2, FALSE)</f>
        <v>N/A</v>
      </c>
    </row>
    <row r="1778" spans="2:12" ht="40" customHeight="1">
      <c r="B1778" s="42">
        <v>1772</v>
      </c>
      <c r="C1778" s="102" t="s">
        <v>3541</v>
      </c>
      <c r="D1778" s="102" t="s">
        <v>3539</v>
      </c>
      <c r="E1778" s="92" t="s">
        <v>3542</v>
      </c>
      <c r="F1778" s="42">
        <v>1</v>
      </c>
      <c r="G1778" s="42">
        <v>17</v>
      </c>
      <c r="H1778" s="42">
        <v>17</v>
      </c>
      <c r="I1778" s="42" t="s">
        <v>146</v>
      </c>
      <c r="J1778" s="103" t="s">
        <v>3611</v>
      </c>
      <c r="K1778" s="42" t="s">
        <v>4041</v>
      </c>
      <c r="L1778" s="42" t="str">
        <f>VLOOKUP(Table7[[#This Row],[Baseline Fixture Code]], 'Tables &amp; Ranges'!$A$114:$B$132, 2, FALSE)</f>
        <v>N/A</v>
      </c>
    </row>
    <row r="1779" spans="2:12" ht="40" customHeight="1">
      <c r="B1779" s="42">
        <v>1776</v>
      </c>
      <c r="C1779" s="102" t="s">
        <v>3549</v>
      </c>
      <c r="D1779" s="102" t="s">
        <v>3539</v>
      </c>
      <c r="E1779" s="92" t="s">
        <v>3550</v>
      </c>
      <c r="F1779" s="42">
        <v>1</v>
      </c>
      <c r="G1779" s="42">
        <v>6</v>
      </c>
      <c r="H1779" s="42">
        <v>6</v>
      </c>
      <c r="I1779" s="42" t="s">
        <v>146</v>
      </c>
      <c r="J1779" s="103" t="s">
        <v>3611</v>
      </c>
      <c r="K1779" s="42" t="s">
        <v>4041</v>
      </c>
      <c r="L1779" s="42" t="str">
        <f>VLOOKUP(Table7[[#This Row],[Baseline Fixture Code]], 'Tables &amp; Ranges'!$A$114:$B$132, 2, FALSE)</f>
        <v>N/A</v>
      </c>
    </row>
    <row r="1780" spans="2:12" ht="40" customHeight="1">
      <c r="B1780" s="42">
        <v>1774</v>
      </c>
      <c r="C1780" s="102" t="s">
        <v>3545</v>
      </c>
      <c r="D1780" s="102" t="s">
        <v>3539</v>
      </c>
      <c r="E1780" s="92" t="s">
        <v>3546</v>
      </c>
      <c r="F1780" s="42">
        <v>1</v>
      </c>
      <c r="G1780" s="42">
        <v>6</v>
      </c>
      <c r="H1780" s="42">
        <v>6</v>
      </c>
      <c r="I1780" s="42" t="s">
        <v>146</v>
      </c>
      <c r="J1780" s="103" t="s">
        <v>3611</v>
      </c>
      <c r="K1780" s="42" t="s">
        <v>4041</v>
      </c>
      <c r="L1780" s="42" t="str">
        <f>VLOOKUP(Table7[[#This Row],[Baseline Fixture Code]], 'Tables &amp; Ranges'!$A$114:$B$132, 2, FALSE)</f>
        <v>N/A</v>
      </c>
    </row>
    <row r="1781" spans="2:12" ht="40" customHeight="1">
      <c r="B1781" s="42">
        <v>1775</v>
      </c>
      <c r="C1781" s="102" t="s">
        <v>3547</v>
      </c>
      <c r="D1781" s="102" t="s">
        <v>3539</v>
      </c>
      <c r="E1781" s="92" t="s">
        <v>3548</v>
      </c>
      <c r="F1781" s="42">
        <v>1</v>
      </c>
      <c r="G1781" s="42">
        <v>12</v>
      </c>
      <c r="H1781" s="42">
        <v>12</v>
      </c>
      <c r="I1781" s="42" t="s">
        <v>146</v>
      </c>
      <c r="J1781" s="103" t="s">
        <v>3611</v>
      </c>
      <c r="K1781" s="42" t="s">
        <v>4041</v>
      </c>
      <c r="L1781" s="42" t="str">
        <f>VLOOKUP(Table7[[#This Row],[Baseline Fixture Code]], 'Tables &amp; Ranges'!$A$114:$B$132, 2, FALSE)</f>
        <v>N/A</v>
      </c>
    </row>
    <row r="1782" spans="2:12" ht="40" customHeight="1">
      <c r="B1782" s="42">
        <v>1782</v>
      </c>
      <c r="C1782" s="102" t="s">
        <v>3561</v>
      </c>
      <c r="D1782" s="102" t="s">
        <v>3539</v>
      </c>
      <c r="E1782" s="92" t="s">
        <v>3562</v>
      </c>
      <c r="F1782" s="42">
        <v>1</v>
      </c>
      <c r="G1782" s="42">
        <v>6</v>
      </c>
      <c r="H1782" s="42">
        <v>6</v>
      </c>
      <c r="I1782" s="42" t="s">
        <v>146</v>
      </c>
      <c r="J1782" s="103" t="s">
        <v>3611</v>
      </c>
      <c r="K1782" s="42" t="s">
        <v>4041</v>
      </c>
      <c r="L1782" s="42" t="str">
        <f>VLOOKUP(Table7[[#This Row],[Baseline Fixture Code]], 'Tables &amp; Ranges'!$A$114:$B$132, 2, FALSE)</f>
        <v>N/A</v>
      </c>
    </row>
    <row r="1783" spans="2:12" ht="40" customHeight="1">
      <c r="B1783" s="42">
        <v>1780</v>
      </c>
      <c r="C1783" s="102" t="s">
        <v>3557</v>
      </c>
      <c r="D1783" s="102" t="s">
        <v>3539</v>
      </c>
      <c r="E1783" s="92" t="s">
        <v>3558</v>
      </c>
      <c r="F1783" s="42">
        <v>1</v>
      </c>
      <c r="G1783" s="42">
        <v>17</v>
      </c>
      <c r="H1783" s="42">
        <v>17</v>
      </c>
      <c r="I1783" s="42" t="s">
        <v>146</v>
      </c>
      <c r="J1783" s="103" t="s">
        <v>3611</v>
      </c>
      <c r="K1783" s="42" t="s">
        <v>4041</v>
      </c>
      <c r="L1783" s="42" t="str">
        <f>VLOOKUP(Table7[[#This Row],[Baseline Fixture Code]], 'Tables &amp; Ranges'!$A$114:$B$132, 2, FALSE)</f>
        <v>N/A</v>
      </c>
    </row>
    <row r="1784" spans="2:12" ht="40" customHeight="1">
      <c r="B1784" s="42">
        <v>1783</v>
      </c>
      <c r="C1784" s="102" t="s">
        <v>3563</v>
      </c>
      <c r="D1784" s="102" t="s">
        <v>3539</v>
      </c>
      <c r="E1784" s="92" t="s">
        <v>3564</v>
      </c>
      <c r="F1784" s="42">
        <v>1</v>
      </c>
      <c r="G1784" s="42">
        <v>5</v>
      </c>
      <c r="H1784" s="42">
        <v>5</v>
      </c>
      <c r="I1784" s="42" t="s">
        <v>146</v>
      </c>
      <c r="J1784" s="103" t="s">
        <v>3611</v>
      </c>
      <c r="K1784" s="42" t="s">
        <v>4041</v>
      </c>
      <c r="L1784" s="42" t="str">
        <f>VLOOKUP(Table7[[#This Row],[Baseline Fixture Code]], 'Tables &amp; Ranges'!$A$114:$B$132, 2, FALSE)</f>
        <v>N/A</v>
      </c>
    </row>
    <row r="1785" spans="2:12" ht="40" customHeight="1">
      <c r="B1785" s="42">
        <v>1781</v>
      </c>
      <c r="C1785" s="102" t="s">
        <v>3559</v>
      </c>
      <c r="D1785" s="102" t="s">
        <v>3539</v>
      </c>
      <c r="E1785" s="92" t="s">
        <v>3560</v>
      </c>
      <c r="F1785" s="42">
        <v>1</v>
      </c>
      <c r="G1785" s="42">
        <v>10</v>
      </c>
      <c r="H1785" s="42">
        <v>10</v>
      </c>
      <c r="I1785" s="42" t="s">
        <v>146</v>
      </c>
      <c r="J1785" s="103" t="s">
        <v>3611</v>
      </c>
      <c r="K1785" s="42" t="s">
        <v>4041</v>
      </c>
      <c r="L1785" s="42" t="str">
        <f>VLOOKUP(Table7[[#This Row],[Baseline Fixture Code]], 'Tables &amp; Ranges'!$A$114:$B$132, 2, FALSE)</f>
        <v>N/A</v>
      </c>
    </row>
  </sheetData>
  <conditionalFormatting sqref="J1:J1048576">
    <cfRule type="containsText" dxfId="143" priority="1" operator="containsText" text="Y">
      <formula>NOT(ISERROR(SEARCH("Y",J1)))</formula>
    </cfRule>
  </conditionalFormatting>
  <conditionalFormatting sqref="J3:J1785">
    <cfRule type="beginsWith" dxfId="142" priority="2" operator="beginsWith" text="N">
      <formula>LEFT(J3,LEN("N"))="N"</formula>
    </cfRule>
  </conditionalFormatting>
  <conditionalFormatting sqref="A1:L1786">
    <cfRule type="expression" priority="3" stopIfTrue="1">
      <formula>Cell_Protect=0</formula>
    </cfRule>
    <cfRule type="expression" dxfId="141" priority="4">
      <formula>CELL("PROTECT",A1)=1</formula>
    </cfRule>
  </conditionalFormatting>
  <pageMargins left="0.7" right="0.7" top="0.75" bottom="0.75" header="0.3" footer="0.3"/>
  <pageSetup scale="67" orientation="landscape"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14999847407452621"/>
  </sheetPr>
  <dimension ref="A1:BZ304"/>
  <sheetViews>
    <sheetView zoomScale="80" zoomScaleNormal="80" workbookViewId="0">
      <pane ySplit="3" topLeftCell="A4" activePane="bottomLeft" state="frozen"/>
      <selection pane="bottomLeft" activeCell="A39" sqref="A39"/>
    </sheetView>
  </sheetViews>
  <sheetFormatPr defaultRowHeight="14.5"/>
  <cols>
    <col min="1" max="1" width="6.26953125" style="37" customWidth="1"/>
    <col min="2" max="3" width="25.26953125" style="37" customWidth="1"/>
    <col min="4" max="4" width="25.453125" style="37" customWidth="1"/>
    <col min="5" max="5" width="21.7265625" style="37" customWidth="1"/>
    <col min="6" max="6" width="9.81640625" style="37" customWidth="1"/>
    <col min="7" max="9" width="11" style="37" customWidth="1"/>
    <col min="10" max="11" width="30.81640625" style="37" customWidth="1"/>
    <col min="12" max="12" width="23.7265625" style="37" customWidth="1"/>
    <col min="13" max="13" width="11" style="38" customWidth="1"/>
    <col min="14" max="15" width="11" style="37" customWidth="1"/>
    <col min="16" max="16" width="30.81640625" style="37" customWidth="1"/>
    <col min="17" max="17" width="18.81640625" style="37" bestFit="1" customWidth="1"/>
    <col min="18" max="18" width="30.81640625" style="37" customWidth="1"/>
    <col min="19" max="19" width="13.453125" style="37" customWidth="1"/>
    <col min="20" max="20" width="20" style="37" bestFit="1" customWidth="1"/>
    <col min="21" max="21" width="11" style="37" customWidth="1"/>
    <col min="22" max="22" width="11" style="38" customWidth="1"/>
    <col min="23" max="23" width="12.26953125" style="38" customWidth="1"/>
    <col min="24" max="26" width="12.26953125" style="37" customWidth="1"/>
    <col min="27" max="33" width="8.7265625" style="37" customWidth="1"/>
    <col min="34" max="34" width="15.54296875" style="37" bestFit="1" customWidth="1"/>
    <col min="35" max="35" width="16.54296875" style="37" bestFit="1" customWidth="1"/>
    <col min="36" max="64" width="13.7265625" style="37" customWidth="1"/>
    <col min="65" max="65" width="19.54296875" style="37" bestFit="1" customWidth="1"/>
    <col min="66" max="72" width="14.453125" style="37" customWidth="1"/>
    <col min="73" max="73" width="33" hidden="1" customWidth="1"/>
    <col min="74" max="76" width="11.453125" customWidth="1"/>
    <col min="77" max="78" width="9.1796875" hidden="1" customWidth="1"/>
  </cols>
  <sheetData>
    <row r="1" spans="1:78" ht="15" thickBot="1">
      <c r="A1" s="76">
        <v>1</v>
      </c>
      <c r="B1" s="76">
        <v>2</v>
      </c>
      <c r="C1" s="76">
        <v>3</v>
      </c>
      <c r="D1" s="76">
        <v>4</v>
      </c>
      <c r="E1" s="76">
        <v>5</v>
      </c>
      <c r="F1" s="76">
        <v>6</v>
      </c>
      <c r="G1" s="76">
        <v>7</v>
      </c>
      <c r="H1" s="76">
        <v>8</v>
      </c>
      <c r="I1" s="76">
        <v>9</v>
      </c>
      <c r="J1" s="76">
        <v>10</v>
      </c>
      <c r="K1" s="76">
        <v>11</v>
      </c>
      <c r="L1" s="76">
        <v>12</v>
      </c>
      <c r="M1" s="76">
        <v>13</v>
      </c>
      <c r="N1" s="76">
        <v>14</v>
      </c>
      <c r="O1" s="76">
        <v>15</v>
      </c>
      <c r="P1" s="76">
        <v>16</v>
      </c>
      <c r="Q1" s="76">
        <v>17</v>
      </c>
      <c r="R1" s="76">
        <v>18</v>
      </c>
      <c r="S1" s="76">
        <v>19</v>
      </c>
      <c r="T1" s="76">
        <v>20</v>
      </c>
      <c r="U1" s="76">
        <v>21</v>
      </c>
      <c r="V1" s="76">
        <v>22</v>
      </c>
      <c r="W1" s="76">
        <v>23</v>
      </c>
      <c r="X1" s="76">
        <v>24</v>
      </c>
      <c r="Y1" s="76">
        <v>25</v>
      </c>
      <c r="Z1" s="76">
        <v>26</v>
      </c>
      <c r="AA1" s="76">
        <v>27</v>
      </c>
      <c r="AB1" s="76">
        <v>28</v>
      </c>
      <c r="AC1" s="76">
        <v>29</v>
      </c>
      <c r="AD1" s="76">
        <v>30</v>
      </c>
      <c r="AE1" s="76">
        <v>31</v>
      </c>
      <c r="AF1" s="76">
        <v>32</v>
      </c>
      <c r="AG1" s="76">
        <v>33</v>
      </c>
      <c r="AH1" s="76">
        <v>34</v>
      </c>
      <c r="AI1" s="76">
        <v>35</v>
      </c>
      <c r="AJ1" s="76">
        <v>36</v>
      </c>
      <c r="AK1" s="76">
        <v>37</v>
      </c>
      <c r="AL1" s="76">
        <v>38</v>
      </c>
      <c r="AM1" s="76">
        <v>39</v>
      </c>
      <c r="AN1" s="76">
        <v>40</v>
      </c>
      <c r="AO1" s="76">
        <v>41</v>
      </c>
      <c r="AP1" s="76">
        <v>42</v>
      </c>
      <c r="AQ1" s="76">
        <v>43</v>
      </c>
      <c r="AR1" s="76">
        <v>44</v>
      </c>
      <c r="AS1" s="76">
        <v>45</v>
      </c>
      <c r="AT1" s="76">
        <v>46</v>
      </c>
      <c r="AU1" s="76">
        <v>47</v>
      </c>
      <c r="AV1" s="76">
        <v>48</v>
      </c>
      <c r="AW1" s="76">
        <v>49</v>
      </c>
      <c r="AX1" s="76">
        <v>50</v>
      </c>
      <c r="AY1" s="76">
        <v>51</v>
      </c>
      <c r="AZ1" s="76">
        <v>52</v>
      </c>
      <c r="BA1" s="76">
        <v>53</v>
      </c>
      <c r="BB1" s="76">
        <v>54</v>
      </c>
      <c r="BC1" s="76">
        <v>55</v>
      </c>
      <c r="BD1" s="76">
        <v>56</v>
      </c>
      <c r="BE1" s="76">
        <v>57</v>
      </c>
      <c r="BF1" s="76">
        <v>58</v>
      </c>
      <c r="BG1" s="76">
        <v>59</v>
      </c>
      <c r="BH1" s="76">
        <v>60</v>
      </c>
      <c r="BI1" s="76">
        <v>61</v>
      </c>
      <c r="BJ1" s="76">
        <v>62</v>
      </c>
      <c r="BK1" s="76">
        <v>63</v>
      </c>
      <c r="BL1" s="76">
        <v>64</v>
      </c>
      <c r="BM1" s="76">
        <v>65</v>
      </c>
      <c r="BN1" s="76">
        <v>66</v>
      </c>
      <c r="BO1" s="76">
        <v>67</v>
      </c>
      <c r="BP1" s="76">
        <v>68</v>
      </c>
      <c r="BQ1" s="76">
        <v>69</v>
      </c>
      <c r="BR1" s="76">
        <v>70</v>
      </c>
      <c r="BS1" s="76">
        <v>71</v>
      </c>
      <c r="BT1" s="76">
        <v>72</v>
      </c>
    </row>
    <row r="2" spans="1:78" ht="18.5" thickBot="1">
      <c r="A2" s="45"/>
      <c r="B2" s="328" t="s">
        <v>3579</v>
      </c>
      <c r="C2" s="329"/>
      <c r="D2" s="329"/>
      <c r="E2" s="329"/>
      <c r="F2" s="329"/>
      <c r="G2" s="330"/>
      <c r="H2" s="331" t="s">
        <v>109</v>
      </c>
      <c r="I2" s="332"/>
      <c r="J2" s="332"/>
      <c r="K2" s="332"/>
      <c r="L2" s="332"/>
      <c r="M2" s="333"/>
      <c r="N2" s="334" t="s">
        <v>11</v>
      </c>
      <c r="O2" s="335"/>
      <c r="P2" s="335"/>
      <c r="Q2" s="335"/>
      <c r="R2" s="335"/>
      <c r="S2" s="335"/>
      <c r="T2" s="335"/>
      <c r="U2" s="335"/>
      <c r="V2" s="336"/>
      <c r="W2" s="54" t="str">
        <f>IF(COUNTIF(ReviewCalcs[Operating Hours Test], "ERROR")&gt;0, "ERROR", "PASS")</f>
        <v>PASS</v>
      </c>
      <c r="X2" s="55" t="str">
        <f>IF(COUNTIF(ReviewCalcs[Eligible Proposed Fixture Test], "ERROR")&gt;0, "ERROR", "PASS")</f>
        <v>PASS</v>
      </c>
      <c r="Y2" s="55" t="str">
        <f>IF(COUNTIF(ReviewCalcs[Project Type Matches Controls Selections], "ERROR")&gt;0, "ERROR", "PASS")</f>
        <v>PASS</v>
      </c>
      <c r="Z2" s="56" t="str">
        <f>IF(COUNTIF(ReviewCalcs[Wattage Reduction], "ERROR")&gt;0, "ERROR", "PASS")</f>
        <v>PASS</v>
      </c>
      <c r="AA2" s="121"/>
      <c r="AB2" s="122"/>
      <c r="AC2" s="122"/>
      <c r="AD2" s="122"/>
      <c r="AE2" s="122"/>
      <c r="AF2" s="122"/>
      <c r="AG2" s="122"/>
      <c r="AH2" s="123">
        <f>SUM(ReviewCalcs[Fixture Existing Demand (kW)])</f>
        <v>0</v>
      </c>
      <c r="AI2" s="123">
        <f>SUM(ReviewCalcs[Fixture Proposed Demand (kW)])</f>
        <v>0</v>
      </c>
      <c r="AJ2" s="123">
        <f>SUM(ReviewCalcs[Fixture Demand Savings (kW)])</f>
        <v>0</v>
      </c>
      <c r="AK2" s="123">
        <f>SUM(ReviewCalcs[Fixture Proposed Demand (kW)])</f>
        <v>0</v>
      </c>
      <c r="AL2" s="123">
        <f>SUM(ReviewCalcs[Fixture Demand Savings (kW)])</f>
        <v>0</v>
      </c>
      <c r="AM2" s="124">
        <f>SUM(ReviewCalcs[Fixture Energy Savings])</f>
        <v>0</v>
      </c>
      <c r="AN2" s="125">
        <f>SUM(ReviewCalcs[Fixture Existing Cost ($)])</f>
        <v>0</v>
      </c>
      <c r="AO2" s="125">
        <f>SUM(ReviewCalcs[Fixture Proposed Cost ($)])</f>
        <v>0</v>
      </c>
      <c r="AP2" s="125">
        <f>SUM(ReviewCalcs[Fixture Energy Cost Savings ($)])</f>
        <v>0</v>
      </c>
      <c r="AQ2" s="124" t="e">
        <f>SUM(ReviewCalcs[Control Existing Demand (kW)])</f>
        <v>#VALUE!</v>
      </c>
      <c r="AR2" s="124" t="e">
        <f>SUM(ReviewCalcs[Control Proposed Demand (kW)])</f>
        <v>#VALUE!</v>
      </c>
      <c r="AS2" s="124">
        <f>SUM(ReviewCalcs[Control Demand Savings (kW)])</f>
        <v>0</v>
      </c>
      <c r="AT2" s="124">
        <f>SUM(ReviewCalcs[Control Existing Energy (kWh)])</f>
        <v>0</v>
      </c>
      <c r="AU2" s="124">
        <f>SUM(ReviewCalcs[Control Proposed Energy (kWh)])</f>
        <v>0</v>
      </c>
      <c r="AV2" s="124">
        <f>SUM(ReviewCalcs[Control Energy Savings (kWh)])</f>
        <v>0</v>
      </c>
      <c r="AW2" s="125">
        <f>SUM(ReviewCalcs[Control Existing Cost ($)])</f>
        <v>0</v>
      </c>
      <c r="AX2" s="125">
        <f>SUM(ReviewCalcs[Controls Proposed Cost ($)])</f>
        <v>0</v>
      </c>
      <c r="AY2" s="125">
        <f>SUM(ReviewCalcs[Control Energy Cost Savings ($)])</f>
        <v>0</v>
      </c>
      <c r="AZ2" s="124" t="e">
        <f>SUM(ReviewCalcs[Total Existing Demand (kW)])</f>
        <v>#VALUE!</v>
      </c>
      <c r="BA2" s="124" t="e">
        <f>SUM(ReviewCalcs[Total Proposed Demand (kW)])</f>
        <v>#VALUE!</v>
      </c>
      <c r="BB2" s="124">
        <f>SUM(ReviewCalcs[Total Demand Savings (kW)])</f>
        <v>0</v>
      </c>
      <c r="BC2" s="124">
        <f>SUM(ReviewCalcs[Total Existing Energy (kWh)])</f>
        <v>0</v>
      </c>
      <c r="BD2" s="124">
        <f>SUM(ReviewCalcs[Total Proposed Energy (kWh)])</f>
        <v>0</v>
      </c>
      <c r="BE2" s="124">
        <f>SUM(ReviewCalcs[Total Energy Savings (kWh)])</f>
        <v>0</v>
      </c>
      <c r="BF2" s="125">
        <f>SUM(ReviewCalcs[Total Existing Cost ($)])</f>
        <v>0</v>
      </c>
      <c r="BG2" s="125">
        <f>SUM(ReviewCalcs[Total Proposed Cost ($)])</f>
        <v>0</v>
      </c>
      <c r="BH2" s="125">
        <f>SUM(ReviewCalcs[Total Cost Savings ($)])</f>
        <v>0</v>
      </c>
      <c r="BI2" s="125">
        <f>MIN(SUM(ReviewCalcs[Incentive ($)]), Max_Incentive, BJ2)</f>
        <v>0</v>
      </c>
      <c r="BJ2" s="125">
        <f>SUM(ReviewCalcs[Gross Project Cost ($)])</f>
        <v>0</v>
      </c>
      <c r="BK2" s="125">
        <f>BJ2-BI2</f>
        <v>0</v>
      </c>
      <c r="BL2" s="124" t="e">
        <f>BK2/BH2</f>
        <v>#DIV/0!</v>
      </c>
      <c r="BM2" s="124"/>
      <c r="BN2" s="124"/>
      <c r="BO2" s="124">
        <f>SUM(ReviewCalcs[Incentive Fixture Demand Savings (kW)])</f>
        <v>0</v>
      </c>
      <c r="BP2" s="124">
        <f>SUM(ReviewCalcs[Incentive Fixture Energy Savings (kWh)])</f>
        <v>0</v>
      </c>
      <c r="BQ2" s="124">
        <f>SUM(ReviewCalcs[Incentive Control Demand Savings (kW)])</f>
        <v>0</v>
      </c>
      <c r="BR2" s="124">
        <f>SUM(ReviewCalcs[Incentive Control Energy Savings (kWh)])</f>
        <v>0</v>
      </c>
      <c r="BS2" s="124">
        <f>SUM(ReviewCalcs[Incentive Total Demand Savings (kW)])</f>
        <v>0</v>
      </c>
      <c r="BT2" s="126">
        <f>SUM(ReviewCalcs[Incentive Total Energy Savings (kWh)])</f>
        <v>0</v>
      </c>
    </row>
    <row r="3" spans="1:78" ht="52.5" thickBot="1">
      <c r="A3" s="57" t="s">
        <v>3580</v>
      </c>
      <c r="B3" s="58" t="s">
        <v>19</v>
      </c>
      <c r="C3" s="116" t="s">
        <v>113</v>
      </c>
      <c r="D3" s="59" t="s">
        <v>3565</v>
      </c>
      <c r="E3" s="59" t="s">
        <v>3574</v>
      </c>
      <c r="F3" s="59" t="s">
        <v>3577</v>
      </c>
      <c r="G3" s="60" t="s">
        <v>3578</v>
      </c>
      <c r="H3" s="61" t="s">
        <v>3588</v>
      </c>
      <c r="I3" s="62" t="s">
        <v>3585</v>
      </c>
      <c r="J3" s="62" t="s">
        <v>3586</v>
      </c>
      <c r="K3" s="62" t="s">
        <v>3587</v>
      </c>
      <c r="L3" s="62" t="s">
        <v>132</v>
      </c>
      <c r="M3" s="63" t="s">
        <v>3575</v>
      </c>
      <c r="N3" s="64" t="s">
        <v>3594</v>
      </c>
      <c r="O3" s="65" t="s">
        <v>3590</v>
      </c>
      <c r="P3" s="65" t="s">
        <v>3589</v>
      </c>
      <c r="Q3" s="65" t="s">
        <v>3591</v>
      </c>
      <c r="R3" s="65" t="s">
        <v>3592</v>
      </c>
      <c r="S3" s="65" t="s">
        <v>3593</v>
      </c>
      <c r="T3" s="65" t="s">
        <v>3794</v>
      </c>
      <c r="U3" s="65" t="s">
        <v>3595</v>
      </c>
      <c r="V3" s="66" t="s">
        <v>3576</v>
      </c>
      <c r="W3" s="67" t="s">
        <v>3640</v>
      </c>
      <c r="X3" s="67" t="s">
        <v>3628</v>
      </c>
      <c r="Y3" s="67" t="s">
        <v>3824</v>
      </c>
      <c r="Z3" s="82" t="s">
        <v>3614</v>
      </c>
      <c r="AA3" s="119" t="s">
        <v>3616</v>
      </c>
      <c r="AB3" s="117" t="s">
        <v>1</v>
      </c>
      <c r="AC3" s="117" t="s">
        <v>3617</v>
      </c>
      <c r="AD3" s="117" t="s">
        <v>3624</v>
      </c>
      <c r="AE3" s="117" t="s">
        <v>3623</v>
      </c>
      <c r="AF3" s="117" t="s">
        <v>3795</v>
      </c>
      <c r="AG3" s="117" t="s">
        <v>3796</v>
      </c>
      <c r="AH3" s="117" t="s">
        <v>3838</v>
      </c>
      <c r="AI3" s="117" t="s">
        <v>3839</v>
      </c>
      <c r="AJ3" s="120" t="s">
        <v>3797</v>
      </c>
      <c r="AK3" s="120" t="s">
        <v>3840</v>
      </c>
      <c r="AL3" s="120" t="s">
        <v>3841</v>
      </c>
      <c r="AM3" s="120" t="s">
        <v>3798</v>
      </c>
      <c r="AN3" s="120" t="s">
        <v>3842</v>
      </c>
      <c r="AO3" s="120" t="s">
        <v>3843</v>
      </c>
      <c r="AP3" s="117" t="s">
        <v>3799</v>
      </c>
      <c r="AQ3" s="117" t="s">
        <v>3844</v>
      </c>
      <c r="AR3" s="117" t="s">
        <v>3845</v>
      </c>
      <c r="AS3" s="117" t="s">
        <v>3807</v>
      </c>
      <c r="AT3" s="117" t="s">
        <v>3846</v>
      </c>
      <c r="AU3" s="117" t="s">
        <v>3847</v>
      </c>
      <c r="AV3" s="117" t="s">
        <v>3806</v>
      </c>
      <c r="AW3" s="117" t="s">
        <v>3848</v>
      </c>
      <c r="AX3" s="117" t="s">
        <v>3849</v>
      </c>
      <c r="AY3" s="117" t="s">
        <v>3808</v>
      </c>
      <c r="AZ3" s="117" t="s">
        <v>3850</v>
      </c>
      <c r="BA3" s="117" t="s">
        <v>3851</v>
      </c>
      <c r="BB3" s="117" t="s">
        <v>3809</v>
      </c>
      <c r="BC3" s="117" t="s">
        <v>3852</v>
      </c>
      <c r="BD3" s="117" t="s">
        <v>3853</v>
      </c>
      <c r="BE3" s="117" t="s">
        <v>3810</v>
      </c>
      <c r="BF3" s="117" t="s">
        <v>3854</v>
      </c>
      <c r="BG3" s="117" t="s">
        <v>3855</v>
      </c>
      <c r="BH3" s="117" t="s">
        <v>3811</v>
      </c>
      <c r="BI3" s="117" t="s">
        <v>3618</v>
      </c>
      <c r="BJ3" s="117" t="s">
        <v>3627</v>
      </c>
      <c r="BK3" s="117" t="s">
        <v>3620</v>
      </c>
      <c r="BL3" s="117" t="s">
        <v>3621</v>
      </c>
      <c r="BM3" s="117" t="s">
        <v>3612</v>
      </c>
      <c r="BN3" s="117" t="s">
        <v>3613</v>
      </c>
      <c r="BO3" s="120" t="s">
        <v>3822</v>
      </c>
      <c r="BP3" s="120" t="s">
        <v>3823</v>
      </c>
      <c r="BQ3" s="120" t="s">
        <v>3818</v>
      </c>
      <c r="BR3" s="120" t="s">
        <v>3819</v>
      </c>
      <c r="BS3" s="120" t="s">
        <v>3820</v>
      </c>
      <c r="BT3" s="120" t="s">
        <v>3821</v>
      </c>
      <c r="BU3" s="44" t="s">
        <v>3625</v>
      </c>
    </row>
    <row r="4" spans="1:78" ht="30" customHeight="1">
      <c r="A4" s="68">
        <v>1</v>
      </c>
      <c r="B4" s="96">
        <f>VLOOKUP(ReviewCalcs[[#This Row],[Project Index]], ProjectInput[], D$1, FALSE)</f>
        <v>0</v>
      </c>
      <c r="C4" s="96">
        <f>VLOOKUP(ReviewCalcs[[#This Row],[Project Index]], ProjectInput[], E$1, FALSE)</f>
        <v>0</v>
      </c>
      <c r="D4" s="97">
        <f>VLOOKUP(ReviewCalcs[[#This Row],[Project Index]], ProjectInput[], F$1, FALSE)</f>
        <v>0</v>
      </c>
      <c r="E4" s="97">
        <f>VLOOKUP(ReviewCalcs[[#This Row],[Project Index]], ProjectInput[], G$1, FALSE)</f>
        <v>0</v>
      </c>
      <c r="F4" s="97">
        <f>VLOOKUP(ReviewCalcs[[#This Row],[Project Index]], ProjectInput[], H$1, FALSE)</f>
        <v>0</v>
      </c>
      <c r="G4" s="98" t="str">
        <f>VLOOKUP(ReviewCalcs[[#This Row],[Project Index]], ProjectInput[], I$1, FALSE)</f>
        <v/>
      </c>
      <c r="H4" s="96">
        <f>VLOOKUP(ReviewCalcs[[#This Row],[Project Index]], ProjectInput[], J$1, FALSE)</f>
        <v>0</v>
      </c>
      <c r="I4" s="97">
        <f>VLOOKUP(ReviewCalcs[[#This Row],[Project Index]], ProjectInput[], K$1, FALSE)</f>
        <v>0</v>
      </c>
      <c r="J4" s="97">
        <f>VLOOKUP(ReviewCalcs[[#This Row],[Project Index]], ProjectInput[], L$1, FALSE)</f>
        <v>0</v>
      </c>
      <c r="K4" s="97">
        <f>VLOOKUP(ReviewCalcs[[#This Row],[Project Index]], ProjectInput[], M$1, FALSE)</f>
        <v>0</v>
      </c>
      <c r="L4" s="97">
        <f>VLOOKUP(ReviewCalcs[[#This Row],[Project Index]], ProjectInput[], N$1, FALSE)</f>
        <v>0</v>
      </c>
      <c r="M4" s="98" t="str">
        <f>VLOOKUP(ReviewCalcs[[#This Row],[Project Index]], ProjectInput[], O$1, FALSE)</f>
        <v/>
      </c>
      <c r="N4" s="96">
        <f>VLOOKUP(ReviewCalcs[[#This Row],[Project Index]], ProjectInput[], P$1, FALSE)</f>
        <v>0</v>
      </c>
      <c r="O4" s="97">
        <f>VLOOKUP(ReviewCalcs[[#This Row],[Project Index]], ProjectInput[], Q$1, FALSE)</f>
        <v>0</v>
      </c>
      <c r="P4" s="97">
        <f>VLOOKUP(ReviewCalcs[[#This Row],[Project Index]], ProjectInput[], R$1, FALSE)</f>
        <v>0</v>
      </c>
      <c r="Q4" s="97">
        <f>VLOOKUP(ReviewCalcs[[#This Row],[Project Index]], ProjectInput[], S$1, FALSE)</f>
        <v>0</v>
      </c>
      <c r="R4" s="97">
        <f>VLOOKUP(ReviewCalcs[[#This Row],[Project Index]], ProjectInput[], T$1, FALSE)</f>
        <v>0</v>
      </c>
      <c r="S4" s="97">
        <f>VLOOKUP(ReviewCalcs[[#This Row],[Project Index]], ProjectInput[], U$1, FALSE)</f>
        <v>0</v>
      </c>
      <c r="T4" s="97">
        <f>VLOOKUP(ReviewCalcs[[#This Row],[Project Index]], ProjectInput[], V$1, FALSE)</f>
        <v>0</v>
      </c>
      <c r="U4" s="97">
        <f>VLOOKUP(ReviewCalcs[[#This Row],[Project Index]], ProjectInput[], W$1, FALSE)</f>
        <v>0</v>
      </c>
      <c r="V4" s="98" t="str">
        <f>VLOOKUP(ReviewCalcs[[#This Row],[Project Index]], ProjectInput[], X$1, FALSE)</f>
        <v/>
      </c>
      <c r="W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 s="75" t="e">
        <f>IF(VLOOKUP(ReviewCalcs[[#This Row],[Proposed Fixture Code]], Table7[[FIXTURE CODE]:[Baseline Fixture Code]], 8, FALSE)="N", "ERROR", "PASS")</f>
        <v>#N/A</v>
      </c>
      <c r="Y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 s="75" t="e">
        <f>IF(OR(ReviewCalcs[[#This Row],[Baseline Fixture Watts]]&gt;=ReviewCalcs[[#This Row],[Proposed Fixture Watts]],ReviewCalcs[[#This Row],[Existing Fixture Watts]]&gt;=ReviewCalcs[[#This Row],[Proposed Fixture Watts]] ), "PASS", "ERROR")</f>
        <v>#N/A</v>
      </c>
      <c r="AA4" s="69" t="e">
        <f>VLOOKUP(ReviewCalcs[[#This Row],[Space Conditions]], Table_365[], 5, FALSE)</f>
        <v>#N/A</v>
      </c>
      <c r="AB4" s="68" t="str">
        <f>ReviewCalcs[[#This Row],[Annual Hours]]</f>
        <v/>
      </c>
      <c r="AC4" s="68" t="e">
        <f>VLOOKUP(ReviewCalcs[[#This Row],[Space Conditions]], Table_365[], 6, FALSE)</f>
        <v>#N/A</v>
      </c>
      <c r="AD4" s="68">
        <f>IF(ReviewCalcs[[#This Row],[Existing Control(s)]]='Tables &amp; Ranges'!$A$25, VLOOKUP(ReviewCalcs[[#This Row],[Building/Space Type]], Table_364[], 3, FALSE), CF_Contols)</f>
        <v>0.26</v>
      </c>
      <c r="AE4" s="68" t="e">
        <f>VLOOKUP(ReviewCalcs[[#This Row],[Existing Control(s)]], Table_358[], 2, FALSE)</f>
        <v>#N/A</v>
      </c>
      <c r="AF4" s="68">
        <f>IF(ReviewCalcs[[#This Row],[Proposed Control(s)]]='Tables &amp; Ranges'!$A$25, VLOOKUP(ReviewCalcs[[#This Row],[Building/Space Type]], Table_364[], 3, FALSE), CF_Contols)</f>
        <v>0.26</v>
      </c>
      <c r="AG4" s="68" t="e">
        <f>VLOOKUP(ReviewCalcs[[#This Row],[Proposed Control(s)]], Table_358[], 2, FALSE)</f>
        <v>#N/A</v>
      </c>
      <c r="AH4" s="68">
        <f>IFERROR((ReviewCalcs[[#This Row],[Existing Fixture Quantity]]*ReviewCalcs[[#This Row],[Existing Fixture Watts]]/1000)*ReviewCalcs[[#This Row],[Existing CF]]*ReviewCalcs[[#This Row],[IEFD]], 0)</f>
        <v>0</v>
      </c>
      <c r="AI4" s="68">
        <f>IFERROR((ReviewCalcs[[#This Row],[Proposed Fixture Quantity]]*ReviewCalcs[[#This Row],[Proposed Fixture Watts]]/1000)*ReviewCalcs[[#This Row],[Existing CF]]*ReviewCalcs[[#This Row],[IEFD]], 0)</f>
        <v>0</v>
      </c>
      <c r="AJ4" s="118">
        <f>IFERROR((ReviewCalcs[[#This Row],[Existing Fixture Quantity]]*ReviewCalcs[[#This Row],[Existing Fixture Watts]]/1000-ReviewCalcs[[#This Row],[Proposed Fixture Quantity]]*ReviewCalcs[[#This Row],[Proposed Fixture Watts]]/1000)*ReviewCalcs[[#This Row],[Existing CF]]*ReviewCalcs[[#This Row],[IEFD]], 0)</f>
        <v>0</v>
      </c>
      <c r="AK4" s="118">
        <f>IFERROR((ReviewCalcs[[#This Row],[Existing Fixture Quantity]]*ReviewCalcs[[#This Row],[Existing Fixture Watts]]/1000)*ReviewCalcs[[#This Row],[AOH]]*ReviewCalcs[[#This Row],[IEFE]]*ReviewCalcs[[#This Row],[Existing PAF]], 0)</f>
        <v>0</v>
      </c>
      <c r="AL4" s="118">
        <f>IFERROR((ReviewCalcs[[#This Row],[Proposed Fixture Quantity]]*ReviewCalcs[[#This Row],[Proposed Fixture Watts]]/1000)*ReviewCalcs[[#This Row],[AOH]]*ReviewCalcs[[#This Row],[IEFE]]*ReviewCalcs[[#This Row],[Existing PAF]], 0)</f>
        <v>0</v>
      </c>
      <c r="AM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 s="118">
        <f>ReviewCalcs[[#This Row],[Fixture Existing Energy (kWh)]]*Avg_KWh_Rate</f>
        <v>0</v>
      </c>
      <c r="AO4" s="118">
        <f>ReviewCalcs[[#This Row],[Fixture Proposed Energy (kWh)]]*Avg_KWh_Rate</f>
        <v>0</v>
      </c>
      <c r="AP4" s="70">
        <f>ReviewCalcs[[#This Row],[Fixture Energy Savings]]*Avg_KWh_Rate</f>
        <v>0</v>
      </c>
      <c r="AQ4" s="129" t="e">
        <f>ReviewCalcs[[#This Row],[Existing Fixture Quantity]]*ReviewCalcs[[#This Row],[Existing Fixture Watts]]/1000*ReviewCalcs[[#This Row],[Existing CF]]*ReviewCalcs[[#This Row],[IEFD]]</f>
        <v>#VALUE!</v>
      </c>
      <c r="AR4" s="129" t="e">
        <f>ReviewCalcs[[#This Row],[Proposed Fixture Quantity]]*ReviewCalcs[[#This Row],[Proposed Fixture Watts]]/1000*ReviewCalcs[[#This Row],[Proposed CF]]*ReviewCalcs[[#This Row],[IEFD]]</f>
        <v>#VALUE!</v>
      </c>
      <c r="AS4" s="118">
        <f>IF(ReviewCalcs[[#This Row],[Existing CF]]=ReviewCalcs[[#This Row],[Proposed CF]], 0, ReviewCalcs[[#This Row],[Proposed Fixture Quantity]]*ReviewCalcs[[#This Row],[Proposed Fixture Watts]]/1000*ReviewCalcs[[#This Row],[Proposed CF]]*ReviewCalcs[[#This Row],[IEFD]])</f>
        <v>0</v>
      </c>
      <c r="AT4" s="118">
        <f>IFERROR(ReviewCalcs[[#This Row],[Existing Fixture Quantity]]*ReviewCalcs[[#This Row],[Existing Fixture Watts]]/1000*ReviewCalcs[[#This Row],[Existing PAF]]*ReviewCalcs[[#This Row],[AOH]]*ReviewCalcs[[#This Row],[IEFE]], 0)</f>
        <v>0</v>
      </c>
      <c r="AU4" s="118">
        <f>IFERROR(ReviewCalcs[[#This Row],[Proposed Fixture Quantity]]*ReviewCalcs[[#This Row],[Proposed Fixture Watts]]/1000*ReviewCalcs[[#This Row],[Proposed PAF]]*ReviewCalcs[[#This Row],[AOH]]*ReviewCalcs[[#This Row],[IEFE]], 0)</f>
        <v>0</v>
      </c>
      <c r="AV4" s="118">
        <f>IFERROR(ReviewCalcs[[#This Row],[Proposed Fixture Quantity]]*ReviewCalcs[[#This Row],[Proposed Fixture Watts]]/1000*(ReviewCalcs[[#This Row],[Existing PAF]]-ReviewCalcs[[#This Row],[Proposed PAF]])*ReviewCalcs[[#This Row],[AOH]]*ReviewCalcs[[#This Row],[IEFE]], 0)</f>
        <v>0</v>
      </c>
      <c r="AW4" s="118">
        <f>ReviewCalcs[[#This Row],[Control Existing Energy (kWh)]]*kWh_Incentive_Rate</f>
        <v>0</v>
      </c>
      <c r="AX4" s="118">
        <f>ReviewCalcs[[#This Row],[Control Proposed Energy (kWh)]]*kWh_Incentive_Rate</f>
        <v>0</v>
      </c>
      <c r="AY4" s="70">
        <f>ReviewCalcs[[#This Row],[Control Energy Savings (kWh)]]*kWh_Incentive_Rate</f>
        <v>0</v>
      </c>
      <c r="AZ4" s="70" t="e">
        <f>ReviewCalcs[[#This Row],[Fixture Existing Demand (kW)]]+ReviewCalcs[[#This Row],[Control Existing Demand (kW)]]</f>
        <v>#VALUE!</v>
      </c>
      <c r="BA4" s="70" t="e">
        <f>ReviewCalcs[[#This Row],[Fixture Proposed Demand (kW)]]+ReviewCalcs[[#This Row],[Control Proposed Demand (kW)]]</f>
        <v>#VALUE!</v>
      </c>
      <c r="BB4" s="118">
        <f>ReviewCalcs[[#This Row],[Fixture Demand Savings (kW)]]+ReviewCalcs[[#This Row],[Control Demand Savings (kW)]]</f>
        <v>0</v>
      </c>
      <c r="BC4" s="118">
        <f>ReviewCalcs[[#This Row],[Fixture Existing Energy (kWh)]]+ReviewCalcs[[#This Row],[Control Existing Energy (kWh)]]</f>
        <v>0</v>
      </c>
      <c r="BD4" s="118">
        <f>ReviewCalcs[[#This Row],[Fixture Proposed Energy (kWh)]]+ReviewCalcs[[#This Row],[Control Proposed Energy (kWh)]]</f>
        <v>0</v>
      </c>
      <c r="BE4" s="118">
        <f>ReviewCalcs[[#This Row],[Fixture Energy Savings]]+ReviewCalcs[[#This Row],[Control Energy Savings (kWh)]]</f>
        <v>0</v>
      </c>
      <c r="BF4" s="118">
        <f>ReviewCalcs[[#This Row],[Fixture Existing Cost ($)]]+ReviewCalcs[[#This Row],[Control Existing Cost ($)]]</f>
        <v>0</v>
      </c>
      <c r="BG4" s="118">
        <f>ReviewCalcs[[#This Row],[Fixture Proposed Cost ($)]]+ReviewCalcs[[#This Row],[Controls Proposed Cost ($)]]</f>
        <v>0</v>
      </c>
      <c r="BH4" s="70">
        <f>ReviewCalcs[[#This Row],[Total Energy Savings (kWh)]]*Avg_KWh_Rate</f>
        <v>0</v>
      </c>
      <c r="BI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 s="70">
        <f>ReviewCalcs[[#This Row],[Retrofit Cost]]</f>
        <v>0</v>
      </c>
      <c r="BK4" s="70">
        <f>ReviewCalcs[[#This Row],[Retrofit Cost]]-ReviewCalcs[[#This Row],[Incentive ($)]]</f>
        <v>0</v>
      </c>
      <c r="BL4" s="118" t="e">
        <f>IFERROR(ReviewCalcs[[#This Row],[Net Project Cost ($)]]/ReviewCalcs[[#This Row],[Fixture Energy Cost Savings ($)]], #N/A)</f>
        <v>#N/A</v>
      </c>
      <c r="BM4" s="118" t="e">
        <f>IF(VLOOKUP(ReviewCalcs[[#This Row],[Existing Fixture Code]], Table7[[FIXTURE CODE]:[Baseline Fixture Code]], 8, FALSE)="N", VLOOKUP(ReviewCalcs[[#This Row],[Existing Fixture Code]], Table7[[FIXTURE CODE]:[Baseline Fixture Code]], 9, FALSE), ReviewCalcs[[#This Row],[Existing Fixture Code]])</f>
        <v>#N/A</v>
      </c>
      <c r="BN4" s="118" t="e">
        <f>INDEX(Table7[WATT/ FIXT], MATCH(ReviewCalcs[Baseline Fixture Code], Table7[FIXTURE CODE], 0))</f>
        <v>#N/A</v>
      </c>
      <c r="BO4" s="118">
        <f>IFERROR((ReviewCalcs[[#This Row],[Existing Fixture Quantity]]*ReviewCalcs[[#This Row],[Baseline Fixture Watts]]/1000-ReviewCalcs[[#This Row],[Proposed Fixture Quantity]]*ReviewCalcs[[#This Row],[Proposed Fixture Watts]]/1000)*ReviewCalcs[[#This Row],[Existing CF]]*ReviewCalcs[[#This Row],[IEFD]], 0)</f>
        <v>0</v>
      </c>
      <c r="BP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 s="118">
        <f>IF(ReviewCalcs[[#This Row],[Existing CF]]=ReviewCalcs[[#This Row],[Proposed CF]], 0, ReviewCalcs[[#This Row],[Proposed Fixture Quantity]]*ReviewCalcs[[#This Row],[Proposed Fixture Watts]]/1000*ReviewCalcs[[#This Row],[Proposed CF]]*ReviewCalcs[[#This Row],[IEFD]])</f>
        <v>0</v>
      </c>
      <c r="BR4" s="118">
        <f>IFERROR(ReviewCalcs[[#This Row],[Proposed Fixture Quantity]]*ReviewCalcs[[#This Row],[Proposed Fixture Watts]]/1000*(ReviewCalcs[[#This Row],[Existing PAF]]-ReviewCalcs[[#This Row],[Proposed PAF]])*ReviewCalcs[[#This Row],[AOH]]*ReviewCalcs[[#This Row],[IEFE]],0)</f>
        <v>0</v>
      </c>
      <c r="BS4" s="118">
        <f>ReviewCalcs[[#This Row],[Incentive Fixture Demand Savings (kW)]]+ReviewCalcs[[#This Row],[Incentive Control Demand Savings (kW)]]</f>
        <v>0</v>
      </c>
      <c r="BT4" s="118">
        <f>ReviewCalcs[[#This Row],[Incentive Fixture Energy Savings (kWh)]]+ReviewCalcs[[#This Row],[Incentive Control Energy Savings (kWh)]]</f>
        <v>0</v>
      </c>
      <c r="BU4" s="72"/>
      <c r="BY4" t="s">
        <v>4009</v>
      </c>
      <c r="BZ4" s="164" t="s">
        <v>4006</v>
      </c>
    </row>
    <row r="5" spans="1:78" ht="30" customHeight="1">
      <c r="A5" s="68">
        <v>2</v>
      </c>
      <c r="B5" s="96">
        <f>VLOOKUP(ReviewCalcs[[#This Row],[Project Index]], ProjectInput[], D$1, FALSE)</f>
        <v>0</v>
      </c>
      <c r="C5" s="97">
        <f>VLOOKUP(ReviewCalcs[[#This Row],[Project Index]], ProjectInput[], E$1, FALSE)</f>
        <v>0</v>
      </c>
      <c r="D5" s="97">
        <f>VLOOKUP(ReviewCalcs[[#This Row],[Project Index]], ProjectInput[], F$1, FALSE)</f>
        <v>0</v>
      </c>
      <c r="E5" s="97">
        <f>VLOOKUP(ReviewCalcs[[#This Row],[Project Index]], ProjectInput[], G$1, FALSE)</f>
        <v>0</v>
      </c>
      <c r="F5" s="97">
        <f>VLOOKUP(ReviewCalcs[[#This Row],[Project Index]], ProjectInput[], H$1, FALSE)</f>
        <v>0</v>
      </c>
      <c r="G5" s="98" t="str">
        <f>VLOOKUP(ReviewCalcs[[#This Row],[Project Index]], ProjectInput[], I$1, FALSE)</f>
        <v/>
      </c>
      <c r="H5" s="96">
        <f>VLOOKUP(ReviewCalcs[[#This Row],[Project Index]], ProjectInput[], J$1, FALSE)</f>
        <v>0</v>
      </c>
      <c r="I5" s="97">
        <f>VLOOKUP(ReviewCalcs[[#This Row],[Project Index]], ProjectInput[], K$1, FALSE)</f>
        <v>0</v>
      </c>
      <c r="J5" s="97">
        <f>VLOOKUP(ReviewCalcs[[#This Row],[Project Index]], ProjectInput[], L$1, FALSE)</f>
        <v>0</v>
      </c>
      <c r="K5" s="97">
        <f>VLOOKUP(ReviewCalcs[[#This Row],[Project Index]], ProjectInput[], M$1, FALSE)</f>
        <v>0</v>
      </c>
      <c r="L5" s="97">
        <f>VLOOKUP(ReviewCalcs[[#This Row],[Project Index]], ProjectInput[], N$1, FALSE)</f>
        <v>0</v>
      </c>
      <c r="M5" s="98" t="str">
        <f>VLOOKUP(ReviewCalcs[[#This Row],[Project Index]], ProjectInput[], O$1, FALSE)</f>
        <v/>
      </c>
      <c r="N5" s="96">
        <f>VLOOKUP(ReviewCalcs[[#This Row],[Project Index]], ProjectInput[], P$1, FALSE)</f>
        <v>0</v>
      </c>
      <c r="O5" s="97">
        <f>VLOOKUP(ReviewCalcs[[#This Row],[Project Index]], ProjectInput[], Q$1, FALSE)</f>
        <v>0</v>
      </c>
      <c r="P5" s="97">
        <f>VLOOKUP(ReviewCalcs[[#This Row],[Project Index]], ProjectInput[], R$1, FALSE)</f>
        <v>0</v>
      </c>
      <c r="Q5" s="97">
        <f>VLOOKUP(ReviewCalcs[[#This Row],[Project Index]], ProjectInput[], S$1, FALSE)</f>
        <v>0</v>
      </c>
      <c r="R5" s="97">
        <f>VLOOKUP(ReviewCalcs[[#This Row],[Project Index]], ProjectInput[], T$1, FALSE)</f>
        <v>0</v>
      </c>
      <c r="S5" s="97">
        <f>VLOOKUP(ReviewCalcs[[#This Row],[Project Index]], ProjectInput[], U$1, FALSE)</f>
        <v>0</v>
      </c>
      <c r="T5" s="97">
        <f>VLOOKUP(ReviewCalcs[[#This Row],[Project Index]], ProjectInput[], V$1, FALSE)</f>
        <v>0</v>
      </c>
      <c r="U5" s="97">
        <f>VLOOKUP(ReviewCalcs[[#This Row],[Project Index]], ProjectInput[], W$1, FALSE)</f>
        <v>0</v>
      </c>
      <c r="V5" s="98" t="str">
        <f>VLOOKUP(ReviewCalcs[[#This Row],[Project Index]], ProjectInput[], X$1, FALSE)</f>
        <v/>
      </c>
      <c r="W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 s="75" t="e">
        <f>IF(VLOOKUP(ReviewCalcs[[#This Row],[Proposed Fixture Code]], Table7[[FIXTURE CODE]:[Baseline Fixture Code]], 8, FALSE)="N", "ERROR", "PASS")</f>
        <v>#N/A</v>
      </c>
      <c r="Y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 s="75" t="e">
        <f>IF(OR(ReviewCalcs[[#This Row],[Baseline Fixture Watts]]&gt;=ReviewCalcs[[#This Row],[Proposed Fixture Watts]],ReviewCalcs[[#This Row],[Existing Fixture Watts]]&gt;=ReviewCalcs[[#This Row],[Proposed Fixture Watts]] ), "PASS", "ERROR")</f>
        <v>#N/A</v>
      </c>
      <c r="AA5" s="69" t="e">
        <f>VLOOKUP(ReviewCalcs[[#This Row],[Space Conditions]], Table_365[], 5, FALSE)</f>
        <v>#N/A</v>
      </c>
      <c r="AB5" s="68" t="str">
        <f>ReviewCalcs[[#This Row],[Annual Hours]]</f>
        <v/>
      </c>
      <c r="AC5" s="68" t="e">
        <f>VLOOKUP(ReviewCalcs[[#This Row],[Space Conditions]], Table_365[], 6, FALSE)</f>
        <v>#N/A</v>
      </c>
      <c r="AD5" s="68">
        <f>IF(ReviewCalcs[[#This Row],[Existing Control(s)]]='Tables &amp; Ranges'!$A$25, VLOOKUP(ReviewCalcs[[#This Row],[Building/Space Type]], Table_364[], 3, FALSE), CF_Contols)</f>
        <v>0.26</v>
      </c>
      <c r="AE5" s="68" t="e">
        <f>VLOOKUP(ReviewCalcs[[#This Row],[Existing Control(s)]], Table_358[], 2, FALSE)</f>
        <v>#N/A</v>
      </c>
      <c r="AF5" s="68">
        <f>IF(ReviewCalcs[[#This Row],[Proposed Control(s)]]='Tables &amp; Ranges'!$A$25, VLOOKUP(ReviewCalcs[[#This Row],[Building/Space Type]], Table_364[], 3, FALSE), CF_Contols)</f>
        <v>0.26</v>
      </c>
      <c r="AG5" s="68" t="e">
        <f>VLOOKUP(ReviewCalcs[[#This Row],[Proposed Control(s)]], Table_358[], 2, FALSE)</f>
        <v>#N/A</v>
      </c>
      <c r="AH5" s="68">
        <f>IFERROR((ReviewCalcs[[#This Row],[Existing Fixture Quantity]]*ReviewCalcs[[#This Row],[Existing Fixture Watts]]/1000)*ReviewCalcs[[#This Row],[Existing CF]]*ReviewCalcs[[#This Row],[IEFD]], 0)</f>
        <v>0</v>
      </c>
      <c r="AI5" s="68">
        <f>IFERROR((ReviewCalcs[[#This Row],[Proposed Fixture Quantity]]*ReviewCalcs[[#This Row],[Proposed Fixture Watts]]/1000)*ReviewCalcs[[#This Row],[Existing CF]]*ReviewCalcs[[#This Row],[IEFD]], 0)</f>
        <v>0</v>
      </c>
      <c r="AJ5" s="118">
        <f>IFERROR((ReviewCalcs[[#This Row],[Existing Fixture Quantity]]*ReviewCalcs[[#This Row],[Existing Fixture Watts]]/1000-ReviewCalcs[[#This Row],[Proposed Fixture Quantity]]*ReviewCalcs[[#This Row],[Proposed Fixture Watts]]/1000)*ReviewCalcs[[#This Row],[Existing CF]]*ReviewCalcs[[#This Row],[IEFD]], 0)</f>
        <v>0</v>
      </c>
      <c r="AK5" s="118">
        <f>IFERROR((ReviewCalcs[[#This Row],[Existing Fixture Quantity]]*ReviewCalcs[[#This Row],[Existing Fixture Watts]]/1000)*ReviewCalcs[[#This Row],[AOH]]*ReviewCalcs[[#This Row],[IEFE]]*ReviewCalcs[[#This Row],[Existing PAF]], 0)</f>
        <v>0</v>
      </c>
      <c r="AL5" s="118">
        <f>IFERROR((ReviewCalcs[[#This Row],[Proposed Fixture Quantity]]*ReviewCalcs[[#This Row],[Proposed Fixture Watts]]/1000)*ReviewCalcs[[#This Row],[AOH]]*ReviewCalcs[[#This Row],[IEFE]]*ReviewCalcs[[#This Row],[Existing PAF]], 0)</f>
        <v>0</v>
      </c>
      <c r="AM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 s="118">
        <f>ReviewCalcs[[#This Row],[Fixture Existing Energy (kWh)]]*Avg_KWh_Rate</f>
        <v>0</v>
      </c>
      <c r="AO5" s="118">
        <f>ReviewCalcs[[#This Row],[Fixture Proposed Energy (kWh)]]*Avg_KWh_Rate</f>
        <v>0</v>
      </c>
      <c r="AP5" s="70">
        <f>ReviewCalcs[[#This Row],[Fixture Energy Savings]]*Avg_KWh_Rate</f>
        <v>0</v>
      </c>
      <c r="AQ5" s="129" t="e">
        <f>ReviewCalcs[[#This Row],[Existing Fixture Quantity]]*ReviewCalcs[[#This Row],[Existing Fixture Watts]]/1000*ReviewCalcs[[#This Row],[Existing CF]]*ReviewCalcs[[#This Row],[IEFD]]</f>
        <v>#VALUE!</v>
      </c>
      <c r="AR5" s="129" t="e">
        <f>ReviewCalcs[[#This Row],[Proposed Fixture Quantity]]*ReviewCalcs[[#This Row],[Proposed Fixture Watts]]/1000*ReviewCalcs[[#This Row],[Proposed CF]]*ReviewCalcs[[#This Row],[IEFD]]</f>
        <v>#VALUE!</v>
      </c>
      <c r="AS5" s="118">
        <f>IF(ReviewCalcs[[#This Row],[Existing CF]]=ReviewCalcs[[#This Row],[Proposed CF]], 0, ReviewCalcs[[#This Row],[Proposed Fixture Quantity]]*ReviewCalcs[[#This Row],[Proposed Fixture Watts]]/1000*ReviewCalcs[[#This Row],[Proposed CF]]*ReviewCalcs[[#This Row],[IEFD]])</f>
        <v>0</v>
      </c>
      <c r="AT5" s="118">
        <f>IFERROR(ReviewCalcs[[#This Row],[Existing Fixture Quantity]]*ReviewCalcs[[#This Row],[Existing Fixture Watts]]/1000*ReviewCalcs[[#This Row],[Existing PAF]]*ReviewCalcs[[#This Row],[AOH]]*ReviewCalcs[[#This Row],[IEFE]], 0)</f>
        <v>0</v>
      </c>
      <c r="AU5" s="118">
        <f>IFERROR(ReviewCalcs[[#This Row],[Proposed Fixture Quantity]]*ReviewCalcs[[#This Row],[Proposed Fixture Watts]]/1000*ReviewCalcs[[#This Row],[Proposed PAF]]*ReviewCalcs[[#This Row],[AOH]]*ReviewCalcs[[#This Row],[IEFE]], 0)</f>
        <v>0</v>
      </c>
      <c r="AV5" s="118">
        <f>IFERROR(ReviewCalcs[[#This Row],[Proposed Fixture Quantity]]*ReviewCalcs[[#This Row],[Proposed Fixture Watts]]/1000*(ReviewCalcs[[#This Row],[Existing PAF]]-ReviewCalcs[[#This Row],[Proposed PAF]])*ReviewCalcs[[#This Row],[AOH]]*ReviewCalcs[[#This Row],[IEFE]], 0)</f>
        <v>0</v>
      </c>
      <c r="AW5" s="118">
        <f>ReviewCalcs[[#This Row],[Control Existing Energy (kWh)]]*kWh_Incentive_Rate</f>
        <v>0</v>
      </c>
      <c r="AX5" s="118">
        <f>ReviewCalcs[[#This Row],[Control Proposed Energy (kWh)]]*kWh_Incentive_Rate</f>
        <v>0</v>
      </c>
      <c r="AY5" s="70">
        <f>ReviewCalcs[[#This Row],[Control Energy Savings (kWh)]]*kWh_Incentive_Rate</f>
        <v>0</v>
      </c>
      <c r="AZ5" s="70" t="e">
        <f>ReviewCalcs[[#This Row],[Fixture Existing Demand (kW)]]+ReviewCalcs[[#This Row],[Control Existing Demand (kW)]]</f>
        <v>#VALUE!</v>
      </c>
      <c r="BA5" s="70" t="e">
        <f>ReviewCalcs[[#This Row],[Fixture Proposed Demand (kW)]]+ReviewCalcs[[#This Row],[Control Proposed Demand (kW)]]</f>
        <v>#VALUE!</v>
      </c>
      <c r="BB5" s="118">
        <f>ReviewCalcs[[#This Row],[Fixture Demand Savings (kW)]]+ReviewCalcs[[#This Row],[Control Demand Savings (kW)]]</f>
        <v>0</v>
      </c>
      <c r="BC5" s="118">
        <f>ReviewCalcs[[#This Row],[Fixture Existing Energy (kWh)]]+ReviewCalcs[[#This Row],[Control Existing Energy (kWh)]]</f>
        <v>0</v>
      </c>
      <c r="BD5" s="118">
        <f>ReviewCalcs[[#This Row],[Fixture Proposed Energy (kWh)]]+ReviewCalcs[[#This Row],[Control Proposed Energy (kWh)]]</f>
        <v>0</v>
      </c>
      <c r="BE5" s="118">
        <f>ReviewCalcs[[#This Row],[Fixture Energy Savings]]+ReviewCalcs[[#This Row],[Control Energy Savings (kWh)]]</f>
        <v>0</v>
      </c>
      <c r="BF5" s="118">
        <f>ReviewCalcs[[#This Row],[Fixture Existing Cost ($)]]+ReviewCalcs[[#This Row],[Control Existing Cost ($)]]</f>
        <v>0</v>
      </c>
      <c r="BG5" s="118">
        <f>ReviewCalcs[[#This Row],[Fixture Proposed Cost ($)]]+ReviewCalcs[[#This Row],[Controls Proposed Cost ($)]]</f>
        <v>0</v>
      </c>
      <c r="BH5" s="70">
        <f>ReviewCalcs[[#This Row],[Total Energy Savings (kWh)]]*Avg_KWh_Rate</f>
        <v>0</v>
      </c>
      <c r="BI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 s="70">
        <f>ReviewCalcs[[#This Row],[Retrofit Cost]]</f>
        <v>0</v>
      </c>
      <c r="BK5" s="70">
        <f>ReviewCalcs[[#This Row],[Retrofit Cost]]-ReviewCalcs[[#This Row],[Incentive ($)]]</f>
        <v>0</v>
      </c>
      <c r="BL5" s="118" t="e">
        <f>IFERROR(ReviewCalcs[[#This Row],[Net Project Cost ($)]]/ReviewCalcs[[#This Row],[Fixture Energy Cost Savings ($)]], #N/A)</f>
        <v>#N/A</v>
      </c>
      <c r="BM5" s="118" t="e">
        <f>IF(VLOOKUP(ReviewCalcs[[#This Row],[Existing Fixture Code]], Table7[[FIXTURE CODE]:[Baseline Fixture Code]], 8, FALSE)="N", VLOOKUP(ReviewCalcs[[#This Row],[Existing Fixture Code]], Table7[[FIXTURE CODE]:[Baseline Fixture Code]], 9, FALSE), ReviewCalcs[[#This Row],[Existing Fixture Code]])</f>
        <v>#N/A</v>
      </c>
      <c r="BN5" s="118" t="e">
        <f>INDEX(Table7[WATT/ FIXT], MATCH(ReviewCalcs[Baseline Fixture Code], Table7[FIXTURE CODE], 0))</f>
        <v>#N/A</v>
      </c>
      <c r="BO5" s="118">
        <f>IFERROR((ReviewCalcs[[#This Row],[Existing Fixture Quantity]]*ReviewCalcs[[#This Row],[Baseline Fixture Watts]]/1000-ReviewCalcs[[#This Row],[Proposed Fixture Quantity]]*ReviewCalcs[[#This Row],[Proposed Fixture Watts]]/1000)*ReviewCalcs[[#This Row],[Existing CF]]*ReviewCalcs[[#This Row],[IEFD]], 0)</f>
        <v>0</v>
      </c>
      <c r="BP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 s="118">
        <f>IF(ReviewCalcs[[#This Row],[Existing CF]]=ReviewCalcs[[#This Row],[Proposed CF]], 0, ReviewCalcs[[#This Row],[Proposed Fixture Quantity]]*ReviewCalcs[[#This Row],[Proposed Fixture Watts]]/1000*ReviewCalcs[[#This Row],[Proposed CF]]*ReviewCalcs[[#This Row],[IEFD]])</f>
        <v>0</v>
      </c>
      <c r="BR5" s="118">
        <f>IFERROR(ReviewCalcs[[#This Row],[Proposed Fixture Quantity]]*ReviewCalcs[[#This Row],[Proposed Fixture Watts]]/1000*(ReviewCalcs[[#This Row],[Existing PAF]]-ReviewCalcs[[#This Row],[Proposed PAF]])*ReviewCalcs[[#This Row],[AOH]]*ReviewCalcs[[#This Row],[IEFE]],0)</f>
        <v>0</v>
      </c>
      <c r="BS5" s="118">
        <f>ReviewCalcs[[#This Row],[Incentive Fixture Demand Savings (kW)]]+ReviewCalcs[[#This Row],[Incentive Control Demand Savings (kW)]]</f>
        <v>0</v>
      </c>
      <c r="BT5" s="118">
        <f>ReviewCalcs[[#This Row],[Incentive Fixture Energy Savings (kWh)]]+ReviewCalcs[[#This Row],[Incentive Control Energy Savings (kWh)]]</f>
        <v>0</v>
      </c>
      <c r="BU5" s="73"/>
      <c r="BY5" t="s">
        <v>4010</v>
      </c>
      <c r="BZ5" t="s">
        <v>4011</v>
      </c>
    </row>
    <row r="6" spans="1:78" ht="30" customHeight="1">
      <c r="A6" s="68">
        <v>3</v>
      </c>
      <c r="B6" s="96">
        <f>VLOOKUP(ReviewCalcs[[#This Row],[Project Index]], ProjectInput[], D$1, FALSE)</f>
        <v>0</v>
      </c>
      <c r="C6" s="97">
        <f>VLOOKUP(ReviewCalcs[[#This Row],[Project Index]], ProjectInput[], E$1, FALSE)</f>
        <v>0</v>
      </c>
      <c r="D6" s="97">
        <f>VLOOKUP(ReviewCalcs[[#This Row],[Project Index]], ProjectInput[], F$1, FALSE)</f>
        <v>0</v>
      </c>
      <c r="E6" s="97">
        <f>VLOOKUP(ReviewCalcs[[#This Row],[Project Index]], ProjectInput[], G$1, FALSE)</f>
        <v>0</v>
      </c>
      <c r="F6" s="97">
        <f>VLOOKUP(ReviewCalcs[[#This Row],[Project Index]], ProjectInput[], H$1, FALSE)</f>
        <v>0</v>
      </c>
      <c r="G6" s="98" t="str">
        <f>VLOOKUP(ReviewCalcs[[#This Row],[Project Index]], ProjectInput[], I$1, FALSE)</f>
        <v/>
      </c>
      <c r="H6" s="96">
        <f>VLOOKUP(ReviewCalcs[[#This Row],[Project Index]], ProjectInput[], J$1, FALSE)</f>
        <v>0</v>
      </c>
      <c r="I6" s="97">
        <f>VLOOKUP(ReviewCalcs[[#This Row],[Project Index]], ProjectInput[], K$1, FALSE)</f>
        <v>0</v>
      </c>
      <c r="J6" s="97">
        <f>VLOOKUP(ReviewCalcs[[#This Row],[Project Index]], ProjectInput[], L$1, FALSE)</f>
        <v>0</v>
      </c>
      <c r="K6" s="97">
        <f>VLOOKUP(ReviewCalcs[[#This Row],[Project Index]], ProjectInput[], M$1, FALSE)</f>
        <v>0</v>
      </c>
      <c r="L6" s="97">
        <f>VLOOKUP(ReviewCalcs[[#This Row],[Project Index]], ProjectInput[], N$1, FALSE)</f>
        <v>0</v>
      </c>
      <c r="M6" s="98" t="str">
        <f>VLOOKUP(ReviewCalcs[[#This Row],[Project Index]], ProjectInput[], O$1, FALSE)</f>
        <v/>
      </c>
      <c r="N6" s="96">
        <f>VLOOKUP(ReviewCalcs[[#This Row],[Project Index]], ProjectInput[], P$1, FALSE)</f>
        <v>0</v>
      </c>
      <c r="O6" s="97">
        <f>VLOOKUP(ReviewCalcs[[#This Row],[Project Index]], ProjectInput[], Q$1, FALSE)</f>
        <v>0</v>
      </c>
      <c r="P6" s="97">
        <f>VLOOKUP(ReviewCalcs[[#This Row],[Project Index]], ProjectInput[], R$1, FALSE)</f>
        <v>0</v>
      </c>
      <c r="Q6" s="97">
        <f>VLOOKUP(ReviewCalcs[[#This Row],[Project Index]], ProjectInput[], S$1, FALSE)</f>
        <v>0</v>
      </c>
      <c r="R6" s="97">
        <f>VLOOKUP(ReviewCalcs[[#This Row],[Project Index]], ProjectInput[], T$1, FALSE)</f>
        <v>0</v>
      </c>
      <c r="S6" s="97">
        <f>VLOOKUP(ReviewCalcs[[#This Row],[Project Index]], ProjectInput[], U$1, FALSE)</f>
        <v>0</v>
      </c>
      <c r="T6" s="97">
        <f>VLOOKUP(ReviewCalcs[[#This Row],[Project Index]], ProjectInput[], V$1, FALSE)</f>
        <v>0</v>
      </c>
      <c r="U6" s="97">
        <f>VLOOKUP(ReviewCalcs[[#This Row],[Project Index]], ProjectInput[], W$1, FALSE)</f>
        <v>0</v>
      </c>
      <c r="V6" s="98" t="str">
        <f>VLOOKUP(ReviewCalcs[[#This Row],[Project Index]], ProjectInput[], X$1, FALSE)</f>
        <v/>
      </c>
      <c r="W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 s="75" t="e">
        <f>IF(VLOOKUP(ReviewCalcs[[#This Row],[Proposed Fixture Code]], Table7[[FIXTURE CODE]:[Baseline Fixture Code]], 8, FALSE)="N", "ERROR", "PASS")</f>
        <v>#N/A</v>
      </c>
      <c r="Y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 s="75" t="e">
        <f>IF(OR(ReviewCalcs[[#This Row],[Baseline Fixture Watts]]&gt;=ReviewCalcs[[#This Row],[Proposed Fixture Watts]],ReviewCalcs[[#This Row],[Existing Fixture Watts]]&gt;=ReviewCalcs[[#This Row],[Proposed Fixture Watts]] ), "PASS", "ERROR")</f>
        <v>#N/A</v>
      </c>
      <c r="AA6" s="69" t="e">
        <f>VLOOKUP(ReviewCalcs[[#This Row],[Space Conditions]], Table_365[], 5, FALSE)</f>
        <v>#N/A</v>
      </c>
      <c r="AB6" s="68" t="str">
        <f>ReviewCalcs[[#This Row],[Annual Hours]]</f>
        <v/>
      </c>
      <c r="AC6" s="68" t="e">
        <f>VLOOKUP(ReviewCalcs[[#This Row],[Space Conditions]], Table_365[], 6, FALSE)</f>
        <v>#N/A</v>
      </c>
      <c r="AD6" s="68">
        <f>IF(ReviewCalcs[[#This Row],[Existing Control(s)]]='Tables &amp; Ranges'!$A$25, VLOOKUP(ReviewCalcs[[#This Row],[Building/Space Type]], Table_364[], 3, FALSE), CF_Contols)</f>
        <v>0.26</v>
      </c>
      <c r="AE6" s="68" t="e">
        <f>VLOOKUP(ReviewCalcs[[#This Row],[Existing Control(s)]], Table_358[], 2, FALSE)</f>
        <v>#N/A</v>
      </c>
      <c r="AF6" s="68">
        <f>IF(ReviewCalcs[[#This Row],[Proposed Control(s)]]='Tables &amp; Ranges'!$A$25, VLOOKUP(ReviewCalcs[[#This Row],[Building/Space Type]], Table_364[], 3, FALSE), CF_Contols)</f>
        <v>0.26</v>
      </c>
      <c r="AG6" s="68" t="e">
        <f>VLOOKUP(ReviewCalcs[[#This Row],[Proposed Control(s)]], Table_358[], 2, FALSE)</f>
        <v>#N/A</v>
      </c>
      <c r="AH6" s="68">
        <f>IFERROR((ReviewCalcs[[#This Row],[Existing Fixture Quantity]]*ReviewCalcs[[#This Row],[Existing Fixture Watts]]/1000)*ReviewCalcs[[#This Row],[Existing CF]]*ReviewCalcs[[#This Row],[IEFD]], 0)</f>
        <v>0</v>
      </c>
      <c r="AI6" s="68">
        <f>IFERROR((ReviewCalcs[[#This Row],[Proposed Fixture Quantity]]*ReviewCalcs[[#This Row],[Proposed Fixture Watts]]/1000)*ReviewCalcs[[#This Row],[Existing CF]]*ReviewCalcs[[#This Row],[IEFD]], 0)</f>
        <v>0</v>
      </c>
      <c r="AJ6" s="118">
        <f>IFERROR((ReviewCalcs[[#This Row],[Existing Fixture Quantity]]*ReviewCalcs[[#This Row],[Existing Fixture Watts]]/1000-ReviewCalcs[[#This Row],[Proposed Fixture Quantity]]*ReviewCalcs[[#This Row],[Proposed Fixture Watts]]/1000)*ReviewCalcs[[#This Row],[Existing CF]]*ReviewCalcs[[#This Row],[IEFD]], 0)</f>
        <v>0</v>
      </c>
      <c r="AK6" s="118">
        <f>IFERROR((ReviewCalcs[[#This Row],[Existing Fixture Quantity]]*ReviewCalcs[[#This Row],[Existing Fixture Watts]]/1000)*ReviewCalcs[[#This Row],[AOH]]*ReviewCalcs[[#This Row],[IEFE]]*ReviewCalcs[[#This Row],[Existing PAF]], 0)</f>
        <v>0</v>
      </c>
      <c r="AL6" s="118">
        <f>IFERROR((ReviewCalcs[[#This Row],[Proposed Fixture Quantity]]*ReviewCalcs[[#This Row],[Proposed Fixture Watts]]/1000)*ReviewCalcs[[#This Row],[AOH]]*ReviewCalcs[[#This Row],[IEFE]]*ReviewCalcs[[#This Row],[Existing PAF]], 0)</f>
        <v>0</v>
      </c>
      <c r="AM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 s="118">
        <f>ReviewCalcs[[#This Row],[Fixture Existing Energy (kWh)]]*Avg_KWh_Rate</f>
        <v>0</v>
      </c>
      <c r="AO6" s="118">
        <f>ReviewCalcs[[#This Row],[Fixture Proposed Energy (kWh)]]*Avg_KWh_Rate</f>
        <v>0</v>
      </c>
      <c r="AP6" s="70">
        <f>ReviewCalcs[[#This Row],[Fixture Energy Savings]]*Avg_KWh_Rate</f>
        <v>0</v>
      </c>
      <c r="AQ6" s="129" t="e">
        <f>ReviewCalcs[[#This Row],[Existing Fixture Quantity]]*ReviewCalcs[[#This Row],[Existing Fixture Watts]]/1000*ReviewCalcs[[#This Row],[Existing CF]]*ReviewCalcs[[#This Row],[IEFD]]</f>
        <v>#VALUE!</v>
      </c>
      <c r="AR6" s="129" t="e">
        <f>ReviewCalcs[[#This Row],[Proposed Fixture Quantity]]*ReviewCalcs[[#This Row],[Proposed Fixture Watts]]/1000*ReviewCalcs[[#This Row],[Proposed CF]]*ReviewCalcs[[#This Row],[IEFD]]</f>
        <v>#VALUE!</v>
      </c>
      <c r="AS6" s="118">
        <f>IF(ReviewCalcs[[#This Row],[Existing CF]]=ReviewCalcs[[#This Row],[Proposed CF]], 0, ReviewCalcs[[#This Row],[Proposed Fixture Quantity]]*ReviewCalcs[[#This Row],[Proposed Fixture Watts]]/1000*ReviewCalcs[[#This Row],[Proposed CF]]*ReviewCalcs[[#This Row],[IEFD]])</f>
        <v>0</v>
      </c>
      <c r="AT6" s="118">
        <f>IFERROR(ReviewCalcs[[#This Row],[Existing Fixture Quantity]]*ReviewCalcs[[#This Row],[Existing Fixture Watts]]/1000*ReviewCalcs[[#This Row],[Existing PAF]]*ReviewCalcs[[#This Row],[AOH]]*ReviewCalcs[[#This Row],[IEFE]], 0)</f>
        <v>0</v>
      </c>
      <c r="AU6" s="118">
        <f>IFERROR(ReviewCalcs[[#This Row],[Proposed Fixture Quantity]]*ReviewCalcs[[#This Row],[Proposed Fixture Watts]]/1000*ReviewCalcs[[#This Row],[Proposed PAF]]*ReviewCalcs[[#This Row],[AOH]]*ReviewCalcs[[#This Row],[IEFE]], 0)</f>
        <v>0</v>
      </c>
      <c r="AV6" s="118">
        <f>IFERROR(ReviewCalcs[[#This Row],[Proposed Fixture Quantity]]*ReviewCalcs[[#This Row],[Proposed Fixture Watts]]/1000*(ReviewCalcs[[#This Row],[Existing PAF]]-ReviewCalcs[[#This Row],[Proposed PAF]])*ReviewCalcs[[#This Row],[AOH]]*ReviewCalcs[[#This Row],[IEFE]], 0)</f>
        <v>0</v>
      </c>
      <c r="AW6" s="118">
        <f>ReviewCalcs[[#This Row],[Control Existing Energy (kWh)]]*kWh_Incentive_Rate</f>
        <v>0</v>
      </c>
      <c r="AX6" s="118">
        <f>ReviewCalcs[[#This Row],[Control Proposed Energy (kWh)]]*kWh_Incentive_Rate</f>
        <v>0</v>
      </c>
      <c r="AY6" s="70">
        <f>ReviewCalcs[[#This Row],[Control Energy Savings (kWh)]]*kWh_Incentive_Rate</f>
        <v>0</v>
      </c>
      <c r="AZ6" s="70" t="e">
        <f>ReviewCalcs[[#This Row],[Fixture Existing Demand (kW)]]+ReviewCalcs[[#This Row],[Control Existing Demand (kW)]]</f>
        <v>#VALUE!</v>
      </c>
      <c r="BA6" s="70" t="e">
        <f>ReviewCalcs[[#This Row],[Fixture Proposed Demand (kW)]]+ReviewCalcs[[#This Row],[Control Proposed Demand (kW)]]</f>
        <v>#VALUE!</v>
      </c>
      <c r="BB6" s="118">
        <f>ReviewCalcs[[#This Row],[Fixture Demand Savings (kW)]]+ReviewCalcs[[#This Row],[Control Demand Savings (kW)]]</f>
        <v>0</v>
      </c>
      <c r="BC6" s="118">
        <f>ReviewCalcs[[#This Row],[Fixture Existing Energy (kWh)]]+ReviewCalcs[[#This Row],[Control Existing Energy (kWh)]]</f>
        <v>0</v>
      </c>
      <c r="BD6" s="118">
        <f>ReviewCalcs[[#This Row],[Fixture Proposed Energy (kWh)]]+ReviewCalcs[[#This Row],[Control Proposed Energy (kWh)]]</f>
        <v>0</v>
      </c>
      <c r="BE6" s="118">
        <f>ReviewCalcs[[#This Row],[Fixture Energy Savings]]+ReviewCalcs[[#This Row],[Control Energy Savings (kWh)]]</f>
        <v>0</v>
      </c>
      <c r="BF6" s="118">
        <f>ReviewCalcs[[#This Row],[Fixture Existing Cost ($)]]+ReviewCalcs[[#This Row],[Control Existing Cost ($)]]</f>
        <v>0</v>
      </c>
      <c r="BG6" s="118">
        <f>ReviewCalcs[[#This Row],[Fixture Proposed Cost ($)]]+ReviewCalcs[[#This Row],[Controls Proposed Cost ($)]]</f>
        <v>0</v>
      </c>
      <c r="BH6" s="70">
        <f>ReviewCalcs[[#This Row],[Total Energy Savings (kWh)]]*Avg_KWh_Rate</f>
        <v>0</v>
      </c>
      <c r="BI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 s="70">
        <f>ReviewCalcs[[#This Row],[Retrofit Cost]]</f>
        <v>0</v>
      </c>
      <c r="BK6" s="70">
        <f>ReviewCalcs[[#This Row],[Retrofit Cost]]-ReviewCalcs[[#This Row],[Incentive ($)]]</f>
        <v>0</v>
      </c>
      <c r="BL6" s="118" t="e">
        <f>IFERROR(ReviewCalcs[[#This Row],[Net Project Cost ($)]]/ReviewCalcs[[#This Row],[Fixture Energy Cost Savings ($)]], #N/A)</f>
        <v>#N/A</v>
      </c>
      <c r="BM6" s="118" t="e">
        <f>IF(VLOOKUP(ReviewCalcs[[#This Row],[Existing Fixture Code]], Table7[[FIXTURE CODE]:[Baseline Fixture Code]], 8, FALSE)="N", VLOOKUP(ReviewCalcs[[#This Row],[Existing Fixture Code]], Table7[[FIXTURE CODE]:[Baseline Fixture Code]], 9, FALSE), ReviewCalcs[[#This Row],[Existing Fixture Code]])</f>
        <v>#N/A</v>
      </c>
      <c r="BN6" s="118" t="e">
        <f>INDEX(Table7[WATT/ FIXT], MATCH(ReviewCalcs[Baseline Fixture Code], Table7[FIXTURE CODE], 0))</f>
        <v>#N/A</v>
      </c>
      <c r="BO6" s="118">
        <f>IFERROR((ReviewCalcs[[#This Row],[Existing Fixture Quantity]]*ReviewCalcs[[#This Row],[Baseline Fixture Watts]]/1000-ReviewCalcs[[#This Row],[Proposed Fixture Quantity]]*ReviewCalcs[[#This Row],[Proposed Fixture Watts]]/1000)*ReviewCalcs[[#This Row],[Existing CF]]*ReviewCalcs[[#This Row],[IEFD]], 0)</f>
        <v>0</v>
      </c>
      <c r="BP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 s="118">
        <f>IF(ReviewCalcs[[#This Row],[Existing CF]]=ReviewCalcs[[#This Row],[Proposed CF]], 0, ReviewCalcs[[#This Row],[Proposed Fixture Quantity]]*ReviewCalcs[[#This Row],[Proposed Fixture Watts]]/1000*ReviewCalcs[[#This Row],[Proposed CF]]*ReviewCalcs[[#This Row],[IEFD]])</f>
        <v>0</v>
      </c>
      <c r="BR6" s="118">
        <f>IFERROR(ReviewCalcs[[#This Row],[Proposed Fixture Quantity]]*ReviewCalcs[[#This Row],[Proposed Fixture Watts]]/1000*(ReviewCalcs[[#This Row],[Existing PAF]]-ReviewCalcs[[#This Row],[Proposed PAF]])*ReviewCalcs[[#This Row],[AOH]]*ReviewCalcs[[#This Row],[IEFE]],0)</f>
        <v>0</v>
      </c>
      <c r="BS6" s="118">
        <f>ReviewCalcs[[#This Row],[Incentive Fixture Demand Savings (kW)]]+ReviewCalcs[[#This Row],[Incentive Control Demand Savings (kW)]]</f>
        <v>0</v>
      </c>
      <c r="BT6" s="118">
        <f>ReviewCalcs[[#This Row],[Incentive Fixture Energy Savings (kWh)]]+ReviewCalcs[[#This Row],[Incentive Control Energy Savings (kWh)]]</f>
        <v>0</v>
      </c>
      <c r="BU6" s="73"/>
      <c r="BZ6" t="s">
        <v>4007</v>
      </c>
    </row>
    <row r="7" spans="1:78" ht="30" customHeight="1">
      <c r="A7" s="68">
        <v>4</v>
      </c>
      <c r="B7" s="96">
        <f>VLOOKUP(ReviewCalcs[[#This Row],[Project Index]], ProjectInput[], D$1, FALSE)</f>
        <v>0</v>
      </c>
      <c r="C7" s="97">
        <f>VLOOKUP(ReviewCalcs[[#This Row],[Project Index]], ProjectInput[], E$1, FALSE)</f>
        <v>0</v>
      </c>
      <c r="D7" s="97">
        <f>VLOOKUP(ReviewCalcs[[#This Row],[Project Index]], ProjectInput[], F$1, FALSE)</f>
        <v>0</v>
      </c>
      <c r="E7" s="97">
        <f>VLOOKUP(ReviewCalcs[[#This Row],[Project Index]], ProjectInput[], G$1, FALSE)</f>
        <v>0</v>
      </c>
      <c r="F7" s="97">
        <f>VLOOKUP(ReviewCalcs[[#This Row],[Project Index]], ProjectInput[], H$1, FALSE)</f>
        <v>0</v>
      </c>
      <c r="G7" s="98" t="str">
        <f>VLOOKUP(ReviewCalcs[[#This Row],[Project Index]], ProjectInput[], I$1, FALSE)</f>
        <v/>
      </c>
      <c r="H7" s="96">
        <f>VLOOKUP(ReviewCalcs[[#This Row],[Project Index]], ProjectInput[], J$1, FALSE)</f>
        <v>0</v>
      </c>
      <c r="I7" s="97">
        <f>VLOOKUP(ReviewCalcs[[#This Row],[Project Index]], ProjectInput[], K$1, FALSE)</f>
        <v>0</v>
      </c>
      <c r="J7" s="97">
        <f>VLOOKUP(ReviewCalcs[[#This Row],[Project Index]], ProjectInput[], L$1, FALSE)</f>
        <v>0</v>
      </c>
      <c r="K7" s="97">
        <f>VLOOKUP(ReviewCalcs[[#This Row],[Project Index]], ProjectInput[], M$1, FALSE)</f>
        <v>0</v>
      </c>
      <c r="L7" s="97">
        <f>VLOOKUP(ReviewCalcs[[#This Row],[Project Index]], ProjectInput[], N$1, FALSE)</f>
        <v>0</v>
      </c>
      <c r="M7" s="98" t="str">
        <f>VLOOKUP(ReviewCalcs[[#This Row],[Project Index]], ProjectInput[], O$1, FALSE)</f>
        <v/>
      </c>
      <c r="N7" s="96">
        <f>VLOOKUP(ReviewCalcs[[#This Row],[Project Index]], ProjectInput[], P$1, FALSE)</f>
        <v>0</v>
      </c>
      <c r="O7" s="97">
        <f>VLOOKUP(ReviewCalcs[[#This Row],[Project Index]], ProjectInput[], Q$1, FALSE)</f>
        <v>0</v>
      </c>
      <c r="P7" s="97">
        <f>VLOOKUP(ReviewCalcs[[#This Row],[Project Index]], ProjectInput[], R$1, FALSE)</f>
        <v>0</v>
      </c>
      <c r="Q7" s="97">
        <f>VLOOKUP(ReviewCalcs[[#This Row],[Project Index]], ProjectInput[], S$1, FALSE)</f>
        <v>0</v>
      </c>
      <c r="R7" s="97">
        <f>VLOOKUP(ReviewCalcs[[#This Row],[Project Index]], ProjectInput[], T$1, FALSE)</f>
        <v>0</v>
      </c>
      <c r="S7" s="97">
        <f>VLOOKUP(ReviewCalcs[[#This Row],[Project Index]], ProjectInput[], U$1, FALSE)</f>
        <v>0</v>
      </c>
      <c r="T7" s="97">
        <f>VLOOKUP(ReviewCalcs[[#This Row],[Project Index]], ProjectInput[], V$1, FALSE)</f>
        <v>0</v>
      </c>
      <c r="U7" s="97">
        <f>VLOOKUP(ReviewCalcs[[#This Row],[Project Index]], ProjectInput[], W$1, FALSE)</f>
        <v>0</v>
      </c>
      <c r="V7" s="98" t="str">
        <f>VLOOKUP(ReviewCalcs[[#This Row],[Project Index]], ProjectInput[], X$1, FALSE)</f>
        <v/>
      </c>
      <c r="W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 s="75" t="e">
        <f>IF(VLOOKUP(ReviewCalcs[[#This Row],[Proposed Fixture Code]], Table7[[FIXTURE CODE]:[Baseline Fixture Code]], 8, FALSE)="N", "ERROR", "PASS")</f>
        <v>#N/A</v>
      </c>
      <c r="Y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 s="75" t="e">
        <f>IF(OR(ReviewCalcs[[#This Row],[Baseline Fixture Watts]]&gt;=ReviewCalcs[[#This Row],[Proposed Fixture Watts]],ReviewCalcs[[#This Row],[Existing Fixture Watts]]&gt;=ReviewCalcs[[#This Row],[Proposed Fixture Watts]] ), "PASS", "ERROR")</f>
        <v>#N/A</v>
      </c>
      <c r="AA7" s="69" t="e">
        <f>VLOOKUP(ReviewCalcs[[#This Row],[Space Conditions]], Table_365[], 5, FALSE)</f>
        <v>#N/A</v>
      </c>
      <c r="AB7" s="68" t="str">
        <f>ReviewCalcs[[#This Row],[Annual Hours]]</f>
        <v/>
      </c>
      <c r="AC7" s="68" t="e">
        <f>VLOOKUP(ReviewCalcs[[#This Row],[Space Conditions]], Table_365[], 6, FALSE)</f>
        <v>#N/A</v>
      </c>
      <c r="AD7" s="68">
        <f>IF(ReviewCalcs[[#This Row],[Existing Control(s)]]='Tables &amp; Ranges'!$A$25, VLOOKUP(ReviewCalcs[[#This Row],[Building/Space Type]], Table_364[], 3, FALSE), CF_Contols)</f>
        <v>0.26</v>
      </c>
      <c r="AE7" s="68" t="e">
        <f>VLOOKUP(ReviewCalcs[[#This Row],[Existing Control(s)]], Table_358[], 2, FALSE)</f>
        <v>#N/A</v>
      </c>
      <c r="AF7" s="68">
        <f>IF(ReviewCalcs[[#This Row],[Proposed Control(s)]]='Tables &amp; Ranges'!$A$25, VLOOKUP(ReviewCalcs[[#This Row],[Building/Space Type]], Table_364[], 3, FALSE), CF_Contols)</f>
        <v>0.26</v>
      </c>
      <c r="AG7" s="68" t="e">
        <f>VLOOKUP(ReviewCalcs[[#This Row],[Proposed Control(s)]], Table_358[], 2, FALSE)</f>
        <v>#N/A</v>
      </c>
      <c r="AH7" s="68">
        <f>IFERROR((ReviewCalcs[[#This Row],[Existing Fixture Quantity]]*ReviewCalcs[[#This Row],[Existing Fixture Watts]]/1000)*ReviewCalcs[[#This Row],[Existing CF]]*ReviewCalcs[[#This Row],[IEFD]], 0)</f>
        <v>0</v>
      </c>
      <c r="AI7" s="68">
        <f>IFERROR((ReviewCalcs[[#This Row],[Proposed Fixture Quantity]]*ReviewCalcs[[#This Row],[Proposed Fixture Watts]]/1000)*ReviewCalcs[[#This Row],[Existing CF]]*ReviewCalcs[[#This Row],[IEFD]], 0)</f>
        <v>0</v>
      </c>
      <c r="AJ7" s="118">
        <f>IFERROR((ReviewCalcs[[#This Row],[Existing Fixture Quantity]]*ReviewCalcs[[#This Row],[Existing Fixture Watts]]/1000-ReviewCalcs[[#This Row],[Proposed Fixture Quantity]]*ReviewCalcs[[#This Row],[Proposed Fixture Watts]]/1000)*ReviewCalcs[[#This Row],[Existing CF]]*ReviewCalcs[[#This Row],[IEFD]], 0)</f>
        <v>0</v>
      </c>
      <c r="AK7" s="118">
        <f>IFERROR((ReviewCalcs[[#This Row],[Existing Fixture Quantity]]*ReviewCalcs[[#This Row],[Existing Fixture Watts]]/1000)*ReviewCalcs[[#This Row],[AOH]]*ReviewCalcs[[#This Row],[IEFE]]*ReviewCalcs[[#This Row],[Existing PAF]], 0)</f>
        <v>0</v>
      </c>
      <c r="AL7" s="118">
        <f>IFERROR((ReviewCalcs[[#This Row],[Proposed Fixture Quantity]]*ReviewCalcs[[#This Row],[Proposed Fixture Watts]]/1000)*ReviewCalcs[[#This Row],[AOH]]*ReviewCalcs[[#This Row],[IEFE]]*ReviewCalcs[[#This Row],[Existing PAF]], 0)</f>
        <v>0</v>
      </c>
      <c r="AM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 s="118">
        <f>ReviewCalcs[[#This Row],[Fixture Existing Energy (kWh)]]*Avg_KWh_Rate</f>
        <v>0</v>
      </c>
      <c r="AO7" s="118">
        <f>ReviewCalcs[[#This Row],[Fixture Proposed Energy (kWh)]]*Avg_KWh_Rate</f>
        <v>0</v>
      </c>
      <c r="AP7" s="70">
        <f>ReviewCalcs[[#This Row],[Fixture Energy Savings]]*Avg_KWh_Rate</f>
        <v>0</v>
      </c>
      <c r="AQ7" s="129" t="e">
        <f>ReviewCalcs[[#This Row],[Existing Fixture Quantity]]*ReviewCalcs[[#This Row],[Existing Fixture Watts]]/1000*ReviewCalcs[[#This Row],[Existing CF]]*ReviewCalcs[[#This Row],[IEFD]]</f>
        <v>#VALUE!</v>
      </c>
      <c r="AR7" s="129" t="e">
        <f>ReviewCalcs[[#This Row],[Proposed Fixture Quantity]]*ReviewCalcs[[#This Row],[Proposed Fixture Watts]]/1000*ReviewCalcs[[#This Row],[Proposed CF]]*ReviewCalcs[[#This Row],[IEFD]]</f>
        <v>#VALUE!</v>
      </c>
      <c r="AS7" s="118">
        <f>IF(ReviewCalcs[[#This Row],[Existing CF]]=ReviewCalcs[[#This Row],[Proposed CF]], 0, ReviewCalcs[[#This Row],[Proposed Fixture Quantity]]*ReviewCalcs[[#This Row],[Proposed Fixture Watts]]/1000*ReviewCalcs[[#This Row],[Proposed CF]]*ReviewCalcs[[#This Row],[IEFD]])</f>
        <v>0</v>
      </c>
      <c r="AT7" s="118">
        <f>IFERROR(ReviewCalcs[[#This Row],[Existing Fixture Quantity]]*ReviewCalcs[[#This Row],[Existing Fixture Watts]]/1000*ReviewCalcs[[#This Row],[Existing PAF]]*ReviewCalcs[[#This Row],[AOH]]*ReviewCalcs[[#This Row],[IEFE]], 0)</f>
        <v>0</v>
      </c>
      <c r="AU7" s="118">
        <f>IFERROR(ReviewCalcs[[#This Row],[Proposed Fixture Quantity]]*ReviewCalcs[[#This Row],[Proposed Fixture Watts]]/1000*ReviewCalcs[[#This Row],[Proposed PAF]]*ReviewCalcs[[#This Row],[AOH]]*ReviewCalcs[[#This Row],[IEFE]], 0)</f>
        <v>0</v>
      </c>
      <c r="AV7" s="118">
        <f>IFERROR(ReviewCalcs[[#This Row],[Proposed Fixture Quantity]]*ReviewCalcs[[#This Row],[Proposed Fixture Watts]]/1000*(ReviewCalcs[[#This Row],[Existing PAF]]-ReviewCalcs[[#This Row],[Proposed PAF]])*ReviewCalcs[[#This Row],[AOH]]*ReviewCalcs[[#This Row],[IEFE]], 0)</f>
        <v>0</v>
      </c>
      <c r="AW7" s="118">
        <f>ReviewCalcs[[#This Row],[Control Existing Energy (kWh)]]*kWh_Incentive_Rate</f>
        <v>0</v>
      </c>
      <c r="AX7" s="118">
        <f>ReviewCalcs[[#This Row],[Control Proposed Energy (kWh)]]*kWh_Incentive_Rate</f>
        <v>0</v>
      </c>
      <c r="AY7" s="70">
        <f>ReviewCalcs[[#This Row],[Control Energy Savings (kWh)]]*kWh_Incentive_Rate</f>
        <v>0</v>
      </c>
      <c r="AZ7" s="70" t="e">
        <f>ReviewCalcs[[#This Row],[Fixture Existing Demand (kW)]]+ReviewCalcs[[#This Row],[Control Existing Demand (kW)]]</f>
        <v>#VALUE!</v>
      </c>
      <c r="BA7" s="70" t="e">
        <f>ReviewCalcs[[#This Row],[Fixture Proposed Demand (kW)]]+ReviewCalcs[[#This Row],[Control Proposed Demand (kW)]]</f>
        <v>#VALUE!</v>
      </c>
      <c r="BB7" s="118">
        <f>ReviewCalcs[[#This Row],[Fixture Demand Savings (kW)]]+ReviewCalcs[[#This Row],[Control Demand Savings (kW)]]</f>
        <v>0</v>
      </c>
      <c r="BC7" s="118">
        <f>ReviewCalcs[[#This Row],[Fixture Existing Energy (kWh)]]+ReviewCalcs[[#This Row],[Control Existing Energy (kWh)]]</f>
        <v>0</v>
      </c>
      <c r="BD7" s="118">
        <f>ReviewCalcs[[#This Row],[Fixture Proposed Energy (kWh)]]+ReviewCalcs[[#This Row],[Control Proposed Energy (kWh)]]</f>
        <v>0</v>
      </c>
      <c r="BE7" s="118">
        <f>ReviewCalcs[[#This Row],[Fixture Energy Savings]]+ReviewCalcs[[#This Row],[Control Energy Savings (kWh)]]</f>
        <v>0</v>
      </c>
      <c r="BF7" s="118">
        <f>ReviewCalcs[[#This Row],[Fixture Existing Cost ($)]]+ReviewCalcs[[#This Row],[Control Existing Cost ($)]]</f>
        <v>0</v>
      </c>
      <c r="BG7" s="118">
        <f>ReviewCalcs[[#This Row],[Fixture Proposed Cost ($)]]+ReviewCalcs[[#This Row],[Controls Proposed Cost ($)]]</f>
        <v>0</v>
      </c>
      <c r="BH7" s="70">
        <f>ReviewCalcs[[#This Row],[Total Energy Savings (kWh)]]*Avg_KWh_Rate</f>
        <v>0</v>
      </c>
      <c r="BI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 s="70">
        <f>ReviewCalcs[[#This Row],[Retrofit Cost]]</f>
        <v>0</v>
      </c>
      <c r="BK7" s="70">
        <f>ReviewCalcs[[#This Row],[Retrofit Cost]]-ReviewCalcs[[#This Row],[Incentive ($)]]</f>
        <v>0</v>
      </c>
      <c r="BL7" s="118" t="e">
        <f>IFERROR(ReviewCalcs[[#This Row],[Net Project Cost ($)]]/ReviewCalcs[[#This Row],[Fixture Energy Cost Savings ($)]], #N/A)</f>
        <v>#N/A</v>
      </c>
      <c r="BM7" s="118" t="e">
        <f>IF(VLOOKUP(ReviewCalcs[[#This Row],[Existing Fixture Code]], Table7[[FIXTURE CODE]:[Baseline Fixture Code]], 8, FALSE)="N", VLOOKUP(ReviewCalcs[[#This Row],[Existing Fixture Code]], Table7[[FIXTURE CODE]:[Baseline Fixture Code]], 9, FALSE), ReviewCalcs[[#This Row],[Existing Fixture Code]])</f>
        <v>#N/A</v>
      </c>
      <c r="BN7" s="118" t="e">
        <f>INDEX(Table7[WATT/ FIXT], MATCH(ReviewCalcs[Baseline Fixture Code], Table7[FIXTURE CODE], 0))</f>
        <v>#N/A</v>
      </c>
      <c r="BO7" s="118">
        <f>IFERROR((ReviewCalcs[[#This Row],[Existing Fixture Quantity]]*ReviewCalcs[[#This Row],[Baseline Fixture Watts]]/1000-ReviewCalcs[[#This Row],[Proposed Fixture Quantity]]*ReviewCalcs[[#This Row],[Proposed Fixture Watts]]/1000)*ReviewCalcs[[#This Row],[Existing CF]]*ReviewCalcs[[#This Row],[IEFD]], 0)</f>
        <v>0</v>
      </c>
      <c r="BP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 s="118">
        <f>IF(ReviewCalcs[[#This Row],[Existing CF]]=ReviewCalcs[[#This Row],[Proposed CF]], 0, ReviewCalcs[[#This Row],[Proposed Fixture Quantity]]*ReviewCalcs[[#This Row],[Proposed Fixture Watts]]/1000*ReviewCalcs[[#This Row],[Proposed CF]]*ReviewCalcs[[#This Row],[IEFD]])</f>
        <v>0</v>
      </c>
      <c r="BR7" s="118">
        <f>IFERROR(ReviewCalcs[[#This Row],[Proposed Fixture Quantity]]*ReviewCalcs[[#This Row],[Proposed Fixture Watts]]/1000*(ReviewCalcs[[#This Row],[Existing PAF]]-ReviewCalcs[[#This Row],[Proposed PAF]])*ReviewCalcs[[#This Row],[AOH]]*ReviewCalcs[[#This Row],[IEFE]],0)</f>
        <v>0</v>
      </c>
      <c r="BS7" s="118">
        <f>ReviewCalcs[[#This Row],[Incentive Fixture Demand Savings (kW)]]+ReviewCalcs[[#This Row],[Incentive Control Demand Savings (kW)]]</f>
        <v>0</v>
      </c>
      <c r="BT7" s="118">
        <f>ReviewCalcs[[#This Row],[Incentive Fixture Energy Savings (kWh)]]+ReviewCalcs[[#This Row],[Incentive Control Energy Savings (kWh)]]</f>
        <v>0</v>
      </c>
      <c r="BU7" s="73"/>
      <c r="BZ7" t="s">
        <v>4008</v>
      </c>
    </row>
    <row r="8" spans="1:78" ht="30" customHeight="1">
      <c r="A8" s="68">
        <v>5</v>
      </c>
      <c r="B8" s="96">
        <f>VLOOKUP(ReviewCalcs[[#This Row],[Project Index]], ProjectInput[], D$1, FALSE)</f>
        <v>0</v>
      </c>
      <c r="C8" s="97">
        <f>VLOOKUP(ReviewCalcs[[#This Row],[Project Index]], ProjectInput[], E$1, FALSE)</f>
        <v>0</v>
      </c>
      <c r="D8" s="97">
        <f>VLOOKUP(ReviewCalcs[[#This Row],[Project Index]], ProjectInput[], F$1, FALSE)</f>
        <v>0</v>
      </c>
      <c r="E8" s="97">
        <f>VLOOKUP(ReviewCalcs[[#This Row],[Project Index]], ProjectInput[], G$1, FALSE)</f>
        <v>0</v>
      </c>
      <c r="F8" s="97">
        <f>VLOOKUP(ReviewCalcs[[#This Row],[Project Index]], ProjectInput[], H$1, FALSE)</f>
        <v>0</v>
      </c>
      <c r="G8" s="98" t="str">
        <f>VLOOKUP(ReviewCalcs[[#This Row],[Project Index]], ProjectInput[], I$1, FALSE)</f>
        <v/>
      </c>
      <c r="H8" s="96">
        <f>VLOOKUP(ReviewCalcs[[#This Row],[Project Index]], ProjectInput[], J$1, FALSE)</f>
        <v>0</v>
      </c>
      <c r="I8" s="97">
        <f>VLOOKUP(ReviewCalcs[[#This Row],[Project Index]], ProjectInput[], K$1, FALSE)</f>
        <v>0</v>
      </c>
      <c r="J8" s="97">
        <f>VLOOKUP(ReviewCalcs[[#This Row],[Project Index]], ProjectInput[], L$1, FALSE)</f>
        <v>0</v>
      </c>
      <c r="K8" s="97">
        <f>VLOOKUP(ReviewCalcs[[#This Row],[Project Index]], ProjectInput[], M$1, FALSE)</f>
        <v>0</v>
      </c>
      <c r="L8" s="97">
        <f>VLOOKUP(ReviewCalcs[[#This Row],[Project Index]], ProjectInput[], N$1, FALSE)</f>
        <v>0</v>
      </c>
      <c r="M8" s="98" t="str">
        <f>VLOOKUP(ReviewCalcs[[#This Row],[Project Index]], ProjectInput[], O$1, FALSE)</f>
        <v/>
      </c>
      <c r="N8" s="96">
        <f>VLOOKUP(ReviewCalcs[[#This Row],[Project Index]], ProjectInput[], P$1, FALSE)</f>
        <v>0</v>
      </c>
      <c r="O8" s="97">
        <f>VLOOKUP(ReviewCalcs[[#This Row],[Project Index]], ProjectInput[], Q$1, FALSE)</f>
        <v>0</v>
      </c>
      <c r="P8" s="97">
        <f>VLOOKUP(ReviewCalcs[[#This Row],[Project Index]], ProjectInput[], R$1, FALSE)</f>
        <v>0</v>
      </c>
      <c r="Q8" s="97">
        <f>VLOOKUP(ReviewCalcs[[#This Row],[Project Index]], ProjectInput[], S$1, FALSE)</f>
        <v>0</v>
      </c>
      <c r="R8" s="97">
        <f>VLOOKUP(ReviewCalcs[[#This Row],[Project Index]], ProjectInput[], T$1, FALSE)</f>
        <v>0</v>
      </c>
      <c r="S8" s="97">
        <f>VLOOKUP(ReviewCalcs[[#This Row],[Project Index]], ProjectInput[], U$1, FALSE)</f>
        <v>0</v>
      </c>
      <c r="T8" s="97">
        <f>VLOOKUP(ReviewCalcs[[#This Row],[Project Index]], ProjectInput[], V$1, FALSE)</f>
        <v>0</v>
      </c>
      <c r="U8" s="97">
        <f>VLOOKUP(ReviewCalcs[[#This Row],[Project Index]], ProjectInput[], W$1, FALSE)</f>
        <v>0</v>
      </c>
      <c r="V8" s="98" t="str">
        <f>VLOOKUP(ReviewCalcs[[#This Row],[Project Index]], ProjectInput[], X$1, FALSE)</f>
        <v/>
      </c>
      <c r="W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 s="75" t="e">
        <f>IF(VLOOKUP(ReviewCalcs[[#This Row],[Proposed Fixture Code]], Table7[[FIXTURE CODE]:[Baseline Fixture Code]], 8, FALSE)="N", "ERROR", "PASS")</f>
        <v>#N/A</v>
      </c>
      <c r="Y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 s="75" t="e">
        <f>IF(OR(ReviewCalcs[[#This Row],[Baseline Fixture Watts]]&gt;=ReviewCalcs[[#This Row],[Proposed Fixture Watts]],ReviewCalcs[[#This Row],[Existing Fixture Watts]]&gt;=ReviewCalcs[[#This Row],[Proposed Fixture Watts]] ), "PASS", "ERROR")</f>
        <v>#N/A</v>
      </c>
      <c r="AA8" s="69" t="e">
        <f>VLOOKUP(ReviewCalcs[[#This Row],[Space Conditions]], Table_365[], 5, FALSE)</f>
        <v>#N/A</v>
      </c>
      <c r="AB8" s="68" t="str">
        <f>ReviewCalcs[[#This Row],[Annual Hours]]</f>
        <v/>
      </c>
      <c r="AC8" s="68" t="e">
        <f>VLOOKUP(ReviewCalcs[[#This Row],[Space Conditions]], Table_365[], 6, FALSE)</f>
        <v>#N/A</v>
      </c>
      <c r="AD8" s="68">
        <f>IF(ReviewCalcs[[#This Row],[Existing Control(s)]]='Tables &amp; Ranges'!$A$25, VLOOKUP(ReviewCalcs[[#This Row],[Building/Space Type]], Table_364[], 3, FALSE), CF_Contols)</f>
        <v>0.26</v>
      </c>
      <c r="AE8" s="68" t="e">
        <f>VLOOKUP(ReviewCalcs[[#This Row],[Existing Control(s)]], Table_358[], 2, FALSE)</f>
        <v>#N/A</v>
      </c>
      <c r="AF8" s="68">
        <f>IF(ReviewCalcs[[#This Row],[Proposed Control(s)]]='Tables &amp; Ranges'!$A$25, VLOOKUP(ReviewCalcs[[#This Row],[Building/Space Type]], Table_364[], 3, FALSE), CF_Contols)</f>
        <v>0.26</v>
      </c>
      <c r="AG8" s="68" t="e">
        <f>VLOOKUP(ReviewCalcs[[#This Row],[Proposed Control(s)]], Table_358[], 2, FALSE)</f>
        <v>#N/A</v>
      </c>
      <c r="AH8" s="68">
        <f>IFERROR((ReviewCalcs[[#This Row],[Existing Fixture Quantity]]*ReviewCalcs[[#This Row],[Existing Fixture Watts]]/1000)*ReviewCalcs[[#This Row],[Existing CF]]*ReviewCalcs[[#This Row],[IEFD]], 0)</f>
        <v>0</v>
      </c>
      <c r="AI8" s="68">
        <f>IFERROR((ReviewCalcs[[#This Row],[Proposed Fixture Quantity]]*ReviewCalcs[[#This Row],[Proposed Fixture Watts]]/1000)*ReviewCalcs[[#This Row],[Existing CF]]*ReviewCalcs[[#This Row],[IEFD]], 0)</f>
        <v>0</v>
      </c>
      <c r="AJ8" s="118">
        <f>IFERROR((ReviewCalcs[[#This Row],[Existing Fixture Quantity]]*ReviewCalcs[[#This Row],[Existing Fixture Watts]]/1000-ReviewCalcs[[#This Row],[Proposed Fixture Quantity]]*ReviewCalcs[[#This Row],[Proposed Fixture Watts]]/1000)*ReviewCalcs[[#This Row],[Existing CF]]*ReviewCalcs[[#This Row],[IEFD]], 0)</f>
        <v>0</v>
      </c>
      <c r="AK8" s="118">
        <f>IFERROR((ReviewCalcs[[#This Row],[Existing Fixture Quantity]]*ReviewCalcs[[#This Row],[Existing Fixture Watts]]/1000)*ReviewCalcs[[#This Row],[AOH]]*ReviewCalcs[[#This Row],[IEFE]]*ReviewCalcs[[#This Row],[Existing PAF]], 0)</f>
        <v>0</v>
      </c>
      <c r="AL8" s="118">
        <f>IFERROR((ReviewCalcs[[#This Row],[Proposed Fixture Quantity]]*ReviewCalcs[[#This Row],[Proposed Fixture Watts]]/1000)*ReviewCalcs[[#This Row],[AOH]]*ReviewCalcs[[#This Row],[IEFE]]*ReviewCalcs[[#This Row],[Existing PAF]], 0)</f>
        <v>0</v>
      </c>
      <c r="AM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 s="118">
        <f>ReviewCalcs[[#This Row],[Fixture Existing Energy (kWh)]]*Avg_KWh_Rate</f>
        <v>0</v>
      </c>
      <c r="AO8" s="118">
        <f>ReviewCalcs[[#This Row],[Fixture Proposed Energy (kWh)]]*Avg_KWh_Rate</f>
        <v>0</v>
      </c>
      <c r="AP8" s="70">
        <f>ReviewCalcs[[#This Row],[Fixture Energy Savings]]*Avg_KWh_Rate</f>
        <v>0</v>
      </c>
      <c r="AQ8" s="129" t="e">
        <f>ReviewCalcs[[#This Row],[Existing Fixture Quantity]]*ReviewCalcs[[#This Row],[Existing Fixture Watts]]/1000*ReviewCalcs[[#This Row],[Existing CF]]*ReviewCalcs[[#This Row],[IEFD]]</f>
        <v>#VALUE!</v>
      </c>
      <c r="AR8" s="129" t="e">
        <f>ReviewCalcs[[#This Row],[Proposed Fixture Quantity]]*ReviewCalcs[[#This Row],[Proposed Fixture Watts]]/1000*ReviewCalcs[[#This Row],[Proposed CF]]*ReviewCalcs[[#This Row],[IEFD]]</f>
        <v>#VALUE!</v>
      </c>
      <c r="AS8" s="118">
        <f>IF(ReviewCalcs[[#This Row],[Existing CF]]=ReviewCalcs[[#This Row],[Proposed CF]], 0, ReviewCalcs[[#This Row],[Proposed Fixture Quantity]]*ReviewCalcs[[#This Row],[Proposed Fixture Watts]]/1000*ReviewCalcs[[#This Row],[Proposed CF]]*ReviewCalcs[[#This Row],[IEFD]])</f>
        <v>0</v>
      </c>
      <c r="AT8" s="118">
        <f>IFERROR(ReviewCalcs[[#This Row],[Existing Fixture Quantity]]*ReviewCalcs[[#This Row],[Existing Fixture Watts]]/1000*ReviewCalcs[[#This Row],[Existing PAF]]*ReviewCalcs[[#This Row],[AOH]]*ReviewCalcs[[#This Row],[IEFE]], 0)</f>
        <v>0</v>
      </c>
      <c r="AU8" s="118">
        <f>IFERROR(ReviewCalcs[[#This Row],[Proposed Fixture Quantity]]*ReviewCalcs[[#This Row],[Proposed Fixture Watts]]/1000*ReviewCalcs[[#This Row],[Proposed PAF]]*ReviewCalcs[[#This Row],[AOH]]*ReviewCalcs[[#This Row],[IEFE]], 0)</f>
        <v>0</v>
      </c>
      <c r="AV8" s="118">
        <f>IFERROR(ReviewCalcs[[#This Row],[Proposed Fixture Quantity]]*ReviewCalcs[[#This Row],[Proposed Fixture Watts]]/1000*(ReviewCalcs[[#This Row],[Existing PAF]]-ReviewCalcs[[#This Row],[Proposed PAF]])*ReviewCalcs[[#This Row],[AOH]]*ReviewCalcs[[#This Row],[IEFE]], 0)</f>
        <v>0</v>
      </c>
      <c r="AW8" s="118">
        <f>ReviewCalcs[[#This Row],[Control Existing Energy (kWh)]]*kWh_Incentive_Rate</f>
        <v>0</v>
      </c>
      <c r="AX8" s="118">
        <f>ReviewCalcs[[#This Row],[Control Proposed Energy (kWh)]]*kWh_Incentive_Rate</f>
        <v>0</v>
      </c>
      <c r="AY8" s="70">
        <f>ReviewCalcs[[#This Row],[Control Energy Savings (kWh)]]*kWh_Incentive_Rate</f>
        <v>0</v>
      </c>
      <c r="AZ8" s="70" t="e">
        <f>ReviewCalcs[[#This Row],[Fixture Existing Demand (kW)]]+ReviewCalcs[[#This Row],[Control Existing Demand (kW)]]</f>
        <v>#VALUE!</v>
      </c>
      <c r="BA8" s="70" t="e">
        <f>ReviewCalcs[[#This Row],[Fixture Proposed Demand (kW)]]+ReviewCalcs[[#This Row],[Control Proposed Demand (kW)]]</f>
        <v>#VALUE!</v>
      </c>
      <c r="BB8" s="118">
        <f>ReviewCalcs[[#This Row],[Fixture Demand Savings (kW)]]+ReviewCalcs[[#This Row],[Control Demand Savings (kW)]]</f>
        <v>0</v>
      </c>
      <c r="BC8" s="118">
        <f>ReviewCalcs[[#This Row],[Fixture Existing Energy (kWh)]]+ReviewCalcs[[#This Row],[Control Existing Energy (kWh)]]</f>
        <v>0</v>
      </c>
      <c r="BD8" s="118">
        <f>ReviewCalcs[[#This Row],[Fixture Proposed Energy (kWh)]]+ReviewCalcs[[#This Row],[Control Proposed Energy (kWh)]]</f>
        <v>0</v>
      </c>
      <c r="BE8" s="118">
        <f>ReviewCalcs[[#This Row],[Fixture Energy Savings]]+ReviewCalcs[[#This Row],[Control Energy Savings (kWh)]]</f>
        <v>0</v>
      </c>
      <c r="BF8" s="118">
        <f>ReviewCalcs[[#This Row],[Fixture Existing Cost ($)]]+ReviewCalcs[[#This Row],[Control Existing Cost ($)]]</f>
        <v>0</v>
      </c>
      <c r="BG8" s="118">
        <f>ReviewCalcs[[#This Row],[Fixture Proposed Cost ($)]]+ReviewCalcs[[#This Row],[Controls Proposed Cost ($)]]</f>
        <v>0</v>
      </c>
      <c r="BH8" s="70">
        <f>ReviewCalcs[[#This Row],[Total Energy Savings (kWh)]]*Avg_KWh_Rate</f>
        <v>0</v>
      </c>
      <c r="BI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 s="70">
        <f>ReviewCalcs[[#This Row],[Retrofit Cost]]</f>
        <v>0</v>
      </c>
      <c r="BK8" s="70">
        <f>ReviewCalcs[[#This Row],[Retrofit Cost]]-ReviewCalcs[[#This Row],[Incentive ($)]]</f>
        <v>0</v>
      </c>
      <c r="BL8" s="118" t="e">
        <f>IFERROR(ReviewCalcs[[#This Row],[Net Project Cost ($)]]/ReviewCalcs[[#This Row],[Fixture Energy Cost Savings ($)]], #N/A)</f>
        <v>#N/A</v>
      </c>
      <c r="BM8" s="118" t="e">
        <f>IF(VLOOKUP(ReviewCalcs[[#This Row],[Existing Fixture Code]], Table7[[FIXTURE CODE]:[Baseline Fixture Code]], 8, FALSE)="N", VLOOKUP(ReviewCalcs[[#This Row],[Existing Fixture Code]], Table7[[FIXTURE CODE]:[Baseline Fixture Code]], 9, FALSE), ReviewCalcs[[#This Row],[Existing Fixture Code]])</f>
        <v>#N/A</v>
      </c>
      <c r="BN8" s="118" t="e">
        <f>INDEX(Table7[WATT/ FIXT], MATCH(ReviewCalcs[Baseline Fixture Code], Table7[FIXTURE CODE], 0))</f>
        <v>#N/A</v>
      </c>
      <c r="BO8" s="118">
        <f>IFERROR((ReviewCalcs[[#This Row],[Existing Fixture Quantity]]*ReviewCalcs[[#This Row],[Baseline Fixture Watts]]/1000-ReviewCalcs[[#This Row],[Proposed Fixture Quantity]]*ReviewCalcs[[#This Row],[Proposed Fixture Watts]]/1000)*ReviewCalcs[[#This Row],[Existing CF]]*ReviewCalcs[[#This Row],[IEFD]], 0)</f>
        <v>0</v>
      </c>
      <c r="BP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 s="118">
        <f>IF(ReviewCalcs[[#This Row],[Existing CF]]=ReviewCalcs[[#This Row],[Proposed CF]], 0, ReviewCalcs[[#This Row],[Proposed Fixture Quantity]]*ReviewCalcs[[#This Row],[Proposed Fixture Watts]]/1000*ReviewCalcs[[#This Row],[Proposed CF]]*ReviewCalcs[[#This Row],[IEFD]])</f>
        <v>0</v>
      </c>
      <c r="BR8" s="118">
        <f>IFERROR(ReviewCalcs[[#This Row],[Proposed Fixture Quantity]]*ReviewCalcs[[#This Row],[Proposed Fixture Watts]]/1000*(ReviewCalcs[[#This Row],[Existing PAF]]-ReviewCalcs[[#This Row],[Proposed PAF]])*ReviewCalcs[[#This Row],[AOH]]*ReviewCalcs[[#This Row],[IEFE]],0)</f>
        <v>0</v>
      </c>
      <c r="BS8" s="118">
        <f>ReviewCalcs[[#This Row],[Incentive Fixture Demand Savings (kW)]]+ReviewCalcs[[#This Row],[Incentive Control Demand Savings (kW)]]</f>
        <v>0</v>
      </c>
      <c r="BT8" s="118">
        <f>ReviewCalcs[[#This Row],[Incentive Fixture Energy Savings (kWh)]]+ReviewCalcs[[#This Row],[Incentive Control Energy Savings (kWh)]]</f>
        <v>0</v>
      </c>
      <c r="BU8" s="73"/>
      <c r="BZ8" t="s">
        <v>4052</v>
      </c>
    </row>
    <row r="9" spans="1:78" ht="30" customHeight="1">
      <c r="A9" s="68">
        <v>6</v>
      </c>
      <c r="B9" s="96">
        <f>VLOOKUP(ReviewCalcs[[#This Row],[Project Index]], ProjectInput[], D$1, FALSE)</f>
        <v>0</v>
      </c>
      <c r="C9" s="97">
        <f>VLOOKUP(ReviewCalcs[[#This Row],[Project Index]], ProjectInput[], E$1, FALSE)</f>
        <v>0</v>
      </c>
      <c r="D9" s="97">
        <f>VLOOKUP(ReviewCalcs[[#This Row],[Project Index]], ProjectInput[], F$1, FALSE)</f>
        <v>0</v>
      </c>
      <c r="E9" s="97">
        <f>VLOOKUP(ReviewCalcs[[#This Row],[Project Index]], ProjectInput[], G$1, FALSE)</f>
        <v>0</v>
      </c>
      <c r="F9" s="97">
        <f>VLOOKUP(ReviewCalcs[[#This Row],[Project Index]], ProjectInput[], H$1, FALSE)</f>
        <v>0</v>
      </c>
      <c r="G9" s="98" t="str">
        <f>VLOOKUP(ReviewCalcs[[#This Row],[Project Index]], ProjectInput[], I$1, FALSE)</f>
        <v/>
      </c>
      <c r="H9" s="96">
        <f>VLOOKUP(ReviewCalcs[[#This Row],[Project Index]], ProjectInput[], J$1, FALSE)</f>
        <v>0</v>
      </c>
      <c r="I9" s="97">
        <f>VLOOKUP(ReviewCalcs[[#This Row],[Project Index]], ProjectInput[], K$1, FALSE)</f>
        <v>0</v>
      </c>
      <c r="J9" s="97">
        <f>VLOOKUP(ReviewCalcs[[#This Row],[Project Index]], ProjectInput[], L$1, FALSE)</f>
        <v>0</v>
      </c>
      <c r="K9" s="97">
        <f>VLOOKUP(ReviewCalcs[[#This Row],[Project Index]], ProjectInput[], M$1, FALSE)</f>
        <v>0</v>
      </c>
      <c r="L9" s="97">
        <f>VLOOKUP(ReviewCalcs[[#This Row],[Project Index]], ProjectInput[], N$1, FALSE)</f>
        <v>0</v>
      </c>
      <c r="M9" s="98" t="str">
        <f>VLOOKUP(ReviewCalcs[[#This Row],[Project Index]], ProjectInput[], O$1, FALSE)</f>
        <v/>
      </c>
      <c r="N9" s="96">
        <f>VLOOKUP(ReviewCalcs[[#This Row],[Project Index]], ProjectInput[], P$1, FALSE)</f>
        <v>0</v>
      </c>
      <c r="O9" s="97">
        <f>VLOOKUP(ReviewCalcs[[#This Row],[Project Index]], ProjectInput[], Q$1, FALSE)</f>
        <v>0</v>
      </c>
      <c r="P9" s="97">
        <f>VLOOKUP(ReviewCalcs[[#This Row],[Project Index]], ProjectInput[], R$1, FALSE)</f>
        <v>0</v>
      </c>
      <c r="Q9" s="97">
        <f>VLOOKUP(ReviewCalcs[[#This Row],[Project Index]], ProjectInput[], S$1, FALSE)</f>
        <v>0</v>
      </c>
      <c r="R9" s="97">
        <f>VLOOKUP(ReviewCalcs[[#This Row],[Project Index]], ProjectInput[], T$1, FALSE)</f>
        <v>0</v>
      </c>
      <c r="S9" s="97">
        <f>VLOOKUP(ReviewCalcs[[#This Row],[Project Index]], ProjectInput[], U$1, FALSE)</f>
        <v>0</v>
      </c>
      <c r="T9" s="97">
        <f>VLOOKUP(ReviewCalcs[[#This Row],[Project Index]], ProjectInput[], V$1, FALSE)</f>
        <v>0</v>
      </c>
      <c r="U9" s="97">
        <f>VLOOKUP(ReviewCalcs[[#This Row],[Project Index]], ProjectInput[], W$1, FALSE)</f>
        <v>0</v>
      </c>
      <c r="V9" s="98" t="str">
        <f>VLOOKUP(ReviewCalcs[[#This Row],[Project Index]], ProjectInput[], X$1, FALSE)</f>
        <v/>
      </c>
      <c r="W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 s="75" t="e">
        <f>IF(VLOOKUP(ReviewCalcs[[#This Row],[Proposed Fixture Code]], Table7[[FIXTURE CODE]:[Baseline Fixture Code]], 8, FALSE)="N", "ERROR", "PASS")</f>
        <v>#N/A</v>
      </c>
      <c r="Y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 s="75" t="e">
        <f>IF(OR(ReviewCalcs[[#This Row],[Baseline Fixture Watts]]&gt;=ReviewCalcs[[#This Row],[Proposed Fixture Watts]],ReviewCalcs[[#This Row],[Existing Fixture Watts]]&gt;=ReviewCalcs[[#This Row],[Proposed Fixture Watts]] ), "PASS", "ERROR")</f>
        <v>#N/A</v>
      </c>
      <c r="AA9" s="69" t="e">
        <f>VLOOKUP(ReviewCalcs[[#This Row],[Space Conditions]], Table_365[], 5, FALSE)</f>
        <v>#N/A</v>
      </c>
      <c r="AB9" s="68" t="str">
        <f>ReviewCalcs[[#This Row],[Annual Hours]]</f>
        <v/>
      </c>
      <c r="AC9" s="68" t="e">
        <f>VLOOKUP(ReviewCalcs[[#This Row],[Space Conditions]], Table_365[], 6, FALSE)</f>
        <v>#N/A</v>
      </c>
      <c r="AD9" s="68">
        <f>IF(ReviewCalcs[[#This Row],[Existing Control(s)]]='Tables &amp; Ranges'!$A$25, VLOOKUP(ReviewCalcs[[#This Row],[Building/Space Type]], Table_364[], 3, FALSE), CF_Contols)</f>
        <v>0.26</v>
      </c>
      <c r="AE9" s="68" t="e">
        <f>VLOOKUP(ReviewCalcs[[#This Row],[Existing Control(s)]], Table_358[], 2, FALSE)</f>
        <v>#N/A</v>
      </c>
      <c r="AF9" s="68">
        <f>IF(ReviewCalcs[[#This Row],[Proposed Control(s)]]='Tables &amp; Ranges'!$A$25, VLOOKUP(ReviewCalcs[[#This Row],[Building/Space Type]], Table_364[], 3, FALSE), CF_Contols)</f>
        <v>0.26</v>
      </c>
      <c r="AG9" s="68" t="e">
        <f>VLOOKUP(ReviewCalcs[[#This Row],[Proposed Control(s)]], Table_358[], 2, FALSE)</f>
        <v>#N/A</v>
      </c>
      <c r="AH9" s="68">
        <f>IFERROR((ReviewCalcs[[#This Row],[Existing Fixture Quantity]]*ReviewCalcs[[#This Row],[Existing Fixture Watts]]/1000)*ReviewCalcs[[#This Row],[Existing CF]]*ReviewCalcs[[#This Row],[IEFD]], 0)</f>
        <v>0</v>
      </c>
      <c r="AI9" s="68">
        <f>IFERROR((ReviewCalcs[[#This Row],[Proposed Fixture Quantity]]*ReviewCalcs[[#This Row],[Proposed Fixture Watts]]/1000)*ReviewCalcs[[#This Row],[Existing CF]]*ReviewCalcs[[#This Row],[IEFD]], 0)</f>
        <v>0</v>
      </c>
      <c r="AJ9" s="118">
        <f>IFERROR((ReviewCalcs[[#This Row],[Existing Fixture Quantity]]*ReviewCalcs[[#This Row],[Existing Fixture Watts]]/1000-ReviewCalcs[[#This Row],[Proposed Fixture Quantity]]*ReviewCalcs[[#This Row],[Proposed Fixture Watts]]/1000)*ReviewCalcs[[#This Row],[Existing CF]]*ReviewCalcs[[#This Row],[IEFD]], 0)</f>
        <v>0</v>
      </c>
      <c r="AK9" s="118">
        <f>IFERROR((ReviewCalcs[[#This Row],[Existing Fixture Quantity]]*ReviewCalcs[[#This Row],[Existing Fixture Watts]]/1000)*ReviewCalcs[[#This Row],[AOH]]*ReviewCalcs[[#This Row],[IEFE]]*ReviewCalcs[[#This Row],[Existing PAF]], 0)</f>
        <v>0</v>
      </c>
      <c r="AL9" s="118">
        <f>IFERROR((ReviewCalcs[[#This Row],[Proposed Fixture Quantity]]*ReviewCalcs[[#This Row],[Proposed Fixture Watts]]/1000)*ReviewCalcs[[#This Row],[AOH]]*ReviewCalcs[[#This Row],[IEFE]]*ReviewCalcs[[#This Row],[Existing PAF]], 0)</f>
        <v>0</v>
      </c>
      <c r="AM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 s="118">
        <f>ReviewCalcs[[#This Row],[Fixture Existing Energy (kWh)]]*Avg_KWh_Rate</f>
        <v>0</v>
      </c>
      <c r="AO9" s="118">
        <f>ReviewCalcs[[#This Row],[Fixture Proposed Energy (kWh)]]*Avg_KWh_Rate</f>
        <v>0</v>
      </c>
      <c r="AP9" s="70">
        <f>ReviewCalcs[[#This Row],[Fixture Energy Savings]]*Avg_KWh_Rate</f>
        <v>0</v>
      </c>
      <c r="AQ9" s="129" t="e">
        <f>ReviewCalcs[[#This Row],[Existing Fixture Quantity]]*ReviewCalcs[[#This Row],[Existing Fixture Watts]]/1000*ReviewCalcs[[#This Row],[Existing CF]]*ReviewCalcs[[#This Row],[IEFD]]</f>
        <v>#VALUE!</v>
      </c>
      <c r="AR9" s="129" t="e">
        <f>ReviewCalcs[[#This Row],[Proposed Fixture Quantity]]*ReviewCalcs[[#This Row],[Proposed Fixture Watts]]/1000*ReviewCalcs[[#This Row],[Proposed CF]]*ReviewCalcs[[#This Row],[IEFD]]</f>
        <v>#VALUE!</v>
      </c>
      <c r="AS9" s="118">
        <f>IF(ReviewCalcs[[#This Row],[Existing CF]]=ReviewCalcs[[#This Row],[Proposed CF]], 0, ReviewCalcs[[#This Row],[Proposed Fixture Quantity]]*ReviewCalcs[[#This Row],[Proposed Fixture Watts]]/1000*ReviewCalcs[[#This Row],[Proposed CF]]*ReviewCalcs[[#This Row],[IEFD]])</f>
        <v>0</v>
      </c>
      <c r="AT9" s="118">
        <f>IFERROR(ReviewCalcs[[#This Row],[Existing Fixture Quantity]]*ReviewCalcs[[#This Row],[Existing Fixture Watts]]/1000*ReviewCalcs[[#This Row],[Existing PAF]]*ReviewCalcs[[#This Row],[AOH]]*ReviewCalcs[[#This Row],[IEFE]], 0)</f>
        <v>0</v>
      </c>
      <c r="AU9" s="118">
        <f>IFERROR(ReviewCalcs[[#This Row],[Proposed Fixture Quantity]]*ReviewCalcs[[#This Row],[Proposed Fixture Watts]]/1000*ReviewCalcs[[#This Row],[Proposed PAF]]*ReviewCalcs[[#This Row],[AOH]]*ReviewCalcs[[#This Row],[IEFE]], 0)</f>
        <v>0</v>
      </c>
      <c r="AV9" s="118">
        <f>IFERROR(ReviewCalcs[[#This Row],[Proposed Fixture Quantity]]*ReviewCalcs[[#This Row],[Proposed Fixture Watts]]/1000*(ReviewCalcs[[#This Row],[Existing PAF]]-ReviewCalcs[[#This Row],[Proposed PAF]])*ReviewCalcs[[#This Row],[AOH]]*ReviewCalcs[[#This Row],[IEFE]], 0)</f>
        <v>0</v>
      </c>
      <c r="AW9" s="118">
        <f>ReviewCalcs[[#This Row],[Control Existing Energy (kWh)]]*kWh_Incentive_Rate</f>
        <v>0</v>
      </c>
      <c r="AX9" s="118">
        <f>ReviewCalcs[[#This Row],[Control Proposed Energy (kWh)]]*kWh_Incentive_Rate</f>
        <v>0</v>
      </c>
      <c r="AY9" s="70">
        <f>ReviewCalcs[[#This Row],[Control Energy Savings (kWh)]]*kWh_Incentive_Rate</f>
        <v>0</v>
      </c>
      <c r="AZ9" s="70" t="e">
        <f>ReviewCalcs[[#This Row],[Fixture Existing Demand (kW)]]+ReviewCalcs[[#This Row],[Control Existing Demand (kW)]]</f>
        <v>#VALUE!</v>
      </c>
      <c r="BA9" s="70" t="e">
        <f>ReviewCalcs[[#This Row],[Fixture Proposed Demand (kW)]]+ReviewCalcs[[#This Row],[Control Proposed Demand (kW)]]</f>
        <v>#VALUE!</v>
      </c>
      <c r="BB9" s="118">
        <f>ReviewCalcs[[#This Row],[Fixture Demand Savings (kW)]]+ReviewCalcs[[#This Row],[Control Demand Savings (kW)]]</f>
        <v>0</v>
      </c>
      <c r="BC9" s="118">
        <f>ReviewCalcs[[#This Row],[Fixture Existing Energy (kWh)]]+ReviewCalcs[[#This Row],[Control Existing Energy (kWh)]]</f>
        <v>0</v>
      </c>
      <c r="BD9" s="118">
        <f>ReviewCalcs[[#This Row],[Fixture Proposed Energy (kWh)]]+ReviewCalcs[[#This Row],[Control Proposed Energy (kWh)]]</f>
        <v>0</v>
      </c>
      <c r="BE9" s="118">
        <f>ReviewCalcs[[#This Row],[Fixture Energy Savings]]+ReviewCalcs[[#This Row],[Control Energy Savings (kWh)]]</f>
        <v>0</v>
      </c>
      <c r="BF9" s="118">
        <f>ReviewCalcs[[#This Row],[Fixture Existing Cost ($)]]+ReviewCalcs[[#This Row],[Control Existing Cost ($)]]</f>
        <v>0</v>
      </c>
      <c r="BG9" s="118">
        <f>ReviewCalcs[[#This Row],[Fixture Proposed Cost ($)]]+ReviewCalcs[[#This Row],[Controls Proposed Cost ($)]]</f>
        <v>0</v>
      </c>
      <c r="BH9" s="70">
        <f>ReviewCalcs[[#This Row],[Total Energy Savings (kWh)]]*Avg_KWh_Rate</f>
        <v>0</v>
      </c>
      <c r="BI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 s="70">
        <f>ReviewCalcs[[#This Row],[Retrofit Cost]]</f>
        <v>0</v>
      </c>
      <c r="BK9" s="70">
        <f>ReviewCalcs[[#This Row],[Retrofit Cost]]-ReviewCalcs[[#This Row],[Incentive ($)]]</f>
        <v>0</v>
      </c>
      <c r="BL9" s="118" t="e">
        <f>IFERROR(ReviewCalcs[[#This Row],[Net Project Cost ($)]]/ReviewCalcs[[#This Row],[Fixture Energy Cost Savings ($)]], #N/A)</f>
        <v>#N/A</v>
      </c>
      <c r="BM9" s="118" t="e">
        <f>IF(VLOOKUP(ReviewCalcs[[#This Row],[Existing Fixture Code]], Table7[[FIXTURE CODE]:[Baseline Fixture Code]], 8, FALSE)="N", VLOOKUP(ReviewCalcs[[#This Row],[Existing Fixture Code]], Table7[[FIXTURE CODE]:[Baseline Fixture Code]], 9, FALSE), ReviewCalcs[[#This Row],[Existing Fixture Code]])</f>
        <v>#N/A</v>
      </c>
      <c r="BN9" s="118" t="e">
        <f>INDEX(Table7[WATT/ FIXT], MATCH(ReviewCalcs[Baseline Fixture Code], Table7[FIXTURE CODE], 0))</f>
        <v>#N/A</v>
      </c>
      <c r="BO9" s="118">
        <f>IFERROR((ReviewCalcs[[#This Row],[Existing Fixture Quantity]]*ReviewCalcs[[#This Row],[Baseline Fixture Watts]]/1000-ReviewCalcs[[#This Row],[Proposed Fixture Quantity]]*ReviewCalcs[[#This Row],[Proposed Fixture Watts]]/1000)*ReviewCalcs[[#This Row],[Existing CF]]*ReviewCalcs[[#This Row],[IEFD]], 0)</f>
        <v>0</v>
      </c>
      <c r="BP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 s="118">
        <f>IF(ReviewCalcs[[#This Row],[Existing CF]]=ReviewCalcs[[#This Row],[Proposed CF]], 0, ReviewCalcs[[#This Row],[Proposed Fixture Quantity]]*ReviewCalcs[[#This Row],[Proposed Fixture Watts]]/1000*ReviewCalcs[[#This Row],[Proposed CF]]*ReviewCalcs[[#This Row],[IEFD]])</f>
        <v>0</v>
      </c>
      <c r="BR9" s="118">
        <f>IFERROR(ReviewCalcs[[#This Row],[Proposed Fixture Quantity]]*ReviewCalcs[[#This Row],[Proposed Fixture Watts]]/1000*(ReviewCalcs[[#This Row],[Existing PAF]]-ReviewCalcs[[#This Row],[Proposed PAF]])*ReviewCalcs[[#This Row],[AOH]]*ReviewCalcs[[#This Row],[IEFE]],0)</f>
        <v>0</v>
      </c>
      <c r="BS9" s="118">
        <f>ReviewCalcs[[#This Row],[Incentive Fixture Demand Savings (kW)]]+ReviewCalcs[[#This Row],[Incentive Control Demand Savings (kW)]]</f>
        <v>0</v>
      </c>
      <c r="BT9" s="118">
        <f>ReviewCalcs[[#This Row],[Incentive Fixture Energy Savings (kWh)]]+ReviewCalcs[[#This Row],[Incentive Control Energy Savings (kWh)]]</f>
        <v>0</v>
      </c>
      <c r="BU9" s="73"/>
    </row>
    <row r="10" spans="1:78" ht="30" customHeight="1">
      <c r="A10" s="68">
        <v>7</v>
      </c>
      <c r="B10" s="96">
        <f>VLOOKUP(ReviewCalcs[[#This Row],[Project Index]], ProjectInput[], D$1, FALSE)</f>
        <v>0</v>
      </c>
      <c r="C10" s="97">
        <f>VLOOKUP(ReviewCalcs[[#This Row],[Project Index]], ProjectInput[], E$1, FALSE)</f>
        <v>0</v>
      </c>
      <c r="D10" s="97">
        <f>VLOOKUP(ReviewCalcs[[#This Row],[Project Index]], ProjectInput[], F$1, FALSE)</f>
        <v>0</v>
      </c>
      <c r="E10" s="97">
        <f>VLOOKUP(ReviewCalcs[[#This Row],[Project Index]], ProjectInput[], G$1, FALSE)</f>
        <v>0</v>
      </c>
      <c r="F10" s="97">
        <f>VLOOKUP(ReviewCalcs[[#This Row],[Project Index]], ProjectInput[], H$1, FALSE)</f>
        <v>0</v>
      </c>
      <c r="G10" s="98" t="str">
        <f>VLOOKUP(ReviewCalcs[[#This Row],[Project Index]], ProjectInput[], I$1, FALSE)</f>
        <v/>
      </c>
      <c r="H10" s="96">
        <f>VLOOKUP(ReviewCalcs[[#This Row],[Project Index]], ProjectInput[], J$1, FALSE)</f>
        <v>0</v>
      </c>
      <c r="I10" s="97">
        <f>VLOOKUP(ReviewCalcs[[#This Row],[Project Index]], ProjectInput[], K$1, FALSE)</f>
        <v>0</v>
      </c>
      <c r="J10" s="97">
        <f>VLOOKUP(ReviewCalcs[[#This Row],[Project Index]], ProjectInput[], L$1, FALSE)</f>
        <v>0</v>
      </c>
      <c r="K10" s="97">
        <f>VLOOKUP(ReviewCalcs[[#This Row],[Project Index]], ProjectInput[], M$1, FALSE)</f>
        <v>0</v>
      </c>
      <c r="L10" s="97">
        <f>VLOOKUP(ReviewCalcs[[#This Row],[Project Index]], ProjectInput[], N$1, FALSE)</f>
        <v>0</v>
      </c>
      <c r="M10" s="98" t="str">
        <f>VLOOKUP(ReviewCalcs[[#This Row],[Project Index]], ProjectInput[], O$1, FALSE)</f>
        <v/>
      </c>
      <c r="N10" s="96">
        <f>VLOOKUP(ReviewCalcs[[#This Row],[Project Index]], ProjectInput[], P$1, FALSE)</f>
        <v>0</v>
      </c>
      <c r="O10" s="97">
        <f>VLOOKUP(ReviewCalcs[[#This Row],[Project Index]], ProjectInput[], Q$1, FALSE)</f>
        <v>0</v>
      </c>
      <c r="P10" s="97">
        <f>VLOOKUP(ReviewCalcs[[#This Row],[Project Index]], ProjectInput[], R$1, FALSE)</f>
        <v>0</v>
      </c>
      <c r="Q10" s="97">
        <f>VLOOKUP(ReviewCalcs[[#This Row],[Project Index]], ProjectInput[], S$1, FALSE)</f>
        <v>0</v>
      </c>
      <c r="R10" s="97">
        <f>VLOOKUP(ReviewCalcs[[#This Row],[Project Index]], ProjectInput[], T$1, FALSE)</f>
        <v>0</v>
      </c>
      <c r="S10" s="97">
        <f>VLOOKUP(ReviewCalcs[[#This Row],[Project Index]], ProjectInput[], U$1, FALSE)</f>
        <v>0</v>
      </c>
      <c r="T10" s="97">
        <f>VLOOKUP(ReviewCalcs[[#This Row],[Project Index]], ProjectInput[], V$1, FALSE)</f>
        <v>0</v>
      </c>
      <c r="U10" s="97">
        <f>VLOOKUP(ReviewCalcs[[#This Row],[Project Index]], ProjectInput[], W$1, FALSE)</f>
        <v>0</v>
      </c>
      <c r="V10" s="98" t="str">
        <f>VLOOKUP(ReviewCalcs[[#This Row],[Project Index]], ProjectInput[], X$1, FALSE)</f>
        <v/>
      </c>
      <c r="W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 s="75" t="e">
        <f>IF(VLOOKUP(ReviewCalcs[[#This Row],[Proposed Fixture Code]], Table7[[FIXTURE CODE]:[Baseline Fixture Code]], 8, FALSE)="N", "ERROR", "PASS")</f>
        <v>#N/A</v>
      </c>
      <c r="Y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 s="75" t="e">
        <f>IF(OR(ReviewCalcs[[#This Row],[Baseline Fixture Watts]]&gt;=ReviewCalcs[[#This Row],[Proposed Fixture Watts]],ReviewCalcs[[#This Row],[Existing Fixture Watts]]&gt;=ReviewCalcs[[#This Row],[Proposed Fixture Watts]] ), "PASS", "ERROR")</f>
        <v>#N/A</v>
      </c>
      <c r="AA10" s="69" t="e">
        <f>VLOOKUP(ReviewCalcs[[#This Row],[Space Conditions]], Table_365[], 5, FALSE)</f>
        <v>#N/A</v>
      </c>
      <c r="AB10" s="68" t="str">
        <f>ReviewCalcs[[#This Row],[Annual Hours]]</f>
        <v/>
      </c>
      <c r="AC10" s="68" t="e">
        <f>VLOOKUP(ReviewCalcs[[#This Row],[Space Conditions]], Table_365[], 6, FALSE)</f>
        <v>#N/A</v>
      </c>
      <c r="AD10" s="68">
        <f>IF(ReviewCalcs[[#This Row],[Existing Control(s)]]='Tables &amp; Ranges'!$A$25, VLOOKUP(ReviewCalcs[[#This Row],[Building/Space Type]], Table_364[], 3, FALSE), CF_Contols)</f>
        <v>0.26</v>
      </c>
      <c r="AE10" s="68" t="e">
        <f>VLOOKUP(ReviewCalcs[[#This Row],[Existing Control(s)]], Table_358[], 2, FALSE)</f>
        <v>#N/A</v>
      </c>
      <c r="AF10" s="68">
        <f>IF(ReviewCalcs[[#This Row],[Proposed Control(s)]]='Tables &amp; Ranges'!$A$25, VLOOKUP(ReviewCalcs[[#This Row],[Building/Space Type]], Table_364[], 3, FALSE), CF_Contols)</f>
        <v>0.26</v>
      </c>
      <c r="AG10" s="68" t="e">
        <f>VLOOKUP(ReviewCalcs[[#This Row],[Proposed Control(s)]], Table_358[], 2, FALSE)</f>
        <v>#N/A</v>
      </c>
      <c r="AH10" s="68">
        <f>IFERROR((ReviewCalcs[[#This Row],[Existing Fixture Quantity]]*ReviewCalcs[[#This Row],[Existing Fixture Watts]]/1000)*ReviewCalcs[[#This Row],[Existing CF]]*ReviewCalcs[[#This Row],[IEFD]], 0)</f>
        <v>0</v>
      </c>
      <c r="AI10" s="68">
        <f>IFERROR((ReviewCalcs[[#This Row],[Proposed Fixture Quantity]]*ReviewCalcs[[#This Row],[Proposed Fixture Watts]]/1000)*ReviewCalcs[[#This Row],[Existing CF]]*ReviewCalcs[[#This Row],[IEFD]], 0)</f>
        <v>0</v>
      </c>
      <c r="AJ10" s="118">
        <f>IFERROR((ReviewCalcs[[#This Row],[Existing Fixture Quantity]]*ReviewCalcs[[#This Row],[Existing Fixture Watts]]/1000-ReviewCalcs[[#This Row],[Proposed Fixture Quantity]]*ReviewCalcs[[#This Row],[Proposed Fixture Watts]]/1000)*ReviewCalcs[[#This Row],[Existing CF]]*ReviewCalcs[[#This Row],[IEFD]], 0)</f>
        <v>0</v>
      </c>
      <c r="AK10" s="118">
        <f>IFERROR((ReviewCalcs[[#This Row],[Existing Fixture Quantity]]*ReviewCalcs[[#This Row],[Existing Fixture Watts]]/1000)*ReviewCalcs[[#This Row],[AOH]]*ReviewCalcs[[#This Row],[IEFE]]*ReviewCalcs[[#This Row],[Existing PAF]], 0)</f>
        <v>0</v>
      </c>
      <c r="AL10" s="118">
        <f>IFERROR((ReviewCalcs[[#This Row],[Proposed Fixture Quantity]]*ReviewCalcs[[#This Row],[Proposed Fixture Watts]]/1000)*ReviewCalcs[[#This Row],[AOH]]*ReviewCalcs[[#This Row],[IEFE]]*ReviewCalcs[[#This Row],[Existing PAF]], 0)</f>
        <v>0</v>
      </c>
      <c r="AM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 s="118">
        <f>ReviewCalcs[[#This Row],[Fixture Existing Energy (kWh)]]*Avg_KWh_Rate</f>
        <v>0</v>
      </c>
      <c r="AO10" s="118">
        <f>ReviewCalcs[[#This Row],[Fixture Proposed Energy (kWh)]]*Avg_KWh_Rate</f>
        <v>0</v>
      </c>
      <c r="AP10" s="70">
        <f>ReviewCalcs[[#This Row],[Fixture Energy Savings]]*Avg_KWh_Rate</f>
        <v>0</v>
      </c>
      <c r="AQ10" s="129" t="e">
        <f>ReviewCalcs[[#This Row],[Existing Fixture Quantity]]*ReviewCalcs[[#This Row],[Existing Fixture Watts]]/1000*ReviewCalcs[[#This Row],[Existing CF]]*ReviewCalcs[[#This Row],[IEFD]]</f>
        <v>#VALUE!</v>
      </c>
      <c r="AR10" s="129" t="e">
        <f>ReviewCalcs[[#This Row],[Proposed Fixture Quantity]]*ReviewCalcs[[#This Row],[Proposed Fixture Watts]]/1000*ReviewCalcs[[#This Row],[Proposed CF]]*ReviewCalcs[[#This Row],[IEFD]]</f>
        <v>#VALUE!</v>
      </c>
      <c r="AS10" s="118">
        <f>IF(ReviewCalcs[[#This Row],[Existing CF]]=ReviewCalcs[[#This Row],[Proposed CF]], 0, ReviewCalcs[[#This Row],[Proposed Fixture Quantity]]*ReviewCalcs[[#This Row],[Proposed Fixture Watts]]/1000*ReviewCalcs[[#This Row],[Proposed CF]]*ReviewCalcs[[#This Row],[IEFD]])</f>
        <v>0</v>
      </c>
      <c r="AT10" s="118">
        <f>IFERROR(ReviewCalcs[[#This Row],[Existing Fixture Quantity]]*ReviewCalcs[[#This Row],[Existing Fixture Watts]]/1000*ReviewCalcs[[#This Row],[Existing PAF]]*ReviewCalcs[[#This Row],[AOH]]*ReviewCalcs[[#This Row],[IEFE]], 0)</f>
        <v>0</v>
      </c>
      <c r="AU10" s="118">
        <f>IFERROR(ReviewCalcs[[#This Row],[Proposed Fixture Quantity]]*ReviewCalcs[[#This Row],[Proposed Fixture Watts]]/1000*ReviewCalcs[[#This Row],[Proposed PAF]]*ReviewCalcs[[#This Row],[AOH]]*ReviewCalcs[[#This Row],[IEFE]], 0)</f>
        <v>0</v>
      </c>
      <c r="AV10" s="118">
        <f>IFERROR(ReviewCalcs[[#This Row],[Proposed Fixture Quantity]]*ReviewCalcs[[#This Row],[Proposed Fixture Watts]]/1000*(ReviewCalcs[[#This Row],[Existing PAF]]-ReviewCalcs[[#This Row],[Proposed PAF]])*ReviewCalcs[[#This Row],[AOH]]*ReviewCalcs[[#This Row],[IEFE]], 0)</f>
        <v>0</v>
      </c>
      <c r="AW10" s="118">
        <f>ReviewCalcs[[#This Row],[Control Existing Energy (kWh)]]*kWh_Incentive_Rate</f>
        <v>0</v>
      </c>
      <c r="AX10" s="118">
        <f>ReviewCalcs[[#This Row],[Control Proposed Energy (kWh)]]*kWh_Incentive_Rate</f>
        <v>0</v>
      </c>
      <c r="AY10" s="70">
        <f>ReviewCalcs[[#This Row],[Control Energy Savings (kWh)]]*kWh_Incentive_Rate</f>
        <v>0</v>
      </c>
      <c r="AZ10" s="70" t="e">
        <f>ReviewCalcs[[#This Row],[Fixture Existing Demand (kW)]]+ReviewCalcs[[#This Row],[Control Existing Demand (kW)]]</f>
        <v>#VALUE!</v>
      </c>
      <c r="BA10" s="70" t="e">
        <f>ReviewCalcs[[#This Row],[Fixture Proposed Demand (kW)]]+ReviewCalcs[[#This Row],[Control Proposed Demand (kW)]]</f>
        <v>#VALUE!</v>
      </c>
      <c r="BB10" s="118">
        <f>ReviewCalcs[[#This Row],[Fixture Demand Savings (kW)]]+ReviewCalcs[[#This Row],[Control Demand Savings (kW)]]</f>
        <v>0</v>
      </c>
      <c r="BC10" s="118">
        <f>ReviewCalcs[[#This Row],[Fixture Existing Energy (kWh)]]+ReviewCalcs[[#This Row],[Control Existing Energy (kWh)]]</f>
        <v>0</v>
      </c>
      <c r="BD10" s="118">
        <f>ReviewCalcs[[#This Row],[Fixture Proposed Energy (kWh)]]+ReviewCalcs[[#This Row],[Control Proposed Energy (kWh)]]</f>
        <v>0</v>
      </c>
      <c r="BE10" s="118">
        <f>ReviewCalcs[[#This Row],[Fixture Energy Savings]]+ReviewCalcs[[#This Row],[Control Energy Savings (kWh)]]</f>
        <v>0</v>
      </c>
      <c r="BF10" s="118">
        <f>ReviewCalcs[[#This Row],[Fixture Existing Cost ($)]]+ReviewCalcs[[#This Row],[Control Existing Cost ($)]]</f>
        <v>0</v>
      </c>
      <c r="BG10" s="118">
        <f>ReviewCalcs[[#This Row],[Fixture Proposed Cost ($)]]+ReviewCalcs[[#This Row],[Controls Proposed Cost ($)]]</f>
        <v>0</v>
      </c>
      <c r="BH10" s="70">
        <f>ReviewCalcs[[#This Row],[Total Energy Savings (kWh)]]*Avg_KWh_Rate</f>
        <v>0</v>
      </c>
      <c r="BI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 s="70">
        <f>ReviewCalcs[[#This Row],[Retrofit Cost]]</f>
        <v>0</v>
      </c>
      <c r="BK10" s="70">
        <f>ReviewCalcs[[#This Row],[Retrofit Cost]]-ReviewCalcs[[#This Row],[Incentive ($)]]</f>
        <v>0</v>
      </c>
      <c r="BL10" s="118" t="e">
        <f>IFERROR(ReviewCalcs[[#This Row],[Net Project Cost ($)]]/ReviewCalcs[[#This Row],[Fixture Energy Cost Savings ($)]], #N/A)</f>
        <v>#N/A</v>
      </c>
      <c r="BM10" s="118" t="e">
        <f>IF(VLOOKUP(ReviewCalcs[[#This Row],[Existing Fixture Code]], Table7[[FIXTURE CODE]:[Baseline Fixture Code]], 8, FALSE)="N", VLOOKUP(ReviewCalcs[[#This Row],[Existing Fixture Code]], Table7[[FIXTURE CODE]:[Baseline Fixture Code]], 9, FALSE), ReviewCalcs[[#This Row],[Existing Fixture Code]])</f>
        <v>#N/A</v>
      </c>
      <c r="BN10" s="118" t="e">
        <f>INDEX(Table7[WATT/ FIXT], MATCH(ReviewCalcs[Baseline Fixture Code], Table7[FIXTURE CODE], 0))</f>
        <v>#N/A</v>
      </c>
      <c r="BO10" s="118">
        <f>IFERROR((ReviewCalcs[[#This Row],[Existing Fixture Quantity]]*ReviewCalcs[[#This Row],[Baseline Fixture Watts]]/1000-ReviewCalcs[[#This Row],[Proposed Fixture Quantity]]*ReviewCalcs[[#This Row],[Proposed Fixture Watts]]/1000)*ReviewCalcs[[#This Row],[Existing CF]]*ReviewCalcs[[#This Row],[IEFD]], 0)</f>
        <v>0</v>
      </c>
      <c r="BP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 s="118">
        <f>IF(ReviewCalcs[[#This Row],[Existing CF]]=ReviewCalcs[[#This Row],[Proposed CF]], 0, ReviewCalcs[[#This Row],[Proposed Fixture Quantity]]*ReviewCalcs[[#This Row],[Proposed Fixture Watts]]/1000*ReviewCalcs[[#This Row],[Proposed CF]]*ReviewCalcs[[#This Row],[IEFD]])</f>
        <v>0</v>
      </c>
      <c r="BR10" s="118">
        <f>IFERROR(ReviewCalcs[[#This Row],[Proposed Fixture Quantity]]*ReviewCalcs[[#This Row],[Proposed Fixture Watts]]/1000*(ReviewCalcs[[#This Row],[Existing PAF]]-ReviewCalcs[[#This Row],[Proposed PAF]])*ReviewCalcs[[#This Row],[AOH]]*ReviewCalcs[[#This Row],[IEFE]],0)</f>
        <v>0</v>
      </c>
      <c r="BS10" s="118">
        <f>ReviewCalcs[[#This Row],[Incentive Fixture Demand Savings (kW)]]+ReviewCalcs[[#This Row],[Incentive Control Demand Savings (kW)]]</f>
        <v>0</v>
      </c>
      <c r="BT10" s="118">
        <f>ReviewCalcs[[#This Row],[Incentive Fixture Energy Savings (kWh)]]+ReviewCalcs[[#This Row],[Incentive Control Energy Savings (kWh)]]</f>
        <v>0</v>
      </c>
      <c r="BU10" s="73"/>
    </row>
    <row r="11" spans="1:78" ht="30" customHeight="1">
      <c r="A11" s="68">
        <v>8</v>
      </c>
      <c r="B11" s="96">
        <f>VLOOKUP(ReviewCalcs[[#This Row],[Project Index]], ProjectInput[], D$1, FALSE)</f>
        <v>0</v>
      </c>
      <c r="C11" s="97">
        <f>VLOOKUP(ReviewCalcs[[#This Row],[Project Index]], ProjectInput[], E$1, FALSE)</f>
        <v>0</v>
      </c>
      <c r="D11" s="97">
        <f>VLOOKUP(ReviewCalcs[[#This Row],[Project Index]], ProjectInput[], F$1, FALSE)</f>
        <v>0</v>
      </c>
      <c r="E11" s="97">
        <f>VLOOKUP(ReviewCalcs[[#This Row],[Project Index]], ProjectInput[], G$1, FALSE)</f>
        <v>0</v>
      </c>
      <c r="F11" s="97">
        <f>VLOOKUP(ReviewCalcs[[#This Row],[Project Index]], ProjectInput[], H$1, FALSE)</f>
        <v>0</v>
      </c>
      <c r="G11" s="98" t="str">
        <f>VLOOKUP(ReviewCalcs[[#This Row],[Project Index]], ProjectInput[], I$1, FALSE)</f>
        <v/>
      </c>
      <c r="H11" s="96">
        <f>VLOOKUP(ReviewCalcs[[#This Row],[Project Index]], ProjectInput[], J$1, FALSE)</f>
        <v>0</v>
      </c>
      <c r="I11" s="97">
        <f>VLOOKUP(ReviewCalcs[[#This Row],[Project Index]], ProjectInput[], K$1, FALSE)</f>
        <v>0</v>
      </c>
      <c r="J11" s="97">
        <f>VLOOKUP(ReviewCalcs[[#This Row],[Project Index]], ProjectInput[], L$1, FALSE)</f>
        <v>0</v>
      </c>
      <c r="K11" s="97">
        <f>VLOOKUP(ReviewCalcs[[#This Row],[Project Index]], ProjectInput[], M$1, FALSE)</f>
        <v>0</v>
      </c>
      <c r="L11" s="97">
        <f>VLOOKUP(ReviewCalcs[[#This Row],[Project Index]], ProjectInput[], N$1, FALSE)</f>
        <v>0</v>
      </c>
      <c r="M11" s="98" t="str">
        <f>VLOOKUP(ReviewCalcs[[#This Row],[Project Index]], ProjectInput[], O$1, FALSE)</f>
        <v/>
      </c>
      <c r="N11" s="96">
        <f>VLOOKUP(ReviewCalcs[[#This Row],[Project Index]], ProjectInput[], P$1, FALSE)</f>
        <v>0</v>
      </c>
      <c r="O11" s="97">
        <f>VLOOKUP(ReviewCalcs[[#This Row],[Project Index]], ProjectInput[], Q$1, FALSE)</f>
        <v>0</v>
      </c>
      <c r="P11" s="97">
        <f>VLOOKUP(ReviewCalcs[[#This Row],[Project Index]], ProjectInput[], R$1, FALSE)</f>
        <v>0</v>
      </c>
      <c r="Q11" s="97">
        <f>VLOOKUP(ReviewCalcs[[#This Row],[Project Index]], ProjectInput[], S$1, FALSE)</f>
        <v>0</v>
      </c>
      <c r="R11" s="97">
        <f>VLOOKUP(ReviewCalcs[[#This Row],[Project Index]], ProjectInput[], T$1, FALSE)</f>
        <v>0</v>
      </c>
      <c r="S11" s="97">
        <f>VLOOKUP(ReviewCalcs[[#This Row],[Project Index]], ProjectInput[], U$1, FALSE)</f>
        <v>0</v>
      </c>
      <c r="T11" s="97">
        <f>VLOOKUP(ReviewCalcs[[#This Row],[Project Index]], ProjectInput[], V$1, FALSE)</f>
        <v>0</v>
      </c>
      <c r="U11" s="97">
        <f>VLOOKUP(ReviewCalcs[[#This Row],[Project Index]], ProjectInput[], W$1, FALSE)</f>
        <v>0</v>
      </c>
      <c r="V11" s="98" t="str">
        <f>VLOOKUP(ReviewCalcs[[#This Row],[Project Index]], ProjectInput[], X$1, FALSE)</f>
        <v/>
      </c>
      <c r="W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 s="75" t="e">
        <f>IF(VLOOKUP(ReviewCalcs[[#This Row],[Proposed Fixture Code]], Table7[[FIXTURE CODE]:[Baseline Fixture Code]], 8, FALSE)="N", "ERROR", "PASS")</f>
        <v>#N/A</v>
      </c>
      <c r="Y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 s="75" t="e">
        <f>IF(OR(ReviewCalcs[[#This Row],[Baseline Fixture Watts]]&gt;=ReviewCalcs[[#This Row],[Proposed Fixture Watts]],ReviewCalcs[[#This Row],[Existing Fixture Watts]]&gt;=ReviewCalcs[[#This Row],[Proposed Fixture Watts]] ), "PASS", "ERROR")</f>
        <v>#N/A</v>
      </c>
      <c r="AA11" s="69" t="e">
        <f>VLOOKUP(ReviewCalcs[[#This Row],[Space Conditions]], Table_365[], 5, FALSE)</f>
        <v>#N/A</v>
      </c>
      <c r="AB11" s="68" t="str">
        <f>ReviewCalcs[[#This Row],[Annual Hours]]</f>
        <v/>
      </c>
      <c r="AC11" s="68" t="e">
        <f>VLOOKUP(ReviewCalcs[[#This Row],[Space Conditions]], Table_365[], 6, FALSE)</f>
        <v>#N/A</v>
      </c>
      <c r="AD11" s="68">
        <f>IF(ReviewCalcs[[#This Row],[Existing Control(s)]]='Tables &amp; Ranges'!$A$25, VLOOKUP(ReviewCalcs[[#This Row],[Building/Space Type]], Table_364[], 3, FALSE), CF_Contols)</f>
        <v>0.26</v>
      </c>
      <c r="AE11" s="68" t="e">
        <f>VLOOKUP(ReviewCalcs[[#This Row],[Existing Control(s)]], Table_358[], 2, FALSE)</f>
        <v>#N/A</v>
      </c>
      <c r="AF11" s="68">
        <f>IF(ReviewCalcs[[#This Row],[Proposed Control(s)]]='Tables &amp; Ranges'!$A$25, VLOOKUP(ReviewCalcs[[#This Row],[Building/Space Type]], Table_364[], 3, FALSE), CF_Contols)</f>
        <v>0.26</v>
      </c>
      <c r="AG11" s="68" t="e">
        <f>VLOOKUP(ReviewCalcs[[#This Row],[Proposed Control(s)]], Table_358[], 2, FALSE)</f>
        <v>#N/A</v>
      </c>
      <c r="AH11" s="68">
        <f>IFERROR((ReviewCalcs[[#This Row],[Existing Fixture Quantity]]*ReviewCalcs[[#This Row],[Existing Fixture Watts]]/1000)*ReviewCalcs[[#This Row],[Existing CF]]*ReviewCalcs[[#This Row],[IEFD]], 0)</f>
        <v>0</v>
      </c>
      <c r="AI11" s="68">
        <f>IFERROR((ReviewCalcs[[#This Row],[Proposed Fixture Quantity]]*ReviewCalcs[[#This Row],[Proposed Fixture Watts]]/1000)*ReviewCalcs[[#This Row],[Existing CF]]*ReviewCalcs[[#This Row],[IEFD]], 0)</f>
        <v>0</v>
      </c>
      <c r="AJ11" s="118">
        <f>IFERROR((ReviewCalcs[[#This Row],[Existing Fixture Quantity]]*ReviewCalcs[[#This Row],[Existing Fixture Watts]]/1000-ReviewCalcs[[#This Row],[Proposed Fixture Quantity]]*ReviewCalcs[[#This Row],[Proposed Fixture Watts]]/1000)*ReviewCalcs[[#This Row],[Existing CF]]*ReviewCalcs[[#This Row],[IEFD]], 0)</f>
        <v>0</v>
      </c>
      <c r="AK11" s="118">
        <f>IFERROR((ReviewCalcs[[#This Row],[Existing Fixture Quantity]]*ReviewCalcs[[#This Row],[Existing Fixture Watts]]/1000)*ReviewCalcs[[#This Row],[AOH]]*ReviewCalcs[[#This Row],[IEFE]]*ReviewCalcs[[#This Row],[Existing PAF]], 0)</f>
        <v>0</v>
      </c>
      <c r="AL11" s="118">
        <f>IFERROR((ReviewCalcs[[#This Row],[Proposed Fixture Quantity]]*ReviewCalcs[[#This Row],[Proposed Fixture Watts]]/1000)*ReviewCalcs[[#This Row],[AOH]]*ReviewCalcs[[#This Row],[IEFE]]*ReviewCalcs[[#This Row],[Existing PAF]], 0)</f>
        <v>0</v>
      </c>
      <c r="AM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 s="118">
        <f>ReviewCalcs[[#This Row],[Fixture Existing Energy (kWh)]]*Avg_KWh_Rate</f>
        <v>0</v>
      </c>
      <c r="AO11" s="118">
        <f>ReviewCalcs[[#This Row],[Fixture Proposed Energy (kWh)]]*Avg_KWh_Rate</f>
        <v>0</v>
      </c>
      <c r="AP11" s="70">
        <f>ReviewCalcs[[#This Row],[Fixture Energy Savings]]*Avg_KWh_Rate</f>
        <v>0</v>
      </c>
      <c r="AQ11" s="129" t="e">
        <f>ReviewCalcs[[#This Row],[Existing Fixture Quantity]]*ReviewCalcs[[#This Row],[Existing Fixture Watts]]/1000*ReviewCalcs[[#This Row],[Existing CF]]*ReviewCalcs[[#This Row],[IEFD]]</f>
        <v>#VALUE!</v>
      </c>
      <c r="AR11" s="129" t="e">
        <f>ReviewCalcs[[#This Row],[Proposed Fixture Quantity]]*ReviewCalcs[[#This Row],[Proposed Fixture Watts]]/1000*ReviewCalcs[[#This Row],[Proposed CF]]*ReviewCalcs[[#This Row],[IEFD]]</f>
        <v>#VALUE!</v>
      </c>
      <c r="AS11" s="118">
        <f>IF(ReviewCalcs[[#This Row],[Existing CF]]=ReviewCalcs[[#This Row],[Proposed CF]], 0, ReviewCalcs[[#This Row],[Proposed Fixture Quantity]]*ReviewCalcs[[#This Row],[Proposed Fixture Watts]]/1000*ReviewCalcs[[#This Row],[Proposed CF]]*ReviewCalcs[[#This Row],[IEFD]])</f>
        <v>0</v>
      </c>
      <c r="AT11" s="118">
        <f>IFERROR(ReviewCalcs[[#This Row],[Existing Fixture Quantity]]*ReviewCalcs[[#This Row],[Existing Fixture Watts]]/1000*ReviewCalcs[[#This Row],[Existing PAF]]*ReviewCalcs[[#This Row],[AOH]]*ReviewCalcs[[#This Row],[IEFE]], 0)</f>
        <v>0</v>
      </c>
      <c r="AU11" s="118">
        <f>IFERROR(ReviewCalcs[[#This Row],[Proposed Fixture Quantity]]*ReviewCalcs[[#This Row],[Proposed Fixture Watts]]/1000*ReviewCalcs[[#This Row],[Proposed PAF]]*ReviewCalcs[[#This Row],[AOH]]*ReviewCalcs[[#This Row],[IEFE]], 0)</f>
        <v>0</v>
      </c>
      <c r="AV11" s="118">
        <f>IFERROR(ReviewCalcs[[#This Row],[Proposed Fixture Quantity]]*ReviewCalcs[[#This Row],[Proposed Fixture Watts]]/1000*(ReviewCalcs[[#This Row],[Existing PAF]]-ReviewCalcs[[#This Row],[Proposed PAF]])*ReviewCalcs[[#This Row],[AOH]]*ReviewCalcs[[#This Row],[IEFE]], 0)</f>
        <v>0</v>
      </c>
      <c r="AW11" s="118">
        <f>ReviewCalcs[[#This Row],[Control Existing Energy (kWh)]]*kWh_Incentive_Rate</f>
        <v>0</v>
      </c>
      <c r="AX11" s="118">
        <f>ReviewCalcs[[#This Row],[Control Proposed Energy (kWh)]]*kWh_Incentive_Rate</f>
        <v>0</v>
      </c>
      <c r="AY11" s="70">
        <f>ReviewCalcs[[#This Row],[Control Energy Savings (kWh)]]*kWh_Incentive_Rate</f>
        <v>0</v>
      </c>
      <c r="AZ11" s="70" t="e">
        <f>ReviewCalcs[[#This Row],[Fixture Existing Demand (kW)]]+ReviewCalcs[[#This Row],[Control Existing Demand (kW)]]</f>
        <v>#VALUE!</v>
      </c>
      <c r="BA11" s="70" t="e">
        <f>ReviewCalcs[[#This Row],[Fixture Proposed Demand (kW)]]+ReviewCalcs[[#This Row],[Control Proposed Demand (kW)]]</f>
        <v>#VALUE!</v>
      </c>
      <c r="BB11" s="118">
        <f>ReviewCalcs[[#This Row],[Fixture Demand Savings (kW)]]+ReviewCalcs[[#This Row],[Control Demand Savings (kW)]]</f>
        <v>0</v>
      </c>
      <c r="BC11" s="118">
        <f>ReviewCalcs[[#This Row],[Fixture Existing Energy (kWh)]]+ReviewCalcs[[#This Row],[Control Existing Energy (kWh)]]</f>
        <v>0</v>
      </c>
      <c r="BD11" s="118">
        <f>ReviewCalcs[[#This Row],[Fixture Proposed Energy (kWh)]]+ReviewCalcs[[#This Row],[Control Proposed Energy (kWh)]]</f>
        <v>0</v>
      </c>
      <c r="BE11" s="118">
        <f>ReviewCalcs[[#This Row],[Fixture Energy Savings]]+ReviewCalcs[[#This Row],[Control Energy Savings (kWh)]]</f>
        <v>0</v>
      </c>
      <c r="BF11" s="118">
        <f>ReviewCalcs[[#This Row],[Fixture Existing Cost ($)]]+ReviewCalcs[[#This Row],[Control Existing Cost ($)]]</f>
        <v>0</v>
      </c>
      <c r="BG11" s="118">
        <f>ReviewCalcs[[#This Row],[Fixture Proposed Cost ($)]]+ReviewCalcs[[#This Row],[Controls Proposed Cost ($)]]</f>
        <v>0</v>
      </c>
      <c r="BH11" s="70">
        <f>ReviewCalcs[[#This Row],[Total Energy Savings (kWh)]]*Avg_KWh_Rate</f>
        <v>0</v>
      </c>
      <c r="BI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 s="70">
        <f>ReviewCalcs[[#This Row],[Retrofit Cost]]</f>
        <v>0</v>
      </c>
      <c r="BK11" s="70">
        <f>ReviewCalcs[[#This Row],[Retrofit Cost]]-ReviewCalcs[[#This Row],[Incentive ($)]]</f>
        <v>0</v>
      </c>
      <c r="BL11" s="118" t="e">
        <f>IFERROR(ReviewCalcs[[#This Row],[Net Project Cost ($)]]/ReviewCalcs[[#This Row],[Fixture Energy Cost Savings ($)]], #N/A)</f>
        <v>#N/A</v>
      </c>
      <c r="BM11" s="118" t="e">
        <f>IF(VLOOKUP(ReviewCalcs[[#This Row],[Existing Fixture Code]], Table7[[FIXTURE CODE]:[Baseline Fixture Code]], 8, FALSE)="N", VLOOKUP(ReviewCalcs[[#This Row],[Existing Fixture Code]], Table7[[FIXTURE CODE]:[Baseline Fixture Code]], 9, FALSE), ReviewCalcs[[#This Row],[Existing Fixture Code]])</f>
        <v>#N/A</v>
      </c>
      <c r="BN11" s="118" t="e">
        <f>INDEX(Table7[WATT/ FIXT], MATCH(ReviewCalcs[Baseline Fixture Code], Table7[FIXTURE CODE], 0))</f>
        <v>#N/A</v>
      </c>
      <c r="BO11" s="118">
        <f>IFERROR((ReviewCalcs[[#This Row],[Existing Fixture Quantity]]*ReviewCalcs[[#This Row],[Baseline Fixture Watts]]/1000-ReviewCalcs[[#This Row],[Proposed Fixture Quantity]]*ReviewCalcs[[#This Row],[Proposed Fixture Watts]]/1000)*ReviewCalcs[[#This Row],[Existing CF]]*ReviewCalcs[[#This Row],[IEFD]], 0)</f>
        <v>0</v>
      </c>
      <c r="BP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 s="118">
        <f>IF(ReviewCalcs[[#This Row],[Existing CF]]=ReviewCalcs[[#This Row],[Proposed CF]], 0, ReviewCalcs[[#This Row],[Proposed Fixture Quantity]]*ReviewCalcs[[#This Row],[Proposed Fixture Watts]]/1000*ReviewCalcs[[#This Row],[Proposed CF]]*ReviewCalcs[[#This Row],[IEFD]])</f>
        <v>0</v>
      </c>
      <c r="BR11" s="118">
        <f>IFERROR(ReviewCalcs[[#This Row],[Proposed Fixture Quantity]]*ReviewCalcs[[#This Row],[Proposed Fixture Watts]]/1000*(ReviewCalcs[[#This Row],[Existing PAF]]-ReviewCalcs[[#This Row],[Proposed PAF]])*ReviewCalcs[[#This Row],[AOH]]*ReviewCalcs[[#This Row],[IEFE]],0)</f>
        <v>0</v>
      </c>
      <c r="BS11" s="118">
        <f>ReviewCalcs[[#This Row],[Incentive Fixture Demand Savings (kW)]]+ReviewCalcs[[#This Row],[Incentive Control Demand Savings (kW)]]</f>
        <v>0</v>
      </c>
      <c r="BT11" s="118">
        <f>ReviewCalcs[[#This Row],[Incentive Fixture Energy Savings (kWh)]]+ReviewCalcs[[#This Row],[Incentive Control Energy Savings (kWh)]]</f>
        <v>0</v>
      </c>
      <c r="BU11" s="73"/>
    </row>
    <row r="12" spans="1:78" ht="30" customHeight="1">
      <c r="A12" s="68">
        <v>9</v>
      </c>
      <c r="B12" s="96">
        <f>VLOOKUP(ReviewCalcs[[#This Row],[Project Index]], ProjectInput[], D$1, FALSE)</f>
        <v>0</v>
      </c>
      <c r="C12" s="97">
        <f>VLOOKUP(ReviewCalcs[[#This Row],[Project Index]], ProjectInput[], E$1, FALSE)</f>
        <v>0</v>
      </c>
      <c r="D12" s="97">
        <f>VLOOKUP(ReviewCalcs[[#This Row],[Project Index]], ProjectInput[], F$1, FALSE)</f>
        <v>0</v>
      </c>
      <c r="E12" s="97">
        <f>VLOOKUP(ReviewCalcs[[#This Row],[Project Index]], ProjectInput[], G$1, FALSE)</f>
        <v>0</v>
      </c>
      <c r="F12" s="97">
        <f>VLOOKUP(ReviewCalcs[[#This Row],[Project Index]], ProjectInput[], H$1, FALSE)</f>
        <v>0</v>
      </c>
      <c r="G12" s="98" t="str">
        <f>VLOOKUP(ReviewCalcs[[#This Row],[Project Index]], ProjectInput[], I$1, FALSE)</f>
        <v/>
      </c>
      <c r="H12" s="96">
        <f>VLOOKUP(ReviewCalcs[[#This Row],[Project Index]], ProjectInput[], J$1, FALSE)</f>
        <v>0</v>
      </c>
      <c r="I12" s="97">
        <f>VLOOKUP(ReviewCalcs[[#This Row],[Project Index]], ProjectInput[], K$1, FALSE)</f>
        <v>0</v>
      </c>
      <c r="J12" s="97">
        <f>VLOOKUP(ReviewCalcs[[#This Row],[Project Index]], ProjectInput[], L$1, FALSE)</f>
        <v>0</v>
      </c>
      <c r="K12" s="97">
        <f>VLOOKUP(ReviewCalcs[[#This Row],[Project Index]], ProjectInput[], M$1, FALSE)</f>
        <v>0</v>
      </c>
      <c r="L12" s="97">
        <f>VLOOKUP(ReviewCalcs[[#This Row],[Project Index]], ProjectInput[], N$1, FALSE)</f>
        <v>0</v>
      </c>
      <c r="M12" s="98" t="str">
        <f>VLOOKUP(ReviewCalcs[[#This Row],[Project Index]], ProjectInput[], O$1, FALSE)</f>
        <v/>
      </c>
      <c r="N12" s="96">
        <f>VLOOKUP(ReviewCalcs[[#This Row],[Project Index]], ProjectInput[], P$1, FALSE)</f>
        <v>0</v>
      </c>
      <c r="O12" s="97">
        <f>VLOOKUP(ReviewCalcs[[#This Row],[Project Index]], ProjectInput[], Q$1, FALSE)</f>
        <v>0</v>
      </c>
      <c r="P12" s="97">
        <f>VLOOKUP(ReviewCalcs[[#This Row],[Project Index]], ProjectInput[], R$1, FALSE)</f>
        <v>0</v>
      </c>
      <c r="Q12" s="97">
        <f>VLOOKUP(ReviewCalcs[[#This Row],[Project Index]], ProjectInput[], S$1, FALSE)</f>
        <v>0</v>
      </c>
      <c r="R12" s="97">
        <f>VLOOKUP(ReviewCalcs[[#This Row],[Project Index]], ProjectInput[], T$1, FALSE)</f>
        <v>0</v>
      </c>
      <c r="S12" s="97">
        <f>VLOOKUP(ReviewCalcs[[#This Row],[Project Index]], ProjectInput[], U$1, FALSE)</f>
        <v>0</v>
      </c>
      <c r="T12" s="97">
        <f>VLOOKUP(ReviewCalcs[[#This Row],[Project Index]], ProjectInput[], V$1, FALSE)</f>
        <v>0</v>
      </c>
      <c r="U12" s="97">
        <f>VLOOKUP(ReviewCalcs[[#This Row],[Project Index]], ProjectInput[], W$1, FALSE)</f>
        <v>0</v>
      </c>
      <c r="V12" s="98" t="str">
        <f>VLOOKUP(ReviewCalcs[[#This Row],[Project Index]], ProjectInput[], X$1, FALSE)</f>
        <v/>
      </c>
      <c r="W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 s="75" t="e">
        <f>IF(VLOOKUP(ReviewCalcs[[#This Row],[Proposed Fixture Code]], Table7[[FIXTURE CODE]:[Baseline Fixture Code]], 8, FALSE)="N", "ERROR", "PASS")</f>
        <v>#N/A</v>
      </c>
      <c r="Y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 s="75" t="e">
        <f>IF(OR(ReviewCalcs[[#This Row],[Baseline Fixture Watts]]&gt;=ReviewCalcs[[#This Row],[Proposed Fixture Watts]],ReviewCalcs[[#This Row],[Existing Fixture Watts]]&gt;=ReviewCalcs[[#This Row],[Proposed Fixture Watts]] ), "PASS", "ERROR")</f>
        <v>#N/A</v>
      </c>
      <c r="AA12" s="69" t="e">
        <f>VLOOKUP(ReviewCalcs[[#This Row],[Space Conditions]], Table_365[], 5, FALSE)</f>
        <v>#N/A</v>
      </c>
      <c r="AB12" s="68" t="str">
        <f>ReviewCalcs[[#This Row],[Annual Hours]]</f>
        <v/>
      </c>
      <c r="AC12" s="68" t="e">
        <f>VLOOKUP(ReviewCalcs[[#This Row],[Space Conditions]], Table_365[], 6, FALSE)</f>
        <v>#N/A</v>
      </c>
      <c r="AD12" s="68">
        <f>IF(ReviewCalcs[[#This Row],[Existing Control(s)]]='Tables &amp; Ranges'!$A$25, VLOOKUP(ReviewCalcs[[#This Row],[Building/Space Type]], Table_364[], 3, FALSE), CF_Contols)</f>
        <v>0.26</v>
      </c>
      <c r="AE12" s="68" t="e">
        <f>VLOOKUP(ReviewCalcs[[#This Row],[Existing Control(s)]], Table_358[], 2, FALSE)</f>
        <v>#N/A</v>
      </c>
      <c r="AF12" s="68">
        <f>IF(ReviewCalcs[[#This Row],[Proposed Control(s)]]='Tables &amp; Ranges'!$A$25, VLOOKUP(ReviewCalcs[[#This Row],[Building/Space Type]], Table_364[], 3, FALSE), CF_Contols)</f>
        <v>0.26</v>
      </c>
      <c r="AG12" s="68" t="e">
        <f>VLOOKUP(ReviewCalcs[[#This Row],[Proposed Control(s)]], Table_358[], 2, FALSE)</f>
        <v>#N/A</v>
      </c>
      <c r="AH12" s="68">
        <f>IFERROR((ReviewCalcs[[#This Row],[Existing Fixture Quantity]]*ReviewCalcs[[#This Row],[Existing Fixture Watts]]/1000)*ReviewCalcs[[#This Row],[Existing CF]]*ReviewCalcs[[#This Row],[IEFD]], 0)</f>
        <v>0</v>
      </c>
      <c r="AI12" s="68">
        <f>IFERROR((ReviewCalcs[[#This Row],[Proposed Fixture Quantity]]*ReviewCalcs[[#This Row],[Proposed Fixture Watts]]/1000)*ReviewCalcs[[#This Row],[Existing CF]]*ReviewCalcs[[#This Row],[IEFD]], 0)</f>
        <v>0</v>
      </c>
      <c r="AJ12" s="118">
        <f>IFERROR((ReviewCalcs[[#This Row],[Existing Fixture Quantity]]*ReviewCalcs[[#This Row],[Existing Fixture Watts]]/1000-ReviewCalcs[[#This Row],[Proposed Fixture Quantity]]*ReviewCalcs[[#This Row],[Proposed Fixture Watts]]/1000)*ReviewCalcs[[#This Row],[Existing CF]]*ReviewCalcs[[#This Row],[IEFD]], 0)</f>
        <v>0</v>
      </c>
      <c r="AK12" s="118">
        <f>IFERROR((ReviewCalcs[[#This Row],[Existing Fixture Quantity]]*ReviewCalcs[[#This Row],[Existing Fixture Watts]]/1000)*ReviewCalcs[[#This Row],[AOH]]*ReviewCalcs[[#This Row],[IEFE]]*ReviewCalcs[[#This Row],[Existing PAF]], 0)</f>
        <v>0</v>
      </c>
      <c r="AL12" s="118">
        <f>IFERROR((ReviewCalcs[[#This Row],[Proposed Fixture Quantity]]*ReviewCalcs[[#This Row],[Proposed Fixture Watts]]/1000)*ReviewCalcs[[#This Row],[AOH]]*ReviewCalcs[[#This Row],[IEFE]]*ReviewCalcs[[#This Row],[Existing PAF]], 0)</f>
        <v>0</v>
      </c>
      <c r="AM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 s="118">
        <f>ReviewCalcs[[#This Row],[Fixture Existing Energy (kWh)]]*Avg_KWh_Rate</f>
        <v>0</v>
      </c>
      <c r="AO12" s="118">
        <f>ReviewCalcs[[#This Row],[Fixture Proposed Energy (kWh)]]*Avg_KWh_Rate</f>
        <v>0</v>
      </c>
      <c r="AP12" s="70">
        <f>ReviewCalcs[[#This Row],[Fixture Energy Savings]]*Avg_KWh_Rate</f>
        <v>0</v>
      </c>
      <c r="AQ12" s="129" t="e">
        <f>ReviewCalcs[[#This Row],[Existing Fixture Quantity]]*ReviewCalcs[[#This Row],[Existing Fixture Watts]]/1000*ReviewCalcs[[#This Row],[Existing CF]]*ReviewCalcs[[#This Row],[IEFD]]</f>
        <v>#VALUE!</v>
      </c>
      <c r="AR12" s="129" t="e">
        <f>ReviewCalcs[[#This Row],[Proposed Fixture Quantity]]*ReviewCalcs[[#This Row],[Proposed Fixture Watts]]/1000*ReviewCalcs[[#This Row],[Proposed CF]]*ReviewCalcs[[#This Row],[IEFD]]</f>
        <v>#VALUE!</v>
      </c>
      <c r="AS12" s="118">
        <f>IF(ReviewCalcs[[#This Row],[Existing CF]]=ReviewCalcs[[#This Row],[Proposed CF]], 0, ReviewCalcs[[#This Row],[Proposed Fixture Quantity]]*ReviewCalcs[[#This Row],[Proposed Fixture Watts]]/1000*ReviewCalcs[[#This Row],[Proposed CF]]*ReviewCalcs[[#This Row],[IEFD]])</f>
        <v>0</v>
      </c>
      <c r="AT12" s="118">
        <f>IFERROR(ReviewCalcs[[#This Row],[Existing Fixture Quantity]]*ReviewCalcs[[#This Row],[Existing Fixture Watts]]/1000*ReviewCalcs[[#This Row],[Existing PAF]]*ReviewCalcs[[#This Row],[AOH]]*ReviewCalcs[[#This Row],[IEFE]], 0)</f>
        <v>0</v>
      </c>
      <c r="AU12" s="118">
        <f>IFERROR(ReviewCalcs[[#This Row],[Proposed Fixture Quantity]]*ReviewCalcs[[#This Row],[Proposed Fixture Watts]]/1000*ReviewCalcs[[#This Row],[Proposed PAF]]*ReviewCalcs[[#This Row],[AOH]]*ReviewCalcs[[#This Row],[IEFE]], 0)</f>
        <v>0</v>
      </c>
      <c r="AV12" s="118">
        <f>IFERROR(ReviewCalcs[[#This Row],[Proposed Fixture Quantity]]*ReviewCalcs[[#This Row],[Proposed Fixture Watts]]/1000*(ReviewCalcs[[#This Row],[Existing PAF]]-ReviewCalcs[[#This Row],[Proposed PAF]])*ReviewCalcs[[#This Row],[AOH]]*ReviewCalcs[[#This Row],[IEFE]], 0)</f>
        <v>0</v>
      </c>
      <c r="AW12" s="118">
        <f>ReviewCalcs[[#This Row],[Control Existing Energy (kWh)]]*kWh_Incentive_Rate</f>
        <v>0</v>
      </c>
      <c r="AX12" s="118">
        <f>ReviewCalcs[[#This Row],[Control Proposed Energy (kWh)]]*kWh_Incentive_Rate</f>
        <v>0</v>
      </c>
      <c r="AY12" s="70">
        <f>ReviewCalcs[[#This Row],[Control Energy Savings (kWh)]]*kWh_Incentive_Rate</f>
        <v>0</v>
      </c>
      <c r="AZ12" s="70" t="e">
        <f>ReviewCalcs[[#This Row],[Fixture Existing Demand (kW)]]+ReviewCalcs[[#This Row],[Control Existing Demand (kW)]]</f>
        <v>#VALUE!</v>
      </c>
      <c r="BA12" s="70" t="e">
        <f>ReviewCalcs[[#This Row],[Fixture Proposed Demand (kW)]]+ReviewCalcs[[#This Row],[Control Proposed Demand (kW)]]</f>
        <v>#VALUE!</v>
      </c>
      <c r="BB12" s="118">
        <f>ReviewCalcs[[#This Row],[Fixture Demand Savings (kW)]]+ReviewCalcs[[#This Row],[Control Demand Savings (kW)]]</f>
        <v>0</v>
      </c>
      <c r="BC12" s="118">
        <f>ReviewCalcs[[#This Row],[Fixture Existing Energy (kWh)]]+ReviewCalcs[[#This Row],[Control Existing Energy (kWh)]]</f>
        <v>0</v>
      </c>
      <c r="BD12" s="118">
        <f>ReviewCalcs[[#This Row],[Fixture Proposed Energy (kWh)]]+ReviewCalcs[[#This Row],[Control Proposed Energy (kWh)]]</f>
        <v>0</v>
      </c>
      <c r="BE12" s="118">
        <f>ReviewCalcs[[#This Row],[Fixture Energy Savings]]+ReviewCalcs[[#This Row],[Control Energy Savings (kWh)]]</f>
        <v>0</v>
      </c>
      <c r="BF12" s="118">
        <f>ReviewCalcs[[#This Row],[Fixture Existing Cost ($)]]+ReviewCalcs[[#This Row],[Control Existing Cost ($)]]</f>
        <v>0</v>
      </c>
      <c r="BG12" s="118">
        <f>ReviewCalcs[[#This Row],[Fixture Proposed Cost ($)]]+ReviewCalcs[[#This Row],[Controls Proposed Cost ($)]]</f>
        <v>0</v>
      </c>
      <c r="BH12" s="70">
        <f>ReviewCalcs[[#This Row],[Total Energy Savings (kWh)]]*Avg_KWh_Rate</f>
        <v>0</v>
      </c>
      <c r="BI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 s="70">
        <f>ReviewCalcs[[#This Row],[Retrofit Cost]]</f>
        <v>0</v>
      </c>
      <c r="BK12" s="70">
        <f>ReviewCalcs[[#This Row],[Retrofit Cost]]-ReviewCalcs[[#This Row],[Incentive ($)]]</f>
        <v>0</v>
      </c>
      <c r="BL12" s="118" t="e">
        <f>IFERROR(ReviewCalcs[[#This Row],[Net Project Cost ($)]]/ReviewCalcs[[#This Row],[Fixture Energy Cost Savings ($)]], #N/A)</f>
        <v>#N/A</v>
      </c>
      <c r="BM12" s="118" t="e">
        <f>IF(VLOOKUP(ReviewCalcs[[#This Row],[Existing Fixture Code]], Table7[[FIXTURE CODE]:[Baseline Fixture Code]], 8, FALSE)="N", VLOOKUP(ReviewCalcs[[#This Row],[Existing Fixture Code]], Table7[[FIXTURE CODE]:[Baseline Fixture Code]], 9, FALSE), ReviewCalcs[[#This Row],[Existing Fixture Code]])</f>
        <v>#N/A</v>
      </c>
      <c r="BN12" s="118" t="e">
        <f>INDEX(Table7[WATT/ FIXT], MATCH(ReviewCalcs[Baseline Fixture Code], Table7[FIXTURE CODE], 0))</f>
        <v>#N/A</v>
      </c>
      <c r="BO12" s="118">
        <f>IFERROR((ReviewCalcs[[#This Row],[Existing Fixture Quantity]]*ReviewCalcs[[#This Row],[Baseline Fixture Watts]]/1000-ReviewCalcs[[#This Row],[Proposed Fixture Quantity]]*ReviewCalcs[[#This Row],[Proposed Fixture Watts]]/1000)*ReviewCalcs[[#This Row],[Existing CF]]*ReviewCalcs[[#This Row],[IEFD]], 0)</f>
        <v>0</v>
      </c>
      <c r="BP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 s="118">
        <f>IF(ReviewCalcs[[#This Row],[Existing CF]]=ReviewCalcs[[#This Row],[Proposed CF]], 0, ReviewCalcs[[#This Row],[Proposed Fixture Quantity]]*ReviewCalcs[[#This Row],[Proposed Fixture Watts]]/1000*ReviewCalcs[[#This Row],[Proposed CF]]*ReviewCalcs[[#This Row],[IEFD]])</f>
        <v>0</v>
      </c>
      <c r="BR12" s="118">
        <f>IFERROR(ReviewCalcs[[#This Row],[Proposed Fixture Quantity]]*ReviewCalcs[[#This Row],[Proposed Fixture Watts]]/1000*(ReviewCalcs[[#This Row],[Existing PAF]]-ReviewCalcs[[#This Row],[Proposed PAF]])*ReviewCalcs[[#This Row],[AOH]]*ReviewCalcs[[#This Row],[IEFE]],0)</f>
        <v>0</v>
      </c>
      <c r="BS12" s="118">
        <f>ReviewCalcs[[#This Row],[Incentive Fixture Demand Savings (kW)]]+ReviewCalcs[[#This Row],[Incentive Control Demand Savings (kW)]]</f>
        <v>0</v>
      </c>
      <c r="BT12" s="118">
        <f>ReviewCalcs[[#This Row],[Incentive Fixture Energy Savings (kWh)]]+ReviewCalcs[[#This Row],[Incentive Control Energy Savings (kWh)]]</f>
        <v>0</v>
      </c>
      <c r="BU12" s="73"/>
    </row>
    <row r="13" spans="1:78" ht="30" customHeight="1">
      <c r="A13" s="68">
        <v>10</v>
      </c>
      <c r="B13" s="96">
        <f>VLOOKUP(ReviewCalcs[[#This Row],[Project Index]], ProjectInput[], D$1, FALSE)</f>
        <v>0</v>
      </c>
      <c r="C13" s="97">
        <f>VLOOKUP(ReviewCalcs[[#This Row],[Project Index]], ProjectInput[], E$1, FALSE)</f>
        <v>0</v>
      </c>
      <c r="D13" s="97">
        <f>VLOOKUP(ReviewCalcs[[#This Row],[Project Index]], ProjectInput[], F$1, FALSE)</f>
        <v>0</v>
      </c>
      <c r="E13" s="97">
        <f>VLOOKUP(ReviewCalcs[[#This Row],[Project Index]], ProjectInput[], G$1, FALSE)</f>
        <v>0</v>
      </c>
      <c r="F13" s="97">
        <f>VLOOKUP(ReviewCalcs[[#This Row],[Project Index]], ProjectInput[], H$1, FALSE)</f>
        <v>0</v>
      </c>
      <c r="G13" s="98" t="str">
        <f>VLOOKUP(ReviewCalcs[[#This Row],[Project Index]], ProjectInput[], I$1, FALSE)</f>
        <v/>
      </c>
      <c r="H13" s="96">
        <f>VLOOKUP(ReviewCalcs[[#This Row],[Project Index]], ProjectInput[], J$1, FALSE)</f>
        <v>0</v>
      </c>
      <c r="I13" s="97">
        <f>VLOOKUP(ReviewCalcs[[#This Row],[Project Index]], ProjectInput[], K$1, FALSE)</f>
        <v>0</v>
      </c>
      <c r="J13" s="97">
        <f>VLOOKUP(ReviewCalcs[[#This Row],[Project Index]], ProjectInput[], L$1, FALSE)</f>
        <v>0</v>
      </c>
      <c r="K13" s="97">
        <f>VLOOKUP(ReviewCalcs[[#This Row],[Project Index]], ProjectInput[], M$1, FALSE)</f>
        <v>0</v>
      </c>
      <c r="L13" s="97">
        <f>VLOOKUP(ReviewCalcs[[#This Row],[Project Index]], ProjectInput[], N$1, FALSE)</f>
        <v>0</v>
      </c>
      <c r="M13" s="98" t="str">
        <f>VLOOKUP(ReviewCalcs[[#This Row],[Project Index]], ProjectInput[], O$1, FALSE)</f>
        <v/>
      </c>
      <c r="N13" s="96">
        <f>VLOOKUP(ReviewCalcs[[#This Row],[Project Index]], ProjectInput[], P$1, FALSE)</f>
        <v>0</v>
      </c>
      <c r="O13" s="97">
        <f>VLOOKUP(ReviewCalcs[[#This Row],[Project Index]], ProjectInput[], Q$1, FALSE)</f>
        <v>0</v>
      </c>
      <c r="P13" s="97">
        <f>VLOOKUP(ReviewCalcs[[#This Row],[Project Index]], ProjectInput[], R$1, FALSE)</f>
        <v>0</v>
      </c>
      <c r="Q13" s="97">
        <f>VLOOKUP(ReviewCalcs[[#This Row],[Project Index]], ProjectInput[], S$1, FALSE)</f>
        <v>0</v>
      </c>
      <c r="R13" s="97">
        <f>VLOOKUP(ReviewCalcs[[#This Row],[Project Index]], ProjectInput[], T$1, FALSE)</f>
        <v>0</v>
      </c>
      <c r="S13" s="97">
        <f>VLOOKUP(ReviewCalcs[[#This Row],[Project Index]], ProjectInput[], U$1, FALSE)</f>
        <v>0</v>
      </c>
      <c r="T13" s="97">
        <f>VLOOKUP(ReviewCalcs[[#This Row],[Project Index]], ProjectInput[], V$1, FALSE)</f>
        <v>0</v>
      </c>
      <c r="U13" s="97">
        <f>VLOOKUP(ReviewCalcs[[#This Row],[Project Index]], ProjectInput[], W$1, FALSE)</f>
        <v>0</v>
      </c>
      <c r="V13" s="98" t="str">
        <f>VLOOKUP(ReviewCalcs[[#This Row],[Project Index]], ProjectInput[], X$1, FALSE)</f>
        <v/>
      </c>
      <c r="W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 s="75" t="e">
        <f>IF(VLOOKUP(ReviewCalcs[[#This Row],[Proposed Fixture Code]], Table7[[FIXTURE CODE]:[Baseline Fixture Code]], 8, FALSE)="N", "ERROR", "PASS")</f>
        <v>#N/A</v>
      </c>
      <c r="Y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 s="75" t="e">
        <f>IF(OR(ReviewCalcs[[#This Row],[Baseline Fixture Watts]]&gt;=ReviewCalcs[[#This Row],[Proposed Fixture Watts]],ReviewCalcs[[#This Row],[Existing Fixture Watts]]&gt;=ReviewCalcs[[#This Row],[Proposed Fixture Watts]] ), "PASS", "ERROR")</f>
        <v>#N/A</v>
      </c>
      <c r="AA13" s="69" t="e">
        <f>VLOOKUP(ReviewCalcs[[#This Row],[Space Conditions]], Table_365[], 5, FALSE)</f>
        <v>#N/A</v>
      </c>
      <c r="AB13" s="68" t="str">
        <f>ReviewCalcs[[#This Row],[Annual Hours]]</f>
        <v/>
      </c>
      <c r="AC13" s="68" t="e">
        <f>VLOOKUP(ReviewCalcs[[#This Row],[Space Conditions]], Table_365[], 6, FALSE)</f>
        <v>#N/A</v>
      </c>
      <c r="AD13" s="68">
        <f>IF(ReviewCalcs[[#This Row],[Existing Control(s)]]='Tables &amp; Ranges'!$A$25, VLOOKUP(ReviewCalcs[[#This Row],[Building/Space Type]], Table_364[], 3, FALSE), CF_Contols)</f>
        <v>0.26</v>
      </c>
      <c r="AE13" s="68" t="e">
        <f>VLOOKUP(ReviewCalcs[[#This Row],[Existing Control(s)]], Table_358[], 2, FALSE)</f>
        <v>#N/A</v>
      </c>
      <c r="AF13" s="68">
        <f>IF(ReviewCalcs[[#This Row],[Proposed Control(s)]]='Tables &amp; Ranges'!$A$25, VLOOKUP(ReviewCalcs[[#This Row],[Building/Space Type]], Table_364[], 3, FALSE), CF_Contols)</f>
        <v>0.26</v>
      </c>
      <c r="AG13" s="68" t="e">
        <f>VLOOKUP(ReviewCalcs[[#This Row],[Proposed Control(s)]], Table_358[], 2, FALSE)</f>
        <v>#N/A</v>
      </c>
      <c r="AH13" s="68">
        <f>IFERROR((ReviewCalcs[[#This Row],[Existing Fixture Quantity]]*ReviewCalcs[[#This Row],[Existing Fixture Watts]]/1000)*ReviewCalcs[[#This Row],[Existing CF]]*ReviewCalcs[[#This Row],[IEFD]], 0)</f>
        <v>0</v>
      </c>
      <c r="AI13" s="68">
        <f>IFERROR((ReviewCalcs[[#This Row],[Proposed Fixture Quantity]]*ReviewCalcs[[#This Row],[Proposed Fixture Watts]]/1000)*ReviewCalcs[[#This Row],[Existing CF]]*ReviewCalcs[[#This Row],[IEFD]], 0)</f>
        <v>0</v>
      </c>
      <c r="AJ13" s="118">
        <f>IFERROR((ReviewCalcs[[#This Row],[Existing Fixture Quantity]]*ReviewCalcs[[#This Row],[Existing Fixture Watts]]/1000-ReviewCalcs[[#This Row],[Proposed Fixture Quantity]]*ReviewCalcs[[#This Row],[Proposed Fixture Watts]]/1000)*ReviewCalcs[[#This Row],[Existing CF]]*ReviewCalcs[[#This Row],[IEFD]], 0)</f>
        <v>0</v>
      </c>
      <c r="AK13" s="118">
        <f>IFERROR((ReviewCalcs[[#This Row],[Existing Fixture Quantity]]*ReviewCalcs[[#This Row],[Existing Fixture Watts]]/1000)*ReviewCalcs[[#This Row],[AOH]]*ReviewCalcs[[#This Row],[IEFE]]*ReviewCalcs[[#This Row],[Existing PAF]], 0)</f>
        <v>0</v>
      </c>
      <c r="AL13" s="118">
        <f>IFERROR((ReviewCalcs[[#This Row],[Proposed Fixture Quantity]]*ReviewCalcs[[#This Row],[Proposed Fixture Watts]]/1000)*ReviewCalcs[[#This Row],[AOH]]*ReviewCalcs[[#This Row],[IEFE]]*ReviewCalcs[[#This Row],[Existing PAF]], 0)</f>
        <v>0</v>
      </c>
      <c r="AM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 s="118">
        <f>ReviewCalcs[[#This Row],[Fixture Existing Energy (kWh)]]*Avg_KWh_Rate</f>
        <v>0</v>
      </c>
      <c r="AO13" s="118">
        <f>ReviewCalcs[[#This Row],[Fixture Proposed Energy (kWh)]]*Avg_KWh_Rate</f>
        <v>0</v>
      </c>
      <c r="AP13" s="70">
        <f>ReviewCalcs[[#This Row],[Fixture Energy Savings]]*Avg_KWh_Rate</f>
        <v>0</v>
      </c>
      <c r="AQ13" s="129" t="e">
        <f>ReviewCalcs[[#This Row],[Existing Fixture Quantity]]*ReviewCalcs[[#This Row],[Existing Fixture Watts]]/1000*ReviewCalcs[[#This Row],[Existing CF]]*ReviewCalcs[[#This Row],[IEFD]]</f>
        <v>#VALUE!</v>
      </c>
      <c r="AR13" s="129" t="e">
        <f>ReviewCalcs[[#This Row],[Proposed Fixture Quantity]]*ReviewCalcs[[#This Row],[Proposed Fixture Watts]]/1000*ReviewCalcs[[#This Row],[Proposed CF]]*ReviewCalcs[[#This Row],[IEFD]]</f>
        <v>#VALUE!</v>
      </c>
      <c r="AS13" s="118">
        <f>IF(ReviewCalcs[[#This Row],[Existing CF]]=ReviewCalcs[[#This Row],[Proposed CF]], 0, ReviewCalcs[[#This Row],[Proposed Fixture Quantity]]*ReviewCalcs[[#This Row],[Proposed Fixture Watts]]/1000*ReviewCalcs[[#This Row],[Proposed CF]]*ReviewCalcs[[#This Row],[IEFD]])</f>
        <v>0</v>
      </c>
      <c r="AT13" s="118">
        <f>IFERROR(ReviewCalcs[[#This Row],[Existing Fixture Quantity]]*ReviewCalcs[[#This Row],[Existing Fixture Watts]]/1000*ReviewCalcs[[#This Row],[Existing PAF]]*ReviewCalcs[[#This Row],[AOH]]*ReviewCalcs[[#This Row],[IEFE]], 0)</f>
        <v>0</v>
      </c>
      <c r="AU13" s="118">
        <f>IFERROR(ReviewCalcs[[#This Row],[Proposed Fixture Quantity]]*ReviewCalcs[[#This Row],[Proposed Fixture Watts]]/1000*ReviewCalcs[[#This Row],[Proposed PAF]]*ReviewCalcs[[#This Row],[AOH]]*ReviewCalcs[[#This Row],[IEFE]], 0)</f>
        <v>0</v>
      </c>
      <c r="AV13" s="118">
        <f>IFERROR(ReviewCalcs[[#This Row],[Proposed Fixture Quantity]]*ReviewCalcs[[#This Row],[Proposed Fixture Watts]]/1000*(ReviewCalcs[[#This Row],[Existing PAF]]-ReviewCalcs[[#This Row],[Proposed PAF]])*ReviewCalcs[[#This Row],[AOH]]*ReviewCalcs[[#This Row],[IEFE]], 0)</f>
        <v>0</v>
      </c>
      <c r="AW13" s="118">
        <f>ReviewCalcs[[#This Row],[Control Existing Energy (kWh)]]*kWh_Incentive_Rate</f>
        <v>0</v>
      </c>
      <c r="AX13" s="118">
        <f>ReviewCalcs[[#This Row],[Control Proposed Energy (kWh)]]*kWh_Incentive_Rate</f>
        <v>0</v>
      </c>
      <c r="AY13" s="70">
        <f>ReviewCalcs[[#This Row],[Control Energy Savings (kWh)]]*kWh_Incentive_Rate</f>
        <v>0</v>
      </c>
      <c r="AZ13" s="70" t="e">
        <f>ReviewCalcs[[#This Row],[Fixture Existing Demand (kW)]]+ReviewCalcs[[#This Row],[Control Existing Demand (kW)]]</f>
        <v>#VALUE!</v>
      </c>
      <c r="BA13" s="70" t="e">
        <f>ReviewCalcs[[#This Row],[Fixture Proposed Demand (kW)]]+ReviewCalcs[[#This Row],[Control Proposed Demand (kW)]]</f>
        <v>#VALUE!</v>
      </c>
      <c r="BB13" s="118">
        <f>ReviewCalcs[[#This Row],[Fixture Demand Savings (kW)]]+ReviewCalcs[[#This Row],[Control Demand Savings (kW)]]</f>
        <v>0</v>
      </c>
      <c r="BC13" s="118">
        <f>ReviewCalcs[[#This Row],[Fixture Existing Energy (kWh)]]+ReviewCalcs[[#This Row],[Control Existing Energy (kWh)]]</f>
        <v>0</v>
      </c>
      <c r="BD13" s="118">
        <f>ReviewCalcs[[#This Row],[Fixture Proposed Energy (kWh)]]+ReviewCalcs[[#This Row],[Control Proposed Energy (kWh)]]</f>
        <v>0</v>
      </c>
      <c r="BE13" s="118">
        <f>ReviewCalcs[[#This Row],[Fixture Energy Savings]]+ReviewCalcs[[#This Row],[Control Energy Savings (kWh)]]</f>
        <v>0</v>
      </c>
      <c r="BF13" s="118">
        <f>ReviewCalcs[[#This Row],[Fixture Existing Cost ($)]]+ReviewCalcs[[#This Row],[Control Existing Cost ($)]]</f>
        <v>0</v>
      </c>
      <c r="BG13" s="118">
        <f>ReviewCalcs[[#This Row],[Fixture Proposed Cost ($)]]+ReviewCalcs[[#This Row],[Controls Proposed Cost ($)]]</f>
        <v>0</v>
      </c>
      <c r="BH13" s="70">
        <f>ReviewCalcs[[#This Row],[Total Energy Savings (kWh)]]*Avg_KWh_Rate</f>
        <v>0</v>
      </c>
      <c r="BI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 s="70">
        <f>ReviewCalcs[[#This Row],[Retrofit Cost]]</f>
        <v>0</v>
      </c>
      <c r="BK13" s="70">
        <f>ReviewCalcs[[#This Row],[Retrofit Cost]]-ReviewCalcs[[#This Row],[Incentive ($)]]</f>
        <v>0</v>
      </c>
      <c r="BL13" s="118" t="e">
        <f>IFERROR(ReviewCalcs[[#This Row],[Net Project Cost ($)]]/ReviewCalcs[[#This Row],[Fixture Energy Cost Savings ($)]], #N/A)</f>
        <v>#N/A</v>
      </c>
      <c r="BM13" s="118" t="e">
        <f>IF(VLOOKUP(ReviewCalcs[[#This Row],[Existing Fixture Code]], Table7[[FIXTURE CODE]:[Baseline Fixture Code]], 8, FALSE)="N", VLOOKUP(ReviewCalcs[[#This Row],[Existing Fixture Code]], Table7[[FIXTURE CODE]:[Baseline Fixture Code]], 9, FALSE), ReviewCalcs[[#This Row],[Existing Fixture Code]])</f>
        <v>#N/A</v>
      </c>
      <c r="BN13" s="118" t="e">
        <f>INDEX(Table7[WATT/ FIXT], MATCH(ReviewCalcs[Baseline Fixture Code], Table7[FIXTURE CODE], 0))</f>
        <v>#N/A</v>
      </c>
      <c r="BO13" s="118">
        <f>IFERROR((ReviewCalcs[[#This Row],[Existing Fixture Quantity]]*ReviewCalcs[[#This Row],[Baseline Fixture Watts]]/1000-ReviewCalcs[[#This Row],[Proposed Fixture Quantity]]*ReviewCalcs[[#This Row],[Proposed Fixture Watts]]/1000)*ReviewCalcs[[#This Row],[Existing CF]]*ReviewCalcs[[#This Row],[IEFD]], 0)</f>
        <v>0</v>
      </c>
      <c r="BP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 s="118">
        <f>IF(ReviewCalcs[[#This Row],[Existing CF]]=ReviewCalcs[[#This Row],[Proposed CF]], 0, ReviewCalcs[[#This Row],[Proposed Fixture Quantity]]*ReviewCalcs[[#This Row],[Proposed Fixture Watts]]/1000*ReviewCalcs[[#This Row],[Proposed CF]]*ReviewCalcs[[#This Row],[IEFD]])</f>
        <v>0</v>
      </c>
      <c r="BR13" s="118">
        <f>IFERROR(ReviewCalcs[[#This Row],[Proposed Fixture Quantity]]*ReviewCalcs[[#This Row],[Proposed Fixture Watts]]/1000*(ReviewCalcs[[#This Row],[Existing PAF]]-ReviewCalcs[[#This Row],[Proposed PAF]])*ReviewCalcs[[#This Row],[AOH]]*ReviewCalcs[[#This Row],[IEFE]],0)</f>
        <v>0</v>
      </c>
      <c r="BS13" s="118">
        <f>ReviewCalcs[[#This Row],[Incentive Fixture Demand Savings (kW)]]+ReviewCalcs[[#This Row],[Incentive Control Demand Savings (kW)]]</f>
        <v>0</v>
      </c>
      <c r="BT13" s="118">
        <f>ReviewCalcs[[#This Row],[Incentive Fixture Energy Savings (kWh)]]+ReviewCalcs[[#This Row],[Incentive Control Energy Savings (kWh)]]</f>
        <v>0</v>
      </c>
      <c r="BU13" s="73"/>
    </row>
    <row r="14" spans="1:78" ht="30" customHeight="1">
      <c r="A14" s="68">
        <v>11</v>
      </c>
      <c r="B14" s="96">
        <f>VLOOKUP(ReviewCalcs[[#This Row],[Project Index]], ProjectInput[], D$1, FALSE)</f>
        <v>0</v>
      </c>
      <c r="C14" s="97">
        <f>VLOOKUP(ReviewCalcs[[#This Row],[Project Index]], ProjectInput[], E$1, FALSE)</f>
        <v>0</v>
      </c>
      <c r="D14" s="97">
        <f>VLOOKUP(ReviewCalcs[[#This Row],[Project Index]], ProjectInput[], F$1, FALSE)</f>
        <v>0</v>
      </c>
      <c r="E14" s="97">
        <f>VLOOKUP(ReviewCalcs[[#This Row],[Project Index]], ProjectInput[], G$1, FALSE)</f>
        <v>0</v>
      </c>
      <c r="F14" s="97">
        <f>VLOOKUP(ReviewCalcs[[#This Row],[Project Index]], ProjectInput[], H$1, FALSE)</f>
        <v>0</v>
      </c>
      <c r="G14" s="98" t="str">
        <f>VLOOKUP(ReviewCalcs[[#This Row],[Project Index]], ProjectInput[], I$1, FALSE)</f>
        <v/>
      </c>
      <c r="H14" s="96">
        <f>VLOOKUP(ReviewCalcs[[#This Row],[Project Index]], ProjectInput[], J$1, FALSE)</f>
        <v>0</v>
      </c>
      <c r="I14" s="97">
        <f>VLOOKUP(ReviewCalcs[[#This Row],[Project Index]], ProjectInput[], K$1, FALSE)</f>
        <v>0</v>
      </c>
      <c r="J14" s="97">
        <f>VLOOKUP(ReviewCalcs[[#This Row],[Project Index]], ProjectInput[], L$1, FALSE)</f>
        <v>0</v>
      </c>
      <c r="K14" s="97">
        <f>VLOOKUP(ReviewCalcs[[#This Row],[Project Index]], ProjectInput[], M$1, FALSE)</f>
        <v>0</v>
      </c>
      <c r="L14" s="97">
        <f>VLOOKUP(ReviewCalcs[[#This Row],[Project Index]], ProjectInput[], N$1, FALSE)</f>
        <v>0</v>
      </c>
      <c r="M14" s="98" t="str">
        <f>VLOOKUP(ReviewCalcs[[#This Row],[Project Index]], ProjectInput[], O$1, FALSE)</f>
        <v/>
      </c>
      <c r="N14" s="96">
        <f>VLOOKUP(ReviewCalcs[[#This Row],[Project Index]], ProjectInput[], P$1, FALSE)</f>
        <v>0</v>
      </c>
      <c r="O14" s="97">
        <f>VLOOKUP(ReviewCalcs[[#This Row],[Project Index]], ProjectInput[], Q$1, FALSE)</f>
        <v>0</v>
      </c>
      <c r="P14" s="97">
        <f>VLOOKUP(ReviewCalcs[[#This Row],[Project Index]], ProjectInput[], R$1, FALSE)</f>
        <v>0</v>
      </c>
      <c r="Q14" s="97">
        <f>VLOOKUP(ReviewCalcs[[#This Row],[Project Index]], ProjectInput[], S$1, FALSE)</f>
        <v>0</v>
      </c>
      <c r="R14" s="97">
        <f>VLOOKUP(ReviewCalcs[[#This Row],[Project Index]], ProjectInput[], T$1, FALSE)</f>
        <v>0</v>
      </c>
      <c r="S14" s="97">
        <f>VLOOKUP(ReviewCalcs[[#This Row],[Project Index]], ProjectInput[], U$1, FALSE)</f>
        <v>0</v>
      </c>
      <c r="T14" s="97">
        <f>VLOOKUP(ReviewCalcs[[#This Row],[Project Index]], ProjectInput[], V$1, FALSE)</f>
        <v>0</v>
      </c>
      <c r="U14" s="97">
        <f>VLOOKUP(ReviewCalcs[[#This Row],[Project Index]], ProjectInput[], W$1, FALSE)</f>
        <v>0</v>
      </c>
      <c r="V14" s="98" t="str">
        <f>VLOOKUP(ReviewCalcs[[#This Row],[Project Index]], ProjectInput[], X$1, FALSE)</f>
        <v/>
      </c>
      <c r="W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 s="75" t="e">
        <f>IF(VLOOKUP(ReviewCalcs[[#This Row],[Proposed Fixture Code]], Table7[[FIXTURE CODE]:[Baseline Fixture Code]], 8, FALSE)="N", "ERROR", "PASS")</f>
        <v>#N/A</v>
      </c>
      <c r="Y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 s="75" t="e">
        <f>IF(OR(ReviewCalcs[[#This Row],[Baseline Fixture Watts]]&gt;=ReviewCalcs[[#This Row],[Proposed Fixture Watts]],ReviewCalcs[[#This Row],[Existing Fixture Watts]]&gt;=ReviewCalcs[[#This Row],[Proposed Fixture Watts]] ), "PASS", "ERROR")</f>
        <v>#N/A</v>
      </c>
      <c r="AA14" s="69" t="e">
        <f>VLOOKUP(ReviewCalcs[[#This Row],[Space Conditions]], Table_365[], 5, FALSE)</f>
        <v>#N/A</v>
      </c>
      <c r="AB14" s="68" t="str">
        <f>ReviewCalcs[[#This Row],[Annual Hours]]</f>
        <v/>
      </c>
      <c r="AC14" s="68" t="e">
        <f>VLOOKUP(ReviewCalcs[[#This Row],[Space Conditions]], Table_365[], 6, FALSE)</f>
        <v>#N/A</v>
      </c>
      <c r="AD14" s="68">
        <f>IF(ReviewCalcs[[#This Row],[Existing Control(s)]]='Tables &amp; Ranges'!$A$25, VLOOKUP(ReviewCalcs[[#This Row],[Building/Space Type]], Table_364[], 3, FALSE), CF_Contols)</f>
        <v>0.26</v>
      </c>
      <c r="AE14" s="68" t="e">
        <f>VLOOKUP(ReviewCalcs[[#This Row],[Existing Control(s)]], Table_358[], 2, FALSE)</f>
        <v>#N/A</v>
      </c>
      <c r="AF14" s="68">
        <f>IF(ReviewCalcs[[#This Row],[Proposed Control(s)]]='Tables &amp; Ranges'!$A$25, VLOOKUP(ReviewCalcs[[#This Row],[Building/Space Type]], Table_364[], 3, FALSE), CF_Contols)</f>
        <v>0.26</v>
      </c>
      <c r="AG14" s="68" t="e">
        <f>VLOOKUP(ReviewCalcs[[#This Row],[Proposed Control(s)]], Table_358[], 2, FALSE)</f>
        <v>#N/A</v>
      </c>
      <c r="AH14" s="68">
        <f>IFERROR((ReviewCalcs[[#This Row],[Existing Fixture Quantity]]*ReviewCalcs[[#This Row],[Existing Fixture Watts]]/1000)*ReviewCalcs[[#This Row],[Existing CF]]*ReviewCalcs[[#This Row],[IEFD]], 0)</f>
        <v>0</v>
      </c>
      <c r="AI14" s="68">
        <f>IFERROR((ReviewCalcs[[#This Row],[Proposed Fixture Quantity]]*ReviewCalcs[[#This Row],[Proposed Fixture Watts]]/1000)*ReviewCalcs[[#This Row],[Existing CF]]*ReviewCalcs[[#This Row],[IEFD]], 0)</f>
        <v>0</v>
      </c>
      <c r="AJ14" s="118">
        <f>IFERROR((ReviewCalcs[[#This Row],[Existing Fixture Quantity]]*ReviewCalcs[[#This Row],[Existing Fixture Watts]]/1000-ReviewCalcs[[#This Row],[Proposed Fixture Quantity]]*ReviewCalcs[[#This Row],[Proposed Fixture Watts]]/1000)*ReviewCalcs[[#This Row],[Existing CF]]*ReviewCalcs[[#This Row],[IEFD]], 0)</f>
        <v>0</v>
      </c>
      <c r="AK14" s="118">
        <f>IFERROR((ReviewCalcs[[#This Row],[Existing Fixture Quantity]]*ReviewCalcs[[#This Row],[Existing Fixture Watts]]/1000)*ReviewCalcs[[#This Row],[AOH]]*ReviewCalcs[[#This Row],[IEFE]]*ReviewCalcs[[#This Row],[Existing PAF]], 0)</f>
        <v>0</v>
      </c>
      <c r="AL14" s="118">
        <f>IFERROR((ReviewCalcs[[#This Row],[Proposed Fixture Quantity]]*ReviewCalcs[[#This Row],[Proposed Fixture Watts]]/1000)*ReviewCalcs[[#This Row],[AOH]]*ReviewCalcs[[#This Row],[IEFE]]*ReviewCalcs[[#This Row],[Existing PAF]], 0)</f>
        <v>0</v>
      </c>
      <c r="AM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 s="118">
        <f>ReviewCalcs[[#This Row],[Fixture Existing Energy (kWh)]]*Avg_KWh_Rate</f>
        <v>0</v>
      </c>
      <c r="AO14" s="118">
        <f>ReviewCalcs[[#This Row],[Fixture Proposed Energy (kWh)]]*Avg_KWh_Rate</f>
        <v>0</v>
      </c>
      <c r="AP14" s="70">
        <f>ReviewCalcs[[#This Row],[Fixture Energy Savings]]*Avg_KWh_Rate</f>
        <v>0</v>
      </c>
      <c r="AQ14" s="129" t="e">
        <f>ReviewCalcs[[#This Row],[Existing Fixture Quantity]]*ReviewCalcs[[#This Row],[Existing Fixture Watts]]/1000*ReviewCalcs[[#This Row],[Existing CF]]*ReviewCalcs[[#This Row],[IEFD]]</f>
        <v>#VALUE!</v>
      </c>
      <c r="AR14" s="129" t="e">
        <f>ReviewCalcs[[#This Row],[Proposed Fixture Quantity]]*ReviewCalcs[[#This Row],[Proposed Fixture Watts]]/1000*ReviewCalcs[[#This Row],[Proposed CF]]*ReviewCalcs[[#This Row],[IEFD]]</f>
        <v>#VALUE!</v>
      </c>
      <c r="AS14" s="118">
        <f>IF(ReviewCalcs[[#This Row],[Existing CF]]=ReviewCalcs[[#This Row],[Proposed CF]], 0, ReviewCalcs[[#This Row],[Proposed Fixture Quantity]]*ReviewCalcs[[#This Row],[Proposed Fixture Watts]]/1000*ReviewCalcs[[#This Row],[Proposed CF]]*ReviewCalcs[[#This Row],[IEFD]])</f>
        <v>0</v>
      </c>
      <c r="AT14" s="118">
        <f>IFERROR(ReviewCalcs[[#This Row],[Existing Fixture Quantity]]*ReviewCalcs[[#This Row],[Existing Fixture Watts]]/1000*ReviewCalcs[[#This Row],[Existing PAF]]*ReviewCalcs[[#This Row],[AOH]]*ReviewCalcs[[#This Row],[IEFE]], 0)</f>
        <v>0</v>
      </c>
      <c r="AU14" s="118">
        <f>IFERROR(ReviewCalcs[[#This Row],[Proposed Fixture Quantity]]*ReviewCalcs[[#This Row],[Proposed Fixture Watts]]/1000*ReviewCalcs[[#This Row],[Proposed PAF]]*ReviewCalcs[[#This Row],[AOH]]*ReviewCalcs[[#This Row],[IEFE]], 0)</f>
        <v>0</v>
      </c>
      <c r="AV14" s="118">
        <f>IFERROR(ReviewCalcs[[#This Row],[Proposed Fixture Quantity]]*ReviewCalcs[[#This Row],[Proposed Fixture Watts]]/1000*(ReviewCalcs[[#This Row],[Existing PAF]]-ReviewCalcs[[#This Row],[Proposed PAF]])*ReviewCalcs[[#This Row],[AOH]]*ReviewCalcs[[#This Row],[IEFE]], 0)</f>
        <v>0</v>
      </c>
      <c r="AW14" s="118">
        <f>ReviewCalcs[[#This Row],[Control Existing Energy (kWh)]]*kWh_Incentive_Rate</f>
        <v>0</v>
      </c>
      <c r="AX14" s="118">
        <f>ReviewCalcs[[#This Row],[Control Proposed Energy (kWh)]]*kWh_Incentive_Rate</f>
        <v>0</v>
      </c>
      <c r="AY14" s="70">
        <f>ReviewCalcs[[#This Row],[Control Energy Savings (kWh)]]*kWh_Incentive_Rate</f>
        <v>0</v>
      </c>
      <c r="AZ14" s="70" t="e">
        <f>ReviewCalcs[[#This Row],[Fixture Existing Demand (kW)]]+ReviewCalcs[[#This Row],[Control Existing Demand (kW)]]</f>
        <v>#VALUE!</v>
      </c>
      <c r="BA14" s="70" t="e">
        <f>ReviewCalcs[[#This Row],[Fixture Proposed Demand (kW)]]+ReviewCalcs[[#This Row],[Control Proposed Demand (kW)]]</f>
        <v>#VALUE!</v>
      </c>
      <c r="BB14" s="118">
        <f>ReviewCalcs[[#This Row],[Fixture Demand Savings (kW)]]+ReviewCalcs[[#This Row],[Control Demand Savings (kW)]]</f>
        <v>0</v>
      </c>
      <c r="BC14" s="118">
        <f>ReviewCalcs[[#This Row],[Fixture Existing Energy (kWh)]]+ReviewCalcs[[#This Row],[Control Existing Energy (kWh)]]</f>
        <v>0</v>
      </c>
      <c r="BD14" s="118">
        <f>ReviewCalcs[[#This Row],[Fixture Proposed Energy (kWh)]]+ReviewCalcs[[#This Row],[Control Proposed Energy (kWh)]]</f>
        <v>0</v>
      </c>
      <c r="BE14" s="118">
        <f>ReviewCalcs[[#This Row],[Fixture Energy Savings]]+ReviewCalcs[[#This Row],[Control Energy Savings (kWh)]]</f>
        <v>0</v>
      </c>
      <c r="BF14" s="118">
        <f>ReviewCalcs[[#This Row],[Fixture Existing Cost ($)]]+ReviewCalcs[[#This Row],[Control Existing Cost ($)]]</f>
        <v>0</v>
      </c>
      <c r="BG14" s="118">
        <f>ReviewCalcs[[#This Row],[Fixture Proposed Cost ($)]]+ReviewCalcs[[#This Row],[Controls Proposed Cost ($)]]</f>
        <v>0</v>
      </c>
      <c r="BH14" s="70">
        <f>ReviewCalcs[[#This Row],[Total Energy Savings (kWh)]]*Avg_KWh_Rate</f>
        <v>0</v>
      </c>
      <c r="BI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 s="70">
        <f>ReviewCalcs[[#This Row],[Retrofit Cost]]</f>
        <v>0</v>
      </c>
      <c r="BK14" s="70">
        <f>ReviewCalcs[[#This Row],[Retrofit Cost]]-ReviewCalcs[[#This Row],[Incentive ($)]]</f>
        <v>0</v>
      </c>
      <c r="BL14" s="118" t="e">
        <f>IFERROR(ReviewCalcs[[#This Row],[Net Project Cost ($)]]/ReviewCalcs[[#This Row],[Fixture Energy Cost Savings ($)]], #N/A)</f>
        <v>#N/A</v>
      </c>
      <c r="BM14" s="118" t="e">
        <f>IF(VLOOKUP(ReviewCalcs[[#This Row],[Existing Fixture Code]], Table7[[FIXTURE CODE]:[Baseline Fixture Code]], 8, FALSE)="N", VLOOKUP(ReviewCalcs[[#This Row],[Existing Fixture Code]], Table7[[FIXTURE CODE]:[Baseline Fixture Code]], 9, FALSE), ReviewCalcs[[#This Row],[Existing Fixture Code]])</f>
        <v>#N/A</v>
      </c>
      <c r="BN14" s="118" t="e">
        <f>INDEX(Table7[WATT/ FIXT], MATCH(ReviewCalcs[Baseline Fixture Code], Table7[FIXTURE CODE], 0))</f>
        <v>#N/A</v>
      </c>
      <c r="BO14" s="118">
        <f>IFERROR((ReviewCalcs[[#This Row],[Existing Fixture Quantity]]*ReviewCalcs[[#This Row],[Baseline Fixture Watts]]/1000-ReviewCalcs[[#This Row],[Proposed Fixture Quantity]]*ReviewCalcs[[#This Row],[Proposed Fixture Watts]]/1000)*ReviewCalcs[[#This Row],[Existing CF]]*ReviewCalcs[[#This Row],[IEFD]], 0)</f>
        <v>0</v>
      </c>
      <c r="BP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 s="118">
        <f>IF(ReviewCalcs[[#This Row],[Existing CF]]=ReviewCalcs[[#This Row],[Proposed CF]], 0, ReviewCalcs[[#This Row],[Proposed Fixture Quantity]]*ReviewCalcs[[#This Row],[Proposed Fixture Watts]]/1000*ReviewCalcs[[#This Row],[Proposed CF]]*ReviewCalcs[[#This Row],[IEFD]])</f>
        <v>0</v>
      </c>
      <c r="BR14" s="118">
        <f>IFERROR(ReviewCalcs[[#This Row],[Proposed Fixture Quantity]]*ReviewCalcs[[#This Row],[Proposed Fixture Watts]]/1000*(ReviewCalcs[[#This Row],[Existing PAF]]-ReviewCalcs[[#This Row],[Proposed PAF]])*ReviewCalcs[[#This Row],[AOH]]*ReviewCalcs[[#This Row],[IEFE]],0)</f>
        <v>0</v>
      </c>
      <c r="BS14" s="118">
        <f>ReviewCalcs[[#This Row],[Incentive Fixture Demand Savings (kW)]]+ReviewCalcs[[#This Row],[Incentive Control Demand Savings (kW)]]</f>
        <v>0</v>
      </c>
      <c r="BT14" s="118">
        <f>ReviewCalcs[[#This Row],[Incentive Fixture Energy Savings (kWh)]]+ReviewCalcs[[#This Row],[Incentive Control Energy Savings (kWh)]]</f>
        <v>0</v>
      </c>
      <c r="BU14" s="73"/>
    </row>
    <row r="15" spans="1:78" ht="30" customHeight="1">
      <c r="A15" s="68">
        <v>12</v>
      </c>
      <c r="B15" s="96">
        <f>VLOOKUP(ReviewCalcs[[#This Row],[Project Index]], ProjectInput[], D$1, FALSE)</f>
        <v>0</v>
      </c>
      <c r="C15" s="97">
        <f>VLOOKUP(ReviewCalcs[[#This Row],[Project Index]], ProjectInput[], E$1, FALSE)</f>
        <v>0</v>
      </c>
      <c r="D15" s="97">
        <f>VLOOKUP(ReviewCalcs[[#This Row],[Project Index]], ProjectInput[], F$1, FALSE)</f>
        <v>0</v>
      </c>
      <c r="E15" s="97">
        <f>VLOOKUP(ReviewCalcs[[#This Row],[Project Index]], ProjectInput[], G$1, FALSE)</f>
        <v>0</v>
      </c>
      <c r="F15" s="97">
        <f>VLOOKUP(ReviewCalcs[[#This Row],[Project Index]], ProjectInput[], H$1, FALSE)</f>
        <v>0</v>
      </c>
      <c r="G15" s="98" t="str">
        <f>VLOOKUP(ReviewCalcs[[#This Row],[Project Index]], ProjectInput[], I$1, FALSE)</f>
        <v/>
      </c>
      <c r="H15" s="96">
        <f>VLOOKUP(ReviewCalcs[[#This Row],[Project Index]], ProjectInput[], J$1, FALSE)</f>
        <v>0</v>
      </c>
      <c r="I15" s="97">
        <f>VLOOKUP(ReviewCalcs[[#This Row],[Project Index]], ProjectInput[], K$1, FALSE)</f>
        <v>0</v>
      </c>
      <c r="J15" s="97">
        <f>VLOOKUP(ReviewCalcs[[#This Row],[Project Index]], ProjectInput[], L$1, FALSE)</f>
        <v>0</v>
      </c>
      <c r="K15" s="97">
        <f>VLOOKUP(ReviewCalcs[[#This Row],[Project Index]], ProjectInput[], M$1, FALSE)</f>
        <v>0</v>
      </c>
      <c r="L15" s="97">
        <f>VLOOKUP(ReviewCalcs[[#This Row],[Project Index]], ProjectInput[], N$1, FALSE)</f>
        <v>0</v>
      </c>
      <c r="M15" s="98" t="str">
        <f>VLOOKUP(ReviewCalcs[[#This Row],[Project Index]], ProjectInput[], O$1, FALSE)</f>
        <v/>
      </c>
      <c r="N15" s="96">
        <f>VLOOKUP(ReviewCalcs[[#This Row],[Project Index]], ProjectInput[], P$1, FALSE)</f>
        <v>0</v>
      </c>
      <c r="O15" s="97">
        <f>VLOOKUP(ReviewCalcs[[#This Row],[Project Index]], ProjectInput[], Q$1, FALSE)</f>
        <v>0</v>
      </c>
      <c r="P15" s="97">
        <f>VLOOKUP(ReviewCalcs[[#This Row],[Project Index]], ProjectInput[], R$1, FALSE)</f>
        <v>0</v>
      </c>
      <c r="Q15" s="97">
        <f>VLOOKUP(ReviewCalcs[[#This Row],[Project Index]], ProjectInput[], S$1, FALSE)</f>
        <v>0</v>
      </c>
      <c r="R15" s="97">
        <f>VLOOKUP(ReviewCalcs[[#This Row],[Project Index]], ProjectInput[], T$1, FALSE)</f>
        <v>0</v>
      </c>
      <c r="S15" s="97">
        <f>VLOOKUP(ReviewCalcs[[#This Row],[Project Index]], ProjectInput[], U$1, FALSE)</f>
        <v>0</v>
      </c>
      <c r="T15" s="97">
        <f>VLOOKUP(ReviewCalcs[[#This Row],[Project Index]], ProjectInput[], V$1, FALSE)</f>
        <v>0</v>
      </c>
      <c r="U15" s="97">
        <f>VLOOKUP(ReviewCalcs[[#This Row],[Project Index]], ProjectInput[], W$1, FALSE)</f>
        <v>0</v>
      </c>
      <c r="V15" s="98" t="str">
        <f>VLOOKUP(ReviewCalcs[[#This Row],[Project Index]], ProjectInput[], X$1, FALSE)</f>
        <v/>
      </c>
      <c r="W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 s="75" t="e">
        <f>IF(VLOOKUP(ReviewCalcs[[#This Row],[Proposed Fixture Code]], Table7[[FIXTURE CODE]:[Baseline Fixture Code]], 8, FALSE)="N", "ERROR", "PASS")</f>
        <v>#N/A</v>
      </c>
      <c r="Y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 s="75" t="e">
        <f>IF(OR(ReviewCalcs[[#This Row],[Baseline Fixture Watts]]&gt;=ReviewCalcs[[#This Row],[Proposed Fixture Watts]],ReviewCalcs[[#This Row],[Existing Fixture Watts]]&gt;=ReviewCalcs[[#This Row],[Proposed Fixture Watts]] ), "PASS", "ERROR")</f>
        <v>#N/A</v>
      </c>
      <c r="AA15" s="69" t="e">
        <f>VLOOKUP(ReviewCalcs[[#This Row],[Space Conditions]], Table_365[], 5, FALSE)</f>
        <v>#N/A</v>
      </c>
      <c r="AB15" s="68" t="str">
        <f>ReviewCalcs[[#This Row],[Annual Hours]]</f>
        <v/>
      </c>
      <c r="AC15" s="68" t="e">
        <f>VLOOKUP(ReviewCalcs[[#This Row],[Space Conditions]], Table_365[], 6, FALSE)</f>
        <v>#N/A</v>
      </c>
      <c r="AD15" s="68">
        <f>IF(ReviewCalcs[[#This Row],[Existing Control(s)]]='Tables &amp; Ranges'!$A$25, VLOOKUP(ReviewCalcs[[#This Row],[Building/Space Type]], Table_364[], 3, FALSE), CF_Contols)</f>
        <v>0.26</v>
      </c>
      <c r="AE15" s="68" t="e">
        <f>VLOOKUP(ReviewCalcs[[#This Row],[Existing Control(s)]], Table_358[], 2, FALSE)</f>
        <v>#N/A</v>
      </c>
      <c r="AF15" s="68">
        <f>IF(ReviewCalcs[[#This Row],[Proposed Control(s)]]='Tables &amp; Ranges'!$A$25, VLOOKUP(ReviewCalcs[[#This Row],[Building/Space Type]], Table_364[], 3, FALSE), CF_Contols)</f>
        <v>0.26</v>
      </c>
      <c r="AG15" s="68" t="e">
        <f>VLOOKUP(ReviewCalcs[[#This Row],[Proposed Control(s)]], Table_358[], 2, FALSE)</f>
        <v>#N/A</v>
      </c>
      <c r="AH15" s="68">
        <f>IFERROR((ReviewCalcs[[#This Row],[Existing Fixture Quantity]]*ReviewCalcs[[#This Row],[Existing Fixture Watts]]/1000)*ReviewCalcs[[#This Row],[Existing CF]]*ReviewCalcs[[#This Row],[IEFD]], 0)</f>
        <v>0</v>
      </c>
      <c r="AI15" s="68">
        <f>IFERROR((ReviewCalcs[[#This Row],[Proposed Fixture Quantity]]*ReviewCalcs[[#This Row],[Proposed Fixture Watts]]/1000)*ReviewCalcs[[#This Row],[Existing CF]]*ReviewCalcs[[#This Row],[IEFD]], 0)</f>
        <v>0</v>
      </c>
      <c r="AJ15" s="118">
        <f>IFERROR((ReviewCalcs[[#This Row],[Existing Fixture Quantity]]*ReviewCalcs[[#This Row],[Existing Fixture Watts]]/1000-ReviewCalcs[[#This Row],[Proposed Fixture Quantity]]*ReviewCalcs[[#This Row],[Proposed Fixture Watts]]/1000)*ReviewCalcs[[#This Row],[Existing CF]]*ReviewCalcs[[#This Row],[IEFD]], 0)</f>
        <v>0</v>
      </c>
      <c r="AK15" s="118">
        <f>IFERROR((ReviewCalcs[[#This Row],[Existing Fixture Quantity]]*ReviewCalcs[[#This Row],[Existing Fixture Watts]]/1000)*ReviewCalcs[[#This Row],[AOH]]*ReviewCalcs[[#This Row],[IEFE]]*ReviewCalcs[[#This Row],[Existing PAF]], 0)</f>
        <v>0</v>
      </c>
      <c r="AL15" s="118">
        <f>IFERROR((ReviewCalcs[[#This Row],[Proposed Fixture Quantity]]*ReviewCalcs[[#This Row],[Proposed Fixture Watts]]/1000)*ReviewCalcs[[#This Row],[AOH]]*ReviewCalcs[[#This Row],[IEFE]]*ReviewCalcs[[#This Row],[Existing PAF]], 0)</f>
        <v>0</v>
      </c>
      <c r="AM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 s="118">
        <f>ReviewCalcs[[#This Row],[Fixture Existing Energy (kWh)]]*Avg_KWh_Rate</f>
        <v>0</v>
      </c>
      <c r="AO15" s="118">
        <f>ReviewCalcs[[#This Row],[Fixture Proposed Energy (kWh)]]*Avg_KWh_Rate</f>
        <v>0</v>
      </c>
      <c r="AP15" s="70">
        <f>ReviewCalcs[[#This Row],[Fixture Energy Savings]]*Avg_KWh_Rate</f>
        <v>0</v>
      </c>
      <c r="AQ15" s="129" t="e">
        <f>ReviewCalcs[[#This Row],[Existing Fixture Quantity]]*ReviewCalcs[[#This Row],[Existing Fixture Watts]]/1000*ReviewCalcs[[#This Row],[Existing CF]]*ReviewCalcs[[#This Row],[IEFD]]</f>
        <v>#VALUE!</v>
      </c>
      <c r="AR15" s="129" t="e">
        <f>ReviewCalcs[[#This Row],[Proposed Fixture Quantity]]*ReviewCalcs[[#This Row],[Proposed Fixture Watts]]/1000*ReviewCalcs[[#This Row],[Proposed CF]]*ReviewCalcs[[#This Row],[IEFD]]</f>
        <v>#VALUE!</v>
      </c>
      <c r="AS15" s="118">
        <f>IF(ReviewCalcs[[#This Row],[Existing CF]]=ReviewCalcs[[#This Row],[Proposed CF]], 0, ReviewCalcs[[#This Row],[Proposed Fixture Quantity]]*ReviewCalcs[[#This Row],[Proposed Fixture Watts]]/1000*ReviewCalcs[[#This Row],[Proposed CF]]*ReviewCalcs[[#This Row],[IEFD]])</f>
        <v>0</v>
      </c>
      <c r="AT15" s="118">
        <f>IFERROR(ReviewCalcs[[#This Row],[Existing Fixture Quantity]]*ReviewCalcs[[#This Row],[Existing Fixture Watts]]/1000*ReviewCalcs[[#This Row],[Existing PAF]]*ReviewCalcs[[#This Row],[AOH]]*ReviewCalcs[[#This Row],[IEFE]], 0)</f>
        <v>0</v>
      </c>
      <c r="AU15" s="118">
        <f>IFERROR(ReviewCalcs[[#This Row],[Proposed Fixture Quantity]]*ReviewCalcs[[#This Row],[Proposed Fixture Watts]]/1000*ReviewCalcs[[#This Row],[Proposed PAF]]*ReviewCalcs[[#This Row],[AOH]]*ReviewCalcs[[#This Row],[IEFE]], 0)</f>
        <v>0</v>
      </c>
      <c r="AV15" s="118">
        <f>IFERROR(ReviewCalcs[[#This Row],[Proposed Fixture Quantity]]*ReviewCalcs[[#This Row],[Proposed Fixture Watts]]/1000*(ReviewCalcs[[#This Row],[Existing PAF]]-ReviewCalcs[[#This Row],[Proposed PAF]])*ReviewCalcs[[#This Row],[AOH]]*ReviewCalcs[[#This Row],[IEFE]], 0)</f>
        <v>0</v>
      </c>
      <c r="AW15" s="118">
        <f>ReviewCalcs[[#This Row],[Control Existing Energy (kWh)]]*kWh_Incentive_Rate</f>
        <v>0</v>
      </c>
      <c r="AX15" s="118">
        <f>ReviewCalcs[[#This Row],[Control Proposed Energy (kWh)]]*kWh_Incentive_Rate</f>
        <v>0</v>
      </c>
      <c r="AY15" s="70">
        <f>ReviewCalcs[[#This Row],[Control Energy Savings (kWh)]]*kWh_Incentive_Rate</f>
        <v>0</v>
      </c>
      <c r="AZ15" s="70" t="e">
        <f>ReviewCalcs[[#This Row],[Fixture Existing Demand (kW)]]+ReviewCalcs[[#This Row],[Control Existing Demand (kW)]]</f>
        <v>#VALUE!</v>
      </c>
      <c r="BA15" s="70" t="e">
        <f>ReviewCalcs[[#This Row],[Fixture Proposed Demand (kW)]]+ReviewCalcs[[#This Row],[Control Proposed Demand (kW)]]</f>
        <v>#VALUE!</v>
      </c>
      <c r="BB15" s="118">
        <f>ReviewCalcs[[#This Row],[Fixture Demand Savings (kW)]]+ReviewCalcs[[#This Row],[Control Demand Savings (kW)]]</f>
        <v>0</v>
      </c>
      <c r="BC15" s="118">
        <f>ReviewCalcs[[#This Row],[Fixture Existing Energy (kWh)]]+ReviewCalcs[[#This Row],[Control Existing Energy (kWh)]]</f>
        <v>0</v>
      </c>
      <c r="BD15" s="118">
        <f>ReviewCalcs[[#This Row],[Fixture Proposed Energy (kWh)]]+ReviewCalcs[[#This Row],[Control Proposed Energy (kWh)]]</f>
        <v>0</v>
      </c>
      <c r="BE15" s="118">
        <f>ReviewCalcs[[#This Row],[Fixture Energy Savings]]+ReviewCalcs[[#This Row],[Control Energy Savings (kWh)]]</f>
        <v>0</v>
      </c>
      <c r="BF15" s="118">
        <f>ReviewCalcs[[#This Row],[Fixture Existing Cost ($)]]+ReviewCalcs[[#This Row],[Control Existing Cost ($)]]</f>
        <v>0</v>
      </c>
      <c r="BG15" s="118">
        <f>ReviewCalcs[[#This Row],[Fixture Proposed Cost ($)]]+ReviewCalcs[[#This Row],[Controls Proposed Cost ($)]]</f>
        <v>0</v>
      </c>
      <c r="BH15" s="70">
        <f>ReviewCalcs[[#This Row],[Total Energy Savings (kWh)]]*Avg_KWh_Rate</f>
        <v>0</v>
      </c>
      <c r="BI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 s="70">
        <f>ReviewCalcs[[#This Row],[Retrofit Cost]]</f>
        <v>0</v>
      </c>
      <c r="BK15" s="70">
        <f>ReviewCalcs[[#This Row],[Retrofit Cost]]-ReviewCalcs[[#This Row],[Incentive ($)]]</f>
        <v>0</v>
      </c>
      <c r="BL15" s="118" t="e">
        <f>IFERROR(ReviewCalcs[[#This Row],[Net Project Cost ($)]]/ReviewCalcs[[#This Row],[Fixture Energy Cost Savings ($)]], #N/A)</f>
        <v>#N/A</v>
      </c>
      <c r="BM15" s="118" t="e">
        <f>IF(VLOOKUP(ReviewCalcs[[#This Row],[Existing Fixture Code]], Table7[[FIXTURE CODE]:[Baseline Fixture Code]], 8, FALSE)="N", VLOOKUP(ReviewCalcs[[#This Row],[Existing Fixture Code]], Table7[[FIXTURE CODE]:[Baseline Fixture Code]], 9, FALSE), ReviewCalcs[[#This Row],[Existing Fixture Code]])</f>
        <v>#N/A</v>
      </c>
      <c r="BN15" s="118" t="e">
        <f>INDEX(Table7[WATT/ FIXT], MATCH(ReviewCalcs[Baseline Fixture Code], Table7[FIXTURE CODE], 0))</f>
        <v>#N/A</v>
      </c>
      <c r="BO15" s="118">
        <f>IFERROR((ReviewCalcs[[#This Row],[Existing Fixture Quantity]]*ReviewCalcs[[#This Row],[Baseline Fixture Watts]]/1000-ReviewCalcs[[#This Row],[Proposed Fixture Quantity]]*ReviewCalcs[[#This Row],[Proposed Fixture Watts]]/1000)*ReviewCalcs[[#This Row],[Existing CF]]*ReviewCalcs[[#This Row],[IEFD]], 0)</f>
        <v>0</v>
      </c>
      <c r="BP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 s="118">
        <f>IF(ReviewCalcs[[#This Row],[Existing CF]]=ReviewCalcs[[#This Row],[Proposed CF]], 0, ReviewCalcs[[#This Row],[Proposed Fixture Quantity]]*ReviewCalcs[[#This Row],[Proposed Fixture Watts]]/1000*ReviewCalcs[[#This Row],[Proposed CF]]*ReviewCalcs[[#This Row],[IEFD]])</f>
        <v>0</v>
      </c>
      <c r="BR15" s="118">
        <f>IFERROR(ReviewCalcs[[#This Row],[Proposed Fixture Quantity]]*ReviewCalcs[[#This Row],[Proposed Fixture Watts]]/1000*(ReviewCalcs[[#This Row],[Existing PAF]]-ReviewCalcs[[#This Row],[Proposed PAF]])*ReviewCalcs[[#This Row],[AOH]]*ReviewCalcs[[#This Row],[IEFE]],0)</f>
        <v>0</v>
      </c>
      <c r="BS15" s="118">
        <f>ReviewCalcs[[#This Row],[Incentive Fixture Demand Savings (kW)]]+ReviewCalcs[[#This Row],[Incentive Control Demand Savings (kW)]]</f>
        <v>0</v>
      </c>
      <c r="BT15" s="118">
        <f>ReviewCalcs[[#This Row],[Incentive Fixture Energy Savings (kWh)]]+ReviewCalcs[[#This Row],[Incentive Control Energy Savings (kWh)]]</f>
        <v>0</v>
      </c>
      <c r="BU15" s="73"/>
    </row>
    <row r="16" spans="1:78" ht="30" customHeight="1">
      <c r="A16" s="68">
        <v>13</v>
      </c>
      <c r="B16" s="96">
        <f>VLOOKUP(ReviewCalcs[[#This Row],[Project Index]], ProjectInput[], D$1, FALSE)</f>
        <v>0</v>
      </c>
      <c r="C16" s="97">
        <f>VLOOKUP(ReviewCalcs[[#This Row],[Project Index]], ProjectInput[], E$1, FALSE)</f>
        <v>0</v>
      </c>
      <c r="D16" s="97">
        <f>VLOOKUP(ReviewCalcs[[#This Row],[Project Index]], ProjectInput[], F$1, FALSE)</f>
        <v>0</v>
      </c>
      <c r="E16" s="97">
        <f>VLOOKUP(ReviewCalcs[[#This Row],[Project Index]], ProjectInput[], G$1, FALSE)</f>
        <v>0</v>
      </c>
      <c r="F16" s="97">
        <f>VLOOKUP(ReviewCalcs[[#This Row],[Project Index]], ProjectInput[], H$1, FALSE)</f>
        <v>0</v>
      </c>
      <c r="G16" s="98" t="str">
        <f>VLOOKUP(ReviewCalcs[[#This Row],[Project Index]], ProjectInput[], I$1, FALSE)</f>
        <v/>
      </c>
      <c r="H16" s="96">
        <f>VLOOKUP(ReviewCalcs[[#This Row],[Project Index]], ProjectInput[], J$1, FALSE)</f>
        <v>0</v>
      </c>
      <c r="I16" s="97">
        <f>VLOOKUP(ReviewCalcs[[#This Row],[Project Index]], ProjectInput[], K$1, FALSE)</f>
        <v>0</v>
      </c>
      <c r="J16" s="97">
        <f>VLOOKUP(ReviewCalcs[[#This Row],[Project Index]], ProjectInput[], L$1, FALSE)</f>
        <v>0</v>
      </c>
      <c r="K16" s="97">
        <f>VLOOKUP(ReviewCalcs[[#This Row],[Project Index]], ProjectInput[], M$1, FALSE)</f>
        <v>0</v>
      </c>
      <c r="L16" s="97">
        <f>VLOOKUP(ReviewCalcs[[#This Row],[Project Index]], ProjectInput[], N$1, FALSE)</f>
        <v>0</v>
      </c>
      <c r="M16" s="98" t="str">
        <f>VLOOKUP(ReviewCalcs[[#This Row],[Project Index]], ProjectInput[], O$1, FALSE)</f>
        <v/>
      </c>
      <c r="N16" s="96">
        <f>VLOOKUP(ReviewCalcs[[#This Row],[Project Index]], ProjectInput[], P$1, FALSE)</f>
        <v>0</v>
      </c>
      <c r="O16" s="97">
        <f>VLOOKUP(ReviewCalcs[[#This Row],[Project Index]], ProjectInput[], Q$1, FALSE)</f>
        <v>0</v>
      </c>
      <c r="P16" s="97">
        <f>VLOOKUP(ReviewCalcs[[#This Row],[Project Index]], ProjectInput[], R$1, FALSE)</f>
        <v>0</v>
      </c>
      <c r="Q16" s="97">
        <f>VLOOKUP(ReviewCalcs[[#This Row],[Project Index]], ProjectInput[], S$1, FALSE)</f>
        <v>0</v>
      </c>
      <c r="R16" s="97">
        <f>VLOOKUP(ReviewCalcs[[#This Row],[Project Index]], ProjectInput[], T$1, FALSE)</f>
        <v>0</v>
      </c>
      <c r="S16" s="97">
        <f>VLOOKUP(ReviewCalcs[[#This Row],[Project Index]], ProjectInput[], U$1, FALSE)</f>
        <v>0</v>
      </c>
      <c r="T16" s="97">
        <f>VLOOKUP(ReviewCalcs[[#This Row],[Project Index]], ProjectInput[], V$1, FALSE)</f>
        <v>0</v>
      </c>
      <c r="U16" s="97">
        <f>VLOOKUP(ReviewCalcs[[#This Row],[Project Index]], ProjectInput[], W$1, FALSE)</f>
        <v>0</v>
      </c>
      <c r="V16" s="98" t="str">
        <f>VLOOKUP(ReviewCalcs[[#This Row],[Project Index]], ProjectInput[], X$1, FALSE)</f>
        <v/>
      </c>
      <c r="W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 s="75" t="e">
        <f>IF(VLOOKUP(ReviewCalcs[[#This Row],[Proposed Fixture Code]], Table7[[FIXTURE CODE]:[Baseline Fixture Code]], 8, FALSE)="N", "ERROR", "PASS")</f>
        <v>#N/A</v>
      </c>
      <c r="Y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 s="75" t="e">
        <f>IF(OR(ReviewCalcs[[#This Row],[Baseline Fixture Watts]]&gt;=ReviewCalcs[[#This Row],[Proposed Fixture Watts]],ReviewCalcs[[#This Row],[Existing Fixture Watts]]&gt;=ReviewCalcs[[#This Row],[Proposed Fixture Watts]] ), "PASS", "ERROR")</f>
        <v>#N/A</v>
      </c>
      <c r="AA16" s="69" t="e">
        <f>VLOOKUP(ReviewCalcs[[#This Row],[Space Conditions]], Table_365[], 5, FALSE)</f>
        <v>#N/A</v>
      </c>
      <c r="AB16" s="68" t="str">
        <f>ReviewCalcs[[#This Row],[Annual Hours]]</f>
        <v/>
      </c>
      <c r="AC16" s="68" t="e">
        <f>VLOOKUP(ReviewCalcs[[#This Row],[Space Conditions]], Table_365[], 6, FALSE)</f>
        <v>#N/A</v>
      </c>
      <c r="AD16" s="68">
        <f>IF(ReviewCalcs[[#This Row],[Existing Control(s)]]='Tables &amp; Ranges'!$A$25, VLOOKUP(ReviewCalcs[[#This Row],[Building/Space Type]], Table_364[], 3, FALSE), CF_Contols)</f>
        <v>0.26</v>
      </c>
      <c r="AE16" s="68" t="e">
        <f>VLOOKUP(ReviewCalcs[[#This Row],[Existing Control(s)]], Table_358[], 2, FALSE)</f>
        <v>#N/A</v>
      </c>
      <c r="AF16" s="68">
        <f>IF(ReviewCalcs[[#This Row],[Proposed Control(s)]]='Tables &amp; Ranges'!$A$25, VLOOKUP(ReviewCalcs[[#This Row],[Building/Space Type]], Table_364[], 3, FALSE), CF_Contols)</f>
        <v>0.26</v>
      </c>
      <c r="AG16" s="68" t="e">
        <f>VLOOKUP(ReviewCalcs[[#This Row],[Proposed Control(s)]], Table_358[], 2, FALSE)</f>
        <v>#N/A</v>
      </c>
      <c r="AH16" s="68">
        <f>IFERROR((ReviewCalcs[[#This Row],[Existing Fixture Quantity]]*ReviewCalcs[[#This Row],[Existing Fixture Watts]]/1000)*ReviewCalcs[[#This Row],[Existing CF]]*ReviewCalcs[[#This Row],[IEFD]], 0)</f>
        <v>0</v>
      </c>
      <c r="AI16" s="68">
        <f>IFERROR((ReviewCalcs[[#This Row],[Proposed Fixture Quantity]]*ReviewCalcs[[#This Row],[Proposed Fixture Watts]]/1000)*ReviewCalcs[[#This Row],[Existing CF]]*ReviewCalcs[[#This Row],[IEFD]], 0)</f>
        <v>0</v>
      </c>
      <c r="AJ16" s="118">
        <f>IFERROR((ReviewCalcs[[#This Row],[Existing Fixture Quantity]]*ReviewCalcs[[#This Row],[Existing Fixture Watts]]/1000-ReviewCalcs[[#This Row],[Proposed Fixture Quantity]]*ReviewCalcs[[#This Row],[Proposed Fixture Watts]]/1000)*ReviewCalcs[[#This Row],[Existing CF]]*ReviewCalcs[[#This Row],[IEFD]], 0)</f>
        <v>0</v>
      </c>
      <c r="AK16" s="118">
        <f>IFERROR((ReviewCalcs[[#This Row],[Existing Fixture Quantity]]*ReviewCalcs[[#This Row],[Existing Fixture Watts]]/1000)*ReviewCalcs[[#This Row],[AOH]]*ReviewCalcs[[#This Row],[IEFE]]*ReviewCalcs[[#This Row],[Existing PAF]], 0)</f>
        <v>0</v>
      </c>
      <c r="AL16" s="118">
        <f>IFERROR((ReviewCalcs[[#This Row],[Proposed Fixture Quantity]]*ReviewCalcs[[#This Row],[Proposed Fixture Watts]]/1000)*ReviewCalcs[[#This Row],[AOH]]*ReviewCalcs[[#This Row],[IEFE]]*ReviewCalcs[[#This Row],[Existing PAF]], 0)</f>
        <v>0</v>
      </c>
      <c r="AM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 s="118">
        <f>ReviewCalcs[[#This Row],[Fixture Existing Energy (kWh)]]*Avg_KWh_Rate</f>
        <v>0</v>
      </c>
      <c r="AO16" s="118">
        <f>ReviewCalcs[[#This Row],[Fixture Proposed Energy (kWh)]]*Avg_KWh_Rate</f>
        <v>0</v>
      </c>
      <c r="AP16" s="70">
        <f>ReviewCalcs[[#This Row],[Fixture Energy Savings]]*Avg_KWh_Rate</f>
        <v>0</v>
      </c>
      <c r="AQ16" s="129" t="e">
        <f>ReviewCalcs[[#This Row],[Existing Fixture Quantity]]*ReviewCalcs[[#This Row],[Existing Fixture Watts]]/1000*ReviewCalcs[[#This Row],[Existing CF]]*ReviewCalcs[[#This Row],[IEFD]]</f>
        <v>#VALUE!</v>
      </c>
      <c r="AR16" s="129" t="e">
        <f>ReviewCalcs[[#This Row],[Proposed Fixture Quantity]]*ReviewCalcs[[#This Row],[Proposed Fixture Watts]]/1000*ReviewCalcs[[#This Row],[Proposed CF]]*ReviewCalcs[[#This Row],[IEFD]]</f>
        <v>#VALUE!</v>
      </c>
      <c r="AS16" s="118">
        <f>IF(ReviewCalcs[[#This Row],[Existing CF]]=ReviewCalcs[[#This Row],[Proposed CF]], 0, ReviewCalcs[[#This Row],[Proposed Fixture Quantity]]*ReviewCalcs[[#This Row],[Proposed Fixture Watts]]/1000*ReviewCalcs[[#This Row],[Proposed CF]]*ReviewCalcs[[#This Row],[IEFD]])</f>
        <v>0</v>
      </c>
      <c r="AT16" s="118">
        <f>IFERROR(ReviewCalcs[[#This Row],[Existing Fixture Quantity]]*ReviewCalcs[[#This Row],[Existing Fixture Watts]]/1000*ReviewCalcs[[#This Row],[Existing PAF]]*ReviewCalcs[[#This Row],[AOH]]*ReviewCalcs[[#This Row],[IEFE]], 0)</f>
        <v>0</v>
      </c>
      <c r="AU16" s="118">
        <f>IFERROR(ReviewCalcs[[#This Row],[Proposed Fixture Quantity]]*ReviewCalcs[[#This Row],[Proposed Fixture Watts]]/1000*ReviewCalcs[[#This Row],[Proposed PAF]]*ReviewCalcs[[#This Row],[AOH]]*ReviewCalcs[[#This Row],[IEFE]], 0)</f>
        <v>0</v>
      </c>
      <c r="AV16" s="118">
        <f>IFERROR(ReviewCalcs[[#This Row],[Proposed Fixture Quantity]]*ReviewCalcs[[#This Row],[Proposed Fixture Watts]]/1000*(ReviewCalcs[[#This Row],[Existing PAF]]-ReviewCalcs[[#This Row],[Proposed PAF]])*ReviewCalcs[[#This Row],[AOH]]*ReviewCalcs[[#This Row],[IEFE]], 0)</f>
        <v>0</v>
      </c>
      <c r="AW16" s="118">
        <f>ReviewCalcs[[#This Row],[Control Existing Energy (kWh)]]*kWh_Incentive_Rate</f>
        <v>0</v>
      </c>
      <c r="AX16" s="118">
        <f>ReviewCalcs[[#This Row],[Control Proposed Energy (kWh)]]*kWh_Incentive_Rate</f>
        <v>0</v>
      </c>
      <c r="AY16" s="70">
        <f>ReviewCalcs[[#This Row],[Control Energy Savings (kWh)]]*kWh_Incentive_Rate</f>
        <v>0</v>
      </c>
      <c r="AZ16" s="70" t="e">
        <f>ReviewCalcs[[#This Row],[Fixture Existing Demand (kW)]]+ReviewCalcs[[#This Row],[Control Existing Demand (kW)]]</f>
        <v>#VALUE!</v>
      </c>
      <c r="BA16" s="70" t="e">
        <f>ReviewCalcs[[#This Row],[Fixture Proposed Demand (kW)]]+ReviewCalcs[[#This Row],[Control Proposed Demand (kW)]]</f>
        <v>#VALUE!</v>
      </c>
      <c r="BB16" s="118">
        <f>ReviewCalcs[[#This Row],[Fixture Demand Savings (kW)]]+ReviewCalcs[[#This Row],[Control Demand Savings (kW)]]</f>
        <v>0</v>
      </c>
      <c r="BC16" s="118">
        <f>ReviewCalcs[[#This Row],[Fixture Existing Energy (kWh)]]+ReviewCalcs[[#This Row],[Control Existing Energy (kWh)]]</f>
        <v>0</v>
      </c>
      <c r="BD16" s="118">
        <f>ReviewCalcs[[#This Row],[Fixture Proposed Energy (kWh)]]+ReviewCalcs[[#This Row],[Control Proposed Energy (kWh)]]</f>
        <v>0</v>
      </c>
      <c r="BE16" s="118">
        <f>ReviewCalcs[[#This Row],[Fixture Energy Savings]]+ReviewCalcs[[#This Row],[Control Energy Savings (kWh)]]</f>
        <v>0</v>
      </c>
      <c r="BF16" s="118">
        <f>ReviewCalcs[[#This Row],[Fixture Existing Cost ($)]]+ReviewCalcs[[#This Row],[Control Existing Cost ($)]]</f>
        <v>0</v>
      </c>
      <c r="BG16" s="118">
        <f>ReviewCalcs[[#This Row],[Fixture Proposed Cost ($)]]+ReviewCalcs[[#This Row],[Controls Proposed Cost ($)]]</f>
        <v>0</v>
      </c>
      <c r="BH16" s="70">
        <f>ReviewCalcs[[#This Row],[Total Energy Savings (kWh)]]*Avg_KWh_Rate</f>
        <v>0</v>
      </c>
      <c r="BI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 s="70">
        <f>ReviewCalcs[[#This Row],[Retrofit Cost]]</f>
        <v>0</v>
      </c>
      <c r="BK16" s="70">
        <f>ReviewCalcs[[#This Row],[Retrofit Cost]]-ReviewCalcs[[#This Row],[Incentive ($)]]</f>
        <v>0</v>
      </c>
      <c r="BL16" s="118" t="e">
        <f>IFERROR(ReviewCalcs[[#This Row],[Net Project Cost ($)]]/ReviewCalcs[[#This Row],[Fixture Energy Cost Savings ($)]], #N/A)</f>
        <v>#N/A</v>
      </c>
      <c r="BM16" s="118" t="e">
        <f>IF(VLOOKUP(ReviewCalcs[[#This Row],[Existing Fixture Code]], Table7[[FIXTURE CODE]:[Baseline Fixture Code]], 8, FALSE)="N", VLOOKUP(ReviewCalcs[[#This Row],[Existing Fixture Code]], Table7[[FIXTURE CODE]:[Baseline Fixture Code]], 9, FALSE), ReviewCalcs[[#This Row],[Existing Fixture Code]])</f>
        <v>#N/A</v>
      </c>
      <c r="BN16" s="118" t="e">
        <f>INDEX(Table7[WATT/ FIXT], MATCH(ReviewCalcs[Baseline Fixture Code], Table7[FIXTURE CODE], 0))</f>
        <v>#N/A</v>
      </c>
      <c r="BO16" s="118">
        <f>IFERROR((ReviewCalcs[[#This Row],[Existing Fixture Quantity]]*ReviewCalcs[[#This Row],[Baseline Fixture Watts]]/1000-ReviewCalcs[[#This Row],[Proposed Fixture Quantity]]*ReviewCalcs[[#This Row],[Proposed Fixture Watts]]/1000)*ReviewCalcs[[#This Row],[Existing CF]]*ReviewCalcs[[#This Row],[IEFD]], 0)</f>
        <v>0</v>
      </c>
      <c r="BP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 s="118">
        <f>IF(ReviewCalcs[[#This Row],[Existing CF]]=ReviewCalcs[[#This Row],[Proposed CF]], 0, ReviewCalcs[[#This Row],[Proposed Fixture Quantity]]*ReviewCalcs[[#This Row],[Proposed Fixture Watts]]/1000*ReviewCalcs[[#This Row],[Proposed CF]]*ReviewCalcs[[#This Row],[IEFD]])</f>
        <v>0</v>
      </c>
      <c r="BR16" s="118">
        <f>IFERROR(ReviewCalcs[[#This Row],[Proposed Fixture Quantity]]*ReviewCalcs[[#This Row],[Proposed Fixture Watts]]/1000*(ReviewCalcs[[#This Row],[Existing PAF]]-ReviewCalcs[[#This Row],[Proposed PAF]])*ReviewCalcs[[#This Row],[AOH]]*ReviewCalcs[[#This Row],[IEFE]],0)</f>
        <v>0</v>
      </c>
      <c r="BS16" s="118">
        <f>ReviewCalcs[[#This Row],[Incentive Fixture Demand Savings (kW)]]+ReviewCalcs[[#This Row],[Incentive Control Demand Savings (kW)]]</f>
        <v>0</v>
      </c>
      <c r="BT16" s="118">
        <f>ReviewCalcs[[#This Row],[Incentive Fixture Energy Savings (kWh)]]+ReviewCalcs[[#This Row],[Incentive Control Energy Savings (kWh)]]</f>
        <v>0</v>
      </c>
      <c r="BU16" s="73"/>
    </row>
    <row r="17" spans="1:73" ht="30" customHeight="1">
      <c r="A17" s="68">
        <v>14</v>
      </c>
      <c r="B17" s="96">
        <f>VLOOKUP(ReviewCalcs[[#This Row],[Project Index]], ProjectInput[], D$1, FALSE)</f>
        <v>0</v>
      </c>
      <c r="C17" s="97">
        <f>VLOOKUP(ReviewCalcs[[#This Row],[Project Index]], ProjectInput[], E$1, FALSE)</f>
        <v>0</v>
      </c>
      <c r="D17" s="97">
        <f>VLOOKUP(ReviewCalcs[[#This Row],[Project Index]], ProjectInput[], F$1, FALSE)</f>
        <v>0</v>
      </c>
      <c r="E17" s="97">
        <f>VLOOKUP(ReviewCalcs[[#This Row],[Project Index]], ProjectInput[], G$1, FALSE)</f>
        <v>0</v>
      </c>
      <c r="F17" s="97">
        <f>VLOOKUP(ReviewCalcs[[#This Row],[Project Index]], ProjectInput[], H$1, FALSE)</f>
        <v>0</v>
      </c>
      <c r="G17" s="98" t="str">
        <f>VLOOKUP(ReviewCalcs[[#This Row],[Project Index]], ProjectInput[], I$1, FALSE)</f>
        <v/>
      </c>
      <c r="H17" s="96">
        <f>VLOOKUP(ReviewCalcs[[#This Row],[Project Index]], ProjectInput[], J$1, FALSE)</f>
        <v>0</v>
      </c>
      <c r="I17" s="97">
        <f>VLOOKUP(ReviewCalcs[[#This Row],[Project Index]], ProjectInput[], K$1, FALSE)</f>
        <v>0</v>
      </c>
      <c r="J17" s="97">
        <f>VLOOKUP(ReviewCalcs[[#This Row],[Project Index]], ProjectInput[], L$1, FALSE)</f>
        <v>0</v>
      </c>
      <c r="K17" s="97">
        <f>VLOOKUP(ReviewCalcs[[#This Row],[Project Index]], ProjectInput[], M$1, FALSE)</f>
        <v>0</v>
      </c>
      <c r="L17" s="97">
        <f>VLOOKUP(ReviewCalcs[[#This Row],[Project Index]], ProjectInput[], N$1, FALSE)</f>
        <v>0</v>
      </c>
      <c r="M17" s="98" t="str">
        <f>VLOOKUP(ReviewCalcs[[#This Row],[Project Index]], ProjectInput[], O$1, FALSE)</f>
        <v/>
      </c>
      <c r="N17" s="96">
        <f>VLOOKUP(ReviewCalcs[[#This Row],[Project Index]], ProjectInput[], P$1, FALSE)</f>
        <v>0</v>
      </c>
      <c r="O17" s="97">
        <f>VLOOKUP(ReviewCalcs[[#This Row],[Project Index]], ProjectInput[], Q$1, FALSE)</f>
        <v>0</v>
      </c>
      <c r="P17" s="97">
        <f>VLOOKUP(ReviewCalcs[[#This Row],[Project Index]], ProjectInput[], R$1, FALSE)</f>
        <v>0</v>
      </c>
      <c r="Q17" s="97">
        <f>VLOOKUP(ReviewCalcs[[#This Row],[Project Index]], ProjectInput[], S$1, FALSE)</f>
        <v>0</v>
      </c>
      <c r="R17" s="97">
        <f>VLOOKUP(ReviewCalcs[[#This Row],[Project Index]], ProjectInput[], T$1, FALSE)</f>
        <v>0</v>
      </c>
      <c r="S17" s="97">
        <f>VLOOKUP(ReviewCalcs[[#This Row],[Project Index]], ProjectInput[], U$1, FALSE)</f>
        <v>0</v>
      </c>
      <c r="T17" s="97">
        <f>VLOOKUP(ReviewCalcs[[#This Row],[Project Index]], ProjectInput[], V$1, FALSE)</f>
        <v>0</v>
      </c>
      <c r="U17" s="97">
        <f>VLOOKUP(ReviewCalcs[[#This Row],[Project Index]], ProjectInput[], W$1, FALSE)</f>
        <v>0</v>
      </c>
      <c r="V17" s="98" t="str">
        <f>VLOOKUP(ReviewCalcs[[#This Row],[Project Index]], ProjectInput[], X$1, FALSE)</f>
        <v/>
      </c>
      <c r="W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 s="75" t="e">
        <f>IF(VLOOKUP(ReviewCalcs[[#This Row],[Proposed Fixture Code]], Table7[[FIXTURE CODE]:[Baseline Fixture Code]], 8, FALSE)="N", "ERROR", "PASS")</f>
        <v>#N/A</v>
      </c>
      <c r="Y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 s="75" t="e">
        <f>IF(OR(ReviewCalcs[[#This Row],[Baseline Fixture Watts]]&gt;=ReviewCalcs[[#This Row],[Proposed Fixture Watts]],ReviewCalcs[[#This Row],[Existing Fixture Watts]]&gt;=ReviewCalcs[[#This Row],[Proposed Fixture Watts]] ), "PASS", "ERROR")</f>
        <v>#N/A</v>
      </c>
      <c r="AA17" s="69" t="e">
        <f>VLOOKUP(ReviewCalcs[[#This Row],[Space Conditions]], Table_365[], 5, FALSE)</f>
        <v>#N/A</v>
      </c>
      <c r="AB17" s="68" t="str">
        <f>ReviewCalcs[[#This Row],[Annual Hours]]</f>
        <v/>
      </c>
      <c r="AC17" s="68" t="e">
        <f>VLOOKUP(ReviewCalcs[[#This Row],[Space Conditions]], Table_365[], 6, FALSE)</f>
        <v>#N/A</v>
      </c>
      <c r="AD17" s="68">
        <f>IF(ReviewCalcs[[#This Row],[Existing Control(s)]]='Tables &amp; Ranges'!$A$25, VLOOKUP(ReviewCalcs[[#This Row],[Building/Space Type]], Table_364[], 3, FALSE), CF_Contols)</f>
        <v>0.26</v>
      </c>
      <c r="AE17" s="68" t="e">
        <f>VLOOKUP(ReviewCalcs[[#This Row],[Existing Control(s)]], Table_358[], 2, FALSE)</f>
        <v>#N/A</v>
      </c>
      <c r="AF17" s="68">
        <f>IF(ReviewCalcs[[#This Row],[Proposed Control(s)]]='Tables &amp; Ranges'!$A$25, VLOOKUP(ReviewCalcs[[#This Row],[Building/Space Type]], Table_364[], 3, FALSE), CF_Contols)</f>
        <v>0.26</v>
      </c>
      <c r="AG17" s="68" t="e">
        <f>VLOOKUP(ReviewCalcs[[#This Row],[Proposed Control(s)]], Table_358[], 2, FALSE)</f>
        <v>#N/A</v>
      </c>
      <c r="AH17" s="68">
        <f>IFERROR((ReviewCalcs[[#This Row],[Existing Fixture Quantity]]*ReviewCalcs[[#This Row],[Existing Fixture Watts]]/1000)*ReviewCalcs[[#This Row],[Existing CF]]*ReviewCalcs[[#This Row],[IEFD]], 0)</f>
        <v>0</v>
      </c>
      <c r="AI17" s="68">
        <f>IFERROR((ReviewCalcs[[#This Row],[Proposed Fixture Quantity]]*ReviewCalcs[[#This Row],[Proposed Fixture Watts]]/1000)*ReviewCalcs[[#This Row],[Existing CF]]*ReviewCalcs[[#This Row],[IEFD]], 0)</f>
        <v>0</v>
      </c>
      <c r="AJ17" s="118">
        <f>IFERROR((ReviewCalcs[[#This Row],[Existing Fixture Quantity]]*ReviewCalcs[[#This Row],[Existing Fixture Watts]]/1000-ReviewCalcs[[#This Row],[Proposed Fixture Quantity]]*ReviewCalcs[[#This Row],[Proposed Fixture Watts]]/1000)*ReviewCalcs[[#This Row],[Existing CF]]*ReviewCalcs[[#This Row],[IEFD]], 0)</f>
        <v>0</v>
      </c>
      <c r="AK17" s="118">
        <f>IFERROR((ReviewCalcs[[#This Row],[Existing Fixture Quantity]]*ReviewCalcs[[#This Row],[Existing Fixture Watts]]/1000)*ReviewCalcs[[#This Row],[AOH]]*ReviewCalcs[[#This Row],[IEFE]]*ReviewCalcs[[#This Row],[Existing PAF]], 0)</f>
        <v>0</v>
      </c>
      <c r="AL17" s="118">
        <f>IFERROR((ReviewCalcs[[#This Row],[Proposed Fixture Quantity]]*ReviewCalcs[[#This Row],[Proposed Fixture Watts]]/1000)*ReviewCalcs[[#This Row],[AOH]]*ReviewCalcs[[#This Row],[IEFE]]*ReviewCalcs[[#This Row],[Existing PAF]], 0)</f>
        <v>0</v>
      </c>
      <c r="AM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 s="118">
        <f>ReviewCalcs[[#This Row],[Fixture Existing Energy (kWh)]]*Avg_KWh_Rate</f>
        <v>0</v>
      </c>
      <c r="AO17" s="118">
        <f>ReviewCalcs[[#This Row],[Fixture Proposed Energy (kWh)]]*Avg_KWh_Rate</f>
        <v>0</v>
      </c>
      <c r="AP17" s="70">
        <f>ReviewCalcs[[#This Row],[Fixture Energy Savings]]*Avg_KWh_Rate</f>
        <v>0</v>
      </c>
      <c r="AQ17" s="129" t="e">
        <f>ReviewCalcs[[#This Row],[Existing Fixture Quantity]]*ReviewCalcs[[#This Row],[Existing Fixture Watts]]/1000*ReviewCalcs[[#This Row],[Existing CF]]*ReviewCalcs[[#This Row],[IEFD]]</f>
        <v>#VALUE!</v>
      </c>
      <c r="AR17" s="129" t="e">
        <f>ReviewCalcs[[#This Row],[Proposed Fixture Quantity]]*ReviewCalcs[[#This Row],[Proposed Fixture Watts]]/1000*ReviewCalcs[[#This Row],[Proposed CF]]*ReviewCalcs[[#This Row],[IEFD]]</f>
        <v>#VALUE!</v>
      </c>
      <c r="AS17" s="118">
        <f>IF(ReviewCalcs[[#This Row],[Existing CF]]=ReviewCalcs[[#This Row],[Proposed CF]], 0, ReviewCalcs[[#This Row],[Proposed Fixture Quantity]]*ReviewCalcs[[#This Row],[Proposed Fixture Watts]]/1000*ReviewCalcs[[#This Row],[Proposed CF]]*ReviewCalcs[[#This Row],[IEFD]])</f>
        <v>0</v>
      </c>
      <c r="AT17" s="118">
        <f>IFERROR(ReviewCalcs[[#This Row],[Existing Fixture Quantity]]*ReviewCalcs[[#This Row],[Existing Fixture Watts]]/1000*ReviewCalcs[[#This Row],[Existing PAF]]*ReviewCalcs[[#This Row],[AOH]]*ReviewCalcs[[#This Row],[IEFE]], 0)</f>
        <v>0</v>
      </c>
      <c r="AU17" s="118">
        <f>IFERROR(ReviewCalcs[[#This Row],[Proposed Fixture Quantity]]*ReviewCalcs[[#This Row],[Proposed Fixture Watts]]/1000*ReviewCalcs[[#This Row],[Proposed PAF]]*ReviewCalcs[[#This Row],[AOH]]*ReviewCalcs[[#This Row],[IEFE]], 0)</f>
        <v>0</v>
      </c>
      <c r="AV17" s="118">
        <f>IFERROR(ReviewCalcs[[#This Row],[Proposed Fixture Quantity]]*ReviewCalcs[[#This Row],[Proposed Fixture Watts]]/1000*(ReviewCalcs[[#This Row],[Existing PAF]]-ReviewCalcs[[#This Row],[Proposed PAF]])*ReviewCalcs[[#This Row],[AOH]]*ReviewCalcs[[#This Row],[IEFE]], 0)</f>
        <v>0</v>
      </c>
      <c r="AW17" s="118">
        <f>ReviewCalcs[[#This Row],[Control Existing Energy (kWh)]]*kWh_Incentive_Rate</f>
        <v>0</v>
      </c>
      <c r="AX17" s="118">
        <f>ReviewCalcs[[#This Row],[Control Proposed Energy (kWh)]]*kWh_Incentive_Rate</f>
        <v>0</v>
      </c>
      <c r="AY17" s="70">
        <f>ReviewCalcs[[#This Row],[Control Energy Savings (kWh)]]*kWh_Incentive_Rate</f>
        <v>0</v>
      </c>
      <c r="AZ17" s="70" t="e">
        <f>ReviewCalcs[[#This Row],[Fixture Existing Demand (kW)]]+ReviewCalcs[[#This Row],[Control Existing Demand (kW)]]</f>
        <v>#VALUE!</v>
      </c>
      <c r="BA17" s="70" t="e">
        <f>ReviewCalcs[[#This Row],[Fixture Proposed Demand (kW)]]+ReviewCalcs[[#This Row],[Control Proposed Demand (kW)]]</f>
        <v>#VALUE!</v>
      </c>
      <c r="BB17" s="118">
        <f>ReviewCalcs[[#This Row],[Fixture Demand Savings (kW)]]+ReviewCalcs[[#This Row],[Control Demand Savings (kW)]]</f>
        <v>0</v>
      </c>
      <c r="BC17" s="118">
        <f>ReviewCalcs[[#This Row],[Fixture Existing Energy (kWh)]]+ReviewCalcs[[#This Row],[Control Existing Energy (kWh)]]</f>
        <v>0</v>
      </c>
      <c r="BD17" s="118">
        <f>ReviewCalcs[[#This Row],[Fixture Proposed Energy (kWh)]]+ReviewCalcs[[#This Row],[Control Proposed Energy (kWh)]]</f>
        <v>0</v>
      </c>
      <c r="BE17" s="118">
        <f>ReviewCalcs[[#This Row],[Fixture Energy Savings]]+ReviewCalcs[[#This Row],[Control Energy Savings (kWh)]]</f>
        <v>0</v>
      </c>
      <c r="BF17" s="118">
        <f>ReviewCalcs[[#This Row],[Fixture Existing Cost ($)]]+ReviewCalcs[[#This Row],[Control Existing Cost ($)]]</f>
        <v>0</v>
      </c>
      <c r="BG17" s="118">
        <f>ReviewCalcs[[#This Row],[Fixture Proposed Cost ($)]]+ReviewCalcs[[#This Row],[Controls Proposed Cost ($)]]</f>
        <v>0</v>
      </c>
      <c r="BH17" s="70">
        <f>ReviewCalcs[[#This Row],[Total Energy Savings (kWh)]]*Avg_KWh_Rate</f>
        <v>0</v>
      </c>
      <c r="BI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 s="70">
        <f>ReviewCalcs[[#This Row],[Retrofit Cost]]</f>
        <v>0</v>
      </c>
      <c r="BK17" s="70">
        <f>ReviewCalcs[[#This Row],[Retrofit Cost]]-ReviewCalcs[[#This Row],[Incentive ($)]]</f>
        <v>0</v>
      </c>
      <c r="BL17" s="118" t="e">
        <f>IFERROR(ReviewCalcs[[#This Row],[Net Project Cost ($)]]/ReviewCalcs[[#This Row],[Fixture Energy Cost Savings ($)]], #N/A)</f>
        <v>#N/A</v>
      </c>
      <c r="BM17" s="118" t="e">
        <f>IF(VLOOKUP(ReviewCalcs[[#This Row],[Existing Fixture Code]], Table7[[FIXTURE CODE]:[Baseline Fixture Code]], 8, FALSE)="N", VLOOKUP(ReviewCalcs[[#This Row],[Existing Fixture Code]], Table7[[FIXTURE CODE]:[Baseline Fixture Code]], 9, FALSE), ReviewCalcs[[#This Row],[Existing Fixture Code]])</f>
        <v>#N/A</v>
      </c>
      <c r="BN17" s="118" t="e">
        <f>INDEX(Table7[WATT/ FIXT], MATCH(ReviewCalcs[Baseline Fixture Code], Table7[FIXTURE CODE], 0))</f>
        <v>#N/A</v>
      </c>
      <c r="BO17" s="118">
        <f>IFERROR((ReviewCalcs[[#This Row],[Existing Fixture Quantity]]*ReviewCalcs[[#This Row],[Baseline Fixture Watts]]/1000-ReviewCalcs[[#This Row],[Proposed Fixture Quantity]]*ReviewCalcs[[#This Row],[Proposed Fixture Watts]]/1000)*ReviewCalcs[[#This Row],[Existing CF]]*ReviewCalcs[[#This Row],[IEFD]], 0)</f>
        <v>0</v>
      </c>
      <c r="BP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 s="118">
        <f>IF(ReviewCalcs[[#This Row],[Existing CF]]=ReviewCalcs[[#This Row],[Proposed CF]], 0, ReviewCalcs[[#This Row],[Proposed Fixture Quantity]]*ReviewCalcs[[#This Row],[Proposed Fixture Watts]]/1000*ReviewCalcs[[#This Row],[Proposed CF]]*ReviewCalcs[[#This Row],[IEFD]])</f>
        <v>0</v>
      </c>
      <c r="BR17" s="118">
        <f>IFERROR(ReviewCalcs[[#This Row],[Proposed Fixture Quantity]]*ReviewCalcs[[#This Row],[Proposed Fixture Watts]]/1000*(ReviewCalcs[[#This Row],[Existing PAF]]-ReviewCalcs[[#This Row],[Proposed PAF]])*ReviewCalcs[[#This Row],[AOH]]*ReviewCalcs[[#This Row],[IEFE]],0)</f>
        <v>0</v>
      </c>
      <c r="BS17" s="118">
        <f>ReviewCalcs[[#This Row],[Incentive Fixture Demand Savings (kW)]]+ReviewCalcs[[#This Row],[Incentive Control Demand Savings (kW)]]</f>
        <v>0</v>
      </c>
      <c r="BT17" s="118">
        <f>ReviewCalcs[[#This Row],[Incentive Fixture Energy Savings (kWh)]]+ReviewCalcs[[#This Row],[Incentive Control Energy Savings (kWh)]]</f>
        <v>0</v>
      </c>
      <c r="BU17" s="73"/>
    </row>
    <row r="18" spans="1:73" ht="30" customHeight="1">
      <c r="A18" s="68">
        <v>15</v>
      </c>
      <c r="B18" s="96">
        <f>VLOOKUP(ReviewCalcs[[#This Row],[Project Index]], ProjectInput[], D$1, FALSE)</f>
        <v>0</v>
      </c>
      <c r="C18" s="97">
        <f>VLOOKUP(ReviewCalcs[[#This Row],[Project Index]], ProjectInput[], E$1, FALSE)</f>
        <v>0</v>
      </c>
      <c r="D18" s="97">
        <f>VLOOKUP(ReviewCalcs[[#This Row],[Project Index]], ProjectInput[], F$1, FALSE)</f>
        <v>0</v>
      </c>
      <c r="E18" s="97">
        <f>VLOOKUP(ReviewCalcs[[#This Row],[Project Index]], ProjectInput[], G$1, FALSE)</f>
        <v>0</v>
      </c>
      <c r="F18" s="97">
        <f>VLOOKUP(ReviewCalcs[[#This Row],[Project Index]], ProjectInput[], H$1, FALSE)</f>
        <v>0</v>
      </c>
      <c r="G18" s="98" t="str">
        <f>VLOOKUP(ReviewCalcs[[#This Row],[Project Index]], ProjectInput[], I$1, FALSE)</f>
        <v/>
      </c>
      <c r="H18" s="96">
        <f>VLOOKUP(ReviewCalcs[[#This Row],[Project Index]], ProjectInput[], J$1, FALSE)</f>
        <v>0</v>
      </c>
      <c r="I18" s="97">
        <f>VLOOKUP(ReviewCalcs[[#This Row],[Project Index]], ProjectInput[], K$1, FALSE)</f>
        <v>0</v>
      </c>
      <c r="J18" s="97">
        <f>VLOOKUP(ReviewCalcs[[#This Row],[Project Index]], ProjectInput[], L$1, FALSE)</f>
        <v>0</v>
      </c>
      <c r="K18" s="97">
        <f>VLOOKUP(ReviewCalcs[[#This Row],[Project Index]], ProjectInput[], M$1, FALSE)</f>
        <v>0</v>
      </c>
      <c r="L18" s="97">
        <f>VLOOKUP(ReviewCalcs[[#This Row],[Project Index]], ProjectInput[], N$1, FALSE)</f>
        <v>0</v>
      </c>
      <c r="M18" s="98" t="str">
        <f>VLOOKUP(ReviewCalcs[[#This Row],[Project Index]], ProjectInput[], O$1, FALSE)</f>
        <v/>
      </c>
      <c r="N18" s="96">
        <f>VLOOKUP(ReviewCalcs[[#This Row],[Project Index]], ProjectInput[], P$1, FALSE)</f>
        <v>0</v>
      </c>
      <c r="O18" s="97">
        <f>VLOOKUP(ReviewCalcs[[#This Row],[Project Index]], ProjectInput[], Q$1, FALSE)</f>
        <v>0</v>
      </c>
      <c r="P18" s="97">
        <f>VLOOKUP(ReviewCalcs[[#This Row],[Project Index]], ProjectInput[], R$1, FALSE)</f>
        <v>0</v>
      </c>
      <c r="Q18" s="97">
        <f>VLOOKUP(ReviewCalcs[[#This Row],[Project Index]], ProjectInput[], S$1, FALSE)</f>
        <v>0</v>
      </c>
      <c r="R18" s="97">
        <f>VLOOKUP(ReviewCalcs[[#This Row],[Project Index]], ProjectInput[], T$1, FALSE)</f>
        <v>0</v>
      </c>
      <c r="S18" s="97">
        <f>VLOOKUP(ReviewCalcs[[#This Row],[Project Index]], ProjectInput[], U$1, FALSE)</f>
        <v>0</v>
      </c>
      <c r="T18" s="97">
        <f>VLOOKUP(ReviewCalcs[[#This Row],[Project Index]], ProjectInput[], V$1, FALSE)</f>
        <v>0</v>
      </c>
      <c r="U18" s="97">
        <f>VLOOKUP(ReviewCalcs[[#This Row],[Project Index]], ProjectInput[], W$1, FALSE)</f>
        <v>0</v>
      </c>
      <c r="V18" s="98" t="str">
        <f>VLOOKUP(ReviewCalcs[[#This Row],[Project Index]], ProjectInput[], X$1, FALSE)</f>
        <v/>
      </c>
      <c r="W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 s="75" t="e">
        <f>IF(VLOOKUP(ReviewCalcs[[#This Row],[Proposed Fixture Code]], Table7[[FIXTURE CODE]:[Baseline Fixture Code]], 8, FALSE)="N", "ERROR", "PASS")</f>
        <v>#N/A</v>
      </c>
      <c r="Y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 s="75" t="e">
        <f>IF(OR(ReviewCalcs[[#This Row],[Baseline Fixture Watts]]&gt;=ReviewCalcs[[#This Row],[Proposed Fixture Watts]],ReviewCalcs[[#This Row],[Existing Fixture Watts]]&gt;=ReviewCalcs[[#This Row],[Proposed Fixture Watts]] ), "PASS", "ERROR")</f>
        <v>#N/A</v>
      </c>
      <c r="AA18" s="69" t="e">
        <f>VLOOKUP(ReviewCalcs[[#This Row],[Space Conditions]], Table_365[], 5, FALSE)</f>
        <v>#N/A</v>
      </c>
      <c r="AB18" s="68" t="str">
        <f>ReviewCalcs[[#This Row],[Annual Hours]]</f>
        <v/>
      </c>
      <c r="AC18" s="68" t="e">
        <f>VLOOKUP(ReviewCalcs[[#This Row],[Space Conditions]], Table_365[], 6, FALSE)</f>
        <v>#N/A</v>
      </c>
      <c r="AD18" s="68">
        <f>IF(ReviewCalcs[[#This Row],[Existing Control(s)]]='Tables &amp; Ranges'!$A$25, VLOOKUP(ReviewCalcs[[#This Row],[Building/Space Type]], Table_364[], 3, FALSE), CF_Contols)</f>
        <v>0.26</v>
      </c>
      <c r="AE18" s="68" t="e">
        <f>VLOOKUP(ReviewCalcs[[#This Row],[Existing Control(s)]], Table_358[], 2, FALSE)</f>
        <v>#N/A</v>
      </c>
      <c r="AF18" s="68">
        <f>IF(ReviewCalcs[[#This Row],[Proposed Control(s)]]='Tables &amp; Ranges'!$A$25, VLOOKUP(ReviewCalcs[[#This Row],[Building/Space Type]], Table_364[], 3, FALSE), CF_Contols)</f>
        <v>0.26</v>
      </c>
      <c r="AG18" s="68" t="e">
        <f>VLOOKUP(ReviewCalcs[[#This Row],[Proposed Control(s)]], Table_358[], 2, FALSE)</f>
        <v>#N/A</v>
      </c>
      <c r="AH18" s="68">
        <f>IFERROR((ReviewCalcs[[#This Row],[Existing Fixture Quantity]]*ReviewCalcs[[#This Row],[Existing Fixture Watts]]/1000)*ReviewCalcs[[#This Row],[Existing CF]]*ReviewCalcs[[#This Row],[IEFD]], 0)</f>
        <v>0</v>
      </c>
      <c r="AI18" s="68">
        <f>IFERROR((ReviewCalcs[[#This Row],[Proposed Fixture Quantity]]*ReviewCalcs[[#This Row],[Proposed Fixture Watts]]/1000)*ReviewCalcs[[#This Row],[Existing CF]]*ReviewCalcs[[#This Row],[IEFD]], 0)</f>
        <v>0</v>
      </c>
      <c r="AJ18" s="118">
        <f>IFERROR((ReviewCalcs[[#This Row],[Existing Fixture Quantity]]*ReviewCalcs[[#This Row],[Existing Fixture Watts]]/1000-ReviewCalcs[[#This Row],[Proposed Fixture Quantity]]*ReviewCalcs[[#This Row],[Proposed Fixture Watts]]/1000)*ReviewCalcs[[#This Row],[Existing CF]]*ReviewCalcs[[#This Row],[IEFD]], 0)</f>
        <v>0</v>
      </c>
      <c r="AK18" s="118">
        <f>IFERROR((ReviewCalcs[[#This Row],[Existing Fixture Quantity]]*ReviewCalcs[[#This Row],[Existing Fixture Watts]]/1000)*ReviewCalcs[[#This Row],[AOH]]*ReviewCalcs[[#This Row],[IEFE]]*ReviewCalcs[[#This Row],[Existing PAF]], 0)</f>
        <v>0</v>
      </c>
      <c r="AL18" s="118">
        <f>IFERROR((ReviewCalcs[[#This Row],[Proposed Fixture Quantity]]*ReviewCalcs[[#This Row],[Proposed Fixture Watts]]/1000)*ReviewCalcs[[#This Row],[AOH]]*ReviewCalcs[[#This Row],[IEFE]]*ReviewCalcs[[#This Row],[Existing PAF]], 0)</f>
        <v>0</v>
      </c>
      <c r="AM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 s="118">
        <f>ReviewCalcs[[#This Row],[Fixture Existing Energy (kWh)]]*Avg_KWh_Rate</f>
        <v>0</v>
      </c>
      <c r="AO18" s="118">
        <f>ReviewCalcs[[#This Row],[Fixture Proposed Energy (kWh)]]*Avg_KWh_Rate</f>
        <v>0</v>
      </c>
      <c r="AP18" s="70">
        <f>ReviewCalcs[[#This Row],[Fixture Energy Savings]]*Avg_KWh_Rate</f>
        <v>0</v>
      </c>
      <c r="AQ18" s="129" t="e">
        <f>ReviewCalcs[[#This Row],[Existing Fixture Quantity]]*ReviewCalcs[[#This Row],[Existing Fixture Watts]]/1000*ReviewCalcs[[#This Row],[Existing CF]]*ReviewCalcs[[#This Row],[IEFD]]</f>
        <v>#VALUE!</v>
      </c>
      <c r="AR18" s="129" t="e">
        <f>ReviewCalcs[[#This Row],[Proposed Fixture Quantity]]*ReviewCalcs[[#This Row],[Proposed Fixture Watts]]/1000*ReviewCalcs[[#This Row],[Proposed CF]]*ReviewCalcs[[#This Row],[IEFD]]</f>
        <v>#VALUE!</v>
      </c>
      <c r="AS18" s="118">
        <f>IF(ReviewCalcs[[#This Row],[Existing CF]]=ReviewCalcs[[#This Row],[Proposed CF]], 0, ReviewCalcs[[#This Row],[Proposed Fixture Quantity]]*ReviewCalcs[[#This Row],[Proposed Fixture Watts]]/1000*ReviewCalcs[[#This Row],[Proposed CF]]*ReviewCalcs[[#This Row],[IEFD]])</f>
        <v>0</v>
      </c>
      <c r="AT18" s="118">
        <f>IFERROR(ReviewCalcs[[#This Row],[Existing Fixture Quantity]]*ReviewCalcs[[#This Row],[Existing Fixture Watts]]/1000*ReviewCalcs[[#This Row],[Existing PAF]]*ReviewCalcs[[#This Row],[AOH]]*ReviewCalcs[[#This Row],[IEFE]], 0)</f>
        <v>0</v>
      </c>
      <c r="AU18" s="118">
        <f>IFERROR(ReviewCalcs[[#This Row],[Proposed Fixture Quantity]]*ReviewCalcs[[#This Row],[Proposed Fixture Watts]]/1000*ReviewCalcs[[#This Row],[Proposed PAF]]*ReviewCalcs[[#This Row],[AOH]]*ReviewCalcs[[#This Row],[IEFE]], 0)</f>
        <v>0</v>
      </c>
      <c r="AV18" s="118">
        <f>IFERROR(ReviewCalcs[[#This Row],[Proposed Fixture Quantity]]*ReviewCalcs[[#This Row],[Proposed Fixture Watts]]/1000*(ReviewCalcs[[#This Row],[Existing PAF]]-ReviewCalcs[[#This Row],[Proposed PAF]])*ReviewCalcs[[#This Row],[AOH]]*ReviewCalcs[[#This Row],[IEFE]], 0)</f>
        <v>0</v>
      </c>
      <c r="AW18" s="118">
        <f>ReviewCalcs[[#This Row],[Control Existing Energy (kWh)]]*kWh_Incentive_Rate</f>
        <v>0</v>
      </c>
      <c r="AX18" s="118">
        <f>ReviewCalcs[[#This Row],[Control Proposed Energy (kWh)]]*kWh_Incentive_Rate</f>
        <v>0</v>
      </c>
      <c r="AY18" s="70">
        <f>ReviewCalcs[[#This Row],[Control Energy Savings (kWh)]]*kWh_Incentive_Rate</f>
        <v>0</v>
      </c>
      <c r="AZ18" s="70" t="e">
        <f>ReviewCalcs[[#This Row],[Fixture Existing Demand (kW)]]+ReviewCalcs[[#This Row],[Control Existing Demand (kW)]]</f>
        <v>#VALUE!</v>
      </c>
      <c r="BA18" s="70" t="e">
        <f>ReviewCalcs[[#This Row],[Fixture Proposed Demand (kW)]]+ReviewCalcs[[#This Row],[Control Proposed Demand (kW)]]</f>
        <v>#VALUE!</v>
      </c>
      <c r="BB18" s="118">
        <f>ReviewCalcs[[#This Row],[Fixture Demand Savings (kW)]]+ReviewCalcs[[#This Row],[Control Demand Savings (kW)]]</f>
        <v>0</v>
      </c>
      <c r="BC18" s="118">
        <f>ReviewCalcs[[#This Row],[Fixture Existing Energy (kWh)]]+ReviewCalcs[[#This Row],[Control Existing Energy (kWh)]]</f>
        <v>0</v>
      </c>
      <c r="BD18" s="118">
        <f>ReviewCalcs[[#This Row],[Fixture Proposed Energy (kWh)]]+ReviewCalcs[[#This Row],[Control Proposed Energy (kWh)]]</f>
        <v>0</v>
      </c>
      <c r="BE18" s="118">
        <f>ReviewCalcs[[#This Row],[Fixture Energy Savings]]+ReviewCalcs[[#This Row],[Control Energy Savings (kWh)]]</f>
        <v>0</v>
      </c>
      <c r="BF18" s="118">
        <f>ReviewCalcs[[#This Row],[Fixture Existing Cost ($)]]+ReviewCalcs[[#This Row],[Control Existing Cost ($)]]</f>
        <v>0</v>
      </c>
      <c r="BG18" s="118">
        <f>ReviewCalcs[[#This Row],[Fixture Proposed Cost ($)]]+ReviewCalcs[[#This Row],[Controls Proposed Cost ($)]]</f>
        <v>0</v>
      </c>
      <c r="BH18" s="70">
        <f>ReviewCalcs[[#This Row],[Total Energy Savings (kWh)]]*Avg_KWh_Rate</f>
        <v>0</v>
      </c>
      <c r="BI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 s="70">
        <f>ReviewCalcs[[#This Row],[Retrofit Cost]]</f>
        <v>0</v>
      </c>
      <c r="BK18" s="70">
        <f>ReviewCalcs[[#This Row],[Retrofit Cost]]-ReviewCalcs[[#This Row],[Incentive ($)]]</f>
        <v>0</v>
      </c>
      <c r="BL18" s="118" t="e">
        <f>IFERROR(ReviewCalcs[[#This Row],[Net Project Cost ($)]]/ReviewCalcs[[#This Row],[Fixture Energy Cost Savings ($)]], #N/A)</f>
        <v>#N/A</v>
      </c>
      <c r="BM18" s="118" t="e">
        <f>IF(VLOOKUP(ReviewCalcs[[#This Row],[Existing Fixture Code]], Table7[[FIXTURE CODE]:[Baseline Fixture Code]], 8, FALSE)="N", VLOOKUP(ReviewCalcs[[#This Row],[Existing Fixture Code]], Table7[[FIXTURE CODE]:[Baseline Fixture Code]], 9, FALSE), ReviewCalcs[[#This Row],[Existing Fixture Code]])</f>
        <v>#N/A</v>
      </c>
      <c r="BN18" s="118" t="e">
        <f>INDEX(Table7[WATT/ FIXT], MATCH(ReviewCalcs[Baseline Fixture Code], Table7[FIXTURE CODE], 0))</f>
        <v>#N/A</v>
      </c>
      <c r="BO18" s="118">
        <f>IFERROR((ReviewCalcs[[#This Row],[Existing Fixture Quantity]]*ReviewCalcs[[#This Row],[Baseline Fixture Watts]]/1000-ReviewCalcs[[#This Row],[Proposed Fixture Quantity]]*ReviewCalcs[[#This Row],[Proposed Fixture Watts]]/1000)*ReviewCalcs[[#This Row],[Existing CF]]*ReviewCalcs[[#This Row],[IEFD]], 0)</f>
        <v>0</v>
      </c>
      <c r="BP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 s="118">
        <f>IF(ReviewCalcs[[#This Row],[Existing CF]]=ReviewCalcs[[#This Row],[Proposed CF]], 0, ReviewCalcs[[#This Row],[Proposed Fixture Quantity]]*ReviewCalcs[[#This Row],[Proposed Fixture Watts]]/1000*ReviewCalcs[[#This Row],[Proposed CF]]*ReviewCalcs[[#This Row],[IEFD]])</f>
        <v>0</v>
      </c>
      <c r="BR18" s="118">
        <f>IFERROR(ReviewCalcs[[#This Row],[Proposed Fixture Quantity]]*ReviewCalcs[[#This Row],[Proposed Fixture Watts]]/1000*(ReviewCalcs[[#This Row],[Existing PAF]]-ReviewCalcs[[#This Row],[Proposed PAF]])*ReviewCalcs[[#This Row],[AOH]]*ReviewCalcs[[#This Row],[IEFE]],0)</f>
        <v>0</v>
      </c>
      <c r="BS18" s="118">
        <f>ReviewCalcs[[#This Row],[Incentive Fixture Demand Savings (kW)]]+ReviewCalcs[[#This Row],[Incentive Control Demand Savings (kW)]]</f>
        <v>0</v>
      </c>
      <c r="BT18" s="118">
        <f>ReviewCalcs[[#This Row],[Incentive Fixture Energy Savings (kWh)]]+ReviewCalcs[[#This Row],[Incentive Control Energy Savings (kWh)]]</f>
        <v>0</v>
      </c>
      <c r="BU18" s="73"/>
    </row>
    <row r="19" spans="1:73" ht="30" customHeight="1">
      <c r="A19" s="68">
        <v>16</v>
      </c>
      <c r="B19" s="96">
        <f>VLOOKUP(ReviewCalcs[[#This Row],[Project Index]], ProjectInput[], D$1, FALSE)</f>
        <v>0</v>
      </c>
      <c r="C19" s="97">
        <f>VLOOKUP(ReviewCalcs[[#This Row],[Project Index]], ProjectInput[], E$1, FALSE)</f>
        <v>0</v>
      </c>
      <c r="D19" s="97">
        <f>VLOOKUP(ReviewCalcs[[#This Row],[Project Index]], ProjectInput[], F$1, FALSE)</f>
        <v>0</v>
      </c>
      <c r="E19" s="97">
        <f>VLOOKUP(ReviewCalcs[[#This Row],[Project Index]], ProjectInput[], G$1, FALSE)</f>
        <v>0</v>
      </c>
      <c r="F19" s="97">
        <f>VLOOKUP(ReviewCalcs[[#This Row],[Project Index]], ProjectInput[], H$1, FALSE)</f>
        <v>0</v>
      </c>
      <c r="G19" s="98" t="str">
        <f>VLOOKUP(ReviewCalcs[[#This Row],[Project Index]], ProjectInput[], I$1, FALSE)</f>
        <v/>
      </c>
      <c r="H19" s="96">
        <f>VLOOKUP(ReviewCalcs[[#This Row],[Project Index]], ProjectInput[], J$1, FALSE)</f>
        <v>0</v>
      </c>
      <c r="I19" s="97">
        <f>VLOOKUP(ReviewCalcs[[#This Row],[Project Index]], ProjectInput[], K$1, FALSE)</f>
        <v>0</v>
      </c>
      <c r="J19" s="97">
        <f>VLOOKUP(ReviewCalcs[[#This Row],[Project Index]], ProjectInput[], L$1, FALSE)</f>
        <v>0</v>
      </c>
      <c r="K19" s="97">
        <f>VLOOKUP(ReviewCalcs[[#This Row],[Project Index]], ProjectInput[], M$1, FALSE)</f>
        <v>0</v>
      </c>
      <c r="L19" s="97">
        <f>VLOOKUP(ReviewCalcs[[#This Row],[Project Index]], ProjectInput[], N$1, FALSE)</f>
        <v>0</v>
      </c>
      <c r="M19" s="98" t="str">
        <f>VLOOKUP(ReviewCalcs[[#This Row],[Project Index]], ProjectInput[], O$1, FALSE)</f>
        <v/>
      </c>
      <c r="N19" s="96">
        <f>VLOOKUP(ReviewCalcs[[#This Row],[Project Index]], ProjectInput[], P$1, FALSE)</f>
        <v>0</v>
      </c>
      <c r="O19" s="97">
        <f>VLOOKUP(ReviewCalcs[[#This Row],[Project Index]], ProjectInput[], Q$1, FALSE)</f>
        <v>0</v>
      </c>
      <c r="P19" s="97">
        <f>VLOOKUP(ReviewCalcs[[#This Row],[Project Index]], ProjectInput[], R$1, FALSE)</f>
        <v>0</v>
      </c>
      <c r="Q19" s="97">
        <f>VLOOKUP(ReviewCalcs[[#This Row],[Project Index]], ProjectInput[], S$1, FALSE)</f>
        <v>0</v>
      </c>
      <c r="R19" s="97">
        <f>VLOOKUP(ReviewCalcs[[#This Row],[Project Index]], ProjectInput[], T$1, FALSE)</f>
        <v>0</v>
      </c>
      <c r="S19" s="97">
        <f>VLOOKUP(ReviewCalcs[[#This Row],[Project Index]], ProjectInput[], U$1, FALSE)</f>
        <v>0</v>
      </c>
      <c r="T19" s="97">
        <f>VLOOKUP(ReviewCalcs[[#This Row],[Project Index]], ProjectInput[], V$1, FALSE)</f>
        <v>0</v>
      </c>
      <c r="U19" s="97">
        <f>VLOOKUP(ReviewCalcs[[#This Row],[Project Index]], ProjectInput[], W$1, FALSE)</f>
        <v>0</v>
      </c>
      <c r="V19" s="98" t="str">
        <f>VLOOKUP(ReviewCalcs[[#This Row],[Project Index]], ProjectInput[], X$1, FALSE)</f>
        <v/>
      </c>
      <c r="W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 s="75" t="e">
        <f>IF(VLOOKUP(ReviewCalcs[[#This Row],[Proposed Fixture Code]], Table7[[FIXTURE CODE]:[Baseline Fixture Code]], 8, FALSE)="N", "ERROR", "PASS")</f>
        <v>#N/A</v>
      </c>
      <c r="Y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 s="75" t="e">
        <f>IF(OR(ReviewCalcs[[#This Row],[Baseline Fixture Watts]]&gt;=ReviewCalcs[[#This Row],[Proposed Fixture Watts]],ReviewCalcs[[#This Row],[Existing Fixture Watts]]&gt;=ReviewCalcs[[#This Row],[Proposed Fixture Watts]] ), "PASS", "ERROR")</f>
        <v>#N/A</v>
      </c>
      <c r="AA19" s="69" t="e">
        <f>VLOOKUP(ReviewCalcs[[#This Row],[Space Conditions]], Table_365[], 5, FALSE)</f>
        <v>#N/A</v>
      </c>
      <c r="AB19" s="68" t="str">
        <f>ReviewCalcs[[#This Row],[Annual Hours]]</f>
        <v/>
      </c>
      <c r="AC19" s="68" t="e">
        <f>VLOOKUP(ReviewCalcs[[#This Row],[Space Conditions]], Table_365[], 6, FALSE)</f>
        <v>#N/A</v>
      </c>
      <c r="AD19" s="68">
        <f>IF(ReviewCalcs[[#This Row],[Existing Control(s)]]='Tables &amp; Ranges'!$A$25, VLOOKUP(ReviewCalcs[[#This Row],[Building/Space Type]], Table_364[], 3, FALSE), CF_Contols)</f>
        <v>0.26</v>
      </c>
      <c r="AE19" s="68" t="e">
        <f>VLOOKUP(ReviewCalcs[[#This Row],[Existing Control(s)]], Table_358[], 2, FALSE)</f>
        <v>#N/A</v>
      </c>
      <c r="AF19" s="68">
        <f>IF(ReviewCalcs[[#This Row],[Proposed Control(s)]]='Tables &amp; Ranges'!$A$25, VLOOKUP(ReviewCalcs[[#This Row],[Building/Space Type]], Table_364[], 3, FALSE), CF_Contols)</f>
        <v>0.26</v>
      </c>
      <c r="AG19" s="68" t="e">
        <f>VLOOKUP(ReviewCalcs[[#This Row],[Proposed Control(s)]], Table_358[], 2, FALSE)</f>
        <v>#N/A</v>
      </c>
      <c r="AH19" s="68">
        <f>IFERROR((ReviewCalcs[[#This Row],[Existing Fixture Quantity]]*ReviewCalcs[[#This Row],[Existing Fixture Watts]]/1000)*ReviewCalcs[[#This Row],[Existing CF]]*ReviewCalcs[[#This Row],[IEFD]], 0)</f>
        <v>0</v>
      </c>
      <c r="AI19" s="68">
        <f>IFERROR((ReviewCalcs[[#This Row],[Proposed Fixture Quantity]]*ReviewCalcs[[#This Row],[Proposed Fixture Watts]]/1000)*ReviewCalcs[[#This Row],[Existing CF]]*ReviewCalcs[[#This Row],[IEFD]], 0)</f>
        <v>0</v>
      </c>
      <c r="AJ19" s="118">
        <f>IFERROR((ReviewCalcs[[#This Row],[Existing Fixture Quantity]]*ReviewCalcs[[#This Row],[Existing Fixture Watts]]/1000-ReviewCalcs[[#This Row],[Proposed Fixture Quantity]]*ReviewCalcs[[#This Row],[Proposed Fixture Watts]]/1000)*ReviewCalcs[[#This Row],[Existing CF]]*ReviewCalcs[[#This Row],[IEFD]], 0)</f>
        <v>0</v>
      </c>
      <c r="AK19" s="118">
        <f>IFERROR((ReviewCalcs[[#This Row],[Existing Fixture Quantity]]*ReviewCalcs[[#This Row],[Existing Fixture Watts]]/1000)*ReviewCalcs[[#This Row],[AOH]]*ReviewCalcs[[#This Row],[IEFE]]*ReviewCalcs[[#This Row],[Existing PAF]], 0)</f>
        <v>0</v>
      </c>
      <c r="AL19" s="118">
        <f>IFERROR((ReviewCalcs[[#This Row],[Proposed Fixture Quantity]]*ReviewCalcs[[#This Row],[Proposed Fixture Watts]]/1000)*ReviewCalcs[[#This Row],[AOH]]*ReviewCalcs[[#This Row],[IEFE]]*ReviewCalcs[[#This Row],[Existing PAF]], 0)</f>
        <v>0</v>
      </c>
      <c r="AM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 s="118">
        <f>ReviewCalcs[[#This Row],[Fixture Existing Energy (kWh)]]*Avg_KWh_Rate</f>
        <v>0</v>
      </c>
      <c r="AO19" s="118">
        <f>ReviewCalcs[[#This Row],[Fixture Proposed Energy (kWh)]]*Avg_KWh_Rate</f>
        <v>0</v>
      </c>
      <c r="AP19" s="70">
        <f>ReviewCalcs[[#This Row],[Fixture Energy Savings]]*Avg_KWh_Rate</f>
        <v>0</v>
      </c>
      <c r="AQ19" s="129" t="e">
        <f>ReviewCalcs[[#This Row],[Existing Fixture Quantity]]*ReviewCalcs[[#This Row],[Existing Fixture Watts]]/1000*ReviewCalcs[[#This Row],[Existing CF]]*ReviewCalcs[[#This Row],[IEFD]]</f>
        <v>#VALUE!</v>
      </c>
      <c r="AR19" s="129" t="e">
        <f>ReviewCalcs[[#This Row],[Proposed Fixture Quantity]]*ReviewCalcs[[#This Row],[Proposed Fixture Watts]]/1000*ReviewCalcs[[#This Row],[Proposed CF]]*ReviewCalcs[[#This Row],[IEFD]]</f>
        <v>#VALUE!</v>
      </c>
      <c r="AS19" s="118">
        <f>IF(ReviewCalcs[[#This Row],[Existing CF]]=ReviewCalcs[[#This Row],[Proposed CF]], 0, ReviewCalcs[[#This Row],[Proposed Fixture Quantity]]*ReviewCalcs[[#This Row],[Proposed Fixture Watts]]/1000*ReviewCalcs[[#This Row],[Proposed CF]]*ReviewCalcs[[#This Row],[IEFD]])</f>
        <v>0</v>
      </c>
      <c r="AT19" s="118">
        <f>IFERROR(ReviewCalcs[[#This Row],[Existing Fixture Quantity]]*ReviewCalcs[[#This Row],[Existing Fixture Watts]]/1000*ReviewCalcs[[#This Row],[Existing PAF]]*ReviewCalcs[[#This Row],[AOH]]*ReviewCalcs[[#This Row],[IEFE]], 0)</f>
        <v>0</v>
      </c>
      <c r="AU19" s="118">
        <f>IFERROR(ReviewCalcs[[#This Row],[Proposed Fixture Quantity]]*ReviewCalcs[[#This Row],[Proposed Fixture Watts]]/1000*ReviewCalcs[[#This Row],[Proposed PAF]]*ReviewCalcs[[#This Row],[AOH]]*ReviewCalcs[[#This Row],[IEFE]], 0)</f>
        <v>0</v>
      </c>
      <c r="AV19" s="118">
        <f>IFERROR(ReviewCalcs[[#This Row],[Proposed Fixture Quantity]]*ReviewCalcs[[#This Row],[Proposed Fixture Watts]]/1000*(ReviewCalcs[[#This Row],[Existing PAF]]-ReviewCalcs[[#This Row],[Proposed PAF]])*ReviewCalcs[[#This Row],[AOH]]*ReviewCalcs[[#This Row],[IEFE]], 0)</f>
        <v>0</v>
      </c>
      <c r="AW19" s="118">
        <f>ReviewCalcs[[#This Row],[Control Existing Energy (kWh)]]*kWh_Incentive_Rate</f>
        <v>0</v>
      </c>
      <c r="AX19" s="118">
        <f>ReviewCalcs[[#This Row],[Control Proposed Energy (kWh)]]*kWh_Incentive_Rate</f>
        <v>0</v>
      </c>
      <c r="AY19" s="70">
        <f>ReviewCalcs[[#This Row],[Control Energy Savings (kWh)]]*kWh_Incentive_Rate</f>
        <v>0</v>
      </c>
      <c r="AZ19" s="70" t="e">
        <f>ReviewCalcs[[#This Row],[Fixture Existing Demand (kW)]]+ReviewCalcs[[#This Row],[Control Existing Demand (kW)]]</f>
        <v>#VALUE!</v>
      </c>
      <c r="BA19" s="70" t="e">
        <f>ReviewCalcs[[#This Row],[Fixture Proposed Demand (kW)]]+ReviewCalcs[[#This Row],[Control Proposed Demand (kW)]]</f>
        <v>#VALUE!</v>
      </c>
      <c r="BB19" s="118">
        <f>ReviewCalcs[[#This Row],[Fixture Demand Savings (kW)]]+ReviewCalcs[[#This Row],[Control Demand Savings (kW)]]</f>
        <v>0</v>
      </c>
      <c r="BC19" s="118">
        <f>ReviewCalcs[[#This Row],[Fixture Existing Energy (kWh)]]+ReviewCalcs[[#This Row],[Control Existing Energy (kWh)]]</f>
        <v>0</v>
      </c>
      <c r="BD19" s="118">
        <f>ReviewCalcs[[#This Row],[Fixture Proposed Energy (kWh)]]+ReviewCalcs[[#This Row],[Control Proposed Energy (kWh)]]</f>
        <v>0</v>
      </c>
      <c r="BE19" s="118">
        <f>ReviewCalcs[[#This Row],[Fixture Energy Savings]]+ReviewCalcs[[#This Row],[Control Energy Savings (kWh)]]</f>
        <v>0</v>
      </c>
      <c r="BF19" s="118">
        <f>ReviewCalcs[[#This Row],[Fixture Existing Cost ($)]]+ReviewCalcs[[#This Row],[Control Existing Cost ($)]]</f>
        <v>0</v>
      </c>
      <c r="BG19" s="118">
        <f>ReviewCalcs[[#This Row],[Fixture Proposed Cost ($)]]+ReviewCalcs[[#This Row],[Controls Proposed Cost ($)]]</f>
        <v>0</v>
      </c>
      <c r="BH19" s="70">
        <f>ReviewCalcs[[#This Row],[Total Energy Savings (kWh)]]*Avg_KWh_Rate</f>
        <v>0</v>
      </c>
      <c r="BI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 s="70">
        <f>ReviewCalcs[[#This Row],[Retrofit Cost]]</f>
        <v>0</v>
      </c>
      <c r="BK19" s="70">
        <f>ReviewCalcs[[#This Row],[Retrofit Cost]]-ReviewCalcs[[#This Row],[Incentive ($)]]</f>
        <v>0</v>
      </c>
      <c r="BL19" s="118" t="e">
        <f>IFERROR(ReviewCalcs[[#This Row],[Net Project Cost ($)]]/ReviewCalcs[[#This Row],[Fixture Energy Cost Savings ($)]], #N/A)</f>
        <v>#N/A</v>
      </c>
      <c r="BM19" s="118" t="e">
        <f>IF(VLOOKUP(ReviewCalcs[[#This Row],[Existing Fixture Code]], Table7[[FIXTURE CODE]:[Baseline Fixture Code]], 8, FALSE)="N", VLOOKUP(ReviewCalcs[[#This Row],[Existing Fixture Code]], Table7[[FIXTURE CODE]:[Baseline Fixture Code]], 9, FALSE), ReviewCalcs[[#This Row],[Existing Fixture Code]])</f>
        <v>#N/A</v>
      </c>
      <c r="BN19" s="118" t="e">
        <f>INDEX(Table7[WATT/ FIXT], MATCH(ReviewCalcs[Baseline Fixture Code], Table7[FIXTURE CODE], 0))</f>
        <v>#N/A</v>
      </c>
      <c r="BO19" s="118">
        <f>IFERROR((ReviewCalcs[[#This Row],[Existing Fixture Quantity]]*ReviewCalcs[[#This Row],[Baseline Fixture Watts]]/1000-ReviewCalcs[[#This Row],[Proposed Fixture Quantity]]*ReviewCalcs[[#This Row],[Proposed Fixture Watts]]/1000)*ReviewCalcs[[#This Row],[Existing CF]]*ReviewCalcs[[#This Row],[IEFD]], 0)</f>
        <v>0</v>
      </c>
      <c r="BP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 s="118">
        <f>IF(ReviewCalcs[[#This Row],[Existing CF]]=ReviewCalcs[[#This Row],[Proposed CF]], 0, ReviewCalcs[[#This Row],[Proposed Fixture Quantity]]*ReviewCalcs[[#This Row],[Proposed Fixture Watts]]/1000*ReviewCalcs[[#This Row],[Proposed CF]]*ReviewCalcs[[#This Row],[IEFD]])</f>
        <v>0</v>
      </c>
      <c r="BR19" s="118">
        <f>IFERROR(ReviewCalcs[[#This Row],[Proposed Fixture Quantity]]*ReviewCalcs[[#This Row],[Proposed Fixture Watts]]/1000*(ReviewCalcs[[#This Row],[Existing PAF]]-ReviewCalcs[[#This Row],[Proposed PAF]])*ReviewCalcs[[#This Row],[AOH]]*ReviewCalcs[[#This Row],[IEFE]],0)</f>
        <v>0</v>
      </c>
      <c r="BS19" s="118">
        <f>ReviewCalcs[[#This Row],[Incentive Fixture Demand Savings (kW)]]+ReviewCalcs[[#This Row],[Incentive Control Demand Savings (kW)]]</f>
        <v>0</v>
      </c>
      <c r="BT19" s="118">
        <f>ReviewCalcs[[#This Row],[Incentive Fixture Energy Savings (kWh)]]+ReviewCalcs[[#This Row],[Incentive Control Energy Savings (kWh)]]</f>
        <v>0</v>
      </c>
      <c r="BU19" s="73"/>
    </row>
    <row r="20" spans="1:73" ht="30" customHeight="1">
      <c r="A20" s="68">
        <v>17</v>
      </c>
      <c r="B20" s="96">
        <f>VLOOKUP(ReviewCalcs[[#This Row],[Project Index]], ProjectInput[], D$1, FALSE)</f>
        <v>0</v>
      </c>
      <c r="C20" s="97">
        <f>VLOOKUP(ReviewCalcs[[#This Row],[Project Index]], ProjectInput[], E$1, FALSE)</f>
        <v>0</v>
      </c>
      <c r="D20" s="97">
        <f>VLOOKUP(ReviewCalcs[[#This Row],[Project Index]], ProjectInput[], F$1, FALSE)</f>
        <v>0</v>
      </c>
      <c r="E20" s="97">
        <f>VLOOKUP(ReviewCalcs[[#This Row],[Project Index]], ProjectInput[], G$1, FALSE)</f>
        <v>0</v>
      </c>
      <c r="F20" s="97">
        <f>VLOOKUP(ReviewCalcs[[#This Row],[Project Index]], ProjectInput[], H$1, FALSE)</f>
        <v>0</v>
      </c>
      <c r="G20" s="98" t="str">
        <f>VLOOKUP(ReviewCalcs[[#This Row],[Project Index]], ProjectInput[], I$1, FALSE)</f>
        <v/>
      </c>
      <c r="H20" s="96">
        <f>VLOOKUP(ReviewCalcs[[#This Row],[Project Index]], ProjectInput[], J$1, FALSE)</f>
        <v>0</v>
      </c>
      <c r="I20" s="97">
        <f>VLOOKUP(ReviewCalcs[[#This Row],[Project Index]], ProjectInput[], K$1, FALSE)</f>
        <v>0</v>
      </c>
      <c r="J20" s="97">
        <f>VLOOKUP(ReviewCalcs[[#This Row],[Project Index]], ProjectInput[], L$1, FALSE)</f>
        <v>0</v>
      </c>
      <c r="K20" s="97">
        <f>VLOOKUP(ReviewCalcs[[#This Row],[Project Index]], ProjectInput[], M$1, FALSE)</f>
        <v>0</v>
      </c>
      <c r="L20" s="97">
        <f>VLOOKUP(ReviewCalcs[[#This Row],[Project Index]], ProjectInput[], N$1, FALSE)</f>
        <v>0</v>
      </c>
      <c r="M20" s="98" t="str">
        <f>VLOOKUP(ReviewCalcs[[#This Row],[Project Index]], ProjectInput[], O$1, FALSE)</f>
        <v/>
      </c>
      <c r="N20" s="96">
        <f>VLOOKUP(ReviewCalcs[[#This Row],[Project Index]], ProjectInput[], P$1, FALSE)</f>
        <v>0</v>
      </c>
      <c r="O20" s="97">
        <f>VLOOKUP(ReviewCalcs[[#This Row],[Project Index]], ProjectInput[], Q$1, FALSE)</f>
        <v>0</v>
      </c>
      <c r="P20" s="97">
        <f>VLOOKUP(ReviewCalcs[[#This Row],[Project Index]], ProjectInput[], R$1, FALSE)</f>
        <v>0</v>
      </c>
      <c r="Q20" s="97">
        <f>VLOOKUP(ReviewCalcs[[#This Row],[Project Index]], ProjectInput[], S$1, FALSE)</f>
        <v>0</v>
      </c>
      <c r="R20" s="97">
        <f>VLOOKUP(ReviewCalcs[[#This Row],[Project Index]], ProjectInput[], T$1, FALSE)</f>
        <v>0</v>
      </c>
      <c r="S20" s="97">
        <f>VLOOKUP(ReviewCalcs[[#This Row],[Project Index]], ProjectInput[], U$1, FALSE)</f>
        <v>0</v>
      </c>
      <c r="T20" s="97">
        <f>VLOOKUP(ReviewCalcs[[#This Row],[Project Index]], ProjectInput[], V$1, FALSE)</f>
        <v>0</v>
      </c>
      <c r="U20" s="97">
        <f>VLOOKUP(ReviewCalcs[[#This Row],[Project Index]], ProjectInput[], W$1, FALSE)</f>
        <v>0</v>
      </c>
      <c r="V20" s="98" t="str">
        <f>VLOOKUP(ReviewCalcs[[#This Row],[Project Index]], ProjectInput[], X$1, FALSE)</f>
        <v/>
      </c>
      <c r="W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 s="75" t="e">
        <f>IF(VLOOKUP(ReviewCalcs[[#This Row],[Proposed Fixture Code]], Table7[[FIXTURE CODE]:[Baseline Fixture Code]], 8, FALSE)="N", "ERROR", "PASS")</f>
        <v>#N/A</v>
      </c>
      <c r="Y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 s="75" t="e">
        <f>IF(OR(ReviewCalcs[[#This Row],[Baseline Fixture Watts]]&gt;=ReviewCalcs[[#This Row],[Proposed Fixture Watts]],ReviewCalcs[[#This Row],[Existing Fixture Watts]]&gt;=ReviewCalcs[[#This Row],[Proposed Fixture Watts]] ), "PASS", "ERROR")</f>
        <v>#N/A</v>
      </c>
      <c r="AA20" s="69" t="e">
        <f>VLOOKUP(ReviewCalcs[[#This Row],[Space Conditions]], Table_365[], 5, FALSE)</f>
        <v>#N/A</v>
      </c>
      <c r="AB20" s="68" t="str">
        <f>ReviewCalcs[[#This Row],[Annual Hours]]</f>
        <v/>
      </c>
      <c r="AC20" s="68" t="e">
        <f>VLOOKUP(ReviewCalcs[[#This Row],[Space Conditions]], Table_365[], 6, FALSE)</f>
        <v>#N/A</v>
      </c>
      <c r="AD20" s="68">
        <f>IF(ReviewCalcs[[#This Row],[Existing Control(s)]]='Tables &amp; Ranges'!$A$25, VLOOKUP(ReviewCalcs[[#This Row],[Building/Space Type]], Table_364[], 3, FALSE), CF_Contols)</f>
        <v>0.26</v>
      </c>
      <c r="AE20" s="68" t="e">
        <f>VLOOKUP(ReviewCalcs[[#This Row],[Existing Control(s)]], Table_358[], 2, FALSE)</f>
        <v>#N/A</v>
      </c>
      <c r="AF20" s="68">
        <f>IF(ReviewCalcs[[#This Row],[Proposed Control(s)]]='Tables &amp; Ranges'!$A$25, VLOOKUP(ReviewCalcs[[#This Row],[Building/Space Type]], Table_364[], 3, FALSE), CF_Contols)</f>
        <v>0.26</v>
      </c>
      <c r="AG20" s="68" t="e">
        <f>VLOOKUP(ReviewCalcs[[#This Row],[Proposed Control(s)]], Table_358[], 2, FALSE)</f>
        <v>#N/A</v>
      </c>
      <c r="AH20" s="68">
        <f>IFERROR((ReviewCalcs[[#This Row],[Existing Fixture Quantity]]*ReviewCalcs[[#This Row],[Existing Fixture Watts]]/1000)*ReviewCalcs[[#This Row],[Existing CF]]*ReviewCalcs[[#This Row],[IEFD]], 0)</f>
        <v>0</v>
      </c>
      <c r="AI20" s="68">
        <f>IFERROR((ReviewCalcs[[#This Row],[Proposed Fixture Quantity]]*ReviewCalcs[[#This Row],[Proposed Fixture Watts]]/1000)*ReviewCalcs[[#This Row],[Existing CF]]*ReviewCalcs[[#This Row],[IEFD]], 0)</f>
        <v>0</v>
      </c>
      <c r="AJ20" s="118">
        <f>IFERROR((ReviewCalcs[[#This Row],[Existing Fixture Quantity]]*ReviewCalcs[[#This Row],[Existing Fixture Watts]]/1000-ReviewCalcs[[#This Row],[Proposed Fixture Quantity]]*ReviewCalcs[[#This Row],[Proposed Fixture Watts]]/1000)*ReviewCalcs[[#This Row],[Existing CF]]*ReviewCalcs[[#This Row],[IEFD]], 0)</f>
        <v>0</v>
      </c>
      <c r="AK20" s="118">
        <f>IFERROR((ReviewCalcs[[#This Row],[Existing Fixture Quantity]]*ReviewCalcs[[#This Row],[Existing Fixture Watts]]/1000)*ReviewCalcs[[#This Row],[AOH]]*ReviewCalcs[[#This Row],[IEFE]]*ReviewCalcs[[#This Row],[Existing PAF]], 0)</f>
        <v>0</v>
      </c>
      <c r="AL20" s="118">
        <f>IFERROR((ReviewCalcs[[#This Row],[Proposed Fixture Quantity]]*ReviewCalcs[[#This Row],[Proposed Fixture Watts]]/1000)*ReviewCalcs[[#This Row],[AOH]]*ReviewCalcs[[#This Row],[IEFE]]*ReviewCalcs[[#This Row],[Existing PAF]], 0)</f>
        <v>0</v>
      </c>
      <c r="AM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 s="118">
        <f>ReviewCalcs[[#This Row],[Fixture Existing Energy (kWh)]]*Avg_KWh_Rate</f>
        <v>0</v>
      </c>
      <c r="AO20" s="118">
        <f>ReviewCalcs[[#This Row],[Fixture Proposed Energy (kWh)]]*Avg_KWh_Rate</f>
        <v>0</v>
      </c>
      <c r="AP20" s="70">
        <f>ReviewCalcs[[#This Row],[Fixture Energy Savings]]*Avg_KWh_Rate</f>
        <v>0</v>
      </c>
      <c r="AQ20" s="129" t="e">
        <f>ReviewCalcs[[#This Row],[Existing Fixture Quantity]]*ReviewCalcs[[#This Row],[Existing Fixture Watts]]/1000*ReviewCalcs[[#This Row],[Existing CF]]*ReviewCalcs[[#This Row],[IEFD]]</f>
        <v>#VALUE!</v>
      </c>
      <c r="AR20" s="129" t="e">
        <f>ReviewCalcs[[#This Row],[Proposed Fixture Quantity]]*ReviewCalcs[[#This Row],[Proposed Fixture Watts]]/1000*ReviewCalcs[[#This Row],[Proposed CF]]*ReviewCalcs[[#This Row],[IEFD]]</f>
        <v>#VALUE!</v>
      </c>
      <c r="AS20" s="118">
        <f>IF(ReviewCalcs[[#This Row],[Existing CF]]=ReviewCalcs[[#This Row],[Proposed CF]], 0, ReviewCalcs[[#This Row],[Proposed Fixture Quantity]]*ReviewCalcs[[#This Row],[Proposed Fixture Watts]]/1000*ReviewCalcs[[#This Row],[Proposed CF]]*ReviewCalcs[[#This Row],[IEFD]])</f>
        <v>0</v>
      </c>
      <c r="AT20" s="118">
        <f>IFERROR(ReviewCalcs[[#This Row],[Existing Fixture Quantity]]*ReviewCalcs[[#This Row],[Existing Fixture Watts]]/1000*ReviewCalcs[[#This Row],[Existing PAF]]*ReviewCalcs[[#This Row],[AOH]]*ReviewCalcs[[#This Row],[IEFE]], 0)</f>
        <v>0</v>
      </c>
      <c r="AU20" s="118">
        <f>IFERROR(ReviewCalcs[[#This Row],[Proposed Fixture Quantity]]*ReviewCalcs[[#This Row],[Proposed Fixture Watts]]/1000*ReviewCalcs[[#This Row],[Proposed PAF]]*ReviewCalcs[[#This Row],[AOH]]*ReviewCalcs[[#This Row],[IEFE]], 0)</f>
        <v>0</v>
      </c>
      <c r="AV20" s="118">
        <f>IFERROR(ReviewCalcs[[#This Row],[Proposed Fixture Quantity]]*ReviewCalcs[[#This Row],[Proposed Fixture Watts]]/1000*(ReviewCalcs[[#This Row],[Existing PAF]]-ReviewCalcs[[#This Row],[Proposed PAF]])*ReviewCalcs[[#This Row],[AOH]]*ReviewCalcs[[#This Row],[IEFE]], 0)</f>
        <v>0</v>
      </c>
      <c r="AW20" s="118">
        <f>ReviewCalcs[[#This Row],[Control Existing Energy (kWh)]]*kWh_Incentive_Rate</f>
        <v>0</v>
      </c>
      <c r="AX20" s="118">
        <f>ReviewCalcs[[#This Row],[Control Proposed Energy (kWh)]]*kWh_Incentive_Rate</f>
        <v>0</v>
      </c>
      <c r="AY20" s="70">
        <f>ReviewCalcs[[#This Row],[Control Energy Savings (kWh)]]*kWh_Incentive_Rate</f>
        <v>0</v>
      </c>
      <c r="AZ20" s="70" t="e">
        <f>ReviewCalcs[[#This Row],[Fixture Existing Demand (kW)]]+ReviewCalcs[[#This Row],[Control Existing Demand (kW)]]</f>
        <v>#VALUE!</v>
      </c>
      <c r="BA20" s="70" t="e">
        <f>ReviewCalcs[[#This Row],[Fixture Proposed Demand (kW)]]+ReviewCalcs[[#This Row],[Control Proposed Demand (kW)]]</f>
        <v>#VALUE!</v>
      </c>
      <c r="BB20" s="118">
        <f>ReviewCalcs[[#This Row],[Fixture Demand Savings (kW)]]+ReviewCalcs[[#This Row],[Control Demand Savings (kW)]]</f>
        <v>0</v>
      </c>
      <c r="BC20" s="118">
        <f>ReviewCalcs[[#This Row],[Fixture Existing Energy (kWh)]]+ReviewCalcs[[#This Row],[Control Existing Energy (kWh)]]</f>
        <v>0</v>
      </c>
      <c r="BD20" s="118">
        <f>ReviewCalcs[[#This Row],[Fixture Proposed Energy (kWh)]]+ReviewCalcs[[#This Row],[Control Proposed Energy (kWh)]]</f>
        <v>0</v>
      </c>
      <c r="BE20" s="118">
        <f>ReviewCalcs[[#This Row],[Fixture Energy Savings]]+ReviewCalcs[[#This Row],[Control Energy Savings (kWh)]]</f>
        <v>0</v>
      </c>
      <c r="BF20" s="118">
        <f>ReviewCalcs[[#This Row],[Fixture Existing Cost ($)]]+ReviewCalcs[[#This Row],[Control Existing Cost ($)]]</f>
        <v>0</v>
      </c>
      <c r="BG20" s="118">
        <f>ReviewCalcs[[#This Row],[Fixture Proposed Cost ($)]]+ReviewCalcs[[#This Row],[Controls Proposed Cost ($)]]</f>
        <v>0</v>
      </c>
      <c r="BH20" s="70">
        <f>ReviewCalcs[[#This Row],[Total Energy Savings (kWh)]]*Avg_KWh_Rate</f>
        <v>0</v>
      </c>
      <c r="BI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 s="70">
        <f>ReviewCalcs[[#This Row],[Retrofit Cost]]</f>
        <v>0</v>
      </c>
      <c r="BK20" s="70">
        <f>ReviewCalcs[[#This Row],[Retrofit Cost]]-ReviewCalcs[[#This Row],[Incentive ($)]]</f>
        <v>0</v>
      </c>
      <c r="BL20" s="118" t="e">
        <f>IFERROR(ReviewCalcs[[#This Row],[Net Project Cost ($)]]/ReviewCalcs[[#This Row],[Fixture Energy Cost Savings ($)]], #N/A)</f>
        <v>#N/A</v>
      </c>
      <c r="BM20" s="118" t="e">
        <f>IF(VLOOKUP(ReviewCalcs[[#This Row],[Existing Fixture Code]], Table7[[FIXTURE CODE]:[Baseline Fixture Code]], 8, FALSE)="N", VLOOKUP(ReviewCalcs[[#This Row],[Existing Fixture Code]], Table7[[FIXTURE CODE]:[Baseline Fixture Code]], 9, FALSE), ReviewCalcs[[#This Row],[Existing Fixture Code]])</f>
        <v>#N/A</v>
      </c>
      <c r="BN20" s="118" t="e">
        <f>INDEX(Table7[WATT/ FIXT], MATCH(ReviewCalcs[Baseline Fixture Code], Table7[FIXTURE CODE], 0))</f>
        <v>#N/A</v>
      </c>
      <c r="BO20" s="118">
        <f>IFERROR((ReviewCalcs[[#This Row],[Existing Fixture Quantity]]*ReviewCalcs[[#This Row],[Baseline Fixture Watts]]/1000-ReviewCalcs[[#This Row],[Proposed Fixture Quantity]]*ReviewCalcs[[#This Row],[Proposed Fixture Watts]]/1000)*ReviewCalcs[[#This Row],[Existing CF]]*ReviewCalcs[[#This Row],[IEFD]], 0)</f>
        <v>0</v>
      </c>
      <c r="BP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 s="118">
        <f>IF(ReviewCalcs[[#This Row],[Existing CF]]=ReviewCalcs[[#This Row],[Proposed CF]], 0, ReviewCalcs[[#This Row],[Proposed Fixture Quantity]]*ReviewCalcs[[#This Row],[Proposed Fixture Watts]]/1000*ReviewCalcs[[#This Row],[Proposed CF]]*ReviewCalcs[[#This Row],[IEFD]])</f>
        <v>0</v>
      </c>
      <c r="BR20" s="118">
        <f>IFERROR(ReviewCalcs[[#This Row],[Proposed Fixture Quantity]]*ReviewCalcs[[#This Row],[Proposed Fixture Watts]]/1000*(ReviewCalcs[[#This Row],[Existing PAF]]-ReviewCalcs[[#This Row],[Proposed PAF]])*ReviewCalcs[[#This Row],[AOH]]*ReviewCalcs[[#This Row],[IEFE]],0)</f>
        <v>0</v>
      </c>
      <c r="BS20" s="118">
        <f>ReviewCalcs[[#This Row],[Incentive Fixture Demand Savings (kW)]]+ReviewCalcs[[#This Row],[Incentive Control Demand Savings (kW)]]</f>
        <v>0</v>
      </c>
      <c r="BT20" s="118">
        <f>ReviewCalcs[[#This Row],[Incentive Fixture Energy Savings (kWh)]]+ReviewCalcs[[#This Row],[Incentive Control Energy Savings (kWh)]]</f>
        <v>0</v>
      </c>
      <c r="BU20" s="73"/>
    </row>
    <row r="21" spans="1:73" ht="30" customHeight="1">
      <c r="A21" s="68">
        <v>18</v>
      </c>
      <c r="B21" s="96">
        <f>VLOOKUP(ReviewCalcs[[#This Row],[Project Index]], ProjectInput[], D$1, FALSE)</f>
        <v>0</v>
      </c>
      <c r="C21" s="97">
        <f>VLOOKUP(ReviewCalcs[[#This Row],[Project Index]], ProjectInput[], E$1, FALSE)</f>
        <v>0</v>
      </c>
      <c r="D21" s="97">
        <f>VLOOKUP(ReviewCalcs[[#This Row],[Project Index]], ProjectInput[], F$1, FALSE)</f>
        <v>0</v>
      </c>
      <c r="E21" s="97">
        <f>VLOOKUP(ReviewCalcs[[#This Row],[Project Index]], ProjectInput[], G$1, FALSE)</f>
        <v>0</v>
      </c>
      <c r="F21" s="97">
        <f>VLOOKUP(ReviewCalcs[[#This Row],[Project Index]], ProjectInput[], H$1, FALSE)</f>
        <v>0</v>
      </c>
      <c r="G21" s="98" t="str">
        <f>VLOOKUP(ReviewCalcs[[#This Row],[Project Index]], ProjectInput[], I$1, FALSE)</f>
        <v/>
      </c>
      <c r="H21" s="96">
        <f>VLOOKUP(ReviewCalcs[[#This Row],[Project Index]], ProjectInput[], J$1, FALSE)</f>
        <v>0</v>
      </c>
      <c r="I21" s="97">
        <f>VLOOKUP(ReviewCalcs[[#This Row],[Project Index]], ProjectInput[], K$1, FALSE)</f>
        <v>0</v>
      </c>
      <c r="J21" s="97">
        <f>VLOOKUP(ReviewCalcs[[#This Row],[Project Index]], ProjectInput[], L$1, FALSE)</f>
        <v>0</v>
      </c>
      <c r="K21" s="97">
        <f>VLOOKUP(ReviewCalcs[[#This Row],[Project Index]], ProjectInput[], M$1, FALSE)</f>
        <v>0</v>
      </c>
      <c r="L21" s="97">
        <f>VLOOKUP(ReviewCalcs[[#This Row],[Project Index]], ProjectInput[], N$1, FALSE)</f>
        <v>0</v>
      </c>
      <c r="M21" s="98" t="str">
        <f>VLOOKUP(ReviewCalcs[[#This Row],[Project Index]], ProjectInput[], O$1, FALSE)</f>
        <v/>
      </c>
      <c r="N21" s="96">
        <f>VLOOKUP(ReviewCalcs[[#This Row],[Project Index]], ProjectInput[], P$1, FALSE)</f>
        <v>0</v>
      </c>
      <c r="O21" s="97">
        <f>VLOOKUP(ReviewCalcs[[#This Row],[Project Index]], ProjectInput[], Q$1, FALSE)</f>
        <v>0</v>
      </c>
      <c r="P21" s="97">
        <f>VLOOKUP(ReviewCalcs[[#This Row],[Project Index]], ProjectInput[], R$1, FALSE)</f>
        <v>0</v>
      </c>
      <c r="Q21" s="97">
        <f>VLOOKUP(ReviewCalcs[[#This Row],[Project Index]], ProjectInput[], S$1, FALSE)</f>
        <v>0</v>
      </c>
      <c r="R21" s="97">
        <f>VLOOKUP(ReviewCalcs[[#This Row],[Project Index]], ProjectInput[], T$1, FALSE)</f>
        <v>0</v>
      </c>
      <c r="S21" s="97">
        <f>VLOOKUP(ReviewCalcs[[#This Row],[Project Index]], ProjectInput[], U$1, FALSE)</f>
        <v>0</v>
      </c>
      <c r="T21" s="97">
        <f>VLOOKUP(ReviewCalcs[[#This Row],[Project Index]], ProjectInput[], V$1, FALSE)</f>
        <v>0</v>
      </c>
      <c r="U21" s="97">
        <f>VLOOKUP(ReviewCalcs[[#This Row],[Project Index]], ProjectInput[], W$1, FALSE)</f>
        <v>0</v>
      </c>
      <c r="V21" s="98" t="str">
        <f>VLOOKUP(ReviewCalcs[[#This Row],[Project Index]], ProjectInput[], X$1, FALSE)</f>
        <v/>
      </c>
      <c r="W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 s="75" t="e">
        <f>IF(VLOOKUP(ReviewCalcs[[#This Row],[Proposed Fixture Code]], Table7[[FIXTURE CODE]:[Baseline Fixture Code]], 8, FALSE)="N", "ERROR", "PASS")</f>
        <v>#N/A</v>
      </c>
      <c r="Y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 s="75" t="e">
        <f>IF(OR(ReviewCalcs[[#This Row],[Baseline Fixture Watts]]&gt;=ReviewCalcs[[#This Row],[Proposed Fixture Watts]],ReviewCalcs[[#This Row],[Existing Fixture Watts]]&gt;=ReviewCalcs[[#This Row],[Proposed Fixture Watts]] ), "PASS", "ERROR")</f>
        <v>#N/A</v>
      </c>
      <c r="AA21" s="69" t="e">
        <f>VLOOKUP(ReviewCalcs[[#This Row],[Space Conditions]], Table_365[], 5, FALSE)</f>
        <v>#N/A</v>
      </c>
      <c r="AB21" s="68" t="str">
        <f>ReviewCalcs[[#This Row],[Annual Hours]]</f>
        <v/>
      </c>
      <c r="AC21" s="68" t="e">
        <f>VLOOKUP(ReviewCalcs[[#This Row],[Space Conditions]], Table_365[], 6, FALSE)</f>
        <v>#N/A</v>
      </c>
      <c r="AD21" s="68">
        <f>IF(ReviewCalcs[[#This Row],[Existing Control(s)]]='Tables &amp; Ranges'!$A$25, VLOOKUP(ReviewCalcs[[#This Row],[Building/Space Type]], Table_364[], 3, FALSE), CF_Contols)</f>
        <v>0.26</v>
      </c>
      <c r="AE21" s="68" t="e">
        <f>VLOOKUP(ReviewCalcs[[#This Row],[Existing Control(s)]], Table_358[], 2, FALSE)</f>
        <v>#N/A</v>
      </c>
      <c r="AF21" s="68">
        <f>IF(ReviewCalcs[[#This Row],[Proposed Control(s)]]='Tables &amp; Ranges'!$A$25, VLOOKUP(ReviewCalcs[[#This Row],[Building/Space Type]], Table_364[], 3, FALSE), CF_Contols)</f>
        <v>0.26</v>
      </c>
      <c r="AG21" s="68" t="e">
        <f>VLOOKUP(ReviewCalcs[[#This Row],[Proposed Control(s)]], Table_358[], 2, FALSE)</f>
        <v>#N/A</v>
      </c>
      <c r="AH21" s="68">
        <f>IFERROR((ReviewCalcs[[#This Row],[Existing Fixture Quantity]]*ReviewCalcs[[#This Row],[Existing Fixture Watts]]/1000)*ReviewCalcs[[#This Row],[Existing CF]]*ReviewCalcs[[#This Row],[IEFD]], 0)</f>
        <v>0</v>
      </c>
      <c r="AI21" s="68">
        <f>IFERROR((ReviewCalcs[[#This Row],[Proposed Fixture Quantity]]*ReviewCalcs[[#This Row],[Proposed Fixture Watts]]/1000)*ReviewCalcs[[#This Row],[Existing CF]]*ReviewCalcs[[#This Row],[IEFD]], 0)</f>
        <v>0</v>
      </c>
      <c r="AJ21" s="118">
        <f>IFERROR((ReviewCalcs[[#This Row],[Existing Fixture Quantity]]*ReviewCalcs[[#This Row],[Existing Fixture Watts]]/1000-ReviewCalcs[[#This Row],[Proposed Fixture Quantity]]*ReviewCalcs[[#This Row],[Proposed Fixture Watts]]/1000)*ReviewCalcs[[#This Row],[Existing CF]]*ReviewCalcs[[#This Row],[IEFD]], 0)</f>
        <v>0</v>
      </c>
      <c r="AK21" s="118">
        <f>IFERROR((ReviewCalcs[[#This Row],[Existing Fixture Quantity]]*ReviewCalcs[[#This Row],[Existing Fixture Watts]]/1000)*ReviewCalcs[[#This Row],[AOH]]*ReviewCalcs[[#This Row],[IEFE]]*ReviewCalcs[[#This Row],[Existing PAF]], 0)</f>
        <v>0</v>
      </c>
      <c r="AL21" s="118">
        <f>IFERROR((ReviewCalcs[[#This Row],[Proposed Fixture Quantity]]*ReviewCalcs[[#This Row],[Proposed Fixture Watts]]/1000)*ReviewCalcs[[#This Row],[AOH]]*ReviewCalcs[[#This Row],[IEFE]]*ReviewCalcs[[#This Row],[Existing PAF]], 0)</f>
        <v>0</v>
      </c>
      <c r="AM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 s="118">
        <f>ReviewCalcs[[#This Row],[Fixture Existing Energy (kWh)]]*Avg_KWh_Rate</f>
        <v>0</v>
      </c>
      <c r="AO21" s="118">
        <f>ReviewCalcs[[#This Row],[Fixture Proposed Energy (kWh)]]*Avg_KWh_Rate</f>
        <v>0</v>
      </c>
      <c r="AP21" s="70">
        <f>ReviewCalcs[[#This Row],[Fixture Energy Savings]]*Avg_KWh_Rate</f>
        <v>0</v>
      </c>
      <c r="AQ21" s="129" t="e">
        <f>ReviewCalcs[[#This Row],[Existing Fixture Quantity]]*ReviewCalcs[[#This Row],[Existing Fixture Watts]]/1000*ReviewCalcs[[#This Row],[Existing CF]]*ReviewCalcs[[#This Row],[IEFD]]</f>
        <v>#VALUE!</v>
      </c>
      <c r="AR21" s="129" t="e">
        <f>ReviewCalcs[[#This Row],[Proposed Fixture Quantity]]*ReviewCalcs[[#This Row],[Proposed Fixture Watts]]/1000*ReviewCalcs[[#This Row],[Proposed CF]]*ReviewCalcs[[#This Row],[IEFD]]</f>
        <v>#VALUE!</v>
      </c>
      <c r="AS21" s="118">
        <f>IF(ReviewCalcs[[#This Row],[Existing CF]]=ReviewCalcs[[#This Row],[Proposed CF]], 0, ReviewCalcs[[#This Row],[Proposed Fixture Quantity]]*ReviewCalcs[[#This Row],[Proposed Fixture Watts]]/1000*ReviewCalcs[[#This Row],[Proposed CF]]*ReviewCalcs[[#This Row],[IEFD]])</f>
        <v>0</v>
      </c>
      <c r="AT21" s="118">
        <f>IFERROR(ReviewCalcs[[#This Row],[Existing Fixture Quantity]]*ReviewCalcs[[#This Row],[Existing Fixture Watts]]/1000*ReviewCalcs[[#This Row],[Existing PAF]]*ReviewCalcs[[#This Row],[AOH]]*ReviewCalcs[[#This Row],[IEFE]], 0)</f>
        <v>0</v>
      </c>
      <c r="AU21" s="118">
        <f>IFERROR(ReviewCalcs[[#This Row],[Proposed Fixture Quantity]]*ReviewCalcs[[#This Row],[Proposed Fixture Watts]]/1000*ReviewCalcs[[#This Row],[Proposed PAF]]*ReviewCalcs[[#This Row],[AOH]]*ReviewCalcs[[#This Row],[IEFE]], 0)</f>
        <v>0</v>
      </c>
      <c r="AV21" s="118">
        <f>IFERROR(ReviewCalcs[[#This Row],[Proposed Fixture Quantity]]*ReviewCalcs[[#This Row],[Proposed Fixture Watts]]/1000*(ReviewCalcs[[#This Row],[Existing PAF]]-ReviewCalcs[[#This Row],[Proposed PAF]])*ReviewCalcs[[#This Row],[AOH]]*ReviewCalcs[[#This Row],[IEFE]], 0)</f>
        <v>0</v>
      </c>
      <c r="AW21" s="118">
        <f>ReviewCalcs[[#This Row],[Control Existing Energy (kWh)]]*kWh_Incentive_Rate</f>
        <v>0</v>
      </c>
      <c r="AX21" s="118">
        <f>ReviewCalcs[[#This Row],[Control Proposed Energy (kWh)]]*kWh_Incentive_Rate</f>
        <v>0</v>
      </c>
      <c r="AY21" s="70">
        <f>ReviewCalcs[[#This Row],[Control Energy Savings (kWh)]]*kWh_Incentive_Rate</f>
        <v>0</v>
      </c>
      <c r="AZ21" s="70" t="e">
        <f>ReviewCalcs[[#This Row],[Fixture Existing Demand (kW)]]+ReviewCalcs[[#This Row],[Control Existing Demand (kW)]]</f>
        <v>#VALUE!</v>
      </c>
      <c r="BA21" s="70" t="e">
        <f>ReviewCalcs[[#This Row],[Fixture Proposed Demand (kW)]]+ReviewCalcs[[#This Row],[Control Proposed Demand (kW)]]</f>
        <v>#VALUE!</v>
      </c>
      <c r="BB21" s="118">
        <f>ReviewCalcs[[#This Row],[Fixture Demand Savings (kW)]]+ReviewCalcs[[#This Row],[Control Demand Savings (kW)]]</f>
        <v>0</v>
      </c>
      <c r="BC21" s="118">
        <f>ReviewCalcs[[#This Row],[Fixture Existing Energy (kWh)]]+ReviewCalcs[[#This Row],[Control Existing Energy (kWh)]]</f>
        <v>0</v>
      </c>
      <c r="BD21" s="118">
        <f>ReviewCalcs[[#This Row],[Fixture Proposed Energy (kWh)]]+ReviewCalcs[[#This Row],[Control Proposed Energy (kWh)]]</f>
        <v>0</v>
      </c>
      <c r="BE21" s="118">
        <f>ReviewCalcs[[#This Row],[Fixture Energy Savings]]+ReviewCalcs[[#This Row],[Control Energy Savings (kWh)]]</f>
        <v>0</v>
      </c>
      <c r="BF21" s="118">
        <f>ReviewCalcs[[#This Row],[Fixture Existing Cost ($)]]+ReviewCalcs[[#This Row],[Control Existing Cost ($)]]</f>
        <v>0</v>
      </c>
      <c r="BG21" s="118">
        <f>ReviewCalcs[[#This Row],[Fixture Proposed Cost ($)]]+ReviewCalcs[[#This Row],[Controls Proposed Cost ($)]]</f>
        <v>0</v>
      </c>
      <c r="BH21" s="70">
        <f>ReviewCalcs[[#This Row],[Total Energy Savings (kWh)]]*Avg_KWh_Rate</f>
        <v>0</v>
      </c>
      <c r="BI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 s="70">
        <f>ReviewCalcs[[#This Row],[Retrofit Cost]]</f>
        <v>0</v>
      </c>
      <c r="BK21" s="70">
        <f>ReviewCalcs[[#This Row],[Retrofit Cost]]-ReviewCalcs[[#This Row],[Incentive ($)]]</f>
        <v>0</v>
      </c>
      <c r="BL21" s="118" t="e">
        <f>IFERROR(ReviewCalcs[[#This Row],[Net Project Cost ($)]]/ReviewCalcs[[#This Row],[Fixture Energy Cost Savings ($)]], #N/A)</f>
        <v>#N/A</v>
      </c>
      <c r="BM21" s="118" t="e">
        <f>IF(VLOOKUP(ReviewCalcs[[#This Row],[Existing Fixture Code]], Table7[[FIXTURE CODE]:[Baseline Fixture Code]], 8, FALSE)="N", VLOOKUP(ReviewCalcs[[#This Row],[Existing Fixture Code]], Table7[[FIXTURE CODE]:[Baseline Fixture Code]], 9, FALSE), ReviewCalcs[[#This Row],[Existing Fixture Code]])</f>
        <v>#N/A</v>
      </c>
      <c r="BN21" s="118" t="e">
        <f>INDEX(Table7[WATT/ FIXT], MATCH(ReviewCalcs[Baseline Fixture Code], Table7[FIXTURE CODE], 0))</f>
        <v>#N/A</v>
      </c>
      <c r="BO21" s="118">
        <f>IFERROR((ReviewCalcs[[#This Row],[Existing Fixture Quantity]]*ReviewCalcs[[#This Row],[Baseline Fixture Watts]]/1000-ReviewCalcs[[#This Row],[Proposed Fixture Quantity]]*ReviewCalcs[[#This Row],[Proposed Fixture Watts]]/1000)*ReviewCalcs[[#This Row],[Existing CF]]*ReviewCalcs[[#This Row],[IEFD]], 0)</f>
        <v>0</v>
      </c>
      <c r="BP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 s="118">
        <f>IF(ReviewCalcs[[#This Row],[Existing CF]]=ReviewCalcs[[#This Row],[Proposed CF]], 0, ReviewCalcs[[#This Row],[Proposed Fixture Quantity]]*ReviewCalcs[[#This Row],[Proposed Fixture Watts]]/1000*ReviewCalcs[[#This Row],[Proposed CF]]*ReviewCalcs[[#This Row],[IEFD]])</f>
        <v>0</v>
      </c>
      <c r="BR21" s="118">
        <f>IFERROR(ReviewCalcs[[#This Row],[Proposed Fixture Quantity]]*ReviewCalcs[[#This Row],[Proposed Fixture Watts]]/1000*(ReviewCalcs[[#This Row],[Existing PAF]]-ReviewCalcs[[#This Row],[Proposed PAF]])*ReviewCalcs[[#This Row],[AOH]]*ReviewCalcs[[#This Row],[IEFE]],0)</f>
        <v>0</v>
      </c>
      <c r="BS21" s="118">
        <f>ReviewCalcs[[#This Row],[Incentive Fixture Demand Savings (kW)]]+ReviewCalcs[[#This Row],[Incentive Control Demand Savings (kW)]]</f>
        <v>0</v>
      </c>
      <c r="BT21" s="118">
        <f>ReviewCalcs[[#This Row],[Incentive Fixture Energy Savings (kWh)]]+ReviewCalcs[[#This Row],[Incentive Control Energy Savings (kWh)]]</f>
        <v>0</v>
      </c>
      <c r="BU21" s="73"/>
    </row>
    <row r="22" spans="1:73" ht="30" customHeight="1">
      <c r="A22" s="68">
        <v>19</v>
      </c>
      <c r="B22" s="96">
        <f>VLOOKUP(ReviewCalcs[[#This Row],[Project Index]], ProjectInput[], D$1, FALSE)</f>
        <v>0</v>
      </c>
      <c r="C22" s="97">
        <f>VLOOKUP(ReviewCalcs[[#This Row],[Project Index]], ProjectInput[], E$1, FALSE)</f>
        <v>0</v>
      </c>
      <c r="D22" s="97">
        <f>VLOOKUP(ReviewCalcs[[#This Row],[Project Index]], ProjectInput[], F$1, FALSE)</f>
        <v>0</v>
      </c>
      <c r="E22" s="97">
        <f>VLOOKUP(ReviewCalcs[[#This Row],[Project Index]], ProjectInput[], G$1, FALSE)</f>
        <v>0</v>
      </c>
      <c r="F22" s="97">
        <f>VLOOKUP(ReviewCalcs[[#This Row],[Project Index]], ProjectInput[], H$1, FALSE)</f>
        <v>0</v>
      </c>
      <c r="G22" s="98" t="str">
        <f>VLOOKUP(ReviewCalcs[[#This Row],[Project Index]], ProjectInput[], I$1, FALSE)</f>
        <v/>
      </c>
      <c r="H22" s="96">
        <f>VLOOKUP(ReviewCalcs[[#This Row],[Project Index]], ProjectInput[], J$1, FALSE)</f>
        <v>0</v>
      </c>
      <c r="I22" s="97">
        <f>VLOOKUP(ReviewCalcs[[#This Row],[Project Index]], ProjectInput[], K$1, FALSE)</f>
        <v>0</v>
      </c>
      <c r="J22" s="97">
        <f>VLOOKUP(ReviewCalcs[[#This Row],[Project Index]], ProjectInput[], L$1, FALSE)</f>
        <v>0</v>
      </c>
      <c r="K22" s="97">
        <f>VLOOKUP(ReviewCalcs[[#This Row],[Project Index]], ProjectInput[], M$1, FALSE)</f>
        <v>0</v>
      </c>
      <c r="L22" s="97">
        <f>VLOOKUP(ReviewCalcs[[#This Row],[Project Index]], ProjectInput[], N$1, FALSE)</f>
        <v>0</v>
      </c>
      <c r="M22" s="98" t="str">
        <f>VLOOKUP(ReviewCalcs[[#This Row],[Project Index]], ProjectInput[], O$1, FALSE)</f>
        <v/>
      </c>
      <c r="N22" s="96">
        <f>VLOOKUP(ReviewCalcs[[#This Row],[Project Index]], ProjectInput[], P$1, FALSE)</f>
        <v>0</v>
      </c>
      <c r="O22" s="97">
        <f>VLOOKUP(ReviewCalcs[[#This Row],[Project Index]], ProjectInput[], Q$1, FALSE)</f>
        <v>0</v>
      </c>
      <c r="P22" s="97">
        <f>VLOOKUP(ReviewCalcs[[#This Row],[Project Index]], ProjectInput[], R$1, FALSE)</f>
        <v>0</v>
      </c>
      <c r="Q22" s="97">
        <f>VLOOKUP(ReviewCalcs[[#This Row],[Project Index]], ProjectInput[], S$1, FALSE)</f>
        <v>0</v>
      </c>
      <c r="R22" s="97">
        <f>VLOOKUP(ReviewCalcs[[#This Row],[Project Index]], ProjectInput[], T$1, FALSE)</f>
        <v>0</v>
      </c>
      <c r="S22" s="97">
        <f>VLOOKUP(ReviewCalcs[[#This Row],[Project Index]], ProjectInput[], U$1, FALSE)</f>
        <v>0</v>
      </c>
      <c r="T22" s="97">
        <f>VLOOKUP(ReviewCalcs[[#This Row],[Project Index]], ProjectInput[], V$1, FALSE)</f>
        <v>0</v>
      </c>
      <c r="U22" s="97">
        <f>VLOOKUP(ReviewCalcs[[#This Row],[Project Index]], ProjectInput[], W$1, FALSE)</f>
        <v>0</v>
      </c>
      <c r="V22" s="98" t="str">
        <f>VLOOKUP(ReviewCalcs[[#This Row],[Project Index]], ProjectInput[], X$1, FALSE)</f>
        <v/>
      </c>
      <c r="W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 s="75" t="e">
        <f>IF(VLOOKUP(ReviewCalcs[[#This Row],[Proposed Fixture Code]], Table7[[FIXTURE CODE]:[Baseline Fixture Code]], 8, FALSE)="N", "ERROR", "PASS")</f>
        <v>#N/A</v>
      </c>
      <c r="Y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 s="75" t="e">
        <f>IF(OR(ReviewCalcs[[#This Row],[Baseline Fixture Watts]]&gt;=ReviewCalcs[[#This Row],[Proposed Fixture Watts]],ReviewCalcs[[#This Row],[Existing Fixture Watts]]&gt;=ReviewCalcs[[#This Row],[Proposed Fixture Watts]] ), "PASS", "ERROR")</f>
        <v>#N/A</v>
      </c>
      <c r="AA22" s="69" t="e">
        <f>VLOOKUP(ReviewCalcs[[#This Row],[Space Conditions]], Table_365[], 5, FALSE)</f>
        <v>#N/A</v>
      </c>
      <c r="AB22" s="68" t="str">
        <f>ReviewCalcs[[#This Row],[Annual Hours]]</f>
        <v/>
      </c>
      <c r="AC22" s="68" t="e">
        <f>VLOOKUP(ReviewCalcs[[#This Row],[Space Conditions]], Table_365[], 6, FALSE)</f>
        <v>#N/A</v>
      </c>
      <c r="AD22" s="68">
        <f>IF(ReviewCalcs[[#This Row],[Existing Control(s)]]='Tables &amp; Ranges'!$A$25, VLOOKUP(ReviewCalcs[[#This Row],[Building/Space Type]], Table_364[], 3, FALSE), CF_Contols)</f>
        <v>0.26</v>
      </c>
      <c r="AE22" s="68" t="e">
        <f>VLOOKUP(ReviewCalcs[[#This Row],[Existing Control(s)]], Table_358[], 2, FALSE)</f>
        <v>#N/A</v>
      </c>
      <c r="AF22" s="68">
        <f>IF(ReviewCalcs[[#This Row],[Proposed Control(s)]]='Tables &amp; Ranges'!$A$25, VLOOKUP(ReviewCalcs[[#This Row],[Building/Space Type]], Table_364[], 3, FALSE), CF_Contols)</f>
        <v>0.26</v>
      </c>
      <c r="AG22" s="68" t="e">
        <f>VLOOKUP(ReviewCalcs[[#This Row],[Proposed Control(s)]], Table_358[], 2, FALSE)</f>
        <v>#N/A</v>
      </c>
      <c r="AH22" s="68">
        <f>IFERROR((ReviewCalcs[[#This Row],[Existing Fixture Quantity]]*ReviewCalcs[[#This Row],[Existing Fixture Watts]]/1000)*ReviewCalcs[[#This Row],[Existing CF]]*ReviewCalcs[[#This Row],[IEFD]], 0)</f>
        <v>0</v>
      </c>
      <c r="AI22" s="68">
        <f>IFERROR((ReviewCalcs[[#This Row],[Proposed Fixture Quantity]]*ReviewCalcs[[#This Row],[Proposed Fixture Watts]]/1000)*ReviewCalcs[[#This Row],[Existing CF]]*ReviewCalcs[[#This Row],[IEFD]], 0)</f>
        <v>0</v>
      </c>
      <c r="AJ22" s="118">
        <f>IFERROR((ReviewCalcs[[#This Row],[Existing Fixture Quantity]]*ReviewCalcs[[#This Row],[Existing Fixture Watts]]/1000-ReviewCalcs[[#This Row],[Proposed Fixture Quantity]]*ReviewCalcs[[#This Row],[Proposed Fixture Watts]]/1000)*ReviewCalcs[[#This Row],[Existing CF]]*ReviewCalcs[[#This Row],[IEFD]], 0)</f>
        <v>0</v>
      </c>
      <c r="AK22" s="118">
        <f>IFERROR((ReviewCalcs[[#This Row],[Existing Fixture Quantity]]*ReviewCalcs[[#This Row],[Existing Fixture Watts]]/1000)*ReviewCalcs[[#This Row],[AOH]]*ReviewCalcs[[#This Row],[IEFE]]*ReviewCalcs[[#This Row],[Existing PAF]], 0)</f>
        <v>0</v>
      </c>
      <c r="AL22" s="118">
        <f>IFERROR((ReviewCalcs[[#This Row],[Proposed Fixture Quantity]]*ReviewCalcs[[#This Row],[Proposed Fixture Watts]]/1000)*ReviewCalcs[[#This Row],[AOH]]*ReviewCalcs[[#This Row],[IEFE]]*ReviewCalcs[[#This Row],[Existing PAF]], 0)</f>
        <v>0</v>
      </c>
      <c r="AM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 s="118">
        <f>ReviewCalcs[[#This Row],[Fixture Existing Energy (kWh)]]*Avg_KWh_Rate</f>
        <v>0</v>
      </c>
      <c r="AO22" s="118">
        <f>ReviewCalcs[[#This Row],[Fixture Proposed Energy (kWh)]]*Avg_KWh_Rate</f>
        <v>0</v>
      </c>
      <c r="AP22" s="70">
        <f>ReviewCalcs[[#This Row],[Fixture Energy Savings]]*Avg_KWh_Rate</f>
        <v>0</v>
      </c>
      <c r="AQ22" s="129" t="e">
        <f>ReviewCalcs[[#This Row],[Existing Fixture Quantity]]*ReviewCalcs[[#This Row],[Existing Fixture Watts]]/1000*ReviewCalcs[[#This Row],[Existing CF]]*ReviewCalcs[[#This Row],[IEFD]]</f>
        <v>#VALUE!</v>
      </c>
      <c r="AR22" s="129" t="e">
        <f>ReviewCalcs[[#This Row],[Proposed Fixture Quantity]]*ReviewCalcs[[#This Row],[Proposed Fixture Watts]]/1000*ReviewCalcs[[#This Row],[Proposed CF]]*ReviewCalcs[[#This Row],[IEFD]]</f>
        <v>#VALUE!</v>
      </c>
      <c r="AS22" s="118">
        <f>IF(ReviewCalcs[[#This Row],[Existing CF]]=ReviewCalcs[[#This Row],[Proposed CF]], 0, ReviewCalcs[[#This Row],[Proposed Fixture Quantity]]*ReviewCalcs[[#This Row],[Proposed Fixture Watts]]/1000*ReviewCalcs[[#This Row],[Proposed CF]]*ReviewCalcs[[#This Row],[IEFD]])</f>
        <v>0</v>
      </c>
      <c r="AT22" s="118">
        <f>IFERROR(ReviewCalcs[[#This Row],[Existing Fixture Quantity]]*ReviewCalcs[[#This Row],[Existing Fixture Watts]]/1000*ReviewCalcs[[#This Row],[Existing PAF]]*ReviewCalcs[[#This Row],[AOH]]*ReviewCalcs[[#This Row],[IEFE]], 0)</f>
        <v>0</v>
      </c>
      <c r="AU22" s="118">
        <f>IFERROR(ReviewCalcs[[#This Row],[Proposed Fixture Quantity]]*ReviewCalcs[[#This Row],[Proposed Fixture Watts]]/1000*ReviewCalcs[[#This Row],[Proposed PAF]]*ReviewCalcs[[#This Row],[AOH]]*ReviewCalcs[[#This Row],[IEFE]], 0)</f>
        <v>0</v>
      </c>
      <c r="AV22" s="118">
        <f>IFERROR(ReviewCalcs[[#This Row],[Proposed Fixture Quantity]]*ReviewCalcs[[#This Row],[Proposed Fixture Watts]]/1000*(ReviewCalcs[[#This Row],[Existing PAF]]-ReviewCalcs[[#This Row],[Proposed PAF]])*ReviewCalcs[[#This Row],[AOH]]*ReviewCalcs[[#This Row],[IEFE]], 0)</f>
        <v>0</v>
      </c>
      <c r="AW22" s="118">
        <f>ReviewCalcs[[#This Row],[Control Existing Energy (kWh)]]*kWh_Incentive_Rate</f>
        <v>0</v>
      </c>
      <c r="AX22" s="118">
        <f>ReviewCalcs[[#This Row],[Control Proposed Energy (kWh)]]*kWh_Incentive_Rate</f>
        <v>0</v>
      </c>
      <c r="AY22" s="70">
        <f>ReviewCalcs[[#This Row],[Control Energy Savings (kWh)]]*kWh_Incentive_Rate</f>
        <v>0</v>
      </c>
      <c r="AZ22" s="70" t="e">
        <f>ReviewCalcs[[#This Row],[Fixture Existing Demand (kW)]]+ReviewCalcs[[#This Row],[Control Existing Demand (kW)]]</f>
        <v>#VALUE!</v>
      </c>
      <c r="BA22" s="70" t="e">
        <f>ReviewCalcs[[#This Row],[Fixture Proposed Demand (kW)]]+ReviewCalcs[[#This Row],[Control Proposed Demand (kW)]]</f>
        <v>#VALUE!</v>
      </c>
      <c r="BB22" s="118">
        <f>ReviewCalcs[[#This Row],[Fixture Demand Savings (kW)]]+ReviewCalcs[[#This Row],[Control Demand Savings (kW)]]</f>
        <v>0</v>
      </c>
      <c r="BC22" s="118">
        <f>ReviewCalcs[[#This Row],[Fixture Existing Energy (kWh)]]+ReviewCalcs[[#This Row],[Control Existing Energy (kWh)]]</f>
        <v>0</v>
      </c>
      <c r="BD22" s="118">
        <f>ReviewCalcs[[#This Row],[Fixture Proposed Energy (kWh)]]+ReviewCalcs[[#This Row],[Control Proposed Energy (kWh)]]</f>
        <v>0</v>
      </c>
      <c r="BE22" s="118">
        <f>ReviewCalcs[[#This Row],[Fixture Energy Savings]]+ReviewCalcs[[#This Row],[Control Energy Savings (kWh)]]</f>
        <v>0</v>
      </c>
      <c r="BF22" s="118">
        <f>ReviewCalcs[[#This Row],[Fixture Existing Cost ($)]]+ReviewCalcs[[#This Row],[Control Existing Cost ($)]]</f>
        <v>0</v>
      </c>
      <c r="BG22" s="118">
        <f>ReviewCalcs[[#This Row],[Fixture Proposed Cost ($)]]+ReviewCalcs[[#This Row],[Controls Proposed Cost ($)]]</f>
        <v>0</v>
      </c>
      <c r="BH22" s="70">
        <f>ReviewCalcs[[#This Row],[Total Energy Savings (kWh)]]*Avg_KWh_Rate</f>
        <v>0</v>
      </c>
      <c r="BI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 s="70">
        <f>ReviewCalcs[[#This Row],[Retrofit Cost]]</f>
        <v>0</v>
      </c>
      <c r="BK22" s="70">
        <f>ReviewCalcs[[#This Row],[Retrofit Cost]]-ReviewCalcs[[#This Row],[Incentive ($)]]</f>
        <v>0</v>
      </c>
      <c r="BL22" s="118" t="e">
        <f>IFERROR(ReviewCalcs[[#This Row],[Net Project Cost ($)]]/ReviewCalcs[[#This Row],[Fixture Energy Cost Savings ($)]], #N/A)</f>
        <v>#N/A</v>
      </c>
      <c r="BM22" s="118" t="e">
        <f>IF(VLOOKUP(ReviewCalcs[[#This Row],[Existing Fixture Code]], Table7[[FIXTURE CODE]:[Baseline Fixture Code]], 8, FALSE)="N", VLOOKUP(ReviewCalcs[[#This Row],[Existing Fixture Code]], Table7[[FIXTURE CODE]:[Baseline Fixture Code]], 9, FALSE), ReviewCalcs[[#This Row],[Existing Fixture Code]])</f>
        <v>#N/A</v>
      </c>
      <c r="BN22" s="118" t="e">
        <f>INDEX(Table7[WATT/ FIXT], MATCH(ReviewCalcs[Baseline Fixture Code], Table7[FIXTURE CODE], 0))</f>
        <v>#N/A</v>
      </c>
      <c r="BO22" s="118">
        <f>IFERROR((ReviewCalcs[[#This Row],[Existing Fixture Quantity]]*ReviewCalcs[[#This Row],[Baseline Fixture Watts]]/1000-ReviewCalcs[[#This Row],[Proposed Fixture Quantity]]*ReviewCalcs[[#This Row],[Proposed Fixture Watts]]/1000)*ReviewCalcs[[#This Row],[Existing CF]]*ReviewCalcs[[#This Row],[IEFD]], 0)</f>
        <v>0</v>
      </c>
      <c r="BP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 s="118">
        <f>IF(ReviewCalcs[[#This Row],[Existing CF]]=ReviewCalcs[[#This Row],[Proposed CF]], 0, ReviewCalcs[[#This Row],[Proposed Fixture Quantity]]*ReviewCalcs[[#This Row],[Proposed Fixture Watts]]/1000*ReviewCalcs[[#This Row],[Proposed CF]]*ReviewCalcs[[#This Row],[IEFD]])</f>
        <v>0</v>
      </c>
      <c r="BR22" s="118">
        <f>IFERROR(ReviewCalcs[[#This Row],[Proposed Fixture Quantity]]*ReviewCalcs[[#This Row],[Proposed Fixture Watts]]/1000*(ReviewCalcs[[#This Row],[Existing PAF]]-ReviewCalcs[[#This Row],[Proposed PAF]])*ReviewCalcs[[#This Row],[AOH]]*ReviewCalcs[[#This Row],[IEFE]],0)</f>
        <v>0</v>
      </c>
      <c r="BS22" s="118">
        <f>ReviewCalcs[[#This Row],[Incentive Fixture Demand Savings (kW)]]+ReviewCalcs[[#This Row],[Incentive Control Demand Savings (kW)]]</f>
        <v>0</v>
      </c>
      <c r="BT22" s="118">
        <f>ReviewCalcs[[#This Row],[Incentive Fixture Energy Savings (kWh)]]+ReviewCalcs[[#This Row],[Incentive Control Energy Savings (kWh)]]</f>
        <v>0</v>
      </c>
      <c r="BU22" s="73"/>
    </row>
    <row r="23" spans="1:73" ht="30" customHeight="1">
      <c r="A23" s="68">
        <v>20</v>
      </c>
      <c r="B23" s="96">
        <f>VLOOKUP(ReviewCalcs[[#This Row],[Project Index]], ProjectInput[], D$1, FALSE)</f>
        <v>0</v>
      </c>
      <c r="C23" s="97">
        <f>VLOOKUP(ReviewCalcs[[#This Row],[Project Index]], ProjectInput[], E$1, FALSE)</f>
        <v>0</v>
      </c>
      <c r="D23" s="97">
        <f>VLOOKUP(ReviewCalcs[[#This Row],[Project Index]], ProjectInput[], F$1, FALSE)</f>
        <v>0</v>
      </c>
      <c r="E23" s="97">
        <f>VLOOKUP(ReviewCalcs[[#This Row],[Project Index]], ProjectInput[], G$1, FALSE)</f>
        <v>0</v>
      </c>
      <c r="F23" s="97">
        <f>VLOOKUP(ReviewCalcs[[#This Row],[Project Index]], ProjectInput[], H$1, FALSE)</f>
        <v>0</v>
      </c>
      <c r="G23" s="98" t="str">
        <f>VLOOKUP(ReviewCalcs[[#This Row],[Project Index]], ProjectInput[], I$1, FALSE)</f>
        <v/>
      </c>
      <c r="H23" s="96">
        <f>VLOOKUP(ReviewCalcs[[#This Row],[Project Index]], ProjectInput[], J$1, FALSE)</f>
        <v>0</v>
      </c>
      <c r="I23" s="97">
        <f>VLOOKUP(ReviewCalcs[[#This Row],[Project Index]], ProjectInput[], K$1, FALSE)</f>
        <v>0</v>
      </c>
      <c r="J23" s="97">
        <f>VLOOKUP(ReviewCalcs[[#This Row],[Project Index]], ProjectInput[], L$1, FALSE)</f>
        <v>0</v>
      </c>
      <c r="K23" s="97">
        <f>VLOOKUP(ReviewCalcs[[#This Row],[Project Index]], ProjectInput[], M$1, FALSE)</f>
        <v>0</v>
      </c>
      <c r="L23" s="97">
        <f>VLOOKUP(ReviewCalcs[[#This Row],[Project Index]], ProjectInput[], N$1, FALSE)</f>
        <v>0</v>
      </c>
      <c r="M23" s="98" t="str">
        <f>VLOOKUP(ReviewCalcs[[#This Row],[Project Index]], ProjectInput[], O$1, FALSE)</f>
        <v/>
      </c>
      <c r="N23" s="96">
        <f>VLOOKUP(ReviewCalcs[[#This Row],[Project Index]], ProjectInput[], P$1, FALSE)</f>
        <v>0</v>
      </c>
      <c r="O23" s="97">
        <f>VLOOKUP(ReviewCalcs[[#This Row],[Project Index]], ProjectInput[], Q$1, FALSE)</f>
        <v>0</v>
      </c>
      <c r="P23" s="97">
        <f>VLOOKUP(ReviewCalcs[[#This Row],[Project Index]], ProjectInput[], R$1, FALSE)</f>
        <v>0</v>
      </c>
      <c r="Q23" s="97">
        <f>VLOOKUP(ReviewCalcs[[#This Row],[Project Index]], ProjectInput[], S$1, FALSE)</f>
        <v>0</v>
      </c>
      <c r="R23" s="97">
        <f>VLOOKUP(ReviewCalcs[[#This Row],[Project Index]], ProjectInput[], T$1, FALSE)</f>
        <v>0</v>
      </c>
      <c r="S23" s="97">
        <f>VLOOKUP(ReviewCalcs[[#This Row],[Project Index]], ProjectInput[], U$1, FALSE)</f>
        <v>0</v>
      </c>
      <c r="T23" s="97">
        <f>VLOOKUP(ReviewCalcs[[#This Row],[Project Index]], ProjectInput[], V$1, FALSE)</f>
        <v>0</v>
      </c>
      <c r="U23" s="97">
        <f>VLOOKUP(ReviewCalcs[[#This Row],[Project Index]], ProjectInput[], W$1, FALSE)</f>
        <v>0</v>
      </c>
      <c r="V23" s="98" t="str">
        <f>VLOOKUP(ReviewCalcs[[#This Row],[Project Index]], ProjectInput[], X$1, FALSE)</f>
        <v/>
      </c>
      <c r="W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 s="75" t="e">
        <f>IF(VLOOKUP(ReviewCalcs[[#This Row],[Proposed Fixture Code]], Table7[[FIXTURE CODE]:[Baseline Fixture Code]], 8, FALSE)="N", "ERROR", "PASS")</f>
        <v>#N/A</v>
      </c>
      <c r="Y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 s="75" t="e">
        <f>IF(OR(ReviewCalcs[[#This Row],[Baseline Fixture Watts]]&gt;=ReviewCalcs[[#This Row],[Proposed Fixture Watts]],ReviewCalcs[[#This Row],[Existing Fixture Watts]]&gt;=ReviewCalcs[[#This Row],[Proposed Fixture Watts]] ), "PASS", "ERROR")</f>
        <v>#N/A</v>
      </c>
      <c r="AA23" s="69" t="e">
        <f>VLOOKUP(ReviewCalcs[[#This Row],[Space Conditions]], Table_365[], 5, FALSE)</f>
        <v>#N/A</v>
      </c>
      <c r="AB23" s="68" t="str">
        <f>ReviewCalcs[[#This Row],[Annual Hours]]</f>
        <v/>
      </c>
      <c r="AC23" s="68" t="e">
        <f>VLOOKUP(ReviewCalcs[[#This Row],[Space Conditions]], Table_365[], 6, FALSE)</f>
        <v>#N/A</v>
      </c>
      <c r="AD23" s="68">
        <f>IF(ReviewCalcs[[#This Row],[Existing Control(s)]]='Tables &amp; Ranges'!$A$25, VLOOKUP(ReviewCalcs[[#This Row],[Building/Space Type]], Table_364[], 3, FALSE), CF_Contols)</f>
        <v>0.26</v>
      </c>
      <c r="AE23" s="68" t="e">
        <f>VLOOKUP(ReviewCalcs[[#This Row],[Existing Control(s)]], Table_358[], 2, FALSE)</f>
        <v>#N/A</v>
      </c>
      <c r="AF23" s="68">
        <f>IF(ReviewCalcs[[#This Row],[Proposed Control(s)]]='Tables &amp; Ranges'!$A$25, VLOOKUP(ReviewCalcs[[#This Row],[Building/Space Type]], Table_364[], 3, FALSE), CF_Contols)</f>
        <v>0.26</v>
      </c>
      <c r="AG23" s="68" t="e">
        <f>VLOOKUP(ReviewCalcs[[#This Row],[Proposed Control(s)]], Table_358[], 2, FALSE)</f>
        <v>#N/A</v>
      </c>
      <c r="AH23" s="68">
        <f>IFERROR((ReviewCalcs[[#This Row],[Existing Fixture Quantity]]*ReviewCalcs[[#This Row],[Existing Fixture Watts]]/1000)*ReviewCalcs[[#This Row],[Existing CF]]*ReviewCalcs[[#This Row],[IEFD]], 0)</f>
        <v>0</v>
      </c>
      <c r="AI23" s="68">
        <f>IFERROR((ReviewCalcs[[#This Row],[Proposed Fixture Quantity]]*ReviewCalcs[[#This Row],[Proposed Fixture Watts]]/1000)*ReviewCalcs[[#This Row],[Existing CF]]*ReviewCalcs[[#This Row],[IEFD]], 0)</f>
        <v>0</v>
      </c>
      <c r="AJ23" s="118">
        <f>IFERROR((ReviewCalcs[[#This Row],[Existing Fixture Quantity]]*ReviewCalcs[[#This Row],[Existing Fixture Watts]]/1000-ReviewCalcs[[#This Row],[Proposed Fixture Quantity]]*ReviewCalcs[[#This Row],[Proposed Fixture Watts]]/1000)*ReviewCalcs[[#This Row],[Existing CF]]*ReviewCalcs[[#This Row],[IEFD]], 0)</f>
        <v>0</v>
      </c>
      <c r="AK23" s="118">
        <f>IFERROR((ReviewCalcs[[#This Row],[Existing Fixture Quantity]]*ReviewCalcs[[#This Row],[Existing Fixture Watts]]/1000)*ReviewCalcs[[#This Row],[AOH]]*ReviewCalcs[[#This Row],[IEFE]]*ReviewCalcs[[#This Row],[Existing PAF]], 0)</f>
        <v>0</v>
      </c>
      <c r="AL23" s="118">
        <f>IFERROR((ReviewCalcs[[#This Row],[Proposed Fixture Quantity]]*ReviewCalcs[[#This Row],[Proposed Fixture Watts]]/1000)*ReviewCalcs[[#This Row],[AOH]]*ReviewCalcs[[#This Row],[IEFE]]*ReviewCalcs[[#This Row],[Existing PAF]], 0)</f>
        <v>0</v>
      </c>
      <c r="AM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 s="118">
        <f>ReviewCalcs[[#This Row],[Fixture Existing Energy (kWh)]]*Avg_KWh_Rate</f>
        <v>0</v>
      </c>
      <c r="AO23" s="118">
        <f>ReviewCalcs[[#This Row],[Fixture Proposed Energy (kWh)]]*Avg_KWh_Rate</f>
        <v>0</v>
      </c>
      <c r="AP23" s="70">
        <f>ReviewCalcs[[#This Row],[Fixture Energy Savings]]*Avg_KWh_Rate</f>
        <v>0</v>
      </c>
      <c r="AQ23" s="129" t="e">
        <f>ReviewCalcs[[#This Row],[Existing Fixture Quantity]]*ReviewCalcs[[#This Row],[Existing Fixture Watts]]/1000*ReviewCalcs[[#This Row],[Existing CF]]*ReviewCalcs[[#This Row],[IEFD]]</f>
        <v>#VALUE!</v>
      </c>
      <c r="AR23" s="129" t="e">
        <f>ReviewCalcs[[#This Row],[Proposed Fixture Quantity]]*ReviewCalcs[[#This Row],[Proposed Fixture Watts]]/1000*ReviewCalcs[[#This Row],[Proposed CF]]*ReviewCalcs[[#This Row],[IEFD]]</f>
        <v>#VALUE!</v>
      </c>
      <c r="AS23" s="118">
        <f>IF(ReviewCalcs[[#This Row],[Existing CF]]=ReviewCalcs[[#This Row],[Proposed CF]], 0, ReviewCalcs[[#This Row],[Proposed Fixture Quantity]]*ReviewCalcs[[#This Row],[Proposed Fixture Watts]]/1000*ReviewCalcs[[#This Row],[Proposed CF]]*ReviewCalcs[[#This Row],[IEFD]])</f>
        <v>0</v>
      </c>
      <c r="AT23" s="118">
        <f>IFERROR(ReviewCalcs[[#This Row],[Existing Fixture Quantity]]*ReviewCalcs[[#This Row],[Existing Fixture Watts]]/1000*ReviewCalcs[[#This Row],[Existing PAF]]*ReviewCalcs[[#This Row],[AOH]]*ReviewCalcs[[#This Row],[IEFE]], 0)</f>
        <v>0</v>
      </c>
      <c r="AU23" s="118">
        <f>IFERROR(ReviewCalcs[[#This Row],[Proposed Fixture Quantity]]*ReviewCalcs[[#This Row],[Proposed Fixture Watts]]/1000*ReviewCalcs[[#This Row],[Proposed PAF]]*ReviewCalcs[[#This Row],[AOH]]*ReviewCalcs[[#This Row],[IEFE]], 0)</f>
        <v>0</v>
      </c>
      <c r="AV23" s="118">
        <f>IFERROR(ReviewCalcs[[#This Row],[Proposed Fixture Quantity]]*ReviewCalcs[[#This Row],[Proposed Fixture Watts]]/1000*(ReviewCalcs[[#This Row],[Existing PAF]]-ReviewCalcs[[#This Row],[Proposed PAF]])*ReviewCalcs[[#This Row],[AOH]]*ReviewCalcs[[#This Row],[IEFE]], 0)</f>
        <v>0</v>
      </c>
      <c r="AW23" s="118">
        <f>ReviewCalcs[[#This Row],[Control Existing Energy (kWh)]]*kWh_Incentive_Rate</f>
        <v>0</v>
      </c>
      <c r="AX23" s="118">
        <f>ReviewCalcs[[#This Row],[Control Proposed Energy (kWh)]]*kWh_Incentive_Rate</f>
        <v>0</v>
      </c>
      <c r="AY23" s="70">
        <f>ReviewCalcs[[#This Row],[Control Energy Savings (kWh)]]*kWh_Incentive_Rate</f>
        <v>0</v>
      </c>
      <c r="AZ23" s="70" t="e">
        <f>ReviewCalcs[[#This Row],[Fixture Existing Demand (kW)]]+ReviewCalcs[[#This Row],[Control Existing Demand (kW)]]</f>
        <v>#VALUE!</v>
      </c>
      <c r="BA23" s="70" t="e">
        <f>ReviewCalcs[[#This Row],[Fixture Proposed Demand (kW)]]+ReviewCalcs[[#This Row],[Control Proposed Demand (kW)]]</f>
        <v>#VALUE!</v>
      </c>
      <c r="BB23" s="118">
        <f>ReviewCalcs[[#This Row],[Fixture Demand Savings (kW)]]+ReviewCalcs[[#This Row],[Control Demand Savings (kW)]]</f>
        <v>0</v>
      </c>
      <c r="BC23" s="118">
        <f>ReviewCalcs[[#This Row],[Fixture Existing Energy (kWh)]]+ReviewCalcs[[#This Row],[Control Existing Energy (kWh)]]</f>
        <v>0</v>
      </c>
      <c r="BD23" s="118">
        <f>ReviewCalcs[[#This Row],[Fixture Proposed Energy (kWh)]]+ReviewCalcs[[#This Row],[Control Proposed Energy (kWh)]]</f>
        <v>0</v>
      </c>
      <c r="BE23" s="118">
        <f>ReviewCalcs[[#This Row],[Fixture Energy Savings]]+ReviewCalcs[[#This Row],[Control Energy Savings (kWh)]]</f>
        <v>0</v>
      </c>
      <c r="BF23" s="118">
        <f>ReviewCalcs[[#This Row],[Fixture Existing Cost ($)]]+ReviewCalcs[[#This Row],[Control Existing Cost ($)]]</f>
        <v>0</v>
      </c>
      <c r="BG23" s="118">
        <f>ReviewCalcs[[#This Row],[Fixture Proposed Cost ($)]]+ReviewCalcs[[#This Row],[Controls Proposed Cost ($)]]</f>
        <v>0</v>
      </c>
      <c r="BH23" s="70">
        <f>ReviewCalcs[[#This Row],[Total Energy Savings (kWh)]]*Avg_KWh_Rate</f>
        <v>0</v>
      </c>
      <c r="BI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 s="70">
        <f>ReviewCalcs[[#This Row],[Retrofit Cost]]</f>
        <v>0</v>
      </c>
      <c r="BK23" s="70">
        <f>ReviewCalcs[[#This Row],[Retrofit Cost]]-ReviewCalcs[[#This Row],[Incentive ($)]]</f>
        <v>0</v>
      </c>
      <c r="BL23" s="118" t="e">
        <f>IFERROR(ReviewCalcs[[#This Row],[Net Project Cost ($)]]/ReviewCalcs[[#This Row],[Fixture Energy Cost Savings ($)]], #N/A)</f>
        <v>#N/A</v>
      </c>
      <c r="BM23" s="118" t="e">
        <f>IF(VLOOKUP(ReviewCalcs[[#This Row],[Existing Fixture Code]], Table7[[FIXTURE CODE]:[Baseline Fixture Code]], 8, FALSE)="N", VLOOKUP(ReviewCalcs[[#This Row],[Existing Fixture Code]], Table7[[FIXTURE CODE]:[Baseline Fixture Code]], 9, FALSE), ReviewCalcs[[#This Row],[Existing Fixture Code]])</f>
        <v>#N/A</v>
      </c>
      <c r="BN23" s="118" t="e">
        <f>INDEX(Table7[WATT/ FIXT], MATCH(ReviewCalcs[Baseline Fixture Code], Table7[FIXTURE CODE], 0))</f>
        <v>#N/A</v>
      </c>
      <c r="BO23" s="118">
        <f>IFERROR((ReviewCalcs[[#This Row],[Existing Fixture Quantity]]*ReviewCalcs[[#This Row],[Baseline Fixture Watts]]/1000-ReviewCalcs[[#This Row],[Proposed Fixture Quantity]]*ReviewCalcs[[#This Row],[Proposed Fixture Watts]]/1000)*ReviewCalcs[[#This Row],[Existing CF]]*ReviewCalcs[[#This Row],[IEFD]], 0)</f>
        <v>0</v>
      </c>
      <c r="BP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 s="118">
        <f>IF(ReviewCalcs[[#This Row],[Existing CF]]=ReviewCalcs[[#This Row],[Proposed CF]], 0, ReviewCalcs[[#This Row],[Proposed Fixture Quantity]]*ReviewCalcs[[#This Row],[Proposed Fixture Watts]]/1000*ReviewCalcs[[#This Row],[Proposed CF]]*ReviewCalcs[[#This Row],[IEFD]])</f>
        <v>0</v>
      </c>
      <c r="BR23" s="118">
        <f>IFERROR(ReviewCalcs[[#This Row],[Proposed Fixture Quantity]]*ReviewCalcs[[#This Row],[Proposed Fixture Watts]]/1000*(ReviewCalcs[[#This Row],[Existing PAF]]-ReviewCalcs[[#This Row],[Proposed PAF]])*ReviewCalcs[[#This Row],[AOH]]*ReviewCalcs[[#This Row],[IEFE]],0)</f>
        <v>0</v>
      </c>
      <c r="BS23" s="118">
        <f>ReviewCalcs[[#This Row],[Incentive Fixture Demand Savings (kW)]]+ReviewCalcs[[#This Row],[Incentive Control Demand Savings (kW)]]</f>
        <v>0</v>
      </c>
      <c r="BT23" s="118">
        <f>ReviewCalcs[[#This Row],[Incentive Fixture Energy Savings (kWh)]]+ReviewCalcs[[#This Row],[Incentive Control Energy Savings (kWh)]]</f>
        <v>0</v>
      </c>
      <c r="BU23" s="73"/>
    </row>
    <row r="24" spans="1:73" ht="30" customHeight="1">
      <c r="A24" s="68">
        <v>21</v>
      </c>
      <c r="B24" s="96">
        <f>VLOOKUP(ReviewCalcs[[#This Row],[Project Index]], ProjectInput[], D$1, FALSE)</f>
        <v>0</v>
      </c>
      <c r="C24" s="97">
        <f>VLOOKUP(ReviewCalcs[[#This Row],[Project Index]], ProjectInput[], E$1, FALSE)</f>
        <v>0</v>
      </c>
      <c r="D24" s="97">
        <f>VLOOKUP(ReviewCalcs[[#This Row],[Project Index]], ProjectInput[], F$1, FALSE)</f>
        <v>0</v>
      </c>
      <c r="E24" s="97">
        <f>VLOOKUP(ReviewCalcs[[#This Row],[Project Index]], ProjectInput[], G$1, FALSE)</f>
        <v>0</v>
      </c>
      <c r="F24" s="97">
        <f>VLOOKUP(ReviewCalcs[[#This Row],[Project Index]], ProjectInput[], H$1, FALSE)</f>
        <v>0</v>
      </c>
      <c r="G24" s="98" t="str">
        <f>VLOOKUP(ReviewCalcs[[#This Row],[Project Index]], ProjectInput[], I$1, FALSE)</f>
        <v/>
      </c>
      <c r="H24" s="96">
        <f>VLOOKUP(ReviewCalcs[[#This Row],[Project Index]], ProjectInput[], J$1, FALSE)</f>
        <v>0</v>
      </c>
      <c r="I24" s="97">
        <f>VLOOKUP(ReviewCalcs[[#This Row],[Project Index]], ProjectInput[], K$1, FALSE)</f>
        <v>0</v>
      </c>
      <c r="J24" s="97">
        <f>VLOOKUP(ReviewCalcs[[#This Row],[Project Index]], ProjectInput[], L$1, FALSE)</f>
        <v>0</v>
      </c>
      <c r="K24" s="97">
        <f>VLOOKUP(ReviewCalcs[[#This Row],[Project Index]], ProjectInput[], M$1, FALSE)</f>
        <v>0</v>
      </c>
      <c r="L24" s="97">
        <f>VLOOKUP(ReviewCalcs[[#This Row],[Project Index]], ProjectInput[], N$1, FALSE)</f>
        <v>0</v>
      </c>
      <c r="M24" s="98" t="str">
        <f>VLOOKUP(ReviewCalcs[[#This Row],[Project Index]], ProjectInput[], O$1, FALSE)</f>
        <v/>
      </c>
      <c r="N24" s="96">
        <f>VLOOKUP(ReviewCalcs[[#This Row],[Project Index]], ProjectInput[], P$1, FALSE)</f>
        <v>0</v>
      </c>
      <c r="O24" s="97">
        <f>VLOOKUP(ReviewCalcs[[#This Row],[Project Index]], ProjectInput[], Q$1, FALSE)</f>
        <v>0</v>
      </c>
      <c r="P24" s="97">
        <f>VLOOKUP(ReviewCalcs[[#This Row],[Project Index]], ProjectInput[], R$1, FALSE)</f>
        <v>0</v>
      </c>
      <c r="Q24" s="97">
        <f>VLOOKUP(ReviewCalcs[[#This Row],[Project Index]], ProjectInput[], S$1, FALSE)</f>
        <v>0</v>
      </c>
      <c r="R24" s="97">
        <f>VLOOKUP(ReviewCalcs[[#This Row],[Project Index]], ProjectInput[], T$1, FALSE)</f>
        <v>0</v>
      </c>
      <c r="S24" s="97">
        <f>VLOOKUP(ReviewCalcs[[#This Row],[Project Index]], ProjectInput[], U$1, FALSE)</f>
        <v>0</v>
      </c>
      <c r="T24" s="97">
        <f>VLOOKUP(ReviewCalcs[[#This Row],[Project Index]], ProjectInput[], V$1, FALSE)</f>
        <v>0</v>
      </c>
      <c r="U24" s="97">
        <f>VLOOKUP(ReviewCalcs[[#This Row],[Project Index]], ProjectInput[], W$1, FALSE)</f>
        <v>0</v>
      </c>
      <c r="V24" s="98" t="str">
        <f>VLOOKUP(ReviewCalcs[[#This Row],[Project Index]], ProjectInput[], X$1, FALSE)</f>
        <v/>
      </c>
      <c r="W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 s="75" t="e">
        <f>IF(VLOOKUP(ReviewCalcs[[#This Row],[Proposed Fixture Code]], Table7[[FIXTURE CODE]:[Baseline Fixture Code]], 8, FALSE)="N", "ERROR", "PASS")</f>
        <v>#N/A</v>
      </c>
      <c r="Y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 s="75" t="e">
        <f>IF(OR(ReviewCalcs[[#This Row],[Baseline Fixture Watts]]&gt;=ReviewCalcs[[#This Row],[Proposed Fixture Watts]],ReviewCalcs[[#This Row],[Existing Fixture Watts]]&gt;=ReviewCalcs[[#This Row],[Proposed Fixture Watts]] ), "PASS", "ERROR")</f>
        <v>#N/A</v>
      </c>
      <c r="AA24" s="69" t="e">
        <f>VLOOKUP(ReviewCalcs[[#This Row],[Space Conditions]], Table_365[], 5, FALSE)</f>
        <v>#N/A</v>
      </c>
      <c r="AB24" s="68" t="str">
        <f>ReviewCalcs[[#This Row],[Annual Hours]]</f>
        <v/>
      </c>
      <c r="AC24" s="68" t="e">
        <f>VLOOKUP(ReviewCalcs[[#This Row],[Space Conditions]], Table_365[], 6, FALSE)</f>
        <v>#N/A</v>
      </c>
      <c r="AD24" s="68">
        <f>IF(ReviewCalcs[[#This Row],[Existing Control(s)]]='Tables &amp; Ranges'!$A$25, VLOOKUP(ReviewCalcs[[#This Row],[Building/Space Type]], Table_364[], 3, FALSE), CF_Contols)</f>
        <v>0.26</v>
      </c>
      <c r="AE24" s="68" t="e">
        <f>VLOOKUP(ReviewCalcs[[#This Row],[Existing Control(s)]], Table_358[], 2, FALSE)</f>
        <v>#N/A</v>
      </c>
      <c r="AF24" s="68">
        <f>IF(ReviewCalcs[[#This Row],[Proposed Control(s)]]='Tables &amp; Ranges'!$A$25, VLOOKUP(ReviewCalcs[[#This Row],[Building/Space Type]], Table_364[], 3, FALSE), CF_Contols)</f>
        <v>0.26</v>
      </c>
      <c r="AG24" s="68" t="e">
        <f>VLOOKUP(ReviewCalcs[[#This Row],[Proposed Control(s)]], Table_358[], 2, FALSE)</f>
        <v>#N/A</v>
      </c>
      <c r="AH24" s="68">
        <f>IFERROR((ReviewCalcs[[#This Row],[Existing Fixture Quantity]]*ReviewCalcs[[#This Row],[Existing Fixture Watts]]/1000)*ReviewCalcs[[#This Row],[Existing CF]]*ReviewCalcs[[#This Row],[IEFD]], 0)</f>
        <v>0</v>
      </c>
      <c r="AI24" s="68">
        <f>IFERROR((ReviewCalcs[[#This Row],[Proposed Fixture Quantity]]*ReviewCalcs[[#This Row],[Proposed Fixture Watts]]/1000)*ReviewCalcs[[#This Row],[Existing CF]]*ReviewCalcs[[#This Row],[IEFD]], 0)</f>
        <v>0</v>
      </c>
      <c r="AJ24" s="118">
        <f>IFERROR((ReviewCalcs[[#This Row],[Existing Fixture Quantity]]*ReviewCalcs[[#This Row],[Existing Fixture Watts]]/1000-ReviewCalcs[[#This Row],[Proposed Fixture Quantity]]*ReviewCalcs[[#This Row],[Proposed Fixture Watts]]/1000)*ReviewCalcs[[#This Row],[Existing CF]]*ReviewCalcs[[#This Row],[IEFD]], 0)</f>
        <v>0</v>
      </c>
      <c r="AK24" s="118">
        <f>IFERROR((ReviewCalcs[[#This Row],[Existing Fixture Quantity]]*ReviewCalcs[[#This Row],[Existing Fixture Watts]]/1000)*ReviewCalcs[[#This Row],[AOH]]*ReviewCalcs[[#This Row],[IEFE]]*ReviewCalcs[[#This Row],[Existing PAF]], 0)</f>
        <v>0</v>
      </c>
      <c r="AL24" s="118">
        <f>IFERROR((ReviewCalcs[[#This Row],[Proposed Fixture Quantity]]*ReviewCalcs[[#This Row],[Proposed Fixture Watts]]/1000)*ReviewCalcs[[#This Row],[AOH]]*ReviewCalcs[[#This Row],[IEFE]]*ReviewCalcs[[#This Row],[Existing PAF]], 0)</f>
        <v>0</v>
      </c>
      <c r="AM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 s="118">
        <f>ReviewCalcs[[#This Row],[Fixture Existing Energy (kWh)]]*Avg_KWh_Rate</f>
        <v>0</v>
      </c>
      <c r="AO24" s="118">
        <f>ReviewCalcs[[#This Row],[Fixture Proposed Energy (kWh)]]*Avg_KWh_Rate</f>
        <v>0</v>
      </c>
      <c r="AP24" s="70">
        <f>ReviewCalcs[[#This Row],[Fixture Energy Savings]]*Avg_KWh_Rate</f>
        <v>0</v>
      </c>
      <c r="AQ24" s="129" t="e">
        <f>ReviewCalcs[[#This Row],[Existing Fixture Quantity]]*ReviewCalcs[[#This Row],[Existing Fixture Watts]]/1000*ReviewCalcs[[#This Row],[Existing CF]]*ReviewCalcs[[#This Row],[IEFD]]</f>
        <v>#VALUE!</v>
      </c>
      <c r="AR24" s="129" t="e">
        <f>ReviewCalcs[[#This Row],[Proposed Fixture Quantity]]*ReviewCalcs[[#This Row],[Proposed Fixture Watts]]/1000*ReviewCalcs[[#This Row],[Proposed CF]]*ReviewCalcs[[#This Row],[IEFD]]</f>
        <v>#VALUE!</v>
      </c>
      <c r="AS24" s="118">
        <f>IF(ReviewCalcs[[#This Row],[Existing CF]]=ReviewCalcs[[#This Row],[Proposed CF]], 0, ReviewCalcs[[#This Row],[Proposed Fixture Quantity]]*ReviewCalcs[[#This Row],[Proposed Fixture Watts]]/1000*ReviewCalcs[[#This Row],[Proposed CF]]*ReviewCalcs[[#This Row],[IEFD]])</f>
        <v>0</v>
      </c>
      <c r="AT24" s="118">
        <f>IFERROR(ReviewCalcs[[#This Row],[Existing Fixture Quantity]]*ReviewCalcs[[#This Row],[Existing Fixture Watts]]/1000*ReviewCalcs[[#This Row],[Existing PAF]]*ReviewCalcs[[#This Row],[AOH]]*ReviewCalcs[[#This Row],[IEFE]], 0)</f>
        <v>0</v>
      </c>
      <c r="AU24" s="118">
        <f>IFERROR(ReviewCalcs[[#This Row],[Proposed Fixture Quantity]]*ReviewCalcs[[#This Row],[Proposed Fixture Watts]]/1000*ReviewCalcs[[#This Row],[Proposed PAF]]*ReviewCalcs[[#This Row],[AOH]]*ReviewCalcs[[#This Row],[IEFE]], 0)</f>
        <v>0</v>
      </c>
      <c r="AV24" s="118">
        <f>IFERROR(ReviewCalcs[[#This Row],[Proposed Fixture Quantity]]*ReviewCalcs[[#This Row],[Proposed Fixture Watts]]/1000*(ReviewCalcs[[#This Row],[Existing PAF]]-ReviewCalcs[[#This Row],[Proposed PAF]])*ReviewCalcs[[#This Row],[AOH]]*ReviewCalcs[[#This Row],[IEFE]], 0)</f>
        <v>0</v>
      </c>
      <c r="AW24" s="118">
        <f>ReviewCalcs[[#This Row],[Control Existing Energy (kWh)]]*kWh_Incentive_Rate</f>
        <v>0</v>
      </c>
      <c r="AX24" s="118">
        <f>ReviewCalcs[[#This Row],[Control Proposed Energy (kWh)]]*kWh_Incentive_Rate</f>
        <v>0</v>
      </c>
      <c r="AY24" s="70">
        <f>ReviewCalcs[[#This Row],[Control Energy Savings (kWh)]]*kWh_Incentive_Rate</f>
        <v>0</v>
      </c>
      <c r="AZ24" s="70" t="e">
        <f>ReviewCalcs[[#This Row],[Fixture Existing Demand (kW)]]+ReviewCalcs[[#This Row],[Control Existing Demand (kW)]]</f>
        <v>#VALUE!</v>
      </c>
      <c r="BA24" s="70" t="e">
        <f>ReviewCalcs[[#This Row],[Fixture Proposed Demand (kW)]]+ReviewCalcs[[#This Row],[Control Proposed Demand (kW)]]</f>
        <v>#VALUE!</v>
      </c>
      <c r="BB24" s="118">
        <f>ReviewCalcs[[#This Row],[Fixture Demand Savings (kW)]]+ReviewCalcs[[#This Row],[Control Demand Savings (kW)]]</f>
        <v>0</v>
      </c>
      <c r="BC24" s="118">
        <f>ReviewCalcs[[#This Row],[Fixture Existing Energy (kWh)]]+ReviewCalcs[[#This Row],[Control Existing Energy (kWh)]]</f>
        <v>0</v>
      </c>
      <c r="BD24" s="118">
        <f>ReviewCalcs[[#This Row],[Fixture Proposed Energy (kWh)]]+ReviewCalcs[[#This Row],[Control Proposed Energy (kWh)]]</f>
        <v>0</v>
      </c>
      <c r="BE24" s="118">
        <f>ReviewCalcs[[#This Row],[Fixture Energy Savings]]+ReviewCalcs[[#This Row],[Control Energy Savings (kWh)]]</f>
        <v>0</v>
      </c>
      <c r="BF24" s="118">
        <f>ReviewCalcs[[#This Row],[Fixture Existing Cost ($)]]+ReviewCalcs[[#This Row],[Control Existing Cost ($)]]</f>
        <v>0</v>
      </c>
      <c r="BG24" s="118">
        <f>ReviewCalcs[[#This Row],[Fixture Proposed Cost ($)]]+ReviewCalcs[[#This Row],[Controls Proposed Cost ($)]]</f>
        <v>0</v>
      </c>
      <c r="BH24" s="70">
        <f>ReviewCalcs[[#This Row],[Total Energy Savings (kWh)]]*Avg_KWh_Rate</f>
        <v>0</v>
      </c>
      <c r="BI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 s="70">
        <f>ReviewCalcs[[#This Row],[Retrofit Cost]]</f>
        <v>0</v>
      </c>
      <c r="BK24" s="70">
        <f>ReviewCalcs[[#This Row],[Retrofit Cost]]-ReviewCalcs[[#This Row],[Incentive ($)]]</f>
        <v>0</v>
      </c>
      <c r="BL24" s="118" t="e">
        <f>IFERROR(ReviewCalcs[[#This Row],[Net Project Cost ($)]]/ReviewCalcs[[#This Row],[Fixture Energy Cost Savings ($)]], #N/A)</f>
        <v>#N/A</v>
      </c>
      <c r="BM24" s="118" t="e">
        <f>IF(VLOOKUP(ReviewCalcs[[#This Row],[Existing Fixture Code]], Table7[[FIXTURE CODE]:[Baseline Fixture Code]], 8, FALSE)="N", VLOOKUP(ReviewCalcs[[#This Row],[Existing Fixture Code]], Table7[[FIXTURE CODE]:[Baseline Fixture Code]], 9, FALSE), ReviewCalcs[[#This Row],[Existing Fixture Code]])</f>
        <v>#N/A</v>
      </c>
      <c r="BN24" s="118" t="e">
        <f>INDEX(Table7[WATT/ FIXT], MATCH(ReviewCalcs[Baseline Fixture Code], Table7[FIXTURE CODE], 0))</f>
        <v>#N/A</v>
      </c>
      <c r="BO24" s="118">
        <f>IFERROR((ReviewCalcs[[#This Row],[Existing Fixture Quantity]]*ReviewCalcs[[#This Row],[Baseline Fixture Watts]]/1000-ReviewCalcs[[#This Row],[Proposed Fixture Quantity]]*ReviewCalcs[[#This Row],[Proposed Fixture Watts]]/1000)*ReviewCalcs[[#This Row],[Existing CF]]*ReviewCalcs[[#This Row],[IEFD]], 0)</f>
        <v>0</v>
      </c>
      <c r="BP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 s="118">
        <f>IF(ReviewCalcs[[#This Row],[Existing CF]]=ReviewCalcs[[#This Row],[Proposed CF]], 0, ReviewCalcs[[#This Row],[Proposed Fixture Quantity]]*ReviewCalcs[[#This Row],[Proposed Fixture Watts]]/1000*ReviewCalcs[[#This Row],[Proposed CF]]*ReviewCalcs[[#This Row],[IEFD]])</f>
        <v>0</v>
      </c>
      <c r="BR24" s="118">
        <f>IFERROR(ReviewCalcs[[#This Row],[Proposed Fixture Quantity]]*ReviewCalcs[[#This Row],[Proposed Fixture Watts]]/1000*(ReviewCalcs[[#This Row],[Existing PAF]]-ReviewCalcs[[#This Row],[Proposed PAF]])*ReviewCalcs[[#This Row],[AOH]]*ReviewCalcs[[#This Row],[IEFE]],0)</f>
        <v>0</v>
      </c>
      <c r="BS24" s="118">
        <f>ReviewCalcs[[#This Row],[Incentive Fixture Demand Savings (kW)]]+ReviewCalcs[[#This Row],[Incentive Control Demand Savings (kW)]]</f>
        <v>0</v>
      </c>
      <c r="BT24" s="118">
        <f>ReviewCalcs[[#This Row],[Incentive Fixture Energy Savings (kWh)]]+ReviewCalcs[[#This Row],[Incentive Control Energy Savings (kWh)]]</f>
        <v>0</v>
      </c>
      <c r="BU24" s="73"/>
    </row>
    <row r="25" spans="1:73" ht="30" customHeight="1">
      <c r="A25" s="68">
        <v>22</v>
      </c>
      <c r="B25" s="96">
        <f>VLOOKUP(ReviewCalcs[[#This Row],[Project Index]], ProjectInput[], D$1, FALSE)</f>
        <v>0</v>
      </c>
      <c r="C25" s="97">
        <f>VLOOKUP(ReviewCalcs[[#This Row],[Project Index]], ProjectInput[], E$1, FALSE)</f>
        <v>0</v>
      </c>
      <c r="D25" s="97">
        <f>VLOOKUP(ReviewCalcs[[#This Row],[Project Index]], ProjectInput[], F$1, FALSE)</f>
        <v>0</v>
      </c>
      <c r="E25" s="97">
        <f>VLOOKUP(ReviewCalcs[[#This Row],[Project Index]], ProjectInput[], G$1, FALSE)</f>
        <v>0</v>
      </c>
      <c r="F25" s="97">
        <f>VLOOKUP(ReviewCalcs[[#This Row],[Project Index]], ProjectInput[], H$1, FALSE)</f>
        <v>0</v>
      </c>
      <c r="G25" s="98" t="str">
        <f>VLOOKUP(ReviewCalcs[[#This Row],[Project Index]], ProjectInput[], I$1, FALSE)</f>
        <v/>
      </c>
      <c r="H25" s="96">
        <f>VLOOKUP(ReviewCalcs[[#This Row],[Project Index]], ProjectInput[], J$1, FALSE)</f>
        <v>0</v>
      </c>
      <c r="I25" s="97">
        <f>VLOOKUP(ReviewCalcs[[#This Row],[Project Index]], ProjectInput[], K$1, FALSE)</f>
        <v>0</v>
      </c>
      <c r="J25" s="97">
        <f>VLOOKUP(ReviewCalcs[[#This Row],[Project Index]], ProjectInput[], L$1, FALSE)</f>
        <v>0</v>
      </c>
      <c r="K25" s="97">
        <f>VLOOKUP(ReviewCalcs[[#This Row],[Project Index]], ProjectInput[], M$1, FALSE)</f>
        <v>0</v>
      </c>
      <c r="L25" s="97">
        <f>VLOOKUP(ReviewCalcs[[#This Row],[Project Index]], ProjectInput[], N$1, FALSE)</f>
        <v>0</v>
      </c>
      <c r="M25" s="98" t="str">
        <f>VLOOKUP(ReviewCalcs[[#This Row],[Project Index]], ProjectInput[], O$1, FALSE)</f>
        <v/>
      </c>
      <c r="N25" s="96">
        <f>VLOOKUP(ReviewCalcs[[#This Row],[Project Index]], ProjectInput[], P$1, FALSE)</f>
        <v>0</v>
      </c>
      <c r="O25" s="97">
        <f>VLOOKUP(ReviewCalcs[[#This Row],[Project Index]], ProjectInput[], Q$1, FALSE)</f>
        <v>0</v>
      </c>
      <c r="P25" s="97">
        <f>VLOOKUP(ReviewCalcs[[#This Row],[Project Index]], ProjectInput[], R$1, FALSE)</f>
        <v>0</v>
      </c>
      <c r="Q25" s="97">
        <f>VLOOKUP(ReviewCalcs[[#This Row],[Project Index]], ProjectInput[], S$1, FALSE)</f>
        <v>0</v>
      </c>
      <c r="R25" s="97">
        <f>VLOOKUP(ReviewCalcs[[#This Row],[Project Index]], ProjectInput[], T$1, FALSE)</f>
        <v>0</v>
      </c>
      <c r="S25" s="97">
        <f>VLOOKUP(ReviewCalcs[[#This Row],[Project Index]], ProjectInput[], U$1, FALSE)</f>
        <v>0</v>
      </c>
      <c r="T25" s="97">
        <f>VLOOKUP(ReviewCalcs[[#This Row],[Project Index]], ProjectInput[], V$1, FALSE)</f>
        <v>0</v>
      </c>
      <c r="U25" s="97">
        <f>VLOOKUP(ReviewCalcs[[#This Row],[Project Index]], ProjectInput[], W$1, FALSE)</f>
        <v>0</v>
      </c>
      <c r="V25" s="98" t="str">
        <f>VLOOKUP(ReviewCalcs[[#This Row],[Project Index]], ProjectInput[], X$1, FALSE)</f>
        <v/>
      </c>
      <c r="W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 s="75" t="e">
        <f>IF(VLOOKUP(ReviewCalcs[[#This Row],[Proposed Fixture Code]], Table7[[FIXTURE CODE]:[Baseline Fixture Code]], 8, FALSE)="N", "ERROR", "PASS")</f>
        <v>#N/A</v>
      </c>
      <c r="Y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 s="75" t="e">
        <f>IF(OR(ReviewCalcs[[#This Row],[Baseline Fixture Watts]]&gt;=ReviewCalcs[[#This Row],[Proposed Fixture Watts]],ReviewCalcs[[#This Row],[Existing Fixture Watts]]&gt;=ReviewCalcs[[#This Row],[Proposed Fixture Watts]] ), "PASS", "ERROR")</f>
        <v>#N/A</v>
      </c>
      <c r="AA25" s="69" t="e">
        <f>VLOOKUP(ReviewCalcs[[#This Row],[Space Conditions]], Table_365[], 5, FALSE)</f>
        <v>#N/A</v>
      </c>
      <c r="AB25" s="68" t="str">
        <f>ReviewCalcs[[#This Row],[Annual Hours]]</f>
        <v/>
      </c>
      <c r="AC25" s="68" t="e">
        <f>VLOOKUP(ReviewCalcs[[#This Row],[Space Conditions]], Table_365[], 6, FALSE)</f>
        <v>#N/A</v>
      </c>
      <c r="AD25" s="68">
        <f>IF(ReviewCalcs[[#This Row],[Existing Control(s)]]='Tables &amp; Ranges'!$A$25, VLOOKUP(ReviewCalcs[[#This Row],[Building/Space Type]], Table_364[], 3, FALSE), CF_Contols)</f>
        <v>0.26</v>
      </c>
      <c r="AE25" s="68" t="e">
        <f>VLOOKUP(ReviewCalcs[[#This Row],[Existing Control(s)]], Table_358[], 2, FALSE)</f>
        <v>#N/A</v>
      </c>
      <c r="AF25" s="68">
        <f>IF(ReviewCalcs[[#This Row],[Proposed Control(s)]]='Tables &amp; Ranges'!$A$25, VLOOKUP(ReviewCalcs[[#This Row],[Building/Space Type]], Table_364[], 3, FALSE), CF_Contols)</f>
        <v>0.26</v>
      </c>
      <c r="AG25" s="68" t="e">
        <f>VLOOKUP(ReviewCalcs[[#This Row],[Proposed Control(s)]], Table_358[], 2, FALSE)</f>
        <v>#N/A</v>
      </c>
      <c r="AH25" s="68">
        <f>IFERROR((ReviewCalcs[[#This Row],[Existing Fixture Quantity]]*ReviewCalcs[[#This Row],[Existing Fixture Watts]]/1000)*ReviewCalcs[[#This Row],[Existing CF]]*ReviewCalcs[[#This Row],[IEFD]], 0)</f>
        <v>0</v>
      </c>
      <c r="AI25" s="68">
        <f>IFERROR((ReviewCalcs[[#This Row],[Proposed Fixture Quantity]]*ReviewCalcs[[#This Row],[Proposed Fixture Watts]]/1000)*ReviewCalcs[[#This Row],[Existing CF]]*ReviewCalcs[[#This Row],[IEFD]], 0)</f>
        <v>0</v>
      </c>
      <c r="AJ25" s="118">
        <f>IFERROR((ReviewCalcs[[#This Row],[Existing Fixture Quantity]]*ReviewCalcs[[#This Row],[Existing Fixture Watts]]/1000-ReviewCalcs[[#This Row],[Proposed Fixture Quantity]]*ReviewCalcs[[#This Row],[Proposed Fixture Watts]]/1000)*ReviewCalcs[[#This Row],[Existing CF]]*ReviewCalcs[[#This Row],[IEFD]], 0)</f>
        <v>0</v>
      </c>
      <c r="AK25" s="118">
        <f>IFERROR((ReviewCalcs[[#This Row],[Existing Fixture Quantity]]*ReviewCalcs[[#This Row],[Existing Fixture Watts]]/1000)*ReviewCalcs[[#This Row],[AOH]]*ReviewCalcs[[#This Row],[IEFE]]*ReviewCalcs[[#This Row],[Existing PAF]], 0)</f>
        <v>0</v>
      </c>
      <c r="AL25" s="118">
        <f>IFERROR((ReviewCalcs[[#This Row],[Proposed Fixture Quantity]]*ReviewCalcs[[#This Row],[Proposed Fixture Watts]]/1000)*ReviewCalcs[[#This Row],[AOH]]*ReviewCalcs[[#This Row],[IEFE]]*ReviewCalcs[[#This Row],[Existing PAF]], 0)</f>
        <v>0</v>
      </c>
      <c r="AM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 s="118">
        <f>ReviewCalcs[[#This Row],[Fixture Existing Energy (kWh)]]*Avg_KWh_Rate</f>
        <v>0</v>
      </c>
      <c r="AO25" s="118">
        <f>ReviewCalcs[[#This Row],[Fixture Proposed Energy (kWh)]]*Avg_KWh_Rate</f>
        <v>0</v>
      </c>
      <c r="AP25" s="70">
        <f>ReviewCalcs[[#This Row],[Fixture Energy Savings]]*Avg_KWh_Rate</f>
        <v>0</v>
      </c>
      <c r="AQ25" s="129" t="e">
        <f>ReviewCalcs[[#This Row],[Existing Fixture Quantity]]*ReviewCalcs[[#This Row],[Existing Fixture Watts]]/1000*ReviewCalcs[[#This Row],[Existing CF]]*ReviewCalcs[[#This Row],[IEFD]]</f>
        <v>#VALUE!</v>
      </c>
      <c r="AR25" s="129" t="e">
        <f>ReviewCalcs[[#This Row],[Proposed Fixture Quantity]]*ReviewCalcs[[#This Row],[Proposed Fixture Watts]]/1000*ReviewCalcs[[#This Row],[Proposed CF]]*ReviewCalcs[[#This Row],[IEFD]]</f>
        <v>#VALUE!</v>
      </c>
      <c r="AS25" s="118">
        <f>IF(ReviewCalcs[[#This Row],[Existing CF]]=ReviewCalcs[[#This Row],[Proposed CF]], 0, ReviewCalcs[[#This Row],[Proposed Fixture Quantity]]*ReviewCalcs[[#This Row],[Proposed Fixture Watts]]/1000*ReviewCalcs[[#This Row],[Proposed CF]]*ReviewCalcs[[#This Row],[IEFD]])</f>
        <v>0</v>
      </c>
      <c r="AT25" s="118">
        <f>IFERROR(ReviewCalcs[[#This Row],[Existing Fixture Quantity]]*ReviewCalcs[[#This Row],[Existing Fixture Watts]]/1000*ReviewCalcs[[#This Row],[Existing PAF]]*ReviewCalcs[[#This Row],[AOH]]*ReviewCalcs[[#This Row],[IEFE]], 0)</f>
        <v>0</v>
      </c>
      <c r="AU25" s="118">
        <f>IFERROR(ReviewCalcs[[#This Row],[Proposed Fixture Quantity]]*ReviewCalcs[[#This Row],[Proposed Fixture Watts]]/1000*ReviewCalcs[[#This Row],[Proposed PAF]]*ReviewCalcs[[#This Row],[AOH]]*ReviewCalcs[[#This Row],[IEFE]], 0)</f>
        <v>0</v>
      </c>
      <c r="AV25" s="118">
        <f>IFERROR(ReviewCalcs[[#This Row],[Proposed Fixture Quantity]]*ReviewCalcs[[#This Row],[Proposed Fixture Watts]]/1000*(ReviewCalcs[[#This Row],[Existing PAF]]-ReviewCalcs[[#This Row],[Proposed PAF]])*ReviewCalcs[[#This Row],[AOH]]*ReviewCalcs[[#This Row],[IEFE]], 0)</f>
        <v>0</v>
      </c>
      <c r="AW25" s="118">
        <f>ReviewCalcs[[#This Row],[Control Existing Energy (kWh)]]*kWh_Incentive_Rate</f>
        <v>0</v>
      </c>
      <c r="AX25" s="118">
        <f>ReviewCalcs[[#This Row],[Control Proposed Energy (kWh)]]*kWh_Incentive_Rate</f>
        <v>0</v>
      </c>
      <c r="AY25" s="70">
        <f>ReviewCalcs[[#This Row],[Control Energy Savings (kWh)]]*kWh_Incentive_Rate</f>
        <v>0</v>
      </c>
      <c r="AZ25" s="70" t="e">
        <f>ReviewCalcs[[#This Row],[Fixture Existing Demand (kW)]]+ReviewCalcs[[#This Row],[Control Existing Demand (kW)]]</f>
        <v>#VALUE!</v>
      </c>
      <c r="BA25" s="70" t="e">
        <f>ReviewCalcs[[#This Row],[Fixture Proposed Demand (kW)]]+ReviewCalcs[[#This Row],[Control Proposed Demand (kW)]]</f>
        <v>#VALUE!</v>
      </c>
      <c r="BB25" s="118">
        <f>ReviewCalcs[[#This Row],[Fixture Demand Savings (kW)]]+ReviewCalcs[[#This Row],[Control Demand Savings (kW)]]</f>
        <v>0</v>
      </c>
      <c r="BC25" s="118">
        <f>ReviewCalcs[[#This Row],[Fixture Existing Energy (kWh)]]+ReviewCalcs[[#This Row],[Control Existing Energy (kWh)]]</f>
        <v>0</v>
      </c>
      <c r="BD25" s="118">
        <f>ReviewCalcs[[#This Row],[Fixture Proposed Energy (kWh)]]+ReviewCalcs[[#This Row],[Control Proposed Energy (kWh)]]</f>
        <v>0</v>
      </c>
      <c r="BE25" s="118">
        <f>ReviewCalcs[[#This Row],[Fixture Energy Savings]]+ReviewCalcs[[#This Row],[Control Energy Savings (kWh)]]</f>
        <v>0</v>
      </c>
      <c r="BF25" s="118">
        <f>ReviewCalcs[[#This Row],[Fixture Existing Cost ($)]]+ReviewCalcs[[#This Row],[Control Existing Cost ($)]]</f>
        <v>0</v>
      </c>
      <c r="BG25" s="118">
        <f>ReviewCalcs[[#This Row],[Fixture Proposed Cost ($)]]+ReviewCalcs[[#This Row],[Controls Proposed Cost ($)]]</f>
        <v>0</v>
      </c>
      <c r="BH25" s="70">
        <f>ReviewCalcs[[#This Row],[Total Energy Savings (kWh)]]*Avg_KWh_Rate</f>
        <v>0</v>
      </c>
      <c r="BI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 s="70">
        <f>ReviewCalcs[[#This Row],[Retrofit Cost]]</f>
        <v>0</v>
      </c>
      <c r="BK25" s="70">
        <f>ReviewCalcs[[#This Row],[Retrofit Cost]]-ReviewCalcs[[#This Row],[Incentive ($)]]</f>
        <v>0</v>
      </c>
      <c r="BL25" s="118" t="e">
        <f>IFERROR(ReviewCalcs[[#This Row],[Net Project Cost ($)]]/ReviewCalcs[[#This Row],[Fixture Energy Cost Savings ($)]], #N/A)</f>
        <v>#N/A</v>
      </c>
      <c r="BM25" s="118" t="e">
        <f>IF(VLOOKUP(ReviewCalcs[[#This Row],[Existing Fixture Code]], Table7[[FIXTURE CODE]:[Baseline Fixture Code]], 8, FALSE)="N", VLOOKUP(ReviewCalcs[[#This Row],[Existing Fixture Code]], Table7[[FIXTURE CODE]:[Baseline Fixture Code]], 9, FALSE), ReviewCalcs[[#This Row],[Existing Fixture Code]])</f>
        <v>#N/A</v>
      </c>
      <c r="BN25" s="118" t="e">
        <f>INDEX(Table7[WATT/ FIXT], MATCH(ReviewCalcs[Baseline Fixture Code], Table7[FIXTURE CODE], 0))</f>
        <v>#N/A</v>
      </c>
      <c r="BO25" s="118">
        <f>IFERROR((ReviewCalcs[[#This Row],[Existing Fixture Quantity]]*ReviewCalcs[[#This Row],[Baseline Fixture Watts]]/1000-ReviewCalcs[[#This Row],[Proposed Fixture Quantity]]*ReviewCalcs[[#This Row],[Proposed Fixture Watts]]/1000)*ReviewCalcs[[#This Row],[Existing CF]]*ReviewCalcs[[#This Row],[IEFD]], 0)</f>
        <v>0</v>
      </c>
      <c r="BP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 s="118">
        <f>IF(ReviewCalcs[[#This Row],[Existing CF]]=ReviewCalcs[[#This Row],[Proposed CF]], 0, ReviewCalcs[[#This Row],[Proposed Fixture Quantity]]*ReviewCalcs[[#This Row],[Proposed Fixture Watts]]/1000*ReviewCalcs[[#This Row],[Proposed CF]]*ReviewCalcs[[#This Row],[IEFD]])</f>
        <v>0</v>
      </c>
      <c r="BR25" s="118">
        <f>IFERROR(ReviewCalcs[[#This Row],[Proposed Fixture Quantity]]*ReviewCalcs[[#This Row],[Proposed Fixture Watts]]/1000*(ReviewCalcs[[#This Row],[Existing PAF]]-ReviewCalcs[[#This Row],[Proposed PAF]])*ReviewCalcs[[#This Row],[AOH]]*ReviewCalcs[[#This Row],[IEFE]],0)</f>
        <v>0</v>
      </c>
      <c r="BS25" s="118">
        <f>ReviewCalcs[[#This Row],[Incentive Fixture Demand Savings (kW)]]+ReviewCalcs[[#This Row],[Incentive Control Demand Savings (kW)]]</f>
        <v>0</v>
      </c>
      <c r="BT25" s="118">
        <f>ReviewCalcs[[#This Row],[Incentive Fixture Energy Savings (kWh)]]+ReviewCalcs[[#This Row],[Incentive Control Energy Savings (kWh)]]</f>
        <v>0</v>
      </c>
      <c r="BU25" s="73"/>
    </row>
    <row r="26" spans="1:73" ht="30" customHeight="1">
      <c r="A26" s="68">
        <v>23</v>
      </c>
      <c r="B26" s="96">
        <f>VLOOKUP(ReviewCalcs[[#This Row],[Project Index]], ProjectInput[], D$1, FALSE)</f>
        <v>0</v>
      </c>
      <c r="C26" s="97">
        <f>VLOOKUP(ReviewCalcs[[#This Row],[Project Index]], ProjectInput[], E$1, FALSE)</f>
        <v>0</v>
      </c>
      <c r="D26" s="97">
        <f>VLOOKUP(ReviewCalcs[[#This Row],[Project Index]], ProjectInput[], F$1, FALSE)</f>
        <v>0</v>
      </c>
      <c r="E26" s="97">
        <f>VLOOKUP(ReviewCalcs[[#This Row],[Project Index]], ProjectInput[], G$1, FALSE)</f>
        <v>0</v>
      </c>
      <c r="F26" s="97">
        <f>VLOOKUP(ReviewCalcs[[#This Row],[Project Index]], ProjectInput[], H$1, FALSE)</f>
        <v>0</v>
      </c>
      <c r="G26" s="98" t="str">
        <f>VLOOKUP(ReviewCalcs[[#This Row],[Project Index]], ProjectInput[], I$1, FALSE)</f>
        <v/>
      </c>
      <c r="H26" s="96">
        <f>VLOOKUP(ReviewCalcs[[#This Row],[Project Index]], ProjectInput[], J$1, FALSE)</f>
        <v>0</v>
      </c>
      <c r="I26" s="97">
        <f>VLOOKUP(ReviewCalcs[[#This Row],[Project Index]], ProjectInput[], K$1, FALSE)</f>
        <v>0</v>
      </c>
      <c r="J26" s="97">
        <f>VLOOKUP(ReviewCalcs[[#This Row],[Project Index]], ProjectInput[], L$1, FALSE)</f>
        <v>0</v>
      </c>
      <c r="K26" s="97">
        <f>VLOOKUP(ReviewCalcs[[#This Row],[Project Index]], ProjectInput[], M$1, FALSE)</f>
        <v>0</v>
      </c>
      <c r="L26" s="97">
        <f>VLOOKUP(ReviewCalcs[[#This Row],[Project Index]], ProjectInput[], N$1, FALSE)</f>
        <v>0</v>
      </c>
      <c r="M26" s="98" t="str">
        <f>VLOOKUP(ReviewCalcs[[#This Row],[Project Index]], ProjectInput[], O$1, FALSE)</f>
        <v/>
      </c>
      <c r="N26" s="96">
        <f>VLOOKUP(ReviewCalcs[[#This Row],[Project Index]], ProjectInput[], P$1, FALSE)</f>
        <v>0</v>
      </c>
      <c r="O26" s="97">
        <f>VLOOKUP(ReviewCalcs[[#This Row],[Project Index]], ProjectInput[], Q$1, FALSE)</f>
        <v>0</v>
      </c>
      <c r="P26" s="97">
        <f>VLOOKUP(ReviewCalcs[[#This Row],[Project Index]], ProjectInput[], R$1, FALSE)</f>
        <v>0</v>
      </c>
      <c r="Q26" s="97">
        <f>VLOOKUP(ReviewCalcs[[#This Row],[Project Index]], ProjectInput[], S$1, FALSE)</f>
        <v>0</v>
      </c>
      <c r="R26" s="97">
        <f>VLOOKUP(ReviewCalcs[[#This Row],[Project Index]], ProjectInput[], T$1, FALSE)</f>
        <v>0</v>
      </c>
      <c r="S26" s="97">
        <f>VLOOKUP(ReviewCalcs[[#This Row],[Project Index]], ProjectInput[], U$1, FALSE)</f>
        <v>0</v>
      </c>
      <c r="T26" s="97">
        <f>VLOOKUP(ReviewCalcs[[#This Row],[Project Index]], ProjectInput[], V$1, FALSE)</f>
        <v>0</v>
      </c>
      <c r="U26" s="97">
        <f>VLOOKUP(ReviewCalcs[[#This Row],[Project Index]], ProjectInput[], W$1, FALSE)</f>
        <v>0</v>
      </c>
      <c r="V26" s="98" t="str">
        <f>VLOOKUP(ReviewCalcs[[#This Row],[Project Index]], ProjectInput[], X$1, FALSE)</f>
        <v/>
      </c>
      <c r="W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 s="75" t="e">
        <f>IF(VLOOKUP(ReviewCalcs[[#This Row],[Proposed Fixture Code]], Table7[[FIXTURE CODE]:[Baseline Fixture Code]], 8, FALSE)="N", "ERROR", "PASS")</f>
        <v>#N/A</v>
      </c>
      <c r="Y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 s="75" t="e">
        <f>IF(OR(ReviewCalcs[[#This Row],[Baseline Fixture Watts]]&gt;=ReviewCalcs[[#This Row],[Proposed Fixture Watts]],ReviewCalcs[[#This Row],[Existing Fixture Watts]]&gt;=ReviewCalcs[[#This Row],[Proposed Fixture Watts]] ), "PASS", "ERROR")</f>
        <v>#N/A</v>
      </c>
      <c r="AA26" s="69" t="e">
        <f>VLOOKUP(ReviewCalcs[[#This Row],[Space Conditions]], Table_365[], 5, FALSE)</f>
        <v>#N/A</v>
      </c>
      <c r="AB26" s="68" t="str">
        <f>ReviewCalcs[[#This Row],[Annual Hours]]</f>
        <v/>
      </c>
      <c r="AC26" s="68" t="e">
        <f>VLOOKUP(ReviewCalcs[[#This Row],[Space Conditions]], Table_365[], 6, FALSE)</f>
        <v>#N/A</v>
      </c>
      <c r="AD26" s="68">
        <f>IF(ReviewCalcs[[#This Row],[Existing Control(s)]]='Tables &amp; Ranges'!$A$25, VLOOKUP(ReviewCalcs[[#This Row],[Building/Space Type]], Table_364[], 3, FALSE), CF_Contols)</f>
        <v>0.26</v>
      </c>
      <c r="AE26" s="68" t="e">
        <f>VLOOKUP(ReviewCalcs[[#This Row],[Existing Control(s)]], Table_358[], 2, FALSE)</f>
        <v>#N/A</v>
      </c>
      <c r="AF26" s="68">
        <f>IF(ReviewCalcs[[#This Row],[Proposed Control(s)]]='Tables &amp; Ranges'!$A$25, VLOOKUP(ReviewCalcs[[#This Row],[Building/Space Type]], Table_364[], 3, FALSE), CF_Contols)</f>
        <v>0.26</v>
      </c>
      <c r="AG26" s="68" t="e">
        <f>VLOOKUP(ReviewCalcs[[#This Row],[Proposed Control(s)]], Table_358[], 2, FALSE)</f>
        <v>#N/A</v>
      </c>
      <c r="AH26" s="68">
        <f>IFERROR((ReviewCalcs[[#This Row],[Existing Fixture Quantity]]*ReviewCalcs[[#This Row],[Existing Fixture Watts]]/1000)*ReviewCalcs[[#This Row],[Existing CF]]*ReviewCalcs[[#This Row],[IEFD]], 0)</f>
        <v>0</v>
      </c>
      <c r="AI26" s="68">
        <f>IFERROR((ReviewCalcs[[#This Row],[Proposed Fixture Quantity]]*ReviewCalcs[[#This Row],[Proposed Fixture Watts]]/1000)*ReviewCalcs[[#This Row],[Existing CF]]*ReviewCalcs[[#This Row],[IEFD]], 0)</f>
        <v>0</v>
      </c>
      <c r="AJ26" s="118">
        <f>IFERROR((ReviewCalcs[[#This Row],[Existing Fixture Quantity]]*ReviewCalcs[[#This Row],[Existing Fixture Watts]]/1000-ReviewCalcs[[#This Row],[Proposed Fixture Quantity]]*ReviewCalcs[[#This Row],[Proposed Fixture Watts]]/1000)*ReviewCalcs[[#This Row],[Existing CF]]*ReviewCalcs[[#This Row],[IEFD]], 0)</f>
        <v>0</v>
      </c>
      <c r="AK26" s="118">
        <f>IFERROR((ReviewCalcs[[#This Row],[Existing Fixture Quantity]]*ReviewCalcs[[#This Row],[Existing Fixture Watts]]/1000)*ReviewCalcs[[#This Row],[AOH]]*ReviewCalcs[[#This Row],[IEFE]]*ReviewCalcs[[#This Row],[Existing PAF]], 0)</f>
        <v>0</v>
      </c>
      <c r="AL26" s="118">
        <f>IFERROR((ReviewCalcs[[#This Row],[Proposed Fixture Quantity]]*ReviewCalcs[[#This Row],[Proposed Fixture Watts]]/1000)*ReviewCalcs[[#This Row],[AOH]]*ReviewCalcs[[#This Row],[IEFE]]*ReviewCalcs[[#This Row],[Existing PAF]], 0)</f>
        <v>0</v>
      </c>
      <c r="AM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 s="118">
        <f>ReviewCalcs[[#This Row],[Fixture Existing Energy (kWh)]]*Avg_KWh_Rate</f>
        <v>0</v>
      </c>
      <c r="AO26" s="118">
        <f>ReviewCalcs[[#This Row],[Fixture Proposed Energy (kWh)]]*Avg_KWh_Rate</f>
        <v>0</v>
      </c>
      <c r="AP26" s="70">
        <f>ReviewCalcs[[#This Row],[Fixture Energy Savings]]*Avg_KWh_Rate</f>
        <v>0</v>
      </c>
      <c r="AQ26" s="129" t="e">
        <f>ReviewCalcs[[#This Row],[Existing Fixture Quantity]]*ReviewCalcs[[#This Row],[Existing Fixture Watts]]/1000*ReviewCalcs[[#This Row],[Existing CF]]*ReviewCalcs[[#This Row],[IEFD]]</f>
        <v>#VALUE!</v>
      </c>
      <c r="AR26" s="129" t="e">
        <f>ReviewCalcs[[#This Row],[Proposed Fixture Quantity]]*ReviewCalcs[[#This Row],[Proposed Fixture Watts]]/1000*ReviewCalcs[[#This Row],[Proposed CF]]*ReviewCalcs[[#This Row],[IEFD]]</f>
        <v>#VALUE!</v>
      </c>
      <c r="AS26" s="118">
        <f>IF(ReviewCalcs[[#This Row],[Existing CF]]=ReviewCalcs[[#This Row],[Proposed CF]], 0, ReviewCalcs[[#This Row],[Proposed Fixture Quantity]]*ReviewCalcs[[#This Row],[Proposed Fixture Watts]]/1000*ReviewCalcs[[#This Row],[Proposed CF]]*ReviewCalcs[[#This Row],[IEFD]])</f>
        <v>0</v>
      </c>
      <c r="AT26" s="118">
        <f>IFERROR(ReviewCalcs[[#This Row],[Existing Fixture Quantity]]*ReviewCalcs[[#This Row],[Existing Fixture Watts]]/1000*ReviewCalcs[[#This Row],[Existing PAF]]*ReviewCalcs[[#This Row],[AOH]]*ReviewCalcs[[#This Row],[IEFE]], 0)</f>
        <v>0</v>
      </c>
      <c r="AU26" s="118">
        <f>IFERROR(ReviewCalcs[[#This Row],[Proposed Fixture Quantity]]*ReviewCalcs[[#This Row],[Proposed Fixture Watts]]/1000*ReviewCalcs[[#This Row],[Proposed PAF]]*ReviewCalcs[[#This Row],[AOH]]*ReviewCalcs[[#This Row],[IEFE]], 0)</f>
        <v>0</v>
      </c>
      <c r="AV26" s="118">
        <f>IFERROR(ReviewCalcs[[#This Row],[Proposed Fixture Quantity]]*ReviewCalcs[[#This Row],[Proposed Fixture Watts]]/1000*(ReviewCalcs[[#This Row],[Existing PAF]]-ReviewCalcs[[#This Row],[Proposed PAF]])*ReviewCalcs[[#This Row],[AOH]]*ReviewCalcs[[#This Row],[IEFE]], 0)</f>
        <v>0</v>
      </c>
      <c r="AW26" s="118">
        <f>ReviewCalcs[[#This Row],[Control Existing Energy (kWh)]]*kWh_Incentive_Rate</f>
        <v>0</v>
      </c>
      <c r="AX26" s="118">
        <f>ReviewCalcs[[#This Row],[Control Proposed Energy (kWh)]]*kWh_Incentive_Rate</f>
        <v>0</v>
      </c>
      <c r="AY26" s="70">
        <f>ReviewCalcs[[#This Row],[Control Energy Savings (kWh)]]*kWh_Incentive_Rate</f>
        <v>0</v>
      </c>
      <c r="AZ26" s="70" t="e">
        <f>ReviewCalcs[[#This Row],[Fixture Existing Demand (kW)]]+ReviewCalcs[[#This Row],[Control Existing Demand (kW)]]</f>
        <v>#VALUE!</v>
      </c>
      <c r="BA26" s="70" t="e">
        <f>ReviewCalcs[[#This Row],[Fixture Proposed Demand (kW)]]+ReviewCalcs[[#This Row],[Control Proposed Demand (kW)]]</f>
        <v>#VALUE!</v>
      </c>
      <c r="BB26" s="118">
        <f>ReviewCalcs[[#This Row],[Fixture Demand Savings (kW)]]+ReviewCalcs[[#This Row],[Control Demand Savings (kW)]]</f>
        <v>0</v>
      </c>
      <c r="BC26" s="118">
        <f>ReviewCalcs[[#This Row],[Fixture Existing Energy (kWh)]]+ReviewCalcs[[#This Row],[Control Existing Energy (kWh)]]</f>
        <v>0</v>
      </c>
      <c r="BD26" s="118">
        <f>ReviewCalcs[[#This Row],[Fixture Proposed Energy (kWh)]]+ReviewCalcs[[#This Row],[Control Proposed Energy (kWh)]]</f>
        <v>0</v>
      </c>
      <c r="BE26" s="118">
        <f>ReviewCalcs[[#This Row],[Fixture Energy Savings]]+ReviewCalcs[[#This Row],[Control Energy Savings (kWh)]]</f>
        <v>0</v>
      </c>
      <c r="BF26" s="118">
        <f>ReviewCalcs[[#This Row],[Fixture Existing Cost ($)]]+ReviewCalcs[[#This Row],[Control Existing Cost ($)]]</f>
        <v>0</v>
      </c>
      <c r="BG26" s="118">
        <f>ReviewCalcs[[#This Row],[Fixture Proposed Cost ($)]]+ReviewCalcs[[#This Row],[Controls Proposed Cost ($)]]</f>
        <v>0</v>
      </c>
      <c r="BH26" s="70">
        <f>ReviewCalcs[[#This Row],[Total Energy Savings (kWh)]]*Avg_KWh_Rate</f>
        <v>0</v>
      </c>
      <c r="BI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 s="70">
        <f>ReviewCalcs[[#This Row],[Retrofit Cost]]</f>
        <v>0</v>
      </c>
      <c r="BK26" s="70">
        <f>ReviewCalcs[[#This Row],[Retrofit Cost]]-ReviewCalcs[[#This Row],[Incentive ($)]]</f>
        <v>0</v>
      </c>
      <c r="BL26" s="118" t="e">
        <f>IFERROR(ReviewCalcs[[#This Row],[Net Project Cost ($)]]/ReviewCalcs[[#This Row],[Fixture Energy Cost Savings ($)]], #N/A)</f>
        <v>#N/A</v>
      </c>
      <c r="BM26" s="118" t="e">
        <f>IF(VLOOKUP(ReviewCalcs[[#This Row],[Existing Fixture Code]], Table7[[FIXTURE CODE]:[Baseline Fixture Code]], 8, FALSE)="N", VLOOKUP(ReviewCalcs[[#This Row],[Existing Fixture Code]], Table7[[FIXTURE CODE]:[Baseline Fixture Code]], 9, FALSE), ReviewCalcs[[#This Row],[Existing Fixture Code]])</f>
        <v>#N/A</v>
      </c>
      <c r="BN26" s="118" t="e">
        <f>INDEX(Table7[WATT/ FIXT], MATCH(ReviewCalcs[Baseline Fixture Code], Table7[FIXTURE CODE], 0))</f>
        <v>#N/A</v>
      </c>
      <c r="BO26" s="118">
        <f>IFERROR((ReviewCalcs[[#This Row],[Existing Fixture Quantity]]*ReviewCalcs[[#This Row],[Baseline Fixture Watts]]/1000-ReviewCalcs[[#This Row],[Proposed Fixture Quantity]]*ReviewCalcs[[#This Row],[Proposed Fixture Watts]]/1000)*ReviewCalcs[[#This Row],[Existing CF]]*ReviewCalcs[[#This Row],[IEFD]], 0)</f>
        <v>0</v>
      </c>
      <c r="BP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 s="118">
        <f>IF(ReviewCalcs[[#This Row],[Existing CF]]=ReviewCalcs[[#This Row],[Proposed CF]], 0, ReviewCalcs[[#This Row],[Proposed Fixture Quantity]]*ReviewCalcs[[#This Row],[Proposed Fixture Watts]]/1000*ReviewCalcs[[#This Row],[Proposed CF]]*ReviewCalcs[[#This Row],[IEFD]])</f>
        <v>0</v>
      </c>
      <c r="BR26" s="118">
        <f>IFERROR(ReviewCalcs[[#This Row],[Proposed Fixture Quantity]]*ReviewCalcs[[#This Row],[Proposed Fixture Watts]]/1000*(ReviewCalcs[[#This Row],[Existing PAF]]-ReviewCalcs[[#This Row],[Proposed PAF]])*ReviewCalcs[[#This Row],[AOH]]*ReviewCalcs[[#This Row],[IEFE]],0)</f>
        <v>0</v>
      </c>
      <c r="BS26" s="118">
        <f>ReviewCalcs[[#This Row],[Incentive Fixture Demand Savings (kW)]]+ReviewCalcs[[#This Row],[Incentive Control Demand Savings (kW)]]</f>
        <v>0</v>
      </c>
      <c r="BT26" s="118">
        <f>ReviewCalcs[[#This Row],[Incentive Fixture Energy Savings (kWh)]]+ReviewCalcs[[#This Row],[Incentive Control Energy Savings (kWh)]]</f>
        <v>0</v>
      </c>
      <c r="BU26" s="73"/>
    </row>
    <row r="27" spans="1:73" ht="30" customHeight="1">
      <c r="A27" s="68">
        <v>24</v>
      </c>
      <c r="B27" s="96">
        <f>VLOOKUP(ReviewCalcs[[#This Row],[Project Index]], ProjectInput[], D$1, FALSE)</f>
        <v>0</v>
      </c>
      <c r="C27" s="97">
        <f>VLOOKUP(ReviewCalcs[[#This Row],[Project Index]], ProjectInput[], E$1, FALSE)</f>
        <v>0</v>
      </c>
      <c r="D27" s="97">
        <f>VLOOKUP(ReviewCalcs[[#This Row],[Project Index]], ProjectInput[], F$1, FALSE)</f>
        <v>0</v>
      </c>
      <c r="E27" s="97">
        <f>VLOOKUP(ReviewCalcs[[#This Row],[Project Index]], ProjectInput[], G$1, FALSE)</f>
        <v>0</v>
      </c>
      <c r="F27" s="97">
        <f>VLOOKUP(ReviewCalcs[[#This Row],[Project Index]], ProjectInput[], H$1, FALSE)</f>
        <v>0</v>
      </c>
      <c r="G27" s="98" t="str">
        <f>VLOOKUP(ReviewCalcs[[#This Row],[Project Index]], ProjectInput[], I$1, FALSE)</f>
        <v/>
      </c>
      <c r="H27" s="96">
        <f>VLOOKUP(ReviewCalcs[[#This Row],[Project Index]], ProjectInput[], J$1, FALSE)</f>
        <v>0</v>
      </c>
      <c r="I27" s="97">
        <f>VLOOKUP(ReviewCalcs[[#This Row],[Project Index]], ProjectInput[], K$1, FALSE)</f>
        <v>0</v>
      </c>
      <c r="J27" s="97">
        <f>VLOOKUP(ReviewCalcs[[#This Row],[Project Index]], ProjectInput[], L$1, FALSE)</f>
        <v>0</v>
      </c>
      <c r="K27" s="97">
        <f>VLOOKUP(ReviewCalcs[[#This Row],[Project Index]], ProjectInput[], M$1, FALSE)</f>
        <v>0</v>
      </c>
      <c r="L27" s="97">
        <f>VLOOKUP(ReviewCalcs[[#This Row],[Project Index]], ProjectInput[], N$1, FALSE)</f>
        <v>0</v>
      </c>
      <c r="M27" s="98" t="str">
        <f>VLOOKUP(ReviewCalcs[[#This Row],[Project Index]], ProjectInput[], O$1, FALSE)</f>
        <v/>
      </c>
      <c r="N27" s="96">
        <f>VLOOKUP(ReviewCalcs[[#This Row],[Project Index]], ProjectInput[], P$1, FALSE)</f>
        <v>0</v>
      </c>
      <c r="O27" s="97">
        <f>VLOOKUP(ReviewCalcs[[#This Row],[Project Index]], ProjectInput[], Q$1, FALSE)</f>
        <v>0</v>
      </c>
      <c r="P27" s="97">
        <f>VLOOKUP(ReviewCalcs[[#This Row],[Project Index]], ProjectInput[], R$1, FALSE)</f>
        <v>0</v>
      </c>
      <c r="Q27" s="97">
        <f>VLOOKUP(ReviewCalcs[[#This Row],[Project Index]], ProjectInput[], S$1, FALSE)</f>
        <v>0</v>
      </c>
      <c r="R27" s="97">
        <f>VLOOKUP(ReviewCalcs[[#This Row],[Project Index]], ProjectInput[], T$1, FALSE)</f>
        <v>0</v>
      </c>
      <c r="S27" s="97">
        <f>VLOOKUP(ReviewCalcs[[#This Row],[Project Index]], ProjectInput[], U$1, FALSE)</f>
        <v>0</v>
      </c>
      <c r="T27" s="97">
        <f>VLOOKUP(ReviewCalcs[[#This Row],[Project Index]], ProjectInput[], V$1, FALSE)</f>
        <v>0</v>
      </c>
      <c r="U27" s="97">
        <f>VLOOKUP(ReviewCalcs[[#This Row],[Project Index]], ProjectInput[], W$1, FALSE)</f>
        <v>0</v>
      </c>
      <c r="V27" s="98" t="str">
        <f>VLOOKUP(ReviewCalcs[[#This Row],[Project Index]], ProjectInput[], X$1, FALSE)</f>
        <v/>
      </c>
      <c r="W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 s="75" t="e">
        <f>IF(VLOOKUP(ReviewCalcs[[#This Row],[Proposed Fixture Code]], Table7[[FIXTURE CODE]:[Baseline Fixture Code]], 8, FALSE)="N", "ERROR", "PASS")</f>
        <v>#N/A</v>
      </c>
      <c r="Y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 s="75" t="e">
        <f>IF(OR(ReviewCalcs[[#This Row],[Baseline Fixture Watts]]&gt;=ReviewCalcs[[#This Row],[Proposed Fixture Watts]],ReviewCalcs[[#This Row],[Existing Fixture Watts]]&gt;=ReviewCalcs[[#This Row],[Proposed Fixture Watts]] ), "PASS", "ERROR")</f>
        <v>#N/A</v>
      </c>
      <c r="AA27" s="69" t="e">
        <f>VLOOKUP(ReviewCalcs[[#This Row],[Space Conditions]], Table_365[], 5, FALSE)</f>
        <v>#N/A</v>
      </c>
      <c r="AB27" s="68" t="str">
        <f>ReviewCalcs[[#This Row],[Annual Hours]]</f>
        <v/>
      </c>
      <c r="AC27" s="68" t="e">
        <f>VLOOKUP(ReviewCalcs[[#This Row],[Space Conditions]], Table_365[], 6, FALSE)</f>
        <v>#N/A</v>
      </c>
      <c r="AD27" s="68">
        <f>IF(ReviewCalcs[[#This Row],[Existing Control(s)]]='Tables &amp; Ranges'!$A$25, VLOOKUP(ReviewCalcs[[#This Row],[Building/Space Type]], Table_364[], 3, FALSE), CF_Contols)</f>
        <v>0.26</v>
      </c>
      <c r="AE27" s="68" t="e">
        <f>VLOOKUP(ReviewCalcs[[#This Row],[Existing Control(s)]], Table_358[], 2, FALSE)</f>
        <v>#N/A</v>
      </c>
      <c r="AF27" s="68">
        <f>IF(ReviewCalcs[[#This Row],[Proposed Control(s)]]='Tables &amp; Ranges'!$A$25, VLOOKUP(ReviewCalcs[[#This Row],[Building/Space Type]], Table_364[], 3, FALSE), CF_Contols)</f>
        <v>0.26</v>
      </c>
      <c r="AG27" s="68" t="e">
        <f>VLOOKUP(ReviewCalcs[[#This Row],[Proposed Control(s)]], Table_358[], 2, FALSE)</f>
        <v>#N/A</v>
      </c>
      <c r="AH27" s="68">
        <f>IFERROR((ReviewCalcs[[#This Row],[Existing Fixture Quantity]]*ReviewCalcs[[#This Row],[Existing Fixture Watts]]/1000)*ReviewCalcs[[#This Row],[Existing CF]]*ReviewCalcs[[#This Row],[IEFD]], 0)</f>
        <v>0</v>
      </c>
      <c r="AI27" s="68">
        <f>IFERROR((ReviewCalcs[[#This Row],[Proposed Fixture Quantity]]*ReviewCalcs[[#This Row],[Proposed Fixture Watts]]/1000)*ReviewCalcs[[#This Row],[Existing CF]]*ReviewCalcs[[#This Row],[IEFD]], 0)</f>
        <v>0</v>
      </c>
      <c r="AJ27" s="118">
        <f>IFERROR((ReviewCalcs[[#This Row],[Existing Fixture Quantity]]*ReviewCalcs[[#This Row],[Existing Fixture Watts]]/1000-ReviewCalcs[[#This Row],[Proposed Fixture Quantity]]*ReviewCalcs[[#This Row],[Proposed Fixture Watts]]/1000)*ReviewCalcs[[#This Row],[Existing CF]]*ReviewCalcs[[#This Row],[IEFD]], 0)</f>
        <v>0</v>
      </c>
      <c r="AK27" s="118">
        <f>IFERROR((ReviewCalcs[[#This Row],[Existing Fixture Quantity]]*ReviewCalcs[[#This Row],[Existing Fixture Watts]]/1000)*ReviewCalcs[[#This Row],[AOH]]*ReviewCalcs[[#This Row],[IEFE]]*ReviewCalcs[[#This Row],[Existing PAF]], 0)</f>
        <v>0</v>
      </c>
      <c r="AL27" s="118">
        <f>IFERROR((ReviewCalcs[[#This Row],[Proposed Fixture Quantity]]*ReviewCalcs[[#This Row],[Proposed Fixture Watts]]/1000)*ReviewCalcs[[#This Row],[AOH]]*ReviewCalcs[[#This Row],[IEFE]]*ReviewCalcs[[#This Row],[Existing PAF]], 0)</f>
        <v>0</v>
      </c>
      <c r="AM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 s="118">
        <f>ReviewCalcs[[#This Row],[Fixture Existing Energy (kWh)]]*Avg_KWh_Rate</f>
        <v>0</v>
      </c>
      <c r="AO27" s="118">
        <f>ReviewCalcs[[#This Row],[Fixture Proposed Energy (kWh)]]*Avg_KWh_Rate</f>
        <v>0</v>
      </c>
      <c r="AP27" s="70">
        <f>ReviewCalcs[[#This Row],[Fixture Energy Savings]]*Avg_KWh_Rate</f>
        <v>0</v>
      </c>
      <c r="AQ27" s="129" t="e">
        <f>ReviewCalcs[[#This Row],[Existing Fixture Quantity]]*ReviewCalcs[[#This Row],[Existing Fixture Watts]]/1000*ReviewCalcs[[#This Row],[Existing CF]]*ReviewCalcs[[#This Row],[IEFD]]</f>
        <v>#VALUE!</v>
      </c>
      <c r="AR27" s="129" t="e">
        <f>ReviewCalcs[[#This Row],[Proposed Fixture Quantity]]*ReviewCalcs[[#This Row],[Proposed Fixture Watts]]/1000*ReviewCalcs[[#This Row],[Proposed CF]]*ReviewCalcs[[#This Row],[IEFD]]</f>
        <v>#VALUE!</v>
      </c>
      <c r="AS27" s="118">
        <f>IF(ReviewCalcs[[#This Row],[Existing CF]]=ReviewCalcs[[#This Row],[Proposed CF]], 0, ReviewCalcs[[#This Row],[Proposed Fixture Quantity]]*ReviewCalcs[[#This Row],[Proposed Fixture Watts]]/1000*ReviewCalcs[[#This Row],[Proposed CF]]*ReviewCalcs[[#This Row],[IEFD]])</f>
        <v>0</v>
      </c>
      <c r="AT27" s="118">
        <f>IFERROR(ReviewCalcs[[#This Row],[Existing Fixture Quantity]]*ReviewCalcs[[#This Row],[Existing Fixture Watts]]/1000*ReviewCalcs[[#This Row],[Existing PAF]]*ReviewCalcs[[#This Row],[AOH]]*ReviewCalcs[[#This Row],[IEFE]], 0)</f>
        <v>0</v>
      </c>
      <c r="AU27" s="118">
        <f>IFERROR(ReviewCalcs[[#This Row],[Proposed Fixture Quantity]]*ReviewCalcs[[#This Row],[Proposed Fixture Watts]]/1000*ReviewCalcs[[#This Row],[Proposed PAF]]*ReviewCalcs[[#This Row],[AOH]]*ReviewCalcs[[#This Row],[IEFE]], 0)</f>
        <v>0</v>
      </c>
      <c r="AV27" s="118">
        <f>IFERROR(ReviewCalcs[[#This Row],[Proposed Fixture Quantity]]*ReviewCalcs[[#This Row],[Proposed Fixture Watts]]/1000*(ReviewCalcs[[#This Row],[Existing PAF]]-ReviewCalcs[[#This Row],[Proposed PAF]])*ReviewCalcs[[#This Row],[AOH]]*ReviewCalcs[[#This Row],[IEFE]], 0)</f>
        <v>0</v>
      </c>
      <c r="AW27" s="118">
        <f>ReviewCalcs[[#This Row],[Control Existing Energy (kWh)]]*kWh_Incentive_Rate</f>
        <v>0</v>
      </c>
      <c r="AX27" s="118">
        <f>ReviewCalcs[[#This Row],[Control Proposed Energy (kWh)]]*kWh_Incentive_Rate</f>
        <v>0</v>
      </c>
      <c r="AY27" s="70">
        <f>ReviewCalcs[[#This Row],[Control Energy Savings (kWh)]]*kWh_Incentive_Rate</f>
        <v>0</v>
      </c>
      <c r="AZ27" s="70" t="e">
        <f>ReviewCalcs[[#This Row],[Fixture Existing Demand (kW)]]+ReviewCalcs[[#This Row],[Control Existing Demand (kW)]]</f>
        <v>#VALUE!</v>
      </c>
      <c r="BA27" s="70" t="e">
        <f>ReviewCalcs[[#This Row],[Fixture Proposed Demand (kW)]]+ReviewCalcs[[#This Row],[Control Proposed Demand (kW)]]</f>
        <v>#VALUE!</v>
      </c>
      <c r="BB27" s="118">
        <f>ReviewCalcs[[#This Row],[Fixture Demand Savings (kW)]]+ReviewCalcs[[#This Row],[Control Demand Savings (kW)]]</f>
        <v>0</v>
      </c>
      <c r="BC27" s="118">
        <f>ReviewCalcs[[#This Row],[Fixture Existing Energy (kWh)]]+ReviewCalcs[[#This Row],[Control Existing Energy (kWh)]]</f>
        <v>0</v>
      </c>
      <c r="BD27" s="118">
        <f>ReviewCalcs[[#This Row],[Fixture Proposed Energy (kWh)]]+ReviewCalcs[[#This Row],[Control Proposed Energy (kWh)]]</f>
        <v>0</v>
      </c>
      <c r="BE27" s="118">
        <f>ReviewCalcs[[#This Row],[Fixture Energy Savings]]+ReviewCalcs[[#This Row],[Control Energy Savings (kWh)]]</f>
        <v>0</v>
      </c>
      <c r="BF27" s="118">
        <f>ReviewCalcs[[#This Row],[Fixture Existing Cost ($)]]+ReviewCalcs[[#This Row],[Control Existing Cost ($)]]</f>
        <v>0</v>
      </c>
      <c r="BG27" s="118">
        <f>ReviewCalcs[[#This Row],[Fixture Proposed Cost ($)]]+ReviewCalcs[[#This Row],[Controls Proposed Cost ($)]]</f>
        <v>0</v>
      </c>
      <c r="BH27" s="70">
        <f>ReviewCalcs[[#This Row],[Total Energy Savings (kWh)]]*Avg_KWh_Rate</f>
        <v>0</v>
      </c>
      <c r="BI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 s="70">
        <f>ReviewCalcs[[#This Row],[Retrofit Cost]]</f>
        <v>0</v>
      </c>
      <c r="BK27" s="70">
        <f>ReviewCalcs[[#This Row],[Retrofit Cost]]-ReviewCalcs[[#This Row],[Incentive ($)]]</f>
        <v>0</v>
      </c>
      <c r="BL27" s="118" t="e">
        <f>IFERROR(ReviewCalcs[[#This Row],[Net Project Cost ($)]]/ReviewCalcs[[#This Row],[Fixture Energy Cost Savings ($)]], #N/A)</f>
        <v>#N/A</v>
      </c>
      <c r="BM27" s="118" t="e">
        <f>IF(VLOOKUP(ReviewCalcs[[#This Row],[Existing Fixture Code]], Table7[[FIXTURE CODE]:[Baseline Fixture Code]], 8, FALSE)="N", VLOOKUP(ReviewCalcs[[#This Row],[Existing Fixture Code]], Table7[[FIXTURE CODE]:[Baseline Fixture Code]], 9, FALSE), ReviewCalcs[[#This Row],[Existing Fixture Code]])</f>
        <v>#N/A</v>
      </c>
      <c r="BN27" s="118" t="e">
        <f>INDEX(Table7[WATT/ FIXT], MATCH(ReviewCalcs[Baseline Fixture Code], Table7[FIXTURE CODE], 0))</f>
        <v>#N/A</v>
      </c>
      <c r="BO27" s="118">
        <f>IFERROR((ReviewCalcs[[#This Row],[Existing Fixture Quantity]]*ReviewCalcs[[#This Row],[Baseline Fixture Watts]]/1000-ReviewCalcs[[#This Row],[Proposed Fixture Quantity]]*ReviewCalcs[[#This Row],[Proposed Fixture Watts]]/1000)*ReviewCalcs[[#This Row],[Existing CF]]*ReviewCalcs[[#This Row],[IEFD]], 0)</f>
        <v>0</v>
      </c>
      <c r="BP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 s="118">
        <f>IF(ReviewCalcs[[#This Row],[Existing CF]]=ReviewCalcs[[#This Row],[Proposed CF]], 0, ReviewCalcs[[#This Row],[Proposed Fixture Quantity]]*ReviewCalcs[[#This Row],[Proposed Fixture Watts]]/1000*ReviewCalcs[[#This Row],[Proposed CF]]*ReviewCalcs[[#This Row],[IEFD]])</f>
        <v>0</v>
      </c>
      <c r="BR27" s="118">
        <f>IFERROR(ReviewCalcs[[#This Row],[Proposed Fixture Quantity]]*ReviewCalcs[[#This Row],[Proposed Fixture Watts]]/1000*(ReviewCalcs[[#This Row],[Existing PAF]]-ReviewCalcs[[#This Row],[Proposed PAF]])*ReviewCalcs[[#This Row],[AOH]]*ReviewCalcs[[#This Row],[IEFE]],0)</f>
        <v>0</v>
      </c>
      <c r="BS27" s="118">
        <f>ReviewCalcs[[#This Row],[Incentive Fixture Demand Savings (kW)]]+ReviewCalcs[[#This Row],[Incentive Control Demand Savings (kW)]]</f>
        <v>0</v>
      </c>
      <c r="BT27" s="118">
        <f>ReviewCalcs[[#This Row],[Incentive Fixture Energy Savings (kWh)]]+ReviewCalcs[[#This Row],[Incentive Control Energy Savings (kWh)]]</f>
        <v>0</v>
      </c>
      <c r="BU27" s="73"/>
    </row>
    <row r="28" spans="1:73" ht="30" customHeight="1">
      <c r="A28" s="68">
        <v>25</v>
      </c>
      <c r="B28" s="96">
        <f>VLOOKUP(ReviewCalcs[[#This Row],[Project Index]], ProjectInput[], D$1, FALSE)</f>
        <v>0</v>
      </c>
      <c r="C28" s="97">
        <f>VLOOKUP(ReviewCalcs[[#This Row],[Project Index]], ProjectInput[], E$1, FALSE)</f>
        <v>0</v>
      </c>
      <c r="D28" s="97">
        <f>VLOOKUP(ReviewCalcs[[#This Row],[Project Index]], ProjectInput[], F$1, FALSE)</f>
        <v>0</v>
      </c>
      <c r="E28" s="97">
        <f>VLOOKUP(ReviewCalcs[[#This Row],[Project Index]], ProjectInput[], G$1, FALSE)</f>
        <v>0</v>
      </c>
      <c r="F28" s="97">
        <f>VLOOKUP(ReviewCalcs[[#This Row],[Project Index]], ProjectInput[], H$1, FALSE)</f>
        <v>0</v>
      </c>
      <c r="G28" s="98" t="str">
        <f>VLOOKUP(ReviewCalcs[[#This Row],[Project Index]], ProjectInput[], I$1, FALSE)</f>
        <v/>
      </c>
      <c r="H28" s="96">
        <f>VLOOKUP(ReviewCalcs[[#This Row],[Project Index]], ProjectInput[], J$1, FALSE)</f>
        <v>0</v>
      </c>
      <c r="I28" s="97">
        <f>VLOOKUP(ReviewCalcs[[#This Row],[Project Index]], ProjectInput[], K$1, FALSE)</f>
        <v>0</v>
      </c>
      <c r="J28" s="97">
        <f>VLOOKUP(ReviewCalcs[[#This Row],[Project Index]], ProjectInput[], L$1, FALSE)</f>
        <v>0</v>
      </c>
      <c r="K28" s="97">
        <f>VLOOKUP(ReviewCalcs[[#This Row],[Project Index]], ProjectInput[], M$1, FALSE)</f>
        <v>0</v>
      </c>
      <c r="L28" s="97">
        <f>VLOOKUP(ReviewCalcs[[#This Row],[Project Index]], ProjectInput[], N$1, FALSE)</f>
        <v>0</v>
      </c>
      <c r="M28" s="98" t="str">
        <f>VLOOKUP(ReviewCalcs[[#This Row],[Project Index]], ProjectInput[], O$1, FALSE)</f>
        <v/>
      </c>
      <c r="N28" s="96">
        <f>VLOOKUP(ReviewCalcs[[#This Row],[Project Index]], ProjectInput[], P$1, FALSE)</f>
        <v>0</v>
      </c>
      <c r="O28" s="97">
        <f>VLOOKUP(ReviewCalcs[[#This Row],[Project Index]], ProjectInput[], Q$1, FALSE)</f>
        <v>0</v>
      </c>
      <c r="P28" s="97">
        <f>VLOOKUP(ReviewCalcs[[#This Row],[Project Index]], ProjectInput[], R$1, FALSE)</f>
        <v>0</v>
      </c>
      <c r="Q28" s="97">
        <f>VLOOKUP(ReviewCalcs[[#This Row],[Project Index]], ProjectInput[], S$1, FALSE)</f>
        <v>0</v>
      </c>
      <c r="R28" s="97">
        <f>VLOOKUP(ReviewCalcs[[#This Row],[Project Index]], ProjectInput[], T$1, FALSE)</f>
        <v>0</v>
      </c>
      <c r="S28" s="97">
        <f>VLOOKUP(ReviewCalcs[[#This Row],[Project Index]], ProjectInput[], U$1, FALSE)</f>
        <v>0</v>
      </c>
      <c r="T28" s="97">
        <f>VLOOKUP(ReviewCalcs[[#This Row],[Project Index]], ProjectInput[], V$1, FALSE)</f>
        <v>0</v>
      </c>
      <c r="U28" s="97">
        <f>VLOOKUP(ReviewCalcs[[#This Row],[Project Index]], ProjectInput[], W$1, FALSE)</f>
        <v>0</v>
      </c>
      <c r="V28" s="98" t="str">
        <f>VLOOKUP(ReviewCalcs[[#This Row],[Project Index]], ProjectInput[], X$1, FALSE)</f>
        <v/>
      </c>
      <c r="W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 s="75" t="e">
        <f>IF(VLOOKUP(ReviewCalcs[[#This Row],[Proposed Fixture Code]], Table7[[FIXTURE CODE]:[Baseline Fixture Code]], 8, FALSE)="N", "ERROR", "PASS")</f>
        <v>#N/A</v>
      </c>
      <c r="Y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 s="75" t="e">
        <f>IF(OR(ReviewCalcs[[#This Row],[Baseline Fixture Watts]]&gt;=ReviewCalcs[[#This Row],[Proposed Fixture Watts]],ReviewCalcs[[#This Row],[Existing Fixture Watts]]&gt;=ReviewCalcs[[#This Row],[Proposed Fixture Watts]] ), "PASS", "ERROR")</f>
        <v>#N/A</v>
      </c>
      <c r="AA28" s="69" t="e">
        <f>VLOOKUP(ReviewCalcs[[#This Row],[Space Conditions]], Table_365[], 5, FALSE)</f>
        <v>#N/A</v>
      </c>
      <c r="AB28" s="68" t="str">
        <f>ReviewCalcs[[#This Row],[Annual Hours]]</f>
        <v/>
      </c>
      <c r="AC28" s="68" t="e">
        <f>VLOOKUP(ReviewCalcs[[#This Row],[Space Conditions]], Table_365[], 6, FALSE)</f>
        <v>#N/A</v>
      </c>
      <c r="AD28" s="68">
        <f>IF(ReviewCalcs[[#This Row],[Existing Control(s)]]='Tables &amp; Ranges'!$A$25, VLOOKUP(ReviewCalcs[[#This Row],[Building/Space Type]], Table_364[], 3, FALSE), CF_Contols)</f>
        <v>0.26</v>
      </c>
      <c r="AE28" s="68" t="e">
        <f>VLOOKUP(ReviewCalcs[[#This Row],[Existing Control(s)]], Table_358[], 2, FALSE)</f>
        <v>#N/A</v>
      </c>
      <c r="AF28" s="68">
        <f>IF(ReviewCalcs[[#This Row],[Proposed Control(s)]]='Tables &amp; Ranges'!$A$25, VLOOKUP(ReviewCalcs[[#This Row],[Building/Space Type]], Table_364[], 3, FALSE), CF_Contols)</f>
        <v>0.26</v>
      </c>
      <c r="AG28" s="68" t="e">
        <f>VLOOKUP(ReviewCalcs[[#This Row],[Proposed Control(s)]], Table_358[], 2, FALSE)</f>
        <v>#N/A</v>
      </c>
      <c r="AH28" s="68">
        <f>IFERROR((ReviewCalcs[[#This Row],[Existing Fixture Quantity]]*ReviewCalcs[[#This Row],[Existing Fixture Watts]]/1000)*ReviewCalcs[[#This Row],[Existing CF]]*ReviewCalcs[[#This Row],[IEFD]], 0)</f>
        <v>0</v>
      </c>
      <c r="AI28" s="68">
        <f>IFERROR((ReviewCalcs[[#This Row],[Proposed Fixture Quantity]]*ReviewCalcs[[#This Row],[Proposed Fixture Watts]]/1000)*ReviewCalcs[[#This Row],[Existing CF]]*ReviewCalcs[[#This Row],[IEFD]], 0)</f>
        <v>0</v>
      </c>
      <c r="AJ28" s="118">
        <f>IFERROR((ReviewCalcs[[#This Row],[Existing Fixture Quantity]]*ReviewCalcs[[#This Row],[Existing Fixture Watts]]/1000-ReviewCalcs[[#This Row],[Proposed Fixture Quantity]]*ReviewCalcs[[#This Row],[Proposed Fixture Watts]]/1000)*ReviewCalcs[[#This Row],[Existing CF]]*ReviewCalcs[[#This Row],[IEFD]], 0)</f>
        <v>0</v>
      </c>
      <c r="AK28" s="118">
        <f>IFERROR((ReviewCalcs[[#This Row],[Existing Fixture Quantity]]*ReviewCalcs[[#This Row],[Existing Fixture Watts]]/1000)*ReviewCalcs[[#This Row],[AOH]]*ReviewCalcs[[#This Row],[IEFE]]*ReviewCalcs[[#This Row],[Existing PAF]], 0)</f>
        <v>0</v>
      </c>
      <c r="AL28" s="118">
        <f>IFERROR((ReviewCalcs[[#This Row],[Proposed Fixture Quantity]]*ReviewCalcs[[#This Row],[Proposed Fixture Watts]]/1000)*ReviewCalcs[[#This Row],[AOH]]*ReviewCalcs[[#This Row],[IEFE]]*ReviewCalcs[[#This Row],[Existing PAF]], 0)</f>
        <v>0</v>
      </c>
      <c r="AM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 s="118">
        <f>ReviewCalcs[[#This Row],[Fixture Existing Energy (kWh)]]*Avg_KWh_Rate</f>
        <v>0</v>
      </c>
      <c r="AO28" s="118">
        <f>ReviewCalcs[[#This Row],[Fixture Proposed Energy (kWh)]]*Avg_KWh_Rate</f>
        <v>0</v>
      </c>
      <c r="AP28" s="70">
        <f>ReviewCalcs[[#This Row],[Fixture Energy Savings]]*Avg_KWh_Rate</f>
        <v>0</v>
      </c>
      <c r="AQ28" s="129" t="e">
        <f>ReviewCalcs[[#This Row],[Existing Fixture Quantity]]*ReviewCalcs[[#This Row],[Existing Fixture Watts]]/1000*ReviewCalcs[[#This Row],[Existing CF]]*ReviewCalcs[[#This Row],[IEFD]]</f>
        <v>#VALUE!</v>
      </c>
      <c r="AR28" s="129" t="e">
        <f>ReviewCalcs[[#This Row],[Proposed Fixture Quantity]]*ReviewCalcs[[#This Row],[Proposed Fixture Watts]]/1000*ReviewCalcs[[#This Row],[Proposed CF]]*ReviewCalcs[[#This Row],[IEFD]]</f>
        <v>#VALUE!</v>
      </c>
      <c r="AS28" s="118">
        <f>IF(ReviewCalcs[[#This Row],[Existing CF]]=ReviewCalcs[[#This Row],[Proposed CF]], 0, ReviewCalcs[[#This Row],[Proposed Fixture Quantity]]*ReviewCalcs[[#This Row],[Proposed Fixture Watts]]/1000*ReviewCalcs[[#This Row],[Proposed CF]]*ReviewCalcs[[#This Row],[IEFD]])</f>
        <v>0</v>
      </c>
      <c r="AT28" s="118">
        <f>IFERROR(ReviewCalcs[[#This Row],[Existing Fixture Quantity]]*ReviewCalcs[[#This Row],[Existing Fixture Watts]]/1000*ReviewCalcs[[#This Row],[Existing PAF]]*ReviewCalcs[[#This Row],[AOH]]*ReviewCalcs[[#This Row],[IEFE]], 0)</f>
        <v>0</v>
      </c>
      <c r="AU28" s="118">
        <f>IFERROR(ReviewCalcs[[#This Row],[Proposed Fixture Quantity]]*ReviewCalcs[[#This Row],[Proposed Fixture Watts]]/1000*ReviewCalcs[[#This Row],[Proposed PAF]]*ReviewCalcs[[#This Row],[AOH]]*ReviewCalcs[[#This Row],[IEFE]], 0)</f>
        <v>0</v>
      </c>
      <c r="AV28" s="118">
        <f>IFERROR(ReviewCalcs[[#This Row],[Proposed Fixture Quantity]]*ReviewCalcs[[#This Row],[Proposed Fixture Watts]]/1000*(ReviewCalcs[[#This Row],[Existing PAF]]-ReviewCalcs[[#This Row],[Proposed PAF]])*ReviewCalcs[[#This Row],[AOH]]*ReviewCalcs[[#This Row],[IEFE]], 0)</f>
        <v>0</v>
      </c>
      <c r="AW28" s="118">
        <f>ReviewCalcs[[#This Row],[Control Existing Energy (kWh)]]*kWh_Incentive_Rate</f>
        <v>0</v>
      </c>
      <c r="AX28" s="118">
        <f>ReviewCalcs[[#This Row],[Control Proposed Energy (kWh)]]*kWh_Incentive_Rate</f>
        <v>0</v>
      </c>
      <c r="AY28" s="70">
        <f>ReviewCalcs[[#This Row],[Control Energy Savings (kWh)]]*kWh_Incentive_Rate</f>
        <v>0</v>
      </c>
      <c r="AZ28" s="70" t="e">
        <f>ReviewCalcs[[#This Row],[Fixture Existing Demand (kW)]]+ReviewCalcs[[#This Row],[Control Existing Demand (kW)]]</f>
        <v>#VALUE!</v>
      </c>
      <c r="BA28" s="70" t="e">
        <f>ReviewCalcs[[#This Row],[Fixture Proposed Demand (kW)]]+ReviewCalcs[[#This Row],[Control Proposed Demand (kW)]]</f>
        <v>#VALUE!</v>
      </c>
      <c r="BB28" s="118">
        <f>ReviewCalcs[[#This Row],[Fixture Demand Savings (kW)]]+ReviewCalcs[[#This Row],[Control Demand Savings (kW)]]</f>
        <v>0</v>
      </c>
      <c r="BC28" s="118">
        <f>ReviewCalcs[[#This Row],[Fixture Existing Energy (kWh)]]+ReviewCalcs[[#This Row],[Control Existing Energy (kWh)]]</f>
        <v>0</v>
      </c>
      <c r="BD28" s="118">
        <f>ReviewCalcs[[#This Row],[Fixture Proposed Energy (kWh)]]+ReviewCalcs[[#This Row],[Control Proposed Energy (kWh)]]</f>
        <v>0</v>
      </c>
      <c r="BE28" s="118">
        <f>ReviewCalcs[[#This Row],[Fixture Energy Savings]]+ReviewCalcs[[#This Row],[Control Energy Savings (kWh)]]</f>
        <v>0</v>
      </c>
      <c r="BF28" s="118">
        <f>ReviewCalcs[[#This Row],[Fixture Existing Cost ($)]]+ReviewCalcs[[#This Row],[Control Existing Cost ($)]]</f>
        <v>0</v>
      </c>
      <c r="BG28" s="118">
        <f>ReviewCalcs[[#This Row],[Fixture Proposed Cost ($)]]+ReviewCalcs[[#This Row],[Controls Proposed Cost ($)]]</f>
        <v>0</v>
      </c>
      <c r="BH28" s="70">
        <f>ReviewCalcs[[#This Row],[Total Energy Savings (kWh)]]*Avg_KWh_Rate</f>
        <v>0</v>
      </c>
      <c r="BI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 s="70">
        <f>ReviewCalcs[[#This Row],[Retrofit Cost]]</f>
        <v>0</v>
      </c>
      <c r="BK28" s="70">
        <f>ReviewCalcs[[#This Row],[Retrofit Cost]]-ReviewCalcs[[#This Row],[Incentive ($)]]</f>
        <v>0</v>
      </c>
      <c r="BL28" s="118" t="e">
        <f>IFERROR(ReviewCalcs[[#This Row],[Net Project Cost ($)]]/ReviewCalcs[[#This Row],[Fixture Energy Cost Savings ($)]], #N/A)</f>
        <v>#N/A</v>
      </c>
      <c r="BM28" s="118" t="e">
        <f>IF(VLOOKUP(ReviewCalcs[[#This Row],[Existing Fixture Code]], Table7[[FIXTURE CODE]:[Baseline Fixture Code]], 8, FALSE)="N", VLOOKUP(ReviewCalcs[[#This Row],[Existing Fixture Code]], Table7[[FIXTURE CODE]:[Baseline Fixture Code]], 9, FALSE), ReviewCalcs[[#This Row],[Existing Fixture Code]])</f>
        <v>#N/A</v>
      </c>
      <c r="BN28" s="118" t="e">
        <f>INDEX(Table7[WATT/ FIXT], MATCH(ReviewCalcs[Baseline Fixture Code], Table7[FIXTURE CODE], 0))</f>
        <v>#N/A</v>
      </c>
      <c r="BO28" s="118">
        <f>IFERROR((ReviewCalcs[[#This Row],[Existing Fixture Quantity]]*ReviewCalcs[[#This Row],[Baseline Fixture Watts]]/1000-ReviewCalcs[[#This Row],[Proposed Fixture Quantity]]*ReviewCalcs[[#This Row],[Proposed Fixture Watts]]/1000)*ReviewCalcs[[#This Row],[Existing CF]]*ReviewCalcs[[#This Row],[IEFD]], 0)</f>
        <v>0</v>
      </c>
      <c r="BP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 s="118">
        <f>IF(ReviewCalcs[[#This Row],[Existing CF]]=ReviewCalcs[[#This Row],[Proposed CF]], 0, ReviewCalcs[[#This Row],[Proposed Fixture Quantity]]*ReviewCalcs[[#This Row],[Proposed Fixture Watts]]/1000*ReviewCalcs[[#This Row],[Proposed CF]]*ReviewCalcs[[#This Row],[IEFD]])</f>
        <v>0</v>
      </c>
      <c r="BR28" s="118">
        <f>IFERROR(ReviewCalcs[[#This Row],[Proposed Fixture Quantity]]*ReviewCalcs[[#This Row],[Proposed Fixture Watts]]/1000*(ReviewCalcs[[#This Row],[Existing PAF]]-ReviewCalcs[[#This Row],[Proposed PAF]])*ReviewCalcs[[#This Row],[AOH]]*ReviewCalcs[[#This Row],[IEFE]],0)</f>
        <v>0</v>
      </c>
      <c r="BS28" s="118">
        <f>ReviewCalcs[[#This Row],[Incentive Fixture Demand Savings (kW)]]+ReviewCalcs[[#This Row],[Incentive Control Demand Savings (kW)]]</f>
        <v>0</v>
      </c>
      <c r="BT28" s="118">
        <f>ReviewCalcs[[#This Row],[Incentive Fixture Energy Savings (kWh)]]+ReviewCalcs[[#This Row],[Incentive Control Energy Savings (kWh)]]</f>
        <v>0</v>
      </c>
      <c r="BU28" s="73"/>
    </row>
    <row r="29" spans="1:73" ht="30" customHeight="1">
      <c r="A29" s="68">
        <v>26</v>
      </c>
      <c r="B29" s="96">
        <f>VLOOKUP(ReviewCalcs[[#This Row],[Project Index]], ProjectInput[], D$1, FALSE)</f>
        <v>0</v>
      </c>
      <c r="C29" s="97">
        <f>VLOOKUP(ReviewCalcs[[#This Row],[Project Index]], ProjectInput[], E$1, FALSE)</f>
        <v>0</v>
      </c>
      <c r="D29" s="97">
        <f>VLOOKUP(ReviewCalcs[[#This Row],[Project Index]], ProjectInput[], F$1, FALSE)</f>
        <v>0</v>
      </c>
      <c r="E29" s="97">
        <f>VLOOKUP(ReviewCalcs[[#This Row],[Project Index]], ProjectInput[], G$1, FALSE)</f>
        <v>0</v>
      </c>
      <c r="F29" s="97">
        <f>VLOOKUP(ReviewCalcs[[#This Row],[Project Index]], ProjectInput[], H$1, FALSE)</f>
        <v>0</v>
      </c>
      <c r="G29" s="98" t="str">
        <f>VLOOKUP(ReviewCalcs[[#This Row],[Project Index]], ProjectInput[], I$1, FALSE)</f>
        <v/>
      </c>
      <c r="H29" s="96">
        <f>VLOOKUP(ReviewCalcs[[#This Row],[Project Index]], ProjectInput[], J$1, FALSE)</f>
        <v>0</v>
      </c>
      <c r="I29" s="97">
        <f>VLOOKUP(ReviewCalcs[[#This Row],[Project Index]], ProjectInput[], K$1, FALSE)</f>
        <v>0</v>
      </c>
      <c r="J29" s="97">
        <f>VLOOKUP(ReviewCalcs[[#This Row],[Project Index]], ProjectInput[], L$1, FALSE)</f>
        <v>0</v>
      </c>
      <c r="K29" s="97">
        <f>VLOOKUP(ReviewCalcs[[#This Row],[Project Index]], ProjectInput[], M$1, FALSE)</f>
        <v>0</v>
      </c>
      <c r="L29" s="97">
        <f>VLOOKUP(ReviewCalcs[[#This Row],[Project Index]], ProjectInput[], N$1, FALSE)</f>
        <v>0</v>
      </c>
      <c r="M29" s="98" t="str">
        <f>VLOOKUP(ReviewCalcs[[#This Row],[Project Index]], ProjectInput[], O$1, FALSE)</f>
        <v/>
      </c>
      <c r="N29" s="96">
        <f>VLOOKUP(ReviewCalcs[[#This Row],[Project Index]], ProjectInput[], P$1, FALSE)</f>
        <v>0</v>
      </c>
      <c r="O29" s="97">
        <f>VLOOKUP(ReviewCalcs[[#This Row],[Project Index]], ProjectInput[], Q$1, FALSE)</f>
        <v>0</v>
      </c>
      <c r="P29" s="97">
        <f>VLOOKUP(ReviewCalcs[[#This Row],[Project Index]], ProjectInput[], R$1, FALSE)</f>
        <v>0</v>
      </c>
      <c r="Q29" s="97">
        <f>VLOOKUP(ReviewCalcs[[#This Row],[Project Index]], ProjectInput[], S$1, FALSE)</f>
        <v>0</v>
      </c>
      <c r="R29" s="97">
        <f>VLOOKUP(ReviewCalcs[[#This Row],[Project Index]], ProjectInput[], T$1, FALSE)</f>
        <v>0</v>
      </c>
      <c r="S29" s="97">
        <f>VLOOKUP(ReviewCalcs[[#This Row],[Project Index]], ProjectInput[], U$1, FALSE)</f>
        <v>0</v>
      </c>
      <c r="T29" s="97">
        <f>VLOOKUP(ReviewCalcs[[#This Row],[Project Index]], ProjectInput[], V$1, FALSE)</f>
        <v>0</v>
      </c>
      <c r="U29" s="97">
        <f>VLOOKUP(ReviewCalcs[[#This Row],[Project Index]], ProjectInput[], W$1, FALSE)</f>
        <v>0</v>
      </c>
      <c r="V29" s="98" t="str">
        <f>VLOOKUP(ReviewCalcs[[#This Row],[Project Index]], ProjectInput[], X$1, FALSE)</f>
        <v/>
      </c>
      <c r="W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 s="75" t="e">
        <f>IF(VLOOKUP(ReviewCalcs[[#This Row],[Proposed Fixture Code]], Table7[[FIXTURE CODE]:[Baseline Fixture Code]], 8, FALSE)="N", "ERROR", "PASS")</f>
        <v>#N/A</v>
      </c>
      <c r="Y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 s="75" t="e">
        <f>IF(OR(ReviewCalcs[[#This Row],[Baseline Fixture Watts]]&gt;=ReviewCalcs[[#This Row],[Proposed Fixture Watts]],ReviewCalcs[[#This Row],[Existing Fixture Watts]]&gt;=ReviewCalcs[[#This Row],[Proposed Fixture Watts]] ), "PASS", "ERROR")</f>
        <v>#N/A</v>
      </c>
      <c r="AA29" s="69" t="e">
        <f>VLOOKUP(ReviewCalcs[[#This Row],[Space Conditions]], Table_365[], 5, FALSE)</f>
        <v>#N/A</v>
      </c>
      <c r="AB29" s="68" t="str">
        <f>ReviewCalcs[[#This Row],[Annual Hours]]</f>
        <v/>
      </c>
      <c r="AC29" s="68" t="e">
        <f>VLOOKUP(ReviewCalcs[[#This Row],[Space Conditions]], Table_365[], 6, FALSE)</f>
        <v>#N/A</v>
      </c>
      <c r="AD29" s="68">
        <f>IF(ReviewCalcs[[#This Row],[Existing Control(s)]]='Tables &amp; Ranges'!$A$25, VLOOKUP(ReviewCalcs[[#This Row],[Building/Space Type]], Table_364[], 3, FALSE), CF_Contols)</f>
        <v>0.26</v>
      </c>
      <c r="AE29" s="68" t="e">
        <f>VLOOKUP(ReviewCalcs[[#This Row],[Existing Control(s)]], Table_358[], 2, FALSE)</f>
        <v>#N/A</v>
      </c>
      <c r="AF29" s="68">
        <f>IF(ReviewCalcs[[#This Row],[Proposed Control(s)]]='Tables &amp; Ranges'!$A$25, VLOOKUP(ReviewCalcs[[#This Row],[Building/Space Type]], Table_364[], 3, FALSE), CF_Contols)</f>
        <v>0.26</v>
      </c>
      <c r="AG29" s="68" t="e">
        <f>VLOOKUP(ReviewCalcs[[#This Row],[Proposed Control(s)]], Table_358[], 2, FALSE)</f>
        <v>#N/A</v>
      </c>
      <c r="AH29" s="68">
        <f>IFERROR((ReviewCalcs[[#This Row],[Existing Fixture Quantity]]*ReviewCalcs[[#This Row],[Existing Fixture Watts]]/1000)*ReviewCalcs[[#This Row],[Existing CF]]*ReviewCalcs[[#This Row],[IEFD]], 0)</f>
        <v>0</v>
      </c>
      <c r="AI29" s="68">
        <f>IFERROR((ReviewCalcs[[#This Row],[Proposed Fixture Quantity]]*ReviewCalcs[[#This Row],[Proposed Fixture Watts]]/1000)*ReviewCalcs[[#This Row],[Existing CF]]*ReviewCalcs[[#This Row],[IEFD]], 0)</f>
        <v>0</v>
      </c>
      <c r="AJ29" s="118">
        <f>IFERROR((ReviewCalcs[[#This Row],[Existing Fixture Quantity]]*ReviewCalcs[[#This Row],[Existing Fixture Watts]]/1000-ReviewCalcs[[#This Row],[Proposed Fixture Quantity]]*ReviewCalcs[[#This Row],[Proposed Fixture Watts]]/1000)*ReviewCalcs[[#This Row],[Existing CF]]*ReviewCalcs[[#This Row],[IEFD]], 0)</f>
        <v>0</v>
      </c>
      <c r="AK29" s="118">
        <f>IFERROR((ReviewCalcs[[#This Row],[Existing Fixture Quantity]]*ReviewCalcs[[#This Row],[Existing Fixture Watts]]/1000)*ReviewCalcs[[#This Row],[AOH]]*ReviewCalcs[[#This Row],[IEFE]]*ReviewCalcs[[#This Row],[Existing PAF]], 0)</f>
        <v>0</v>
      </c>
      <c r="AL29" s="118">
        <f>IFERROR((ReviewCalcs[[#This Row],[Proposed Fixture Quantity]]*ReviewCalcs[[#This Row],[Proposed Fixture Watts]]/1000)*ReviewCalcs[[#This Row],[AOH]]*ReviewCalcs[[#This Row],[IEFE]]*ReviewCalcs[[#This Row],[Existing PAF]], 0)</f>
        <v>0</v>
      </c>
      <c r="AM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 s="118">
        <f>ReviewCalcs[[#This Row],[Fixture Existing Energy (kWh)]]*Avg_KWh_Rate</f>
        <v>0</v>
      </c>
      <c r="AO29" s="118">
        <f>ReviewCalcs[[#This Row],[Fixture Proposed Energy (kWh)]]*Avg_KWh_Rate</f>
        <v>0</v>
      </c>
      <c r="AP29" s="70">
        <f>ReviewCalcs[[#This Row],[Fixture Energy Savings]]*Avg_KWh_Rate</f>
        <v>0</v>
      </c>
      <c r="AQ29" s="129" t="e">
        <f>ReviewCalcs[[#This Row],[Existing Fixture Quantity]]*ReviewCalcs[[#This Row],[Existing Fixture Watts]]/1000*ReviewCalcs[[#This Row],[Existing CF]]*ReviewCalcs[[#This Row],[IEFD]]</f>
        <v>#VALUE!</v>
      </c>
      <c r="AR29" s="129" t="e">
        <f>ReviewCalcs[[#This Row],[Proposed Fixture Quantity]]*ReviewCalcs[[#This Row],[Proposed Fixture Watts]]/1000*ReviewCalcs[[#This Row],[Proposed CF]]*ReviewCalcs[[#This Row],[IEFD]]</f>
        <v>#VALUE!</v>
      </c>
      <c r="AS29" s="118">
        <f>IF(ReviewCalcs[[#This Row],[Existing CF]]=ReviewCalcs[[#This Row],[Proposed CF]], 0, ReviewCalcs[[#This Row],[Proposed Fixture Quantity]]*ReviewCalcs[[#This Row],[Proposed Fixture Watts]]/1000*ReviewCalcs[[#This Row],[Proposed CF]]*ReviewCalcs[[#This Row],[IEFD]])</f>
        <v>0</v>
      </c>
      <c r="AT29" s="118">
        <f>IFERROR(ReviewCalcs[[#This Row],[Existing Fixture Quantity]]*ReviewCalcs[[#This Row],[Existing Fixture Watts]]/1000*ReviewCalcs[[#This Row],[Existing PAF]]*ReviewCalcs[[#This Row],[AOH]]*ReviewCalcs[[#This Row],[IEFE]], 0)</f>
        <v>0</v>
      </c>
      <c r="AU29" s="118">
        <f>IFERROR(ReviewCalcs[[#This Row],[Proposed Fixture Quantity]]*ReviewCalcs[[#This Row],[Proposed Fixture Watts]]/1000*ReviewCalcs[[#This Row],[Proposed PAF]]*ReviewCalcs[[#This Row],[AOH]]*ReviewCalcs[[#This Row],[IEFE]], 0)</f>
        <v>0</v>
      </c>
      <c r="AV29" s="118">
        <f>IFERROR(ReviewCalcs[[#This Row],[Proposed Fixture Quantity]]*ReviewCalcs[[#This Row],[Proposed Fixture Watts]]/1000*(ReviewCalcs[[#This Row],[Existing PAF]]-ReviewCalcs[[#This Row],[Proposed PAF]])*ReviewCalcs[[#This Row],[AOH]]*ReviewCalcs[[#This Row],[IEFE]], 0)</f>
        <v>0</v>
      </c>
      <c r="AW29" s="118">
        <f>ReviewCalcs[[#This Row],[Control Existing Energy (kWh)]]*kWh_Incentive_Rate</f>
        <v>0</v>
      </c>
      <c r="AX29" s="118">
        <f>ReviewCalcs[[#This Row],[Control Proposed Energy (kWh)]]*kWh_Incentive_Rate</f>
        <v>0</v>
      </c>
      <c r="AY29" s="70">
        <f>ReviewCalcs[[#This Row],[Control Energy Savings (kWh)]]*kWh_Incentive_Rate</f>
        <v>0</v>
      </c>
      <c r="AZ29" s="70" t="e">
        <f>ReviewCalcs[[#This Row],[Fixture Existing Demand (kW)]]+ReviewCalcs[[#This Row],[Control Existing Demand (kW)]]</f>
        <v>#VALUE!</v>
      </c>
      <c r="BA29" s="70" t="e">
        <f>ReviewCalcs[[#This Row],[Fixture Proposed Demand (kW)]]+ReviewCalcs[[#This Row],[Control Proposed Demand (kW)]]</f>
        <v>#VALUE!</v>
      </c>
      <c r="BB29" s="118">
        <f>ReviewCalcs[[#This Row],[Fixture Demand Savings (kW)]]+ReviewCalcs[[#This Row],[Control Demand Savings (kW)]]</f>
        <v>0</v>
      </c>
      <c r="BC29" s="118">
        <f>ReviewCalcs[[#This Row],[Fixture Existing Energy (kWh)]]+ReviewCalcs[[#This Row],[Control Existing Energy (kWh)]]</f>
        <v>0</v>
      </c>
      <c r="BD29" s="118">
        <f>ReviewCalcs[[#This Row],[Fixture Proposed Energy (kWh)]]+ReviewCalcs[[#This Row],[Control Proposed Energy (kWh)]]</f>
        <v>0</v>
      </c>
      <c r="BE29" s="118">
        <f>ReviewCalcs[[#This Row],[Fixture Energy Savings]]+ReviewCalcs[[#This Row],[Control Energy Savings (kWh)]]</f>
        <v>0</v>
      </c>
      <c r="BF29" s="118">
        <f>ReviewCalcs[[#This Row],[Fixture Existing Cost ($)]]+ReviewCalcs[[#This Row],[Control Existing Cost ($)]]</f>
        <v>0</v>
      </c>
      <c r="BG29" s="118">
        <f>ReviewCalcs[[#This Row],[Fixture Proposed Cost ($)]]+ReviewCalcs[[#This Row],[Controls Proposed Cost ($)]]</f>
        <v>0</v>
      </c>
      <c r="BH29" s="70">
        <f>ReviewCalcs[[#This Row],[Total Energy Savings (kWh)]]*Avg_KWh_Rate</f>
        <v>0</v>
      </c>
      <c r="BI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 s="70">
        <f>ReviewCalcs[[#This Row],[Retrofit Cost]]</f>
        <v>0</v>
      </c>
      <c r="BK29" s="70">
        <f>ReviewCalcs[[#This Row],[Retrofit Cost]]-ReviewCalcs[[#This Row],[Incentive ($)]]</f>
        <v>0</v>
      </c>
      <c r="BL29" s="118" t="e">
        <f>IFERROR(ReviewCalcs[[#This Row],[Net Project Cost ($)]]/ReviewCalcs[[#This Row],[Fixture Energy Cost Savings ($)]], #N/A)</f>
        <v>#N/A</v>
      </c>
      <c r="BM29" s="118" t="e">
        <f>IF(VLOOKUP(ReviewCalcs[[#This Row],[Existing Fixture Code]], Table7[[FIXTURE CODE]:[Baseline Fixture Code]], 8, FALSE)="N", VLOOKUP(ReviewCalcs[[#This Row],[Existing Fixture Code]], Table7[[FIXTURE CODE]:[Baseline Fixture Code]], 9, FALSE), ReviewCalcs[[#This Row],[Existing Fixture Code]])</f>
        <v>#N/A</v>
      </c>
      <c r="BN29" s="118" t="e">
        <f>INDEX(Table7[WATT/ FIXT], MATCH(ReviewCalcs[Baseline Fixture Code], Table7[FIXTURE CODE], 0))</f>
        <v>#N/A</v>
      </c>
      <c r="BO29" s="118">
        <f>IFERROR((ReviewCalcs[[#This Row],[Existing Fixture Quantity]]*ReviewCalcs[[#This Row],[Baseline Fixture Watts]]/1000-ReviewCalcs[[#This Row],[Proposed Fixture Quantity]]*ReviewCalcs[[#This Row],[Proposed Fixture Watts]]/1000)*ReviewCalcs[[#This Row],[Existing CF]]*ReviewCalcs[[#This Row],[IEFD]], 0)</f>
        <v>0</v>
      </c>
      <c r="BP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 s="118">
        <f>IF(ReviewCalcs[[#This Row],[Existing CF]]=ReviewCalcs[[#This Row],[Proposed CF]], 0, ReviewCalcs[[#This Row],[Proposed Fixture Quantity]]*ReviewCalcs[[#This Row],[Proposed Fixture Watts]]/1000*ReviewCalcs[[#This Row],[Proposed CF]]*ReviewCalcs[[#This Row],[IEFD]])</f>
        <v>0</v>
      </c>
      <c r="BR29" s="118">
        <f>IFERROR(ReviewCalcs[[#This Row],[Proposed Fixture Quantity]]*ReviewCalcs[[#This Row],[Proposed Fixture Watts]]/1000*(ReviewCalcs[[#This Row],[Existing PAF]]-ReviewCalcs[[#This Row],[Proposed PAF]])*ReviewCalcs[[#This Row],[AOH]]*ReviewCalcs[[#This Row],[IEFE]],0)</f>
        <v>0</v>
      </c>
      <c r="BS29" s="118">
        <f>ReviewCalcs[[#This Row],[Incentive Fixture Demand Savings (kW)]]+ReviewCalcs[[#This Row],[Incentive Control Demand Savings (kW)]]</f>
        <v>0</v>
      </c>
      <c r="BT29" s="118">
        <f>ReviewCalcs[[#This Row],[Incentive Fixture Energy Savings (kWh)]]+ReviewCalcs[[#This Row],[Incentive Control Energy Savings (kWh)]]</f>
        <v>0</v>
      </c>
      <c r="BU29" s="73"/>
    </row>
    <row r="30" spans="1:73" ht="30" customHeight="1">
      <c r="A30" s="68">
        <v>27</v>
      </c>
      <c r="B30" s="96">
        <f>VLOOKUP(ReviewCalcs[[#This Row],[Project Index]], ProjectInput[], D$1, FALSE)</f>
        <v>0</v>
      </c>
      <c r="C30" s="97">
        <f>VLOOKUP(ReviewCalcs[[#This Row],[Project Index]], ProjectInput[], E$1, FALSE)</f>
        <v>0</v>
      </c>
      <c r="D30" s="97">
        <f>VLOOKUP(ReviewCalcs[[#This Row],[Project Index]], ProjectInput[], F$1, FALSE)</f>
        <v>0</v>
      </c>
      <c r="E30" s="97">
        <f>VLOOKUP(ReviewCalcs[[#This Row],[Project Index]], ProjectInput[], G$1, FALSE)</f>
        <v>0</v>
      </c>
      <c r="F30" s="97">
        <f>VLOOKUP(ReviewCalcs[[#This Row],[Project Index]], ProjectInput[], H$1, FALSE)</f>
        <v>0</v>
      </c>
      <c r="G30" s="98" t="str">
        <f>VLOOKUP(ReviewCalcs[[#This Row],[Project Index]], ProjectInput[], I$1, FALSE)</f>
        <v/>
      </c>
      <c r="H30" s="96">
        <f>VLOOKUP(ReviewCalcs[[#This Row],[Project Index]], ProjectInput[], J$1, FALSE)</f>
        <v>0</v>
      </c>
      <c r="I30" s="97">
        <f>VLOOKUP(ReviewCalcs[[#This Row],[Project Index]], ProjectInput[], K$1, FALSE)</f>
        <v>0</v>
      </c>
      <c r="J30" s="97">
        <f>VLOOKUP(ReviewCalcs[[#This Row],[Project Index]], ProjectInput[], L$1, FALSE)</f>
        <v>0</v>
      </c>
      <c r="K30" s="97">
        <f>VLOOKUP(ReviewCalcs[[#This Row],[Project Index]], ProjectInput[], M$1, FALSE)</f>
        <v>0</v>
      </c>
      <c r="L30" s="97">
        <f>VLOOKUP(ReviewCalcs[[#This Row],[Project Index]], ProjectInput[], N$1, FALSE)</f>
        <v>0</v>
      </c>
      <c r="M30" s="98" t="str">
        <f>VLOOKUP(ReviewCalcs[[#This Row],[Project Index]], ProjectInput[], O$1, FALSE)</f>
        <v/>
      </c>
      <c r="N30" s="96">
        <f>VLOOKUP(ReviewCalcs[[#This Row],[Project Index]], ProjectInput[], P$1, FALSE)</f>
        <v>0</v>
      </c>
      <c r="O30" s="97">
        <f>VLOOKUP(ReviewCalcs[[#This Row],[Project Index]], ProjectInput[], Q$1, FALSE)</f>
        <v>0</v>
      </c>
      <c r="P30" s="97">
        <f>VLOOKUP(ReviewCalcs[[#This Row],[Project Index]], ProjectInput[], R$1, FALSE)</f>
        <v>0</v>
      </c>
      <c r="Q30" s="97">
        <f>VLOOKUP(ReviewCalcs[[#This Row],[Project Index]], ProjectInput[], S$1, FALSE)</f>
        <v>0</v>
      </c>
      <c r="R30" s="97">
        <f>VLOOKUP(ReviewCalcs[[#This Row],[Project Index]], ProjectInput[], T$1, FALSE)</f>
        <v>0</v>
      </c>
      <c r="S30" s="97">
        <f>VLOOKUP(ReviewCalcs[[#This Row],[Project Index]], ProjectInput[], U$1, FALSE)</f>
        <v>0</v>
      </c>
      <c r="T30" s="97">
        <f>VLOOKUP(ReviewCalcs[[#This Row],[Project Index]], ProjectInput[], V$1, FALSE)</f>
        <v>0</v>
      </c>
      <c r="U30" s="97">
        <f>VLOOKUP(ReviewCalcs[[#This Row],[Project Index]], ProjectInput[], W$1, FALSE)</f>
        <v>0</v>
      </c>
      <c r="V30" s="98" t="str">
        <f>VLOOKUP(ReviewCalcs[[#This Row],[Project Index]], ProjectInput[], X$1, FALSE)</f>
        <v/>
      </c>
      <c r="W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 s="75" t="e">
        <f>IF(VLOOKUP(ReviewCalcs[[#This Row],[Proposed Fixture Code]], Table7[[FIXTURE CODE]:[Baseline Fixture Code]], 8, FALSE)="N", "ERROR", "PASS")</f>
        <v>#N/A</v>
      </c>
      <c r="Y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 s="75" t="e">
        <f>IF(OR(ReviewCalcs[[#This Row],[Baseline Fixture Watts]]&gt;=ReviewCalcs[[#This Row],[Proposed Fixture Watts]],ReviewCalcs[[#This Row],[Existing Fixture Watts]]&gt;=ReviewCalcs[[#This Row],[Proposed Fixture Watts]] ), "PASS", "ERROR")</f>
        <v>#N/A</v>
      </c>
      <c r="AA30" s="69" t="e">
        <f>VLOOKUP(ReviewCalcs[[#This Row],[Space Conditions]], Table_365[], 5, FALSE)</f>
        <v>#N/A</v>
      </c>
      <c r="AB30" s="68" t="str">
        <f>ReviewCalcs[[#This Row],[Annual Hours]]</f>
        <v/>
      </c>
      <c r="AC30" s="68" t="e">
        <f>VLOOKUP(ReviewCalcs[[#This Row],[Space Conditions]], Table_365[], 6, FALSE)</f>
        <v>#N/A</v>
      </c>
      <c r="AD30" s="68">
        <f>IF(ReviewCalcs[[#This Row],[Existing Control(s)]]='Tables &amp; Ranges'!$A$25, VLOOKUP(ReviewCalcs[[#This Row],[Building/Space Type]], Table_364[], 3, FALSE), CF_Contols)</f>
        <v>0.26</v>
      </c>
      <c r="AE30" s="68" t="e">
        <f>VLOOKUP(ReviewCalcs[[#This Row],[Existing Control(s)]], Table_358[], 2, FALSE)</f>
        <v>#N/A</v>
      </c>
      <c r="AF30" s="68">
        <f>IF(ReviewCalcs[[#This Row],[Proposed Control(s)]]='Tables &amp; Ranges'!$A$25, VLOOKUP(ReviewCalcs[[#This Row],[Building/Space Type]], Table_364[], 3, FALSE), CF_Contols)</f>
        <v>0.26</v>
      </c>
      <c r="AG30" s="68" t="e">
        <f>VLOOKUP(ReviewCalcs[[#This Row],[Proposed Control(s)]], Table_358[], 2, FALSE)</f>
        <v>#N/A</v>
      </c>
      <c r="AH30" s="68">
        <f>IFERROR((ReviewCalcs[[#This Row],[Existing Fixture Quantity]]*ReviewCalcs[[#This Row],[Existing Fixture Watts]]/1000)*ReviewCalcs[[#This Row],[Existing CF]]*ReviewCalcs[[#This Row],[IEFD]], 0)</f>
        <v>0</v>
      </c>
      <c r="AI30" s="68">
        <f>IFERROR((ReviewCalcs[[#This Row],[Proposed Fixture Quantity]]*ReviewCalcs[[#This Row],[Proposed Fixture Watts]]/1000)*ReviewCalcs[[#This Row],[Existing CF]]*ReviewCalcs[[#This Row],[IEFD]], 0)</f>
        <v>0</v>
      </c>
      <c r="AJ30" s="118">
        <f>IFERROR((ReviewCalcs[[#This Row],[Existing Fixture Quantity]]*ReviewCalcs[[#This Row],[Existing Fixture Watts]]/1000-ReviewCalcs[[#This Row],[Proposed Fixture Quantity]]*ReviewCalcs[[#This Row],[Proposed Fixture Watts]]/1000)*ReviewCalcs[[#This Row],[Existing CF]]*ReviewCalcs[[#This Row],[IEFD]], 0)</f>
        <v>0</v>
      </c>
      <c r="AK30" s="118">
        <f>IFERROR((ReviewCalcs[[#This Row],[Existing Fixture Quantity]]*ReviewCalcs[[#This Row],[Existing Fixture Watts]]/1000)*ReviewCalcs[[#This Row],[AOH]]*ReviewCalcs[[#This Row],[IEFE]]*ReviewCalcs[[#This Row],[Existing PAF]], 0)</f>
        <v>0</v>
      </c>
      <c r="AL30" s="118">
        <f>IFERROR((ReviewCalcs[[#This Row],[Proposed Fixture Quantity]]*ReviewCalcs[[#This Row],[Proposed Fixture Watts]]/1000)*ReviewCalcs[[#This Row],[AOH]]*ReviewCalcs[[#This Row],[IEFE]]*ReviewCalcs[[#This Row],[Existing PAF]], 0)</f>
        <v>0</v>
      </c>
      <c r="AM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 s="118">
        <f>ReviewCalcs[[#This Row],[Fixture Existing Energy (kWh)]]*Avg_KWh_Rate</f>
        <v>0</v>
      </c>
      <c r="AO30" s="118">
        <f>ReviewCalcs[[#This Row],[Fixture Proposed Energy (kWh)]]*Avg_KWh_Rate</f>
        <v>0</v>
      </c>
      <c r="AP30" s="70">
        <f>ReviewCalcs[[#This Row],[Fixture Energy Savings]]*Avg_KWh_Rate</f>
        <v>0</v>
      </c>
      <c r="AQ30" s="129" t="e">
        <f>ReviewCalcs[[#This Row],[Existing Fixture Quantity]]*ReviewCalcs[[#This Row],[Existing Fixture Watts]]/1000*ReviewCalcs[[#This Row],[Existing CF]]*ReviewCalcs[[#This Row],[IEFD]]</f>
        <v>#VALUE!</v>
      </c>
      <c r="AR30" s="129" t="e">
        <f>ReviewCalcs[[#This Row],[Proposed Fixture Quantity]]*ReviewCalcs[[#This Row],[Proposed Fixture Watts]]/1000*ReviewCalcs[[#This Row],[Proposed CF]]*ReviewCalcs[[#This Row],[IEFD]]</f>
        <v>#VALUE!</v>
      </c>
      <c r="AS30" s="118">
        <f>IF(ReviewCalcs[[#This Row],[Existing CF]]=ReviewCalcs[[#This Row],[Proposed CF]], 0, ReviewCalcs[[#This Row],[Proposed Fixture Quantity]]*ReviewCalcs[[#This Row],[Proposed Fixture Watts]]/1000*ReviewCalcs[[#This Row],[Proposed CF]]*ReviewCalcs[[#This Row],[IEFD]])</f>
        <v>0</v>
      </c>
      <c r="AT30" s="118">
        <f>IFERROR(ReviewCalcs[[#This Row],[Existing Fixture Quantity]]*ReviewCalcs[[#This Row],[Existing Fixture Watts]]/1000*ReviewCalcs[[#This Row],[Existing PAF]]*ReviewCalcs[[#This Row],[AOH]]*ReviewCalcs[[#This Row],[IEFE]], 0)</f>
        <v>0</v>
      </c>
      <c r="AU30" s="118">
        <f>IFERROR(ReviewCalcs[[#This Row],[Proposed Fixture Quantity]]*ReviewCalcs[[#This Row],[Proposed Fixture Watts]]/1000*ReviewCalcs[[#This Row],[Proposed PAF]]*ReviewCalcs[[#This Row],[AOH]]*ReviewCalcs[[#This Row],[IEFE]], 0)</f>
        <v>0</v>
      </c>
      <c r="AV30" s="118">
        <f>IFERROR(ReviewCalcs[[#This Row],[Proposed Fixture Quantity]]*ReviewCalcs[[#This Row],[Proposed Fixture Watts]]/1000*(ReviewCalcs[[#This Row],[Existing PAF]]-ReviewCalcs[[#This Row],[Proposed PAF]])*ReviewCalcs[[#This Row],[AOH]]*ReviewCalcs[[#This Row],[IEFE]], 0)</f>
        <v>0</v>
      </c>
      <c r="AW30" s="118">
        <f>ReviewCalcs[[#This Row],[Control Existing Energy (kWh)]]*kWh_Incentive_Rate</f>
        <v>0</v>
      </c>
      <c r="AX30" s="118">
        <f>ReviewCalcs[[#This Row],[Control Proposed Energy (kWh)]]*kWh_Incentive_Rate</f>
        <v>0</v>
      </c>
      <c r="AY30" s="70">
        <f>ReviewCalcs[[#This Row],[Control Energy Savings (kWh)]]*kWh_Incentive_Rate</f>
        <v>0</v>
      </c>
      <c r="AZ30" s="70" t="e">
        <f>ReviewCalcs[[#This Row],[Fixture Existing Demand (kW)]]+ReviewCalcs[[#This Row],[Control Existing Demand (kW)]]</f>
        <v>#VALUE!</v>
      </c>
      <c r="BA30" s="70" t="e">
        <f>ReviewCalcs[[#This Row],[Fixture Proposed Demand (kW)]]+ReviewCalcs[[#This Row],[Control Proposed Demand (kW)]]</f>
        <v>#VALUE!</v>
      </c>
      <c r="BB30" s="118">
        <f>ReviewCalcs[[#This Row],[Fixture Demand Savings (kW)]]+ReviewCalcs[[#This Row],[Control Demand Savings (kW)]]</f>
        <v>0</v>
      </c>
      <c r="BC30" s="118">
        <f>ReviewCalcs[[#This Row],[Fixture Existing Energy (kWh)]]+ReviewCalcs[[#This Row],[Control Existing Energy (kWh)]]</f>
        <v>0</v>
      </c>
      <c r="BD30" s="118">
        <f>ReviewCalcs[[#This Row],[Fixture Proposed Energy (kWh)]]+ReviewCalcs[[#This Row],[Control Proposed Energy (kWh)]]</f>
        <v>0</v>
      </c>
      <c r="BE30" s="118">
        <f>ReviewCalcs[[#This Row],[Fixture Energy Savings]]+ReviewCalcs[[#This Row],[Control Energy Savings (kWh)]]</f>
        <v>0</v>
      </c>
      <c r="BF30" s="118">
        <f>ReviewCalcs[[#This Row],[Fixture Existing Cost ($)]]+ReviewCalcs[[#This Row],[Control Existing Cost ($)]]</f>
        <v>0</v>
      </c>
      <c r="BG30" s="118">
        <f>ReviewCalcs[[#This Row],[Fixture Proposed Cost ($)]]+ReviewCalcs[[#This Row],[Controls Proposed Cost ($)]]</f>
        <v>0</v>
      </c>
      <c r="BH30" s="70">
        <f>ReviewCalcs[[#This Row],[Total Energy Savings (kWh)]]*Avg_KWh_Rate</f>
        <v>0</v>
      </c>
      <c r="BI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0" s="70">
        <f>ReviewCalcs[[#This Row],[Retrofit Cost]]</f>
        <v>0</v>
      </c>
      <c r="BK30" s="70">
        <f>ReviewCalcs[[#This Row],[Retrofit Cost]]-ReviewCalcs[[#This Row],[Incentive ($)]]</f>
        <v>0</v>
      </c>
      <c r="BL30" s="118" t="e">
        <f>IFERROR(ReviewCalcs[[#This Row],[Net Project Cost ($)]]/ReviewCalcs[[#This Row],[Fixture Energy Cost Savings ($)]], #N/A)</f>
        <v>#N/A</v>
      </c>
      <c r="BM30" s="118" t="e">
        <f>IF(VLOOKUP(ReviewCalcs[[#This Row],[Existing Fixture Code]], Table7[[FIXTURE CODE]:[Baseline Fixture Code]], 8, FALSE)="N", VLOOKUP(ReviewCalcs[[#This Row],[Existing Fixture Code]], Table7[[FIXTURE CODE]:[Baseline Fixture Code]], 9, FALSE), ReviewCalcs[[#This Row],[Existing Fixture Code]])</f>
        <v>#N/A</v>
      </c>
      <c r="BN30" s="118" t="e">
        <f>INDEX(Table7[WATT/ FIXT], MATCH(ReviewCalcs[Baseline Fixture Code], Table7[FIXTURE CODE], 0))</f>
        <v>#N/A</v>
      </c>
      <c r="BO30" s="118">
        <f>IFERROR((ReviewCalcs[[#This Row],[Existing Fixture Quantity]]*ReviewCalcs[[#This Row],[Baseline Fixture Watts]]/1000-ReviewCalcs[[#This Row],[Proposed Fixture Quantity]]*ReviewCalcs[[#This Row],[Proposed Fixture Watts]]/1000)*ReviewCalcs[[#This Row],[Existing CF]]*ReviewCalcs[[#This Row],[IEFD]], 0)</f>
        <v>0</v>
      </c>
      <c r="BP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 s="118">
        <f>IF(ReviewCalcs[[#This Row],[Existing CF]]=ReviewCalcs[[#This Row],[Proposed CF]], 0, ReviewCalcs[[#This Row],[Proposed Fixture Quantity]]*ReviewCalcs[[#This Row],[Proposed Fixture Watts]]/1000*ReviewCalcs[[#This Row],[Proposed CF]]*ReviewCalcs[[#This Row],[IEFD]])</f>
        <v>0</v>
      </c>
      <c r="BR30" s="118">
        <f>IFERROR(ReviewCalcs[[#This Row],[Proposed Fixture Quantity]]*ReviewCalcs[[#This Row],[Proposed Fixture Watts]]/1000*(ReviewCalcs[[#This Row],[Existing PAF]]-ReviewCalcs[[#This Row],[Proposed PAF]])*ReviewCalcs[[#This Row],[AOH]]*ReviewCalcs[[#This Row],[IEFE]],0)</f>
        <v>0</v>
      </c>
      <c r="BS30" s="118">
        <f>ReviewCalcs[[#This Row],[Incentive Fixture Demand Savings (kW)]]+ReviewCalcs[[#This Row],[Incentive Control Demand Savings (kW)]]</f>
        <v>0</v>
      </c>
      <c r="BT30" s="118">
        <f>ReviewCalcs[[#This Row],[Incentive Fixture Energy Savings (kWh)]]+ReviewCalcs[[#This Row],[Incentive Control Energy Savings (kWh)]]</f>
        <v>0</v>
      </c>
      <c r="BU30" s="73"/>
    </row>
    <row r="31" spans="1:73" ht="30" customHeight="1">
      <c r="A31" s="68">
        <v>28</v>
      </c>
      <c r="B31" s="96">
        <f>VLOOKUP(ReviewCalcs[[#This Row],[Project Index]], ProjectInput[], D$1, FALSE)</f>
        <v>0</v>
      </c>
      <c r="C31" s="97">
        <f>VLOOKUP(ReviewCalcs[[#This Row],[Project Index]], ProjectInput[], E$1, FALSE)</f>
        <v>0</v>
      </c>
      <c r="D31" s="97">
        <f>VLOOKUP(ReviewCalcs[[#This Row],[Project Index]], ProjectInput[], F$1, FALSE)</f>
        <v>0</v>
      </c>
      <c r="E31" s="97">
        <f>VLOOKUP(ReviewCalcs[[#This Row],[Project Index]], ProjectInput[], G$1, FALSE)</f>
        <v>0</v>
      </c>
      <c r="F31" s="97">
        <f>VLOOKUP(ReviewCalcs[[#This Row],[Project Index]], ProjectInput[], H$1, FALSE)</f>
        <v>0</v>
      </c>
      <c r="G31" s="98" t="str">
        <f>VLOOKUP(ReviewCalcs[[#This Row],[Project Index]], ProjectInput[], I$1, FALSE)</f>
        <v/>
      </c>
      <c r="H31" s="96">
        <f>VLOOKUP(ReviewCalcs[[#This Row],[Project Index]], ProjectInput[], J$1, FALSE)</f>
        <v>0</v>
      </c>
      <c r="I31" s="97">
        <f>VLOOKUP(ReviewCalcs[[#This Row],[Project Index]], ProjectInput[], K$1, FALSE)</f>
        <v>0</v>
      </c>
      <c r="J31" s="97">
        <f>VLOOKUP(ReviewCalcs[[#This Row],[Project Index]], ProjectInput[], L$1, FALSE)</f>
        <v>0</v>
      </c>
      <c r="K31" s="97">
        <f>VLOOKUP(ReviewCalcs[[#This Row],[Project Index]], ProjectInput[], M$1, FALSE)</f>
        <v>0</v>
      </c>
      <c r="L31" s="97">
        <f>VLOOKUP(ReviewCalcs[[#This Row],[Project Index]], ProjectInput[], N$1, FALSE)</f>
        <v>0</v>
      </c>
      <c r="M31" s="98" t="str">
        <f>VLOOKUP(ReviewCalcs[[#This Row],[Project Index]], ProjectInput[], O$1, FALSE)</f>
        <v/>
      </c>
      <c r="N31" s="96">
        <f>VLOOKUP(ReviewCalcs[[#This Row],[Project Index]], ProjectInput[], P$1, FALSE)</f>
        <v>0</v>
      </c>
      <c r="O31" s="97">
        <f>VLOOKUP(ReviewCalcs[[#This Row],[Project Index]], ProjectInput[], Q$1, FALSE)</f>
        <v>0</v>
      </c>
      <c r="P31" s="97">
        <f>VLOOKUP(ReviewCalcs[[#This Row],[Project Index]], ProjectInput[], R$1, FALSE)</f>
        <v>0</v>
      </c>
      <c r="Q31" s="97">
        <f>VLOOKUP(ReviewCalcs[[#This Row],[Project Index]], ProjectInput[], S$1, FALSE)</f>
        <v>0</v>
      </c>
      <c r="R31" s="97">
        <f>VLOOKUP(ReviewCalcs[[#This Row],[Project Index]], ProjectInput[], T$1, FALSE)</f>
        <v>0</v>
      </c>
      <c r="S31" s="97">
        <f>VLOOKUP(ReviewCalcs[[#This Row],[Project Index]], ProjectInput[], U$1, FALSE)</f>
        <v>0</v>
      </c>
      <c r="T31" s="97">
        <f>VLOOKUP(ReviewCalcs[[#This Row],[Project Index]], ProjectInput[], V$1, FALSE)</f>
        <v>0</v>
      </c>
      <c r="U31" s="97">
        <f>VLOOKUP(ReviewCalcs[[#This Row],[Project Index]], ProjectInput[], W$1, FALSE)</f>
        <v>0</v>
      </c>
      <c r="V31" s="98" t="str">
        <f>VLOOKUP(ReviewCalcs[[#This Row],[Project Index]], ProjectInput[], X$1, FALSE)</f>
        <v/>
      </c>
      <c r="W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1" s="75" t="e">
        <f>IF(VLOOKUP(ReviewCalcs[[#This Row],[Proposed Fixture Code]], Table7[[FIXTURE CODE]:[Baseline Fixture Code]], 8, FALSE)="N", "ERROR", "PASS")</f>
        <v>#N/A</v>
      </c>
      <c r="Y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1" s="75" t="e">
        <f>IF(OR(ReviewCalcs[[#This Row],[Baseline Fixture Watts]]&gt;=ReviewCalcs[[#This Row],[Proposed Fixture Watts]],ReviewCalcs[[#This Row],[Existing Fixture Watts]]&gt;=ReviewCalcs[[#This Row],[Proposed Fixture Watts]] ), "PASS", "ERROR")</f>
        <v>#N/A</v>
      </c>
      <c r="AA31" s="69" t="e">
        <f>VLOOKUP(ReviewCalcs[[#This Row],[Space Conditions]], Table_365[], 5, FALSE)</f>
        <v>#N/A</v>
      </c>
      <c r="AB31" s="68" t="str">
        <f>ReviewCalcs[[#This Row],[Annual Hours]]</f>
        <v/>
      </c>
      <c r="AC31" s="68" t="e">
        <f>VLOOKUP(ReviewCalcs[[#This Row],[Space Conditions]], Table_365[], 6, FALSE)</f>
        <v>#N/A</v>
      </c>
      <c r="AD31" s="68">
        <f>IF(ReviewCalcs[[#This Row],[Existing Control(s)]]='Tables &amp; Ranges'!$A$25, VLOOKUP(ReviewCalcs[[#This Row],[Building/Space Type]], Table_364[], 3, FALSE), CF_Contols)</f>
        <v>0.26</v>
      </c>
      <c r="AE31" s="68" t="e">
        <f>VLOOKUP(ReviewCalcs[[#This Row],[Existing Control(s)]], Table_358[], 2, FALSE)</f>
        <v>#N/A</v>
      </c>
      <c r="AF31" s="68">
        <f>IF(ReviewCalcs[[#This Row],[Proposed Control(s)]]='Tables &amp; Ranges'!$A$25, VLOOKUP(ReviewCalcs[[#This Row],[Building/Space Type]], Table_364[], 3, FALSE), CF_Contols)</f>
        <v>0.26</v>
      </c>
      <c r="AG31" s="68" t="e">
        <f>VLOOKUP(ReviewCalcs[[#This Row],[Proposed Control(s)]], Table_358[], 2, FALSE)</f>
        <v>#N/A</v>
      </c>
      <c r="AH31" s="68">
        <f>IFERROR((ReviewCalcs[[#This Row],[Existing Fixture Quantity]]*ReviewCalcs[[#This Row],[Existing Fixture Watts]]/1000)*ReviewCalcs[[#This Row],[Existing CF]]*ReviewCalcs[[#This Row],[IEFD]], 0)</f>
        <v>0</v>
      </c>
      <c r="AI31" s="68">
        <f>IFERROR((ReviewCalcs[[#This Row],[Proposed Fixture Quantity]]*ReviewCalcs[[#This Row],[Proposed Fixture Watts]]/1000)*ReviewCalcs[[#This Row],[Existing CF]]*ReviewCalcs[[#This Row],[IEFD]], 0)</f>
        <v>0</v>
      </c>
      <c r="AJ31" s="118">
        <f>IFERROR((ReviewCalcs[[#This Row],[Existing Fixture Quantity]]*ReviewCalcs[[#This Row],[Existing Fixture Watts]]/1000-ReviewCalcs[[#This Row],[Proposed Fixture Quantity]]*ReviewCalcs[[#This Row],[Proposed Fixture Watts]]/1000)*ReviewCalcs[[#This Row],[Existing CF]]*ReviewCalcs[[#This Row],[IEFD]], 0)</f>
        <v>0</v>
      </c>
      <c r="AK31" s="118">
        <f>IFERROR((ReviewCalcs[[#This Row],[Existing Fixture Quantity]]*ReviewCalcs[[#This Row],[Existing Fixture Watts]]/1000)*ReviewCalcs[[#This Row],[AOH]]*ReviewCalcs[[#This Row],[IEFE]]*ReviewCalcs[[#This Row],[Existing PAF]], 0)</f>
        <v>0</v>
      </c>
      <c r="AL31" s="118">
        <f>IFERROR((ReviewCalcs[[#This Row],[Proposed Fixture Quantity]]*ReviewCalcs[[#This Row],[Proposed Fixture Watts]]/1000)*ReviewCalcs[[#This Row],[AOH]]*ReviewCalcs[[#This Row],[IEFE]]*ReviewCalcs[[#This Row],[Existing PAF]], 0)</f>
        <v>0</v>
      </c>
      <c r="AM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1" s="118">
        <f>ReviewCalcs[[#This Row],[Fixture Existing Energy (kWh)]]*Avg_KWh_Rate</f>
        <v>0</v>
      </c>
      <c r="AO31" s="118">
        <f>ReviewCalcs[[#This Row],[Fixture Proposed Energy (kWh)]]*Avg_KWh_Rate</f>
        <v>0</v>
      </c>
      <c r="AP31" s="70">
        <f>ReviewCalcs[[#This Row],[Fixture Energy Savings]]*Avg_KWh_Rate</f>
        <v>0</v>
      </c>
      <c r="AQ31" s="129" t="e">
        <f>ReviewCalcs[[#This Row],[Existing Fixture Quantity]]*ReviewCalcs[[#This Row],[Existing Fixture Watts]]/1000*ReviewCalcs[[#This Row],[Existing CF]]*ReviewCalcs[[#This Row],[IEFD]]</f>
        <v>#VALUE!</v>
      </c>
      <c r="AR31" s="129" t="e">
        <f>ReviewCalcs[[#This Row],[Proposed Fixture Quantity]]*ReviewCalcs[[#This Row],[Proposed Fixture Watts]]/1000*ReviewCalcs[[#This Row],[Proposed CF]]*ReviewCalcs[[#This Row],[IEFD]]</f>
        <v>#VALUE!</v>
      </c>
      <c r="AS31" s="118">
        <f>IF(ReviewCalcs[[#This Row],[Existing CF]]=ReviewCalcs[[#This Row],[Proposed CF]], 0, ReviewCalcs[[#This Row],[Proposed Fixture Quantity]]*ReviewCalcs[[#This Row],[Proposed Fixture Watts]]/1000*ReviewCalcs[[#This Row],[Proposed CF]]*ReviewCalcs[[#This Row],[IEFD]])</f>
        <v>0</v>
      </c>
      <c r="AT31" s="118">
        <f>IFERROR(ReviewCalcs[[#This Row],[Existing Fixture Quantity]]*ReviewCalcs[[#This Row],[Existing Fixture Watts]]/1000*ReviewCalcs[[#This Row],[Existing PAF]]*ReviewCalcs[[#This Row],[AOH]]*ReviewCalcs[[#This Row],[IEFE]], 0)</f>
        <v>0</v>
      </c>
      <c r="AU31" s="118">
        <f>IFERROR(ReviewCalcs[[#This Row],[Proposed Fixture Quantity]]*ReviewCalcs[[#This Row],[Proposed Fixture Watts]]/1000*ReviewCalcs[[#This Row],[Proposed PAF]]*ReviewCalcs[[#This Row],[AOH]]*ReviewCalcs[[#This Row],[IEFE]], 0)</f>
        <v>0</v>
      </c>
      <c r="AV31" s="118">
        <f>IFERROR(ReviewCalcs[[#This Row],[Proposed Fixture Quantity]]*ReviewCalcs[[#This Row],[Proposed Fixture Watts]]/1000*(ReviewCalcs[[#This Row],[Existing PAF]]-ReviewCalcs[[#This Row],[Proposed PAF]])*ReviewCalcs[[#This Row],[AOH]]*ReviewCalcs[[#This Row],[IEFE]], 0)</f>
        <v>0</v>
      </c>
      <c r="AW31" s="118">
        <f>ReviewCalcs[[#This Row],[Control Existing Energy (kWh)]]*kWh_Incentive_Rate</f>
        <v>0</v>
      </c>
      <c r="AX31" s="118">
        <f>ReviewCalcs[[#This Row],[Control Proposed Energy (kWh)]]*kWh_Incentive_Rate</f>
        <v>0</v>
      </c>
      <c r="AY31" s="70">
        <f>ReviewCalcs[[#This Row],[Control Energy Savings (kWh)]]*kWh_Incentive_Rate</f>
        <v>0</v>
      </c>
      <c r="AZ31" s="70" t="e">
        <f>ReviewCalcs[[#This Row],[Fixture Existing Demand (kW)]]+ReviewCalcs[[#This Row],[Control Existing Demand (kW)]]</f>
        <v>#VALUE!</v>
      </c>
      <c r="BA31" s="70" t="e">
        <f>ReviewCalcs[[#This Row],[Fixture Proposed Demand (kW)]]+ReviewCalcs[[#This Row],[Control Proposed Demand (kW)]]</f>
        <v>#VALUE!</v>
      </c>
      <c r="BB31" s="118">
        <f>ReviewCalcs[[#This Row],[Fixture Demand Savings (kW)]]+ReviewCalcs[[#This Row],[Control Demand Savings (kW)]]</f>
        <v>0</v>
      </c>
      <c r="BC31" s="118">
        <f>ReviewCalcs[[#This Row],[Fixture Existing Energy (kWh)]]+ReviewCalcs[[#This Row],[Control Existing Energy (kWh)]]</f>
        <v>0</v>
      </c>
      <c r="BD31" s="118">
        <f>ReviewCalcs[[#This Row],[Fixture Proposed Energy (kWh)]]+ReviewCalcs[[#This Row],[Control Proposed Energy (kWh)]]</f>
        <v>0</v>
      </c>
      <c r="BE31" s="118">
        <f>ReviewCalcs[[#This Row],[Fixture Energy Savings]]+ReviewCalcs[[#This Row],[Control Energy Savings (kWh)]]</f>
        <v>0</v>
      </c>
      <c r="BF31" s="118">
        <f>ReviewCalcs[[#This Row],[Fixture Existing Cost ($)]]+ReviewCalcs[[#This Row],[Control Existing Cost ($)]]</f>
        <v>0</v>
      </c>
      <c r="BG31" s="118">
        <f>ReviewCalcs[[#This Row],[Fixture Proposed Cost ($)]]+ReviewCalcs[[#This Row],[Controls Proposed Cost ($)]]</f>
        <v>0</v>
      </c>
      <c r="BH31" s="70">
        <f>ReviewCalcs[[#This Row],[Total Energy Savings (kWh)]]*Avg_KWh_Rate</f>
        <v>0</v>
      </c>
      <c r="BI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1" s="70">
        <f>ReviewCalcs[[#This Row],[Retrofit Cost]]</f>
        <v>0</v>
      </c>
      <c r="BK31" s="70">
        <f>ReviewCalcs[[#This Row],[Retrofit Cost]]-ReviewCalcs[[#This Row],[Incentive ($)]]</f>
        <v>0</v>
      </c>
      <c r="BL31" s="118" t="e">
        <f>IFERROR(ReviewCalcs[[#This Row],[Net Project Cost ($)]]/ReviewCalcs[[#This Row],[Fixture Energy Cost Savings ($)]], #N/A)</f>
        <v>#N/A</v>
      </c>
      <c r="BM31" s="118" t="e">
        <f>IF(VLOOKUP(ReviewCalcs[[#This Row],[Existing Fixture Code]], Table7[[FIXTURE CODE]:[Baseline Fixture Code]], 8, FALSE)="N", VLOOKUP(ReviewCalcs[[#This Row],[Existing Fixture Code]], Table7[[FIXTURE CODE]:[Baseline Fixture Code]], 9, FALSE), ReviewCalcs[[#This Row],[Existing Fixture Code]])</f>
        <v>#N/A</v>
      </c>
      <c r="BN31" s="118" t="e">
        <f>INDEX(Table7[WATT/ FIXT], MATCH(ReviewCalcs[Baseline Fixture Code], Table7[FIXTURE CODE], 0))</f>
        <v>#N/A</v>
      </c>
      <c r="BO31" s="118">
        <f>IFERROR((ReviewCalcs[[#This Row],[Existing Fixture Quantity]]*ReviewCalcs[[#This Row],[Baseline Fixture Watts]]/1000-ReviewCalcs[[#This Row],[Proposed Fixture Quantity]]*ReviewCalcs[[#This Row],[Proposed Fixture Watts]]/1000)*ReviewCalcs[[#This Row],[Existing CF]]*ReviewCalcs[[#This Row],[IEFD]], 0)</f>
        <v>0</v>
      </c>
      <c r="BP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1" s="118">
        <f>IF(ReviewCalcs[[#This Row],[Existing CF]]=ReviewCalcs[[#This Row],[Proposed CF]], 0, ReviewCalcs[[#This Row],[Proposed Fixture Quantity]]*ReviewCalcs[[#This Row],[Proposed Fixture Watts]]/1000*ReviewCalcs[[#This Row],[Proposed CF]]*ReviewCalcs[[#This Row],[IEFD]])</f>
        <v>0</v>
      </c>
      <c r="BR31" s="118">
        <f>IFERROR(ReviewCalcs[[#This Row],[Proposed Fixture Quantity]]*ReviewCalcs[[#This Row],[Proposed Fixture Watts]]/1000*(ReviewCalcs[[#This Row],[Existing PAF]]-ReviewCalcs[[#This Row],[Proposed PAF]])*ReviewCalcs[[#This Row],[AOH]]*ReviewCalcs[[#This Row],[IEFE]],0)</f>
        <v>0</v>
      </c>
      <c r="BS31" s="118">
        <f>ReviewCalcs[[#This Row],[Incentive Fixture Demand Savings (kW)]]+ReviewCalcs[[#This Row],[Incentive Control Demand Savings (kW)]]</f>
        <v>0</v>
      </c>
      <c r="BT31" s="118">
        <f>ReviewCalcs[[#This Row],[Incentive Fixture Energy Savings (kWh)]]+ReviewCalcs[[#This Row],[Incentive Control Energy Savings (kWh)]]</f>
        <v>0</v>
      </c>
      <c r="BU31" s="73"/>
    </row>
    <row r="32" spans="1:73" ht="30" customHeight="1">
      <c r="A32" s="68">
        <v>29</v>
      </c>
      <c r="B32" s="96">
        <f>VLOOKUP(ReviewCalcs[[#This Row],[Project Index]], ProjectInput[], D$1, FALSE)</f>
        <v>0</v>
      </c>
      <c r="C32" s="97">
        <f>VLOOKUP(ReviewCalcs[[#This Row],[Project Index]], ProjectInput[], E$1, FALSE)</f>
        <v>0</v>
      </c>
      <c r="D32" s="97">
        <f>VLOOKUP(ReviewCalcs[[#This Row],[Project Index]], ProjectInput[], F$1, FALSE)</f>
        <v>0</v>
      </c>
      <c r="E32" s="97">
        <f>VLOOKUP(ReviewCalcs[[#This Row],[Project Index]], ProjectInput[], G$1, FALSE)</f>
        <v>0</v>
      </c>
      <c r="F32" s="97">
        <f>VLOOKUP(ReviewCalcs[[#This Row],[Project Index]], ProjectInput[], H$1, FALSE)</f>
        <v>0</v>
      </c>
      <c r="G32" s="98" t="str">
        <f>VLOOKUP(ReviewCalcs[[#This Row],[Project Index]], ProjectInput[], I$1, FALSE)</f>
        <v/>
      </c>
      <c r="H32" s="96">
        <f>VLOOKUP(ReviewCalcs[[#This Row],[Project Index]], ProjectInput[], J$1, FALSE)</f>
        <v>0</v>
      </c>
      <c r="I32" s="97">
        <f>VLOOKUP(ReviewCalcs[[#This Row],[Project Index]], ProjectInput[], K$1, FALSE)</f>
        <v>0</v>
      </c>
      <c r="J32" s="97">
        <f>VLOOKUP(ReviewCalcs[[#This Row],[Project Index]], ProjectInput[], L$1, FALSE)</f>
        <v>0</v>
      </c>
      <c r="K32" s="97">
        <f>VLOOKUP(ReviewCalcs[[#This Row],[Project Index]], ProjectInput[], M$1, FALSE)</f>
        <v>0</v>
      </c>
      <c r="L32" s="97">
        <f>VLOOKUP(ReviewCalcs[[#This Row],[Project Index]], ProjectInput[], N$1, FALSE)</f>
        <v>0</v>
      </c>
      <c r="M32" s="98" t="str">
        <f>VLOOKUP(ReviewCalcs[[#This Row],[Project Index]], ProjectInput[], O$1, FALSE)</f>
        <v/>
      </c>
      <c r="N32" s="96">
        <f>VLOOKUP(ReviewCalcs[[#This Row],[Project Index]], ProjectInput[], P$1, FALSE)</f>
        <v>0</v>
      </c>
      <c r="O32" s="97">
        <f>VLOOKUP(ReviewCalcs[[#This Row],[Project Index]], ProjectInput[], Q$1, FALSE)</f>
        <v>0</v>
      </c>
      <c r="P32" s="97">
        <f>VLOOKUP(ReviewCalcs[[#This Row],[Project Index]], ProjectInput[], R$1, FALSE)</f>
        <v>0</v>
      </c>
      <c r="Q32" s="97">
        <f>VLOOKUP(ReviewCalcs[[#This Row],[Project Index]], ProjectInput[], S$1, FALSE)</f>
        <v>0</v>
      </c>
      <c r="R32" s="97">
        <f>VLOOKUP(ReviewCalcs[[#This Row],[Project Index]], ProjectInput[], T$1, FALSE)</f>
        <v>0</v>
      </c>
      <c r="S32" s="97">
        <f>VLOOKUP(ReviewCalcs[[#This Row],[Project Index]], ProjectInput[], U$1, FALSE)</f>
        <v>0</v>
      </c>
      <c r="T32" s="97">
        <f>VLOOKUP(ReviewCalcs[[#This Row],[Project Index]], ProjectInput[], V$1, FALSE)</f>
        <v>0</v>
      </c>
      <c r="U32" s="97">
        <f>VLOOKUP(ReviewCalcs[[#This Row],[Project Index]], ProjectInput[], W$1, FALSE)</f>
        <v>0</v>
      </c>
      <c r="V32" s="98" t="str">
        <f>VLOOKUP(ReviewCalcs[[#This Row],[Project Index]], ProjectInput[], X$1, FALSE)</f>
        <v/>
      </c>
      <c r="W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2" s="75" t="e">
        <f>IF(VLOOKUP(ReviewCalcs[[#This Row],[Proposed Fixture Code]], Table7[[FIXTURE CODE]:[Baseline Fixture Code]], 8, FALSE)="N", "ERROR", "PASS")</f>
        <v>#N/A</v>
      </c>
      <c r="Y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2" s="75" t="e">
        <f>IF(OR(ReviewCalcs[[#This Row],[Baseline Fixture Watts]]&gt;=ReviewCalcs[[#This Row],[Proposed Fixture Watts]],ReviewCalcs[[#This Row],[Existing Fixture Watts]]&gt;=ReviewCalcs[[#This Row],[Proposed Fixture Watts]] ), "PASS", "ERROR")</f>
        <v>#N/A</v>
      </c>
      <c r="AA32" s="69" t="e">
        <f>VLOOKUP(ReviewCalcs[[#This Row],[Space Conditions]], Table_365[], 5, FALSE)</f>
        <v>#N/A</v>
      </c>
      <c r="AB32" s="68" t="str">
        <f>ReviewCalcs[[#This Row],[Annual Hours]]</f>
        <v/>
      </c>
      <c r="AC32" s="68" t="e">
        <f>VLOOKUP(ReviewCalcs[[#This Row],[Space Conditions]], Table_365[], 6, FALSE)</f>
        <v>#N/A</v>
      </c>
      <c r="AD32" s="68">
        <f>IF(ReviewCalcs[[#This Row],[Existing Control(s)]]='Tables &amp; Ranges'!$A$25, VLOOKUP(ReviewCalcs[[#This Row],[Building/Space Type]], Table_364[], 3, FALSE), CF_Contols)</f>
        <v>0.26</v>
      </c>
      <c r="AE32" s="68" t="e">
        <f>VLOOKUP(ReviewCalcs[[#This Row],[Existing Control(s)]], Table_358[], 2, FALSE)</f>
        <v>#N/A</v>
      </c>
      <c r="AF32" s="68">
        <f>IF(ReviewCalcs[[#This Row],[Proposed Control(s)]]='Tables &amp; Ranges'!$A$25, VLOOKUP(ReviewCalcs[[#This Row],[Building/Space Type]], Table_364[], 3, FALSE), CF_Contols)</f>
        <v>0.26</v>
      </c>
      <c r="AG32" s="68" t="e">
        <f>VLOOKUP(ReviewCalcs[[#This Row],[Proposed Control(s)]], Table_358[], 2, FALSE)</f>
        <v>#N/A</v>
      </c>
      <c r="AH32" s="68">
        <f>IFERROR((ReviewCalcs[[#This Row],[Existing Fixture Quantity]]*ReviewCalcs[[#This Row],[Existing Fixture Watts]]/1000)*ReviewCalcs[[#This Row],[Existing CF]]*ReviewCalcs[[#This Row],[IEFD]], 0)</f>
        <v>0</v>
      </c>
      <c r="AI32" s="68">
        <f>IFERROR((ReviewCalcs[[#This Row],[Proposed Fixture Quantity]]*ReviewCalcs[[#This Row],[Proposed Fixture Watts]]/1000)*ReviewCalcs[[#This Row],[Existing CF]]*ReviewCalcs[[#This Row],[IEFD]], 0)</f>
        <v>0</v>
      </c>
      <c r="AJ32" s="118">
        <f>IFERROR((ReviewCalcs[[#This Row],[Existing Fixture Quantity]]*ReviewCalcs[[#This Row],[Existing Fixture Watts]]/1000-ReviewCalcs[[#This Row],[Proposed Fixture Quantity]]*ReviewCalcs[[#This Row],[Proposed Fixture Watts]]/1000)*ReviewCalcs[[#This Row],[Existing CF]]*ReviewCalcs[[#This Row],[IEFD]], 0)</f>
        <v>0</v>
      </c>
      <c r="AK32" s="118">
        <f>IFERROR((ReviewCalcs[[#This Row],[Existing Fixture Quantity]]*ReviewCalcs[[#This Row],[Existing Fixture Watts]]/1000)*ReviewCalcs[[#This Row],[AOH]]*ReviewCalcs[[#This Row],[IEFE]]*ReviewCalcs[[#This Row],[Existing PAF]], 0)</f>
        <v>0</v>
      </c>
      <c r="AL32" s="118">
        <f>IFERROR((ReviewCalcs[[#This Row],[Proposed Fixture Quantity]]*ReviewCalcs[[#This Row],[Proposed Fixture Watts]]/1000)*ReviewCalcs[[#This Row],[AOH]]*ReviewCalcs[[#This Row],[IEFE]]*ReviewCalcs[[#This Row],[Existing PAF]], 0)</f>
        <v>0</v>
      </c>
      <c r="AM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2" s="118">
        <f>ReviewCalcs[[#This Row],[Fixture Existing Energy (kWh)]]*Avg_KWh_Rate</f>
        <v>0</v>
      </c>
      <c r="AO32" s="118">
        <f>ReviewCalcs[[#This Row],[Fixture Proposed Energy (kWh)]]*Avg_KWh_Rate</f>
        <v>0</v>
      </c>
      <c r="AP32" s="70">
        <f>ReviewCalcs[[#This Row],[Fixture Energy Savings]]*Avg_KWh_Rate</f>
        <v>0</v>
      </c>
      <c r="AQ32" s="129" t="e">
        <f>ReviewCalcs[[#This Row],[Existing Fixture Quantity]]*ReviewCalcs[[#This Row],[Existing Fixture Watts]]/1000*ReviewCalcs[[#This Row],[Existing CF]]*ReviewCalcs[[#This Row],[IEFD]]</f>
        <v>#VALUE!</v>
      </c>
      <c r="AR32" s="129" t="e">
        <f>ReviewCalcs[[#This Row],[Proposed Fixture Quantity]]*ReviewCalcs[[#This Row],[Proposed Fixture Watts]]/1000*ReviewCalcs[[#This Row],[Proposed CF]]*ReviewCalcs[[#This Row],[IEFD]]</f>
        <v>#VALUE!</v>
      </c>
      <c r="AS32" s="118">
        <f>IF(ReviewCalcs[[#This Row],[Existing CF]]=ReviewCalcs[[#This Row],[Proposed CF]], 0, ReviewCalcs[[#This Row],[Proposed Fixture Quantity]]*ReviewCalcs[[#This Row],[Proposed Fixture Watts]]/1000*ReviewCalcs[[#This Row],[Proposed CF]]*ReviewCalcs[[#This Row],[IEFD]])</f>
        <v>0</v>
      </c>
      <c r="AT32" s="118">
        <f>IFERROR(ReviewCalcs[[#This Row],[Existing Fixture Quantity]]*ReviewCalcs[[#This Row],[Existing Fixture Watts]]/1000*ReviewCalcs[[#This Row],[Existing PAF]]*ReviewCalcs[[#This Row],[AOH]]*ReviewCalcs[[#This Row],[IEFE]], 0)</f>
        <v>0</v>
      </c>
      <c r="AU32" s="118">
        <f>IFERROR(ReviewCalcs[[#This Row],[Proposed Fixture Quantity]]*ReviewCalcs[[#This Row],[Proposed Fixture Watts]]/1000*ReviewCalcs[[#This Row],[Proposed PAF]]*ReviewCalcs[[#This Row],[AOH]]*ReviewCalcs[[#This Row],[IEFE]], 0)</f>
        <v>0</v>
      </c>
      <c r="AV32" s="118">
        <f>IFERROR(ReviewCalcs[[#This Row],[Proposed Fixture Quantity]]*ReviewCalcs[[#This Row],[Proposed Fixture Watts]]/1000*(ReviewCalcs[[#This Row],[Existing PAF]]-ReviewCalcs[[#This Row],[Proposed PAF]])*ReviewCalcs[[#This Row],[AOH]]*ReviewCalcs[[#This Row],[IEFE]], 0)</f>
        <v>0</v>
      </c>
      <c r="AW32" s="118">
        <f>ReviewCalcs[[#This Row],[Control Existing Energy (kWh)]]*kWh_Incentive_Rate</f>
        <v>0</v>
      </c>
      <c r="AX32" s="118">
        <f>ReviewCalcs[[#This Row],[Control Proposed Energy (kWh)]]*kWh_Incentive_Rate</f>
        <v>0</v>
      </c>
      <c r="AY32" s="70">
        <f>ReviewCalcs[[#This Row],[Control Energy Savings (kWh)]]*kWh_Incentive_Rate</f>
        <v>0</v>
      </c>
      <c r="AZ32" s="70" t="e">
        <f>ReviewCalcs[[#This Row],[Fixture Existing Demand (kW)]]+ReviewCalcs[[#This Row],[Control Existing Demand (kW)]]</f>
        <v>#VALUE!</v>
      </c>
      <c r="BA32" s="70" t="e">
        <f>ReviewCalcs[[#This Row],[Fixture Proposed Demand (kW)]]+ReviewCalcs[[#This Row],[Control Proposed Demand (kW)]]</f>
        <v>#VALUE!</v>
      </c>
      <c r="BB32" s="118">
        <f>ReviewCalcs[[#This Row],[Fixture Demand Savings (kW)]]+ReviewCalcs[[#This Row],[Control Demand Savings (kW)]]</f>
        <v>0</v>
      </c>
      <c r="BC32" s="118">
        <f>ReviewCalcs[[#This Row],[Fixture Existing Energy (kWh)]]+ReviewCalcs[[#This Row],[Control Existing Energy (kWh)]]</f>
        <v>0</v>
      </c>
      <c r="BD32" s="118">
        <f>ReviewCalcs[[#This Row],[Fixture Proposed Energy (kWh)]]+ReviewCalcs[[#This Row],[Control Proposed Energy (kWh)]]</f>
        <v>0</v>
      </c>
      <c r="BE32" s="118">
        <f>ReviewCalcs[[#This Row],[Fixture Energy Savings]]+ReviewCalcs[[#This Row],[Control Energy Savings (kWh)]]</f>
        <v>0</v>
      </c>
      <c r="BF32" s="118">
        <f>ReviewCalcs[[#This Row],[Fixture Existing Cost ($)]]+ReviewCalcs[[#This Row],[Control Existing Cost ($)]]</f>
        <v>0</v>
      </c>
      <c r="BG32" s="118">
        <f>ReviewCalcs[[#This Row],[Fixture Proposed Cost ($)]]+ReviewCalcs[[#This Row],[Controls Proposed Cost ($)]]</f>
        <v>0</v>
      </c>
      <c r="BH32" s="70">
        <f>ReviewCalcs[[#This Row],[Total Energy Savings (kWh)]]*Avg_KWh_Rate</f>
        <v>0</v>
      </c>
      <c r="BI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2" s="70">
        <f>ReviewCalcs[[#This Row],[Retrofit Cost]]</f>
        <v>0</v>
      </c>
      <c r="BK32" s="70">
        <f>ReviewCalcs[[#This Row],[Retrofit Cost]]-ReviewCalcs[[#This Row],[Incentive ($)]]</f>
        <v>0</v>
      </c>
      <c r="BL32" s="118" t="e">
        <f>IFERROR(ReviewCalcs[[#This Row],[Net Project Cost ($)]]/ReviewCalcs[[#This Row],[Fixture Energy Cost Savings ($)]], #N/A)</f>
        <v>#N/A</v>
      </c>
      <c r="BM32" s="118" t="e">
        <f>IF(VLOOKUP(ReviewCalcs[[#This Row],[Existing Fixture Code]], Table7[[FIXTURE CODE]:[Baseline Fixture Code]], 8, FALSE)="N", VLOOKUP(ReviewCalcs[[#This Row],[Existing Fixture Code]], Table7[[FIXTURE CODE]:[Baseline Fixture Code]], 9, FALSE), ReviewCalcs[[#This Row],[Existing Fixture Code]])</f>
        <v>#N/A</v>
      </c>
      <c r="BN32" s="118" t="e">
        <f>INDEX(Table7[WATT/ FIXT], MATCH(ReviewCalcs[Baseline Fixture Code], Table7[FIXTURE CODE], 0))</f>
        <v>#N/A</v>
      </c>
      <c r="BO32" s="118">
        <f>IFERROR((ReviewCalcs[[#This Row],[Existing Fixture Quantity]]*ReviewCalcs[[#This Row],[Baseline Fixture Watts]]/1000-ReviewCalcs[[#This Row],[Proposed Fixture Quantity]]*ReviewCalcs[[#This Row],[Proposed Fixture Watts]]/1000)*ReviewCalcs[[#This Row],[Existing CF]]*ReviewCalcs[[#This Row],[IEFD]], 0)</f>
        <v>0</v>
      </c>
      <c r="BP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2" s="118">
        <f>IF(ReviewCalcs[[#This Row],[Existing CF]]=ReviewCalcs[[#This Row],[Proposed CF]], 0, ReviewCalcs[[#This Row],[Proposed Fixture Quantity]]*ReviewCalcs[[#This Row],[Proposed Fixture Watts]]/1000*ReviewCalcs[[#This Row],[Proposed CF]]*ReviewCalcs[[#This Row],[IEFD]])</f>
        <v>0</v>
      </c>
      <c r="BR32" s="118">
        <f>IFERROR(ReviewCalcs[[#This Row],[Proposed Fixture Quantity]]*ReviewCalcs[[#This Row],[Proposed Fixture Watts]]/1000*(ReviewCalcs[[#This Row],[Existing PAF]]-ReviewCalcs[[#This Row],[Proposed PAF]])*ReviewCalcs[[#This Row],[AOH]]*ReviewCalcs[[#This Row],[IEFE]],0)</f>
        <v>0</v>
      </c>
      <c r="BS32" s="118">
        <f>ReviewCalcs[[#This Row],[Incentive Fixture Demand Savings (kW)]]+ReviewCalcs[[#This Row],[Incentive Control Demand Savings (kW)]]</f>
        <v>0</v>
      </c>
      <c r="BT32" s="118">
        <f>ReviewCalcs[[#This Row],[Incentive Fixture Energy Savings (kWh)]]+ReviewCalcs[[#This Row],[Incentive Control Energy Savings (kWh)]]</f>
        <v>0</v>
      </c>
      <c r="BU32" s="73"/>
    </row>
    <row r="33" spans="1:73" ht="30" customHeight="1">
      <c r="A33" s="68">
        <v>30</v>
      </c>
      <c r="B33" s="96">
        <f>VLOOKUP(ReviewCalcs[[#This Row],[Project Index]], ProjectInput[], D$1, FALSE)</f>
        <v>0</v>
      </c>
      <c r="C33" s="97">
        <f>VLOOKUP(ReviewCalcs[[#This Row],[Project Index]], ProjectInput[], E$1, FALSE)</f>
        <v>0</v>
      </c>
      <c r="D33" s="97">
        <f>VLOOKUP(ReviewCalcs[[#This Row],[Project Index]], ProjectInput[], F$1, FALSE)</f>
        <v>0</v>
      </c>
      <c r="E33" s="97">
        <f>VLOOKUP(ReviewCalcs[[#This Row],[Project Index]], ProjectInput[], G$1, FALSE)</f>
        <v>0</v>
      </c>
      <c r="F33" s="97">
        <f>VLOOKUP(ReviewCalcs[[#This Row],[Project Index]], ProjectInput[], H$1, FALSE)</f>
        <v>0</v>
      </c>
      <c r="G33" s="98" t="str">
        <f>VLOOKUP(ReviewCalcs[[#This Row],[Project Index]], ProjectInput[], I$1, FALSE)</f>
        <v/>
      </c>
      <c r="H33" s="96">
        <f>VLOOKUP(ReviewCalcs[[#This Row],[Project Index]], ProjectInput[], J$1, FALSE)</f>
        <v>0</v>
      </c>
      <c r="I33" s="97">
        <f>VLOOKUP(ReviewCalcs[[#This Row],[Project Index]], ProjectInput[], K$1, FALSE)</f>
        <v>0</v>
      </c>
      <c r="J33" s="97">
        <f>VLOOKUP(ReviewCalcs[[#This Row],[Project Index]], ProjectInput[], L$1, FALSE)</f>
        <v>0</v>
      </c>
      <c r="K33" s="97">
        <f>VLOOKUP(ReviewCalcs[[#This Row],[Project Index]], ProjectInput[], M$1, FALSE)</f>
        <v>0</v>
      </c>
      <c r="L33" s="97">
        <f>VLOOKUP(ReviewCalcs[[#This Row],[Project Index]], ProjectInput[], N$1, FALSE)</f>
        <v>0</v>
      </c>
      <c r="M33" s="98" t="str">
        <f>VLOOKUP(ReviewCalcs[[#This Row],[Project Index]], ProjectInput[], O$1, FALSE)</f>
        <v/>
      </c>
      <c r="N33" s="96">
        <f>VLOOKUP(ReviewCalcs[[#This Row],[Project Index]], ProjectInput[], P$1, FALSE)</f>
        <v>0</v>
      </c>
      <c r="O33" s="97">
        <f>VLOOKUP(ReviewCalcs[[#This Row],[Project Index]], ProjectInput[], Q$1, FALSE)</f>
        <v>0</v>
      </c>
      <c r="P33" s="97">
        <f>VLOOKUP(ReviewCalcs[[#This Row],[Project Index]], ProjectInput[], R$1, FALSE)</f>
        <v>0</v>
      </c>
      <c r="Q33" s="97">
        <f>VLOOKUP(ReviewCalcs[[#This Row],[Project Index]], ProjectInput[], S$1, FALSE)</f>
        <v>0</v>
      </c>
      <c r="R33" s="97">
        <f>VLOOKUP(ReviewCalcs[[#This Row],[Project Index]], ProjectInput[], T$1, FALSE)</f>
        <v>0</v>
      </c>
      <c r="S33" s="97">
        <f>VLOOKUP(ReviewCalcs[[#This Row],[Project Index]], ProjectInput[], U$1, FALSE)</f>
        <v>0</v>
      </c>
      <c r="T33" s="97">
        <f>VLOOKUP(ReviewCalcs[[#This Row],[Project Index]], ProjectInput[], V$1, FALSE)</f>
        <v>0</v>
      </c>
      <c r="U33" s="97">
        <f>VLOOKUP(ReviewCalcs[[#This Row],[Project Index]], ProjectInput[], W$1, FALSE)</f>
        <v>0</v>
      </c>
      <c r="V33" s="98" t="str">
        <f>VLOOKUP(ReviewCalcs[[#This Row],[Project Index]], ProjectInput[], X$1, FALSE)</f>
        <v/>
      </c>
      <c r="W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3" s="75" t="e">
        <f>IF(VLOOKUP(ReviewCalcs[[#This Row],[Proposed Fixture Code]], Table7[[FIXTURE CODE]:[Baseline Fixture Code]], 8, FALSE)="N", "ERROR", "PASS")</f>
        <v>#N/A</v>
      </c>
      <c r="Y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3" s="75" t="e">
        <f>IF(OR(ReviewCalcs[[#This Row],[Baseline Fixture Watts]]&gt;=ReviewCalcs[[#This Row],[Proposed Fixture Watts]],ReviewCalcs[[#This Row],[Existing Fixture Watts]]&gt;=ReviewCalcs[[#This Row],[Proposed Fixture Watts]] ), "PASS", "ERROR")</f>
        <v>#N/A</v>
      </c>
      <c r="AA33" s="69" t="e">
        <f>VLOOKUP(ReviewCalcs[[#This Row],[Space Conditions]], Table_365[], 5, FALSE)</f>
        <v>#N/A</v>
      </c>
      <c r="AB33" s="68" t="str">
        <f>ReviewCalcs[[#This Row],[Annual Hours]]</f>
        <v/>
      </c>
      <c r="AC33" s="68" t="e">
        <f>VLOOKUP(ReviewCalcs[[#This Row],[Space Conditions]], Table_365[], 6, FALSE)</f>
        <v>#N/A</v>
      </c>
      <c r="AD33" s="68">
        <f>IF(ReviewCalcs[[#This Row],[Existing Control(s)]]='Tables &amp; Ranges'!$A$25, VLOOKUP(ReviewCalcs[[#This Row],[Building/Space Type]], Table_364[], 3, FALSE), CF_Contols)</f>
        <v>0.26</v>
      </c>
      <c r="AE33" s="68" t="e">
        <f>VLOOKUP(ReviewCalcs[[#This Row],[Existing Control(s)]], Table_358[], 2, FALSE)</f>
        <v>#N/A</v>
      </c>
      <c r="AF33" s="68">
        <f>IF(ReviewCalcs[[#This Row],[Proposed Control(s)]]='Tables &amp; Ranges'!$A$25, VLOOKUP(ReviewCalcs[[#This Row],[Building/Space Type]], Table_364[], 3, FALSE), CF_Contols)</f>
        <v>0.26</v>
      </c>
      <c r="AG33" s="68" t="e">
        <f>VLOOKUP(ReviewCalcs[[#This Row],[Proposed Control(s)]], Table_358[], 2, FALSE)</f>
        <v>#N/A</v>
      </c>
      <c r="AH33" s="68">
        <f>IFERROR((ReviewCalcs[[#This Row],[Existing Fixture Quantity]]*ReviewCalcs[[#This Row],[Existing Fixture Watts]]/1000)*ReviewCalcs[[#This Row],[Existing CF]]*ReviewCalcs[[#This Row],[IEFD]], 0)</f>
        <v>0</v>
      </c>
      <c r="AI33" s="68">
        <f>IFERROR((ReviewCalcs[[#This Row],[Proposed Fixture Quantity]]*ReviewCalcs[[#This Row],[Proposed Fixture Watts]]/1000)*ReviewCalcs[[#This Row],[Existing CF]]*ReviewCalcs[[#This Row],[IEFD]], 0)</f>
        <v>0</v>
      </c>
      <c r="AJ33" s="118">
        <f>IFERROR((ReviewCalcs[[#This Row],[Existing Fixture Quantity]]*ReviewCalcs[[#This Row],[Existing Fixture Watts]]/1000-ReviewCalcs[[#This Row],[Proposed Fixture Quantity]]*ReviewCalcs[[#This Row],[Proposed Fixture Watts]]/1000)*ReviewCalcs[[#This Row],[Existing CF]]*ReviewCalcs[[#This Row],[IEFD]], 0)</f>
        <v>0</v>
      </c>
      <c r="AK33" s="118">
        <f>IFERROR((ReviewCalcs[[#This Row],[Existing Fixture Quantity]]*ReviewCalcs[[#This Row],[Existing Fixture Watts]]/1000)*ReviewCalcs[[#This Row],[AOH]]*ReviewCalcs[[#This Row],[IEFE]]*ReviewCalcs[[#This Row],[Existing PAF]], 0)</f>
        <v>0</v>
      </c>
      <c r="AL33" s="118">
        <f>IFERROR((ReviewCalcs[[#This Row],[Proposed Fixture Quantity]]*ReviewCalcs[[#This Row],[Proposed Fixture Watts]]/1000)*ReviewCalcs[[#This Row],[AOH]]*ReviewCalcs[[#This Row],[IEFE]]*ReviewCalcs[[#This Row],[Existing PAF]], 0)</f>
        <v>0</v>
      </c>
      <c r="AM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3" s="118">
        <f>ReviewCalcs[[#This Row],[Fixture Existing Energy (kWh)]]*Avg_KWh_Rate</f>
        <v>0</v>
      </c>
      <c r="AO33" s="118">
        <f>ReviewCalcs[[#This Row],[Fixture Proposed Energy (kWh)]]*Avg_KWh_Rate</f>
        <v>0</v>
      </c>
      <c r="AP33" s="70">
        <f>ReviewCalcs[[#This Row],[Fixture Energy Savings]]*Avg_KWh_Rate</f>
        <v>0</v>
      </c>
      <c r="AQ33" s="129" t="e">
        <f>ReviewCalcs[[#This Row],[Existing Fixture Quantity]]*ReviewCalcs[[#This Row],[Existing Fixture Watts]]/1000*ReviewCalcs[[#This Row],[Existing CF]]*ReviewCalcs[[#This Row],[IEFD]]</f>
        <v>#VALUE!</v>
      </c>
      <c r="AR33" s="129" t="e">
        <f>ReviewCalcs[[#This Row],[Proposed Fixture Quantity]]*ReviewCalcs[[#This Row],[Proposed Fixture Watts]]/1000*ReviewCalcs[[#This Row],[Proposed CF]]*ReviewCalcs[[#This Row],[IEFD]]</f>
        <v>#VALUE!</v>
      </c>
      <c r="AS33" s="118">
        <f>IF(ReviewCalcs[[#This Row],[Existing CF]]=ReviewCalcs[[#This Row],[Proposed CF]], 0, ReviewCalcs[[#This Row],[Proposed Fixture Quantity]]*ReviewCalcs[[#This Row],[Proposed Fixture Watts]]/1000*ReviewCalcs[[#This Row],[Proposed CF]]*ReviewCalcs[[#This Row],[IEFD]])</f>
        <v>0</v>
      </c>
      <c r="AT33" s="118">
        <f>IFERROR(ReviewCalcs[[#This Row],[Existing Fixture Quantity]]*ReviewCalcs[[#This Row],[Existing Fixture Watts]]/1000*ReviewCalcs[[#This Row],[Existing PAF]]*ReviewCalcs[[#This Row],[AOH]]*ReviewCalcs[[#This Row],[IEFE]], 0)</f>
        <v>0</v>
      </c>
      <c r="AU33" s="118">
        <f>IFERROR(ReviewCalcs[[#This Row],[Proposed Fixture Quantity]]*ReviewCalcs[[#This Row],[Proposed Fixture Watts]]/1000*ReviewCalcs[[#This Row],[Proposed PAF]]*ReviewCalcs[[#This Row],[AOH]]*ReviewCalcs[[#This Row],[IEFE]], 0)</f>
        <v>0</v>
      </c>
      <c r="AV33" s="118">
        <f>IFERROR(ReviewCalcs[[#This Row],[Proposed Fixture Quantity]]*ReviewCalcs[[#This Row],[Proposed Fixture Watts]]/1000*(ReviewCalcs[[#This Row],[Existing PAF]]-ReviewCalcs[[#This Row],[Proposed PAF]])*ReviewCalcs[[#This Row],[AOH]]*ReviewCalcs[[#This Row],[IEFE]], 0)</f>
        <v>0</v>
      </c>
      <c r="AW33" s="118">
        <f>ReviewCalcs[[#This Row],[Control Existing Energy (kWh)]]*kWh_Incentive_Rate</f>
        <v>0</v>
      </c>
      <c r="AX33" s="118">
        <f>ReviewCalcs[[#This Row],[Control Proposed Energy (kWh)]]*kWh_Incentive_Rate</f>
        <v>0</v>
      </c>
      <c r="AY33" s="70">
        <f>ReviewCalcs[[#This Row],[Control Energy Savings (kWh)]]*kWh_Incentive_Rate</f>
        <v>0</v>
      </c>
      <c r="AZ33" s="70" t="e">
        <f>ReviewCalcs[[#This Row],[Fixture Existing Demand (kW)]]+ReviewCalcs[[#This Row],[Control Existing Demand (kW)]]</f>
        <v>#VALUE!</v>
      </c>
      <c r="BA33" s="70" t="e">
        <f>ReviewCalcs[[#This Row],[Fixture Proposed Demand (kW)]]+ReviewCalcs[[#This Row],[Control Proposed Demand (kW)]]</f>
        <v>#VALUE!</v>
      </c>
      <c r="BB33" s="118">
        <f>ReviewCalcs[[#This Row],[Fixture Demand Savings (kW)]]+ReviewCalcs[[#This Row],[Control Demand Savings (kW)]]</f>
        <v>0</v>
      </c>
      <c r="BC33" s="118">
        <f>ReviewCalcs[[#This Row],[Fixture Existing Energy (kWh)]]+ReviewCalcs[[#This Row],[Control Existing Energy (kWh)]]</f>
        <v>0</v>
      </c>
      <c r="BD33" s="118">
        <f>ReviewCalcs[[#This Row],[Fixture Proposed Energy (kWh)]]+ReviewCalcs[[#This Row],[Control Proposed Energy (kWh)]]</f>
        <v>0</v>
      </c>
      <c r="BE33" s="118">
        <f>ReviewCalcs[[#This Row],[Fixture Energy Savings]]+ReviewCalcs[[#This Row],[Control Energy Savings (kWh)]]</f>
        <v>0</v>
      </c>
      <c r="BF33" s="118">
        <f>ReviewCalcs[[#This Row],[Fixture Existing Cost ($)]]+ReviewCalcs[[#This Row],[Control Existing Cost ($)]]</f>
        <v>0</v>
      </c>
      <c r="BG33" s="118">
        <f>ReviewCalcs[[#This Row],[Fixture Proposed Cost ($)]]+ReviewCalcs[[#This Row],[Controls Proposed Cost ($)]]</f>
        <v>0</v>
      </c>
      <c r="BH33" s="70">
        <f>ReviewCalcs[[#This Row],[Total Energy Savings (kWh)]]*Avg_KWh_Rate</f>
        <v>0</v>
      </c>
      <c r="BI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3" s="70">
        <f>ReviewCalcs[[#This Row],[Retrofit Cost]]</f>
        <v>0</v>
      </c>
      <c r="BK33" s="70">
        <f>ReviewCalcs[[#This Row],[Retrofit Cost]]-ReviewCalcs[[#This Row],[Incentive ($)]]</f>
        <v>0</v>
      </c>
      <c r="BL33" s="118" t="e">
        <f>IFERROR(ReviewCalcs[[#This Row],[Net Project Cost ($)]]/ReviewCalcs[[#This Row],[Fixture Energy Cost Savings ($)]], #N/A)</f>
        <v>#N/A</v>
      </c>
      <c r="BM33" s="118" t="e">
        <f>IF(VLOOKUP(ReviewCalcs[[#This Row],[Existing Fixture Code]], Table7[[FIXTURE CODE]:[Baseline Fixture Code]], 8, FALSE)="N", VLOOKUP(ReviewCalcs[[#This Row],[Existing Fixture Code]], Table7[[FIXTURE CODE]:[Baseline Fixture Code]], 9, FALSE), ReviewCalcs[[#This Row],[Existing Fixture Code]])</f>
        <v>#N/A</v>
      </c>
      <c r="BN33" s="118" t="e">
        <f>INDEX(Table7[WATT/ FIXT], MATCH(ReviewCalcs[Baseline Fixture Code], Table7[FIXTURE CODE], 0))</f>
        <v>#N/A</v>
      </c>
      <c r="BO33" s="118">
        <f>IFERROR((ReviewCalcs[[#This Row],[Existing Fixture Quantity]]*ReviewCalcs[[#This Row],[Baseline Fixture Watts]]/1000-ReviewCalcs[[#This Row],[Proposed Fixture Quantity]]*ReviewCalcs[[#This Row],[Proposed Fixture Watts]]/1000)*ReviewCalcs[[#This Row],[Existing CF]]*ReviewCalcs[[#This Row],[IEFD]], 0)</f>
        <v>0</v>
      </c>
      <c r="BP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3" s="118">
        <f>IF(ReviewCalcs[[#This Row],[Existing CF]]=ReviewCalcs[[#This Row],[Proposed CF]], 0, ReviewCalcs[[#This Row],[Proposed Fixture Quantity]]*ReviewCalcs[[#This Row],[Proposed Fixture Watts]]/1000*ReviewCalcs[[#This Row],[Proposed CF]]*ReviewCalcs[[#This Row],[IEFD]])</f>
        <v>0</v>
      </c>
      <c r="BR33" s="118">
        <f>IFERROR(ReviewCalcs[[#This Row],[Proposed Fixture Quantity]]*ReviewCalcs[[#This Row],[Proposed Fixture Watts]]/1000*(ReviewCalcs[[#This Row],[Existing PAF]]-ReviewCalcs[[#This Row],[Proposed PAF]])*ReviewCalcs[[#This Row],[AOH]]*ReviewCalcs[[#This Row],[IEFE]],0)</f>
        <v>0</v>
      </c>
      <c r="BS33" s="118">
        <f>ReviewCalcs[[#This Row],[Incentive Fixture Demand Savings (kW)]]+ReviewCalcs[[#This Row],[Incentive Control Demand Savings (kW)]]</f>
        <v>0</v>
      </c>
      <c r="BT33" s="118">
        <f>ReviewCalcs[[#This Row],[Incentive Fixture Energy Savings (kWh)]]+ReviewCalcs[[#This Row],[Incentive Control Energy Savings (kWh)]]</f>
        <v>0</v>
      </c>
      <c r="BU33" s="73"/>
    </row>
    <row r="34" spans="1:73" ht="30" customHeight="1">
      <c r="A34" s="68">
        <v>31</v>
      </c>
      <c r="B34" s="96">
        <f>VLOOKUP(ReviewCalcs[[#This Row],[Project Index]], ProjectInput[], D$1, FALSE)</f>
        <v>0</v>
      </c>
      <c r="C34" s="97">
        <f>VLOOKUP(ReviewCalcs[[#This Row],[Project Index]], ProjectInput[], E$1, FALSE)</f>
        <v>0</v>
      </c>
      <c r="D34" s="97">
        <f>VLOOKUP(ReviewCalcs[[#This Row],[Project Index]], ProjectInput[], F$1, FALSE)</f>
        <v>0</v>
      </c>
      <c r="E34" s="97">
        <f>VLOOKUP(ReviewCalcs[[#This Row],[Project Index]], ProjectInput[], G$1, FALSE)</f>
        <v>0</v>
      </c>
      <c r="F34" s="97">
        <f>VLOOKUP(ReviewCalcs[[#This Row],[Project Index]], ProjectInput[], H$1, FALSE)</f>
        <v>0</v>
      </c>
      <c r="G34" s="98" t="str">
        <f>VLOOKUP(ReviewCalcs[[#This Row],[Project Index]], ProjectInput[], I$1, FALSE)</f>
        <v/>
      </c>
      <c r="H34" s="96">
        <f>VLOOKUP(ReviewCalcs[[#This Row],[Project Index]], ProjectInput[], J$1, FALSE)</f>
        <v>0</v>
      </c>
      <c r="I34" s="97">
        <f>VLOOKUP(ReviewCalcs[[#This Row],[Project Index]], ProjectInput[], K$1, FALSE)</f>
        <v>0</v>
      </c>
      <c r="J34" s="97">
        <f>VLOOKUP(ReviewCalcs[[#This Row],[Project Index]], ProjectInput[], L$1, FALSE)</f>
        <v>0</v>
      </c>
      <c r="K34" s="97">
        <f>VLOOKUP(ReviewCalcs[[#This Row],[Project Index]], ProjectInput[], M$1, FALSE)</f>
        <v>0</v>
      </c>
      <c r="L34" s="97">
        <f>VLOOKUP(ReviewCalcs[[#This Row],[Project Index]], ProjectInput[], N$1, FALSE)</f>
        <v>0</v>
      </c>
      <c r="M34" s="98" t="str">
        <f>VLOOKUP(ReviewCalcs[[#This Row],[Project Index]], ProjectInput[], O$1, FALSE)</f>
        <v/>
      </c>
      <c r="N34" s="96">
        <f>VLOOKUP(ReviewCalcs[[#This Row],[Project Index]], ProjectInput[], P$1, FALSE)</f>
        <v>0</v>
      </c>
      <c r="O34" s="97">
        <f>VLOOKUP(ReviewCalcs[[#This Row],[Project Index]], ProjectInput[], Q$1, FALSE)</f>
        <v>0</v>
      </c>
      <c r="P34" s="97">
        <f>VLOOKUP(ReviewCalcs[[#This Row],[Project Index]], ProjectInput[], R$1, FALSE)</f>
        <v>0</v>
      </c>
      <c r="Q34" s="97">
        <f>VLOOKUP(ReviewCalcs[[#This Row],[Project Index]], ProjectInput[], S$1, FALSE)</f>
        <v>0</v>
      </c>
      <c r="R34" s="97">
        <f>VLOOKUP(ReviewCalcs[[#This Row],[Project Index]], ProjectInput[], T$1, FALSE)</f>
        <v>0</v>
      </c>
      <c r="S34" s="97">
        <f>VLOOKUP(ReviewCalcs[[#This Row],[Project Index]], ProjectInput[], U$1, FALSE)</f>
        <v>0</v>
      </c>
      <c r="T34" s="97">
        <f>VLOOKUP(ReviewCalcs[[#This Row],[Project Index]], ProjectInput[], V$1, FALSE)</f>
        <v>0</v>
      </c>
      <c r="U34" s="97">
        <f>VLOOKUP(ReviewCalcs[[#This Row],[Project Index]], ProjectInput[], W$1, FALSE)</f>
        <v>0</v>
      </c>
      <c r="V34" s="98" t="str">
        <f>VLOOKUP(ReviewCalcs[[#This Row],[Project Index]], ProjectInput[], X$1, FALSE)</f>
        <v/>
      </c>
      <c r="W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4" s="75" t="e">
        <f>IF(VLOOKUP(ReviewCalcs[[#This Row],[Proposed Fixture Code]], Table7[[FIXTURE CODE]:[Baseline Fixture Code]], 8, FALSE)="N", "ERROR", "PASS")</f>
        <v>#N/A</v>
      </c>
      <c r="Y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4" s="75" t="e">
        <f>IF(OR(ReviewCalcs[[#This Row],[Baseline Fixture Watts]]&gt;=ReviewCalcs[[#This Row],[Proposed Fixture Watts]],ReviewCalcs[[#This Row],[Existing Fixture Watts]]&gt;=ReviewCalcs[[#This Row],[Proposed Fixture Watts]] ), "PASS", "ERROR")</f>
        <v>#N/A</v>
      </c>
      <c r="AA34" s="69" t="e">
        <f>VLOOKUP(ReviewCalcs[[#This Row],[Space Conditions]], Table_365[], 5, FALSE)</f>
        <v>#N/A</v>
      </c>
      <c r="AB34" s="68" t="str">
        <f>ReviewCalcs[[#This Row],[Annual Hours]]</f>
        <v/>
      </c>
      <c r="AC34" s="68" t="e">
        <f>VLOOKUP(ReviewCalcs[[#This Row],[Space Conditions]], Table_365[], 6, FALSE)</f>
        <v>#N/A</v>
      </c>
      <c r="AD34" s="68">
        <f>IF(ReviewCalcs[[#This Row],[Existing Control(s)]]='Tables &amp; Ranges'!$A$25, VLOOKUP(ReviewCalcs[[#This Row],[Building/Space Type]], Table_364[], 3, FALSE), CF_Contols)</f>
        <v>0.26</v>
      </c>
      <c r="AE34" s="68" t="e">
        <f>VLOOKUP(ReviewCalcs[[#This Row],[Existing Control(s)]], Table_358[], 2, FALSE)</f>
        <v>#N/A</v>
      </c>
      <c r="AF34" s="68">
        <f>IF(ReviewCalcs[[#This Row],[Proposed Control(s)]]='Tables &amp; Ranges'!$A$25, VLOOKUP(ReviewCalcs[[#This Row],[Building/Space Type]], Table_364[], 3, FALSE), CF_Contols)</f>
        <v>0.26</v>
      </c>
      <c r="AG34" s="68" t="e">
        <f>VLOOKUP(ReviewCalcs[[#This Row],[Proposed Control(s)]], Table_358[], 2, FALSE)</f>
        <v>#N/A</v>
      </c>
      <c r="AH34" s="68">
        <f>IFERROR((ReviewCalcs[[#This Row],[Existing Fixture Quantity]]*ReviewCalcs[[#This Row],[Existing Fixture Watts]]/1000)*ReviewCalcs[[#This Row],[Existing CF]]*ReviewCalcs[[#This Row],[IEFD]], 0)</f>
        <v>0</v>
      </c>
      <c r="AI34" s="68">
        <f>IFERROR((ReviewCalcs[[#This Row],[Proposed Fixture Quantity]]*ReviewCalcs[[#This Row],[Proposed Fixture Watts]]/1000)*ReviewCalcs[[#This Row],[Existing CF]]*ReviewCalcs[[#This Row],[IEFD]], 0)</f>
        <v>0</v>
      </c>
      <c r="AJ34" s="118">
        <f>IFERROR((ReviewCalcs[[#This Row],[Existing Fixture Quantity]]*ReviewCalcs[[#This Row],[Existing Fixture Watts]]/1000-ReviewCalcs[[#This Row],[Proposed Fixture Quantity]]*ReviewCalcs[[#This Row],[Proposed Fixture Watts]]/1000)*ReviewCalcs[[#This Row],[Existing CF]]*ReviewCalcs[[#This Row],[IEFD]], 0)</f>
        <v>0</v>
      </c>
      <c r="AK34" s="118">
        <f>IFERROR((ReviewCalcs[[#This Row],[Existing Fixture Quantity]]*ReviewCalcs[[#This Row],[Existing Fixture Watts]]/1000)*ReviewCalcs[[#This Row],[AOH]]*ReviewCalcs[[#This Row],[IEFE]]*ReviewCalcs[[#This Row],[Existing PAF]], 0)</f>
        <v>0</v>
      </c>
      <c r="AL34" s="118">
        <f>IFERROR((ReviewCalcs[[#This Row],[Proposed Fixture Quantity]]*ReviewCalcs[[#This Row],[Proposed Fixture Watts]]/1000)*ReviewCalcs[[#This Row],[AOH]]*ReviewCalcs[[#This Row],[IEFE]]*ReviewCalcs[[#This Row],[Existing PAF]], 0)</f>
        <v>0</v>
      </c>
      <c r="AM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4" s="118">
        <f>ReviewCalcs[[#This Row],[Fixture Existing Energy (kWh)]]*Avg_KWh_Rate</f>
        <v>0</v>
      </c>
      <c r="AO34" s="118">
        <f>ReviewCalcs[[#This Row],[Fixture Proposed Energy (kWh)]]*Avg_KWh_Rate</f>
        <v>0</v>
      </c>
      <c r="AP34" s="70">
        <f>ReviewCalcs[[#This Row],[Fixture Energy Savings]]*Avg_KWh_Rate</f>
        <v>0</v>
      </c>
      <c r="AQ34" s="129" t="e">
        <f>ReviewCalcs[[#This Row],[Existing Fixture Quantity]]*ReviewCalcs[[#This Row],[Existing Fixture Watts]]/1000*ReviewCalcs[[#This Row],[Existing CF]]*ReviewCalcs[[#This Row],[IEFD]]</f>
        <v>#VALUE!</v>
      </c>
      <c r="AR34" s="129" t="e">
        <f>ReviewCalcs[[#This Row],[Proposed Fixture Quantity]]*ReviewCalcs[[#This Row],[Proposed Fixture Watts]]/1000*ReviewCalcs[[#This Row],[Proposed CF]]*ReviewCalcs[[#This Row],[IEFD]]</f>
        <v>#VALUE!</v>
      </c>
      <c r="AS34" s="118">
        <f>IF(ReviewCalcs[[#This Row],[Existing CF]]=ReviewCalcs[[#This Row],[Proposed CF]], 0, ReviewCalcs[[#This Row],[Proposed Fixture Quantity]]*ReviewCalcs[[#This Row],[Proposed Fixture Watts]]/1000*ReviewCalcs[[#This Row],[Proposed CF]]*ReviewCalcs[[#This Row],[IEFD]])</f>
        <v>0</v>
      </c>
      <c r="AT34" s="118">
        <f>IFERROR(ReviewCalcs[[#This Row],[Existing Fixture Quantity]]*ReviewCalcs[[#This Row],[Existing Fixture Watts]]/1000*ReviewCalcs[[#This Row],[Existing PAF]]*ReviewCalcs[[#This Row],[AOH]]*ReviewCalcs[[#This Row],[IEFE]], 0)</f>
        <v>0</v>
      </c>
      <c r="AU34" s="118">
        <f>IFERROR(ReviewCalcs[[#This Row],[Proposed Fixture Quantity]]*ReviewCalcs[[#This Row],[Proposed Fixture Watts]]/1000*ReviewCalcs[[#This Row],[Proposed PAF]]*ReviewCalcs[[#This Row],[AOH]]*ReviewCalcs[[#This Row],[IEFE]], 0)</f>
        <v>0</v>
      </c>
      <c r="AV34" s="118">
        <f>IFERROR(ReviewCalcs[[#This Row],[Proposed Fixture Quantity]]*ReviewCalcs[[#This Row],[Proposed Fixture Watts]]/1000*(ReviewCalcs[[#This Row],[Existing PAF]]-ReviewCalcs[[#This Row],[Proposed PAF]])*ReviewCalcs[[#This Row],[AOH]]*ReviewCalcs[[#This Row],[IEFE]], 0)</f>
        <v>0</v>
      </c>
      <c r="AW34" s="118">
        <f>ReviewCalcs[[#This Row],[Control Existing Energy (kWh)]]*kWh_Incentive_Rate</f>
        <v>0</v>
      </c>
      <c r="AX34" s="118">
        <f>ReviewCalcs[[#This Row],[Control Proposed Energy (kWh)]]*kWh_Incentive_Rate</f>
        <v>0</v>
      </c>
      <c r="AY34" s="70">
        <f>ReviewCalcs[[#This Row],[Control Energy Savings (kWh)]]*kWh_Incentive_Rate</f>
        <v>0</v>
      </c>
      <c r="AZ34" s="70" t="e">
        <f>ReviewCalcs[[#This Row],[Fixture Existing Demand (kW)]]+ReviewCalcs[[#This Row],[Control Existing Demand (kW)]]</f>
        <v>#VALUE!</v>
      </c>
      <c r="BA34" s="70" t="e">
        <f>ReviewCalcs[[#This Row],[Fixture Proposed Demand (kW)]]+ReviewCalcs[[#This Row],[Control Proposed Demand (kW)]]</f>
        <v>#VALUE!</v>
      </c>
      <c r="BB34" s="118">
        <f>ReviewCalcs[[#This Row],[Fixture Demand Savings (kW)]]+ReviewCalcs[[#This Row],[Control Demand Savings (kW)]]</f>
        <v>0</v>
      </c>
      <c r="BC34" s="118">
        <f>ReviewCalcs[[#This Row],[Fixture Existing Energy (kWh)]]+ReviewCalcs[[#This Row],[Control Existing Energy (kWh)]]</f>
        <v>0</v>
      </c>
      <c r="BD34" s="118">
        <f>ReviewCalcs[[#This Row],[Fixture Proposed Energy (kWh)]]+ReviewCalcs[[#This Row],[Control Proposed Energy (kWh)]]</f>
        <v>0</v>
      </c>
      <c r="BE34" s="118">
        <f>ReviewCalcs[[#This Row],[Fixture Energy Savings]]+ReviewCalcs[[#This Row],[Control Energy Savings (kWh)]]</f>
        <v>0</v>
      </c>
      <c r="BF34" s="118">
        <f>ReviewCalcs[[#This Row],[Fixture Existing Cost ($)]]+ReviewCalcs[[#This Row],[Control Existing Cost ($)]]</f>
        <v>0</v>
      </c>
      <c r="BG34" s="118">
        <f>ReviewCalcs[[#This Row],[Fixture Proposed Cost ($)]]+ReviewCalcs[[#This Row],[Controls Proposed Cost ($)]]</f>
        <v>0</v>
      </c>
      <c r="BH34" s="70">
        <f>ReviewCalcs[[#This Row],[Total Energy Savings (kWh)]]*Avg_KWh_Rate</f>
        <v>0</v>
      </c>
      <c r="BI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4" s="70">
        <f>ReviewCalcs[[#This Row],[Retrofit Cost]]</f>
        <v>0</v>
      </c>
      <c r="BK34" s="70">
        <f>ReviewCalcs[[#This Row],[Retrofit Cost]]-ReviewCalcs[[#This Row],[Incentive ($)]]</f>
        <v>0</v>
      </c>
      <c r="BL34" s="118" t="e">
        <f>IFERROR(ReviewCalcs[[#This Row],[Net Project Cost ($)]]/ReviewCalcs[[#This Row],[Fixture Energy Cost Savings ($)]], #N/A)</f>
        <v>#N/A</v>
      </c>
      <c r="BM34" s="118" t="e">
        <f>IF(VLOOKUP(ReviewCalcs[[#This Row],[Existing Fixture Code]], Table7[[FIXTURE CODE]:[Baseline Fixture Code]], 8, FALSE)="N", VLOOKUP(ReviewCalcs[[#This Row],[Existing Fixture Code]], Table7[[FIXTURE CODE]:[Baseline Fixture Code]], 9, FALSE), ReviewCalcs[[#This Row],[Existing Fixture Code]])</f>
        <v>#N/A</v>
      </c>
      <c r="BN34" s="118" t="e">
        <f>INDEX(Table7[WATT/ FIXT], MATCH(ReviewCalcs[Baseline Fixture Code], Table7[FIXTURE CODE], 0))</f>
        <v>#N/A</v>
      </c>
      <c r="BO34" s="118">
        <f>IFERROR((ReviewCalcs[[#This Row],[Existing Fixture Quantity]]*ReviewCalcs[[#This Row],[Baseline Fixture Watts]]/1000-ReviewCalcs[[#This Row],[Proposed Fixture Quantity]]*ReviewCalcs[[#This Row],[Proposed Fixture Watts]]/1000)*ReviewCalcs[[#This Row],[Existing CF]]*ReviewCalcs[[#This Row],[IEFD]], 0)</f>
        <v>0</v>
      </c>
      <c r="BP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4" s="118">
        <f>IF(ReviewCalcs[[#This Row],[Existing CF]]=ReviewCalcs[[#This Row],[Proposed CF]], 0, ReviewCalcs[[#This Row],[Proposed Fixture Quantity]]*ReviewCalcs[[#This Row],[Proposed Fixture Watts]]/1000*ReviewCalcs[[#This Row],[Proposed CF]]*ReviewCalcs[[#This Row],[IEFD]])</f>
        <v>0</v>
      </c>
      <c r="BR34" s="118">
        <f>IFERROR(ReviewCalcs[[#This Row],[Proposed Fixture Quantity]]*ReviewCalcs[[#This Row],[Proposed Fixture Watts]]/1000*(ReviewCalcs[[#This Row],[Existing PAF]]-ReviewCalcs[[#This Row],[Proposed PAF]])*ReviewCalcs[[#This Row],[AOH]]*ReviewCalcs[[#This Row],[IEFE]],0)</f>
        <v>0</v>
      </c>
      <c r="BS34" s="118">
        <f>ReviewCalcs[[#This Row],[Incentive Fixture Demand Savings (kW)]]+ReviewCalcs[[#This Row],[Incentive Control Demand Savings (kW)]]</f>
        <v>0</v>
      </c>
      <c r="BT34" s="118">
        <f>ReviewCalcs[[#This Row],[Incentive Fixture Energy Savings (kWh)]]+ReviewCalcs[[#This Row],[Incentive Control Energy Savings (kWh)]]</f>
        <v>0</v>
      </c>
      <c r="BU34" s="73"/>
    </row>
    <row r="35" spans="1:73" ht="30" customHeight="1">
      <c r="A35" s="68">
        <v>32</v>
      </c>
      <c r="B35" s="96">
        <f>VLOOKUP(ReviewCalcs[[#This Row],[Project Index]], ProjectInput[], D$1, FALSE)</f>
        <v>0</v>
      </c>
      <c r="C35" s="97">
        <f>VLOOKUP(ReviewCalcs[[#This Row],[Project Index]], ProjectInput[], E$1, FALSE)</f>
        <v>0</v>
      </c>
      <c r="D35" s="97">
        <f>VLOOKUP(ReviewCalcs[[#This Row],[Project Index]], ProjectInput[], F$1, FALSE)</f>
        <v>0</v>
      </c>
      <c r="E35" s="97">
        <f>VLOOKUP(ReviewCalcs[[#This Row],[Project Index]], ProjectInput[], G$1, FALSE)</f>
        <v>0</v>
      </c>
      <c r="F35" s="97">
        <f>VLOOKUP(ReviewCalcs[[#This Row],[Project Index]], ProjectInput[], H$1, FALSE)</f>
        <v>0</v>
      </c>
      <c r="G35" s="98" t="str">
        <f>VLOOKUP(ReviewCalcs[[#This Row],[Project Index]], ProjectInput[], I$1, FALSE)</f>
        <v/>
      </c>
      <c r="H35" s="96">
        <f>VLOOKUP(ReviewCalcs[[#This Row],[Project Index]], ProjectInput[], J$1, FALSE)</f>
        <v>0</v>
      </c>
      <c r="I35" s="97">
        <f>VLOOKUP(ReviewCalcs[[#This Row],[Project Index]], ProjectInput[], K$1, FALSE)</f>
        <v>0</v>
      </c>
      <c r="J35" s="97">
        <f>VLOOKUP(ReviewCalcs[[#This Row],[Project Index]], ProjectInput[], L$1, FALSE)</f>
        <v>0</v>
      </c>
      <c r="K35" s="97">
        <f>VLOOKUP(ReviewCalcs[[#This Row],[Project Index]], ProjectInput[], M$1, FALSE)</f>
        <v>0</v>
      </c>
      <c r="L35" s="97">
        <f>VLOOKUP(ReviewCalcs[[#This Row],[Project Index]], ProjectInput[], N$1, FALSE)</f>
        <v>0</v>
      </c>
      <c r="M35" s="98" t="str">
        <f>VLOOKUP(ReviewCalcs[[#This Row],[Project Index]], ProjectInput[], O$1, FALSE)</f>
        <v/>
      </c>
      <c r="N35" s="96">
        <f>VLOOKUP(ReviewCalcs[[#This Row],[Project Index]], ProjectInput[], P$1, FALSE)</f>
        <v>0</v>
      </c>
      <c r="O35" s="97">
        <f>VLOOKUP(ReviewCalcs[[#This Row],[Project Index]], ProjectInput[], Q$1, FALSE)</f>
        <v>0</v>
      </c>
      <c r="P35" s="97">
        <f>VLOOKUP(ReviewCalcs[[#This Row],[Project Index]], ProjectInput[], R$1, FALSE)</f>
        <v>0</v>
      </c>
      <c r="Q35" s="97">
        <f>VLOOKUP(ReviewCalcs[[#This Row],[Project Index]], ProjectInput[], S$1, FALSE)</f>
        <v>0</v>
      </c>
      <c r="R35" s="97">
        <f>VLOOKUP(ReviewCalcs[[#This Row],[Project Index]], ProjectInput[], T$1, FALSE)</f>
        <v>0</v>
      </c>
      <c r="S35" s="97">
        <f>VLOOKUP(ReviewCalcs[[#This Row],[Project Index]], ProjectInput[], U$1, FALSE)</f>
        <v>0</v>
      </c>
      <c r="T35" s="97">
        <f>VLOOKUP(ReviewCalcs[[#This Row],[Project Index]], ProjectInput[], V$1, FALSE)</f>
        <v>0</v>
      </c>
      <c r="U35" s="97">
        <f>VLOOKUP(ReviewCalcs[[#This Row],[Project Index]], ProjectInput[], W$1, FALSE)</f>
        <v>0</v>
      </c>
      <c r="V35" s="98" t="str">
        <f>VLOOKUP(ReviewCalcs[[#This Row],[Project Index]], ProjectInput[], X$1, FALSE)</f>
        <v/>
      </c>
      <c r="W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5" s="75" t="e">
        <f>IF(VLOOKUP(ReviewCalcs[[#This Row],[Proposed Fixture Code]], Table7[[FIXTURE CODE]:[Baseline Fixture Code]], 8, FALSE)="N", "ERROR", "PASS")</f>
        <v>#N/A</v>
      </c>
      <c r="Y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5" s="75" t="e">
        <f>IF(OR(ReviewCalcs[[#This Row],[Baseline Fixture Watts]]&gt;=ReviewCalcs[[#This Row],[Proposed Fixture Watts]],ReviewCalcs[[#This Row],[Existing Fixture Watts]]&gt;=ReviewCalcs[[#This Row],[Proposed Fixture Watts]] ), "PASS", "ERROR")</f>
        <v>#N/A</v>
      </c>
      <c r="AA35" s="69" t="e">
        <f>VLOOKUP(ReviewCalcs[[#This Row],[Space Conditions]], Table_365[], 5, FALSE)</f>
        <v>#N/A</v>
      </c>
      <c r="AB35" s="68" t="str">
        <f>ReviewCalcs[[#This Row],[Annual Hours]]</f>
        <v/>
      </c>
      <c r="AC35" s="68" t="e">
        <f>VLOOKUP(ReviewCalcs[[#This Row],[Space Conditions]], Table_365[], 6, FALSE)</f>
        <v>#N/A</v>
      </c>
      <c r="AD35" s="68">
        <f>IF(ReviewCalcs[[#This Row],[Existing Control(s)]]='Tables &amp; Ranges'!$A$25, VLOOKUP(ReviewCalcs[[#This Row],[Building/Space Type]], Table_364[], 3, FALSE), CF_Contols)</f>
        <v>0.26</v>
      </c>
      <c r="AE35" s="68" t="e">
        <f>VLOOKUP(ReviewCalcs[[#This Row],[Existing Control(s)]], Table_358[], 2, FALSE)</f>
        <v>#N/A</v>
      </c>
      <c r="AF35" s="68">
        <f>IF(ReviewCalcs[[#This Row],[Proposed Control(s)]]='Tables &amp; Ranges'!$A$25, VLOOKUP(ReviewCalcs[[#This Row],[Building/Space Type]], Table_364[], 3, FALSE), CF_Contols)</f>
        <v>0.26</v>
      </c>
      <c r="AG35" s="68" t="e">
        <f>VLOOKUP(ReviewCalcs[[#This Row],[Proposed Control(s)]], Table_358[], 2, FALSE)</f>
        <v>#N/A</v>
      </c>
      <c r="AH35" s="68">
        <f>IFERROR((ReviewCalcs[[#This Row],[Existing Fixture Quantity]]*ReviewCalcs[[#This Row],[Existing Fixture Watts]]/1000)*ReviewCalcs[[#This Row],[Existing CF]]*ReviewCalcs[[#This Row],[IEFD]], 0)</f>
        <v>0</v>
      </c>
      <c r="AI35" s="68">
        <f>IFERROR((ReviewCalcs[[#This Row],[Proposed Fixture Quantity]]*ReviewCalcs[[#This Row],[Proposed Fixture Watts]]/1000)*ReviewCalcs[[#This Row],[Existing CF]]*ReviewCalcs[[#This Row],[IEFD]], 0)</f>
        <v>0</v>
      </c>
      <c r="AJ35" s="118">
        <f>IFERROR((ReviewCalcs[[#This Row],[Existing Fixture Quantity]]*ReviewCalcs[[#This Row],[Existing Fixture Watts]]/1000-ReviewCalcs[[#This Row],[Proposed Fixture Quantity]]*ReviewCalcs[[#This Row],[Proposed Fixture Watts]]/1000)*ReviewCalcs[[#This Row],[Existing CF]]*ReviewCalcs[[#This Row],[IEFD]], 0)</f>
        <v>0</v>
      </c>
      <c r="AK35" s="118">
        <f>IFERROR((ReviewCalcs[[#This Row],[Existing Fixture Quantity]]*ReviewCalcs[[#This Row],[Existing Fixture Watts]]/1000)*ReviewCalcs[[#This Row],[AOH]]*ReviewCalcs[[#This Row],[IEFE]]*ReviewCalcs[[#This Row],[Existing PAF]], 0)</f>
        <v>0</v>
      </c>
      <c r="AL35" s="118">
        <f>IFERROR((ReviewCalcs[[#This Row],[Proposed Fixture Quantity]]*ReviewCalcs[[#This Row],[Proposed Fixture Watts]]/1000)*ReviewCalcs[[#This Row],[AOH]]*ReviewCalcs[[#This Row],[IEFE]]*ReviewCalcs[[#This Row],[Existing PAF]], 0)</f>
        <v>0</v>
      </c>
      <c r="AM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5" s="118">
        <f>ReviewCalcs[[#This Row],[Fixture Existing Energy (kWh)]]*Avg_KWh_Rate</f>
        <v>0</v>
      </c>
      <c r="AO35" s="118">
        <f>ReviewCalcs[[#This Row],[Fixture Proposed Energy (kWh)]]*Avg_KWh_Rate</f>
        <v>0</v>
      </c>
      <c r="AP35" s="70">
        <f>ReviewCalcs[[#This Row],[Fixture Energy Savings]]*Avg_KWh_Rate</f>
        <v>0</v>
      </c>
      <c r="AQ35" s="129" t="e">
        <f>ReviewCalcs[[#This Row],[Existing Fixture Quantity]]*ReviewCalcs[[#This Row],[Existing Fixture Watts]]/1000*ReviewCalcs[[#This Row],[Existing CF]]*ReviewCalcs[[#This Row],[IEFD]]</f>
        <v>#VALUE!</v>
      </c>
      <c r="AR35" s="129" t="e">
        <f>ReviewCalcs[[#This Row],[Proposed Fixture Quantity]]*ReviewCalcs[[#This Row],[Proposed Fixture Watts]]/1000*ReviewCalcs[[#This Row],[Proposed CF]]*ReviewCalcs[[#This Row],[IEFD]]</f>
        <v>#VALUE!</v>
      </c>
      <c r="AS35" s="118">
        <f>IF(ReviewCalcs[[#This Row],[Existing CF]]=ReviewCalcs[[#This Row],[Proposed CF]], 0, ReviewCalcs[[#This Row],[Proposed Fixture Quantity]]*ReviewCalcs[[#This Row],[Proposed Fixture Watts]]/1000*ReviewCalcs[[#This Row],[Proposed CF]]*ReviewCalcs[[#This Row],[IEFD]])</f>
        <v>0</v>
      </c>
      <c r="AT35" s="118">
        <f>IFERROR(ReviewCalcs[[#This Row],[Existing Fixture Quantity]]*ReviewCalcs[[#This Row],[Existing Fixture Watts]]/1000*ReviewCalcs[[#This Row],[Existing PAF]]*ReviewCalcs[[#This Row],[AOH]]*ReviewCalcs[[#This Row],[IEFE]], 0)</f>
        <v>0</v>
      </c>
      <c r="AU35" s="118">
        <f>IFERROR(ReviewCalcs[[#This Row],[Proposed Fixture Quantity]]*ReviewCalcs[[#This Row],[Proposed Fixture Watts]]/1000*ReviewCalcs[[#This Row],[Proposed PAF]]*ReviewCalcs[[#This Row],[AOH]]*ReviewCalcs[[#This Row],[IEFE]], 0)</f>
        <v>0</v>
      </c>
      <c r="AV35" s="118">
        <f>IFERROR(ReviewCalcs[[#This Row],[Proposed Fixture Quantity]]*ReviewCalcs[[#This Row],[Proposed Fixture Watts]]/1000*(ReviewCalcs[[#This Row],[Existing PAF]]-ReviewCalcs[[#This Row],[Proposed PAF]])*ReviewCalcs[[#This Row],[AOH]]*ReviewCalcs[[#This Row],[IEFE]], 0)</f>
        <v>0</v>
      </c>
      <c r="AW35" s="118">
        <f>ReviewCalcs[[#This Row],[Control Existing Energy (kWh)]]*kWh_Incentive_Rate</f>
        <v>0</v>
      </c>
      <c r="AX35" s="118">
        <f>ReviewCalcs[[#This Row],[Control Proposed Energy (kWh)]]*kWh_Incentive_Rate</f>
        <v>0</v>
      </c>
      <c r="AY35" s="70">
        <f>ReviewCalcs[[#This Row],[Control Energy Savings (kWh)]]*kWh_Incentive_Rate</f>
        <v>0</v>
      </c>
      <c r="AZ35" s="70" t="e">
        <f>ReviewCalcs[[#This Row],[Fixture Existing Demand (kW)]]+ReviewCalcs[[#This Row],[Control Existing Demand (kW)]]</f>
        <v>#VALUE!</v>
      </c>
      <c r="BA35" s="70" t="e">
        <f>ReviewCalcs[[#This Row],[Fixture Proposed Demand (kW)]]+ReviewCalcs[[#This Row],[Control Proposed Demand (kW)]]</f>
        <v>#VALUE!</v>
      </c>
      <c r="BB35" s="118">
        <f>ReviewCalcs[[#This Row],[Fixture Demand Savings (kW)]]+ReviewCalcs[[#This Row],[Control Demand Savings (kW)]]</f>
        <v>0</v>
      </c>
      <c r="BC35" s="118">
        <f>ReviewCalcs[[#This Row],[Fixture Existing Energy (kWh)]]+ReviewCalcs[[#This Row],[Control Existing Energy (kWh)]]</f>
        <v>0</v>
      </c>
      <c r="BD35" s="118">
        <f>ReviewCalcs[[#This Row],[Fixture Proposed Energy (kWh)]]+ReviewCalcs[[#This Row],[Control Proposed Energy (kWh)]]</f>
        <v>0</v>
      </c>
      <c r="BE35" s="118">
        <f>ReviewCalcs[[#This Row],[Fixture Energy Savings]]+ReviewCalcs[[#This Row],[Control Energy Savings (kWh)]]</f>
        <v>0</v>
      </c>
      <c r="BF35" s="118">
        <f>ReviewCalcs[[#This Row],[Fixture Existing Cost ($)]]+ReviewCalcs[[#This Row],[Control Existing Cost ($)]]</f>
        <v>0</v>
      </c>
      <c r="BG35" s="118">
        <f>ReviewCalcs[[#This Row],[Fixture Proposed Cost ($)]]+ReviewCalcs[[#This Row],[Controls Proposed Cost ($)]]</f>
        <v>0</v>
      </c>
      <c r="BH35" s="70">
        <f>ReviewCalcs[[#This Row],[Total Energy Savings (kWh)]]*Avg_KWh_Rate</f>
        <v>0</v>
      </c>
      <c r="BI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5" s="70">
        <f>ReviewCalcs[[#This Row],[Retrofit Cost]]</f>
        <v>0</v>
      </c>
      <c r="BK35" s="70">
        <f>ReviewCalcs[[#This Row],[Retrofit Cost]]-ReviewCalcs[[#This Row],[Incentive ($)]]</f>
        <v>0</v>
      </c>
      <c r="BL35" s="118" t="e">
        <f>IFERROR(ReviewCalcs[[#This Row],[Net Project Cost ($)]]/ReviewCalcs[[#This Row],[Fixture Energy Cost Savings ($)]], #N/A)</f>
        <v>#N/A</v>
      </c>
      <c r="BM35" s="118" t="e">
        <f>IF(VLOOKUP(ReviewCalcs[[#This Row],[Existing Fixture Code]], Table7[[FIXTURE CODE]:[Baseline Fixture Code]], 8, FALSE)="N", VLOOKUP(ReviewCalcs[[#This Row],[Existing Fixture Code]], Table7[[FIXTURE CODE]:[Baseline Fixture Code]], 9, FALSE), ReviewCalcs[[#This Row],[Existing Fixture Code]])</f>
        <v>#N/A</v>
      </c>
      <c r="BN35" s="118" t="e">
        <f>INDEX(Table7[WATT/ FIXT], MATCH(ReviewCalcs[Baseline Fixture Code], Table7[FIXTURE CODE], 0))</f>
        <v>#N/A</v>
      </c>
      <c r="BO35" s="118">
        <f>IFERROR((ReviewCalcs[[#This Row],[Existing Fixture Quantity]]*ReviewCalcs[[#This Row],[Baseline Fixture Watts]]/1000-ReviewCalcs[[#This Row],[Proposed Fixture Quantity]]*ReviewCalcs[[#This Row],[Proposed Fixture Watts]]/1000)*ReviewCalcs[[#This Row],[Existing CF]]*ReviewCalcs[[#This Row],[IEFD]], 0)</f>
        <v>0</v>
      </c>
      <c r="BP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5" s="118">
        <f>IF(ReviewCalcs[[#This Row],[Existing CF]]=ReviewCalcs[[#This Row],[Proposed CF]], 0, ReviewCalcs[[#This Row],[Proposed Fixture Quantity]]*ReviewCalcs[[#This Row],[Proposed Fixture Watts]]/1000*ReviewCalcs[[#This Row],[Proposed CF]]*ReviewCalcs[[#This Row],[IEFD]])</f>
        <v>0</v>
      </c>
      <c r="BR35" s="118">
        <f>IFERROR(ReviewCalcs[[#This Row],[Proposed Fixture Quantity]]*ReviewCalcs[[#This Row],[Proposed Fixture Watts]]/1000*(ReviewCalcs[[#This Row],[Existing PAF]]-ReviewCalcs[[#This Row],[Proposed PAF]])*ReviewCalcs[[#This Row],[AOH]]*ReviewCalcs[[#This Row],[IEFE]],0)</f>
        <v>0</v>
      </c>
      <c r="BS35" s="118">
        <f>ReviewCalcs[[#This Row],[Incentive Fixture Demand Savings (kW)]]+ReviewCalcs[[#This Row],[Incentive Control Demand Savings (kW)]]</f>
        <v>0</v>
      </c>
      <c r="BT35" s="118">
        <f>ReviewCalcs[[#This Row],[Incentive Fixture Energy Savings (kWh)]]+ReviewCalcs[[#This Row],[Incentive Control Energy Savings (kWh)]]</f>
        <v>0</v>
      </c>
      <c r="BU35" s="73"/>
    </row>
    <row r="36" spans="1:73" ht="30" customHeight="1">
      <c r="A36" s="68">
        <v>33</v>
      </c>
      <c r="B36" s="96">
        <f>VLOOKUP(ReviewCalcs[[#This Row],[Project Index]], ProjectInput[], D$1, FALSE)</f>
        <v>0</v>
      </c>
      <c r="C36" s="97">
        <f>VLOOKUP(ReviewCalcs[[#This Row],[Project Index]], ProjectInput[], E$1, FALSE)</f>
        <v>0</v>
      </c>
      <c r="D36" s="97">
        <f>VLOOKUP(ReviewCalcs[[#This Row],[Project Index]], ProjectInput[], F$1, FALSE)</f>
        <v>0</v>
      </c>
      <c r="E36" s="97">
        <f>VLOOKUP(ReviewCalcs[[#This Row],[Project Index]], ProjectInput[], G$1, FALSE)</f>
        <v>0</v>
      </c>
      <c r="F36" s="97">
        <f>VLOOKUP(ReviewCalcs[[#This Row],[Project Index]], ProjectInput[], H$1, FALSE)</f>
        <v>0</v>
      </c>
      <c r="G36" s="98" t="str">
        <f>VLOOKUP(ReviewCalcs[[#This Row],[Project Index]], ProjectInput[], I$1, FALSE)</f>
        <v/>
      </c>
      <c r="H36" s="96">
        <f>VLOOKUP(ReviewCalcs[[#This Row],[Project Index]], ProjectInput[], J$1, FALSE)</f>
        <v>0</v>
      </c>
      <c r="I36" s="97">
        <f>VLOOKUP(ReviewCalcs[[#This Row],[Project Index]], ProjectInput[], K$1, FALSE)</f>
        <v>0</v>
      </c>
      <c r="J36" s="97">
        <f>VLOOKUP(ReviewCalcs[[#This Row],[Project Index]], ProjectInput[], L$1, FALSE)</f>
        <v>0</v>
      </c>
      <c r="K36" s="97">
        <f>VLOOKUP(ReviewCalcs[[#This Row],[Project Index]], ProjectInput[], M$1, FALSE)</f>
        <v>0</v>
      </c>
      <c r="L36" s="97">
        <f>VLOOKUP(ReviewCalcs[[#This Row],[Project Index]], ProjectInput[], N$1, FALSE)</f>
        <v>0</v>
      </c>
      <c r="M36" s="98" t="str">
        <f>VLOOKUP(ReviewCalcs[[#This Row],[Project Index]], ProjectInput[], O$1, FALSE)</f>
        <v/>
      </c>
      <c r="N36" s="96">
        <f>VLOOKUP(ReviewCalcs[[#This Row],[Project Index]], ProjectInput[], P$1, FALSE)</f>
        <v>0</v>
      </c>
      <c r="O36" s="97">
        <f>VLOOKUP(ReviewCalcs[[#This Row],[Project Index]], ProjectInput[], Q$1, FALSE)</f>
        <v>0</v>
      </c>
      <c r="P36" s="97">
        <f>VLOOKUP(ReviewCalcs[[#This Row],[Project Index]], ProjectInput[], R$1, FALSE)</f>
        <v>0</v>
      </c>
      <c r="Q36" s="97">
        <f>VLOOKUP(ReviewCalcs[[#This Row],[Project Index]], ProjectInput[], S$1, FALSE)</f>
        <v>0</v>
      </c>
      <c r="R36" s="97">
        <f>VLOOKUP(ReviewCalcs[[#This Row],[Project Index]], ProjectInput[], T$1, FALSE)</f>
        <v>0</v>
      </c>
      <c r="S36" s="97">
        <f>VLOOKUP(ReviewCalcs[[#This Row],[Project Index]], ProjectInput[], U$1, FALSE)</f>
        <v>0</v>
      </c>
      <c r="T36" s="97">
        <f>VLOOKUP(ReviewCalcs[[#This Row],[Project Index]], ProjectInput[], V$1, FALSE)</f>
        <v>0</v>
      </c>
      <c r="U36" s="97">
        <f>VLOOKUP(ReviewCalcs[[#This Row],[Project Index]], ProjectInput[], W$1, FALSE)</f>
        <v>0</v>
      </c>
      <c r="V36" s="98" t="str">
        <f>VLOOKUP(ReviewCalcs[[#This Row],[Project Index]], ProjectInput[], X$1, FALSE)</f>
        <v/>
      </c>
      <c r="W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6" s="75" t="e">
        <f>IF(VLOOKUP(ReviewCalcs[[#This Row],[Proposed Fixture Code]], Table7[[FIXTURE CODE]:[Baseline Fixture Code]], 8, FALSE)="N", "ERROR", "PASS")</f>
        <v>#N/A</v>
      </c>
      <c r="Y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6" s="75" t="e">
        <f>IF(OR(ReviewCalcs[[#This Row],[Baseline Fixture Watts]]&gt;=ReviewCalcs[[#This Row],[Proposed Fixture Watts]],ReviewCalcs[[#This Row],[Existing Fixture Watts]]&gt;=ReviewCalcs[[#This Row],[Proposed Fixture Watts]] ), "PASS", "ERROR")</f>
        <v>#N/A</v>
      </c>
      <c r="AA36" s="69" t="e">
        <f>VLOOKUP(ReviewCalcs[[#This Row],[Space Conditions]], Table_365[], 5, FALSE)</f>
        <v>#N/A</v>
      </c>
      <c r="AB36" s="68" t="str">
        <f>ReviewCalcs[[#This Row],[Annual Hours]]</f>
        <v/>
      </c>
      <c r="AC36" s="68" t="e">
        <f>VLOOKUP(ReviewCalcs[[#This Row],[Space Conditions]], Table_365[], 6, FALSE)</f>
        <v>#N/A</v>
      </c>
      <c r="AD36" s="68">
        <f>IF(ReviewCalcs[[#This Row],[Existing Control(s)]]='Tables &amp; Ranges'!$A$25, VLOOKUP(ReviewCalcs[[#This Row],[Building/Space Type]], Table_364[], 3, FALSE), CF_Contols)</f>
        <v>0.26</v>
      </c>
      <c r="AE36" s="68" t="e">
        <f>VLOOKUP(ReviewCalcs[[#This Row],[Existing Control(s)]], Table_358[], 2, FALSE)</f>
        <v>#N/A</v>
      </c>
      <c r="AF36" s="68">
        <f>IF(ReviewCalcs[[#This Row],[Proposed Control(s)]]='Tables &amp; Ranges'!$A$25, VLOOKUP(ReviewCalcs[[#This Row],[Building/Space Type]], Table_364[], 3, FALSE), CF_Contols)</f>
        <v>0.26</v>
      </c>
      <c r="AG36" s="68" t="e">
        <f>VLOOKUP(ReviewCalcs[[#This Row],[Proposed Control(s)]], Table_358[], 2, FALSE)</f>
        <v>#N/A</v>
      </c>
      <c r="AH36" s="68">
        <f>IFERROR((ReviewCalcs[[#This Row],[Existing Fixture Quantity]]*ReviewCalcs[[#This Row],[Existing Fixture Watts]]/1000)*ReviewCalcs[[#This Row],[Existing CF]]*ReviewCalcs[[#This Row],[IEFD]], 0)</f>
        <v>0</v>
      </c>
      <c r="AI36" s="68">
        <f>IFERROR((ReviewCalcs[[#This Row],[Proposed Fixture Quantity]]*ReviewCalcs[[#This Row],[Proposed Fixture Watts]]/1000)*ReviewCalcs[[#This Row],[Existing CF]]*ReviewCalcs[[#This Row],[IEFD]], 0)</f>
        <v>0</v>
      </c>
      <c r="AJ36" s="118">
        <f>IFERROR((ReviewCalcs[[#This Row],[Existing Fixture Quantity]]*ReviewCalcs[[#This Row],[Existing Fixture Watts]]/1000-ReviewCalcs[[#This Row],[Proposed Fixture Quantity]]*ReviewCalcs[[#This Row],[Proposed Fixture Watts]]/1000)*ReviewCalcs[[#This Row],[Existing CF]]*ReviewCalcs[[#This Row],[IEFD]], 0)</f>
        <v>0</v>
      </c>
      <c r="AK36" s="118">
        <f>IFERROR((ReviewCalcs[[#This Row],[Existing Fixture Quantity]]*ReviewCalcs[[#This Row],[Existing Fixture Watts]]/1000)*ReviewCalcs[[#This Row],[AOH]]*ReviewCalcs[[#This Row],[IEFE]]*ReviewCalcs[[#This Row],[Existing PAF]], 0)</f>
        <v>0</v>
      </c>
      <c r="AL36" s="118">
        <f>IFERROR((ReviewCalcs[[#This Row],[Proposed Fixture Quantity]]*ReviewCalcs[[#This Row],[Proposed Fixture Watts]]/1000)*ReviewCalcs[[#This Row],[AOH]]*ReviewCalcs[[#This Row],[IEFE]]*ReviewCalcs[[#This Row],[Existing PAF]], 0)</f>
        <v>0</v>
      </c>
      <c r="AM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6" s="118">
        <f>ReviewCalcs[[#This Row],[Fixture Existing Energy (kWh)]]*Avg_KWh_Rate</f>
        <v>0</v>
      </c>
      <c r="AO36" s="118">
        <f>ReviewCalcs[[#This Row],[Fixture Proposed Energy (kWh)]]*Avg_KWh_Rate</f>
        <v>0</v>
      </c>
      <c r="AP36" s="70">
        <f>ReviewCalcs[[#This Row],[Fixture Energy Savings]]*Avg_KWh_Rate</f>
        <v>0</v>
      </c>
      <c r="AQ36" s="129" t="e">
        <f>ReviewCalcs[[#This Row],[Existing Fixture Quantity]]*ReviewCalcs[[#This Row],[Existing Fixture Watts]]/1000*ReviewCalcs[[#This Row],[Existing CF]]*ReviewCalcs[[#This Row],[IEFD]]</f>
        <v>#VALUE!</v>
      </c>
      <c r="AR36" s="129" t="e">
        <f>ReviewCalcs[[#This Row],[Proposed Fixture Quantity]]*ReviewCalcs[[#This Row],[Proposed Fixture Watts]]/1000*ReviewCalcs[[#This Row],[Proposed CF]]*ReviewCalcs[[#This Row],[IEFD]]</f>
        <v>#VALUE!</v>
      </c>
      <c r="AS36" s="118">
        <f>IF(ReviewCalcs[[#This Row],[Existing CF]]=ReviewCalcs[[#This Row],[Proposed CF]], 0, ReviewCalcs[[#This Row],[Proposed Fixture Quantity]]*ReviewCalcs[[#This Row],[Proposed Fixture Watts]]/1000*ReviewCalcs[[#This Row],[Proposed CF]]*ReviewCalcs[[#This Row],[IEFD]])</f>
        <v>0</v>
      </c>
      <c r="AT36" s="118">
        <f>IFERROR(ReviewCalcs[[#This Row],[Existing Fixture Quantity]]*ReviewCalcs[[#This Row],[Existing Fixture Watts]]/1000*ReviewCalcs[[#This Row],[Existing PAF]]*ReviewCalcs[[#This Row],[AOH]]*ReviewCalcs[[#This Row],[IEFE]], 0)</f>
        <v>0</v>
      </c>
      <c r="AU36" s="118">
        <f>IFERROR(ReviewCalcs[[#This Row],[Proposed Fixture Quantity]]*ReviewCalcs[[#This Row],[Proposed Fixture Watts]]/1000*ReviewCalcs[[#This Row],[Proposed PAF]]*ReviewCalcs[[#This Row],[AOH]]*ReviewCalcs[[#This Row],[IEFE]], 0)</f>
        <v>0</v>
      </c>
      <c r="AV36" s="118">
        <f>IFERROR(ReviewCalcs[[#This Row],[Proposed Fixture Quantity]]*ReviewCalcs[[#This Row],[Proposed Fixture Watts]]/1000*(ReviewCalcs[[#This Row],[Existing PAF]]-ReviewCalcs[[#This Row],[Proposed PAF]])*ReviewCalcs[[#This Row],[AOH]]*ReviewCalcs[[#This Row],[IEFE]], 0)</f>
        <v>0</v>
      </c>
      <c r="AW36" s="118">
        <f>ReviewCalcs[[#This Row],[Control Existing Energy (kWh)]]*kWh_Incentive_Rate</f>
        <v>0</v>
      </c>
      <c r="AX36" s="118">
        <f>ReviewCalcs[[#This Row],[Control Proposed Energy (kWh)]]*kWh_Incentive_Rate</f>
        <v>0</v>
      </c>
      <c r="AY36" s="70">
        <f>ReviewCalcs[[#This Row],[Control Energy Savings (kWh)]]*kWh_Incentive_Rate</f>
        <v>0</v>
      </c>
      <c r="AZ36" s="70" t="e">
        <f>ReviewCalcs[[#This Row],[Fixture Existing Demand (kW)]]+ReviewCalcs[[#This Row],[Control Existing Demand (kW)]]</f>
        <v>#VALUE!</v>
      </c>
      <c r="BA36" s="70" t="e">
        <f>ReviewCalcs[[#This Row],[Fixture Proposed Demand (kW)]]+ReviewCalcs[[#This Row],[Control Proposed Demand (kW)]]</f>
        <v>#VALUE!</v>
      </c>
      <c r="BB36" s="118">
        <f>ReviewCalcs[[#This Row],[Fixture Demand Savings (kW)]]+ReviewCalcs[[#This Row],[Control Demand Savings (kW)]]</f>
        <v>0</v>
      </c>
      <c r="BC36" s="118">
        <f>ReviewCalcs[[#This Row],[Fixture Existing Energy (kWh)]]+ReviewCalcs[[#This Row],[Control Existing Energy (kWh)]]</f>
        <v>0</v>
      </c>
      <c r="BD36" s="118">
        <f>ReviewCalcs[[#This Row],[Fixture Proposed Energy (kWh)]]+ReviewCalcs[[#This Row],[Control Proposed Energy (kWh)]]</f>
        <v>0</v>
      </c>
      <c r="BE36" s="118">
        <f>ReviewCalcs[[#This Row],[Fixture Energy Savings]]+ReviewCalcs[[#This Row],[Control Energy Savings (kWh)]]</f>
        <v>0</v>
      </c>
      <c r="BF36" s="118">
        <f>ReviewCalcs[[#This Row],[Fixture Existing Cost ($)]]+ReviewCalcs[[#This Row],[Control Existing Cost ($)]]</f>
        <v>0</v>
      </c>
      <c r="BG36" s="118">
        <f>ReviewCalcs[[#This Row],[Fixture Proposed Cost ($)]]+ReviewCalcs[[#This Row],[Controls Proposed Cost ($)]]</f>
        <v>0</v>
      </c>
      <c r="BH36" s="70">
        <f>ReviewCalcs[[#This Row],[Total Energy Savings (kWh)]]*Avg_KWh_Rate</f>
        <v>0</v>
      </c>
      <c r="BI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6" s="70">
        <f>ReviewCalcs[[#This Row],[Retrofit Cost]]</f>
        <v>0</v>
      </c>
      <c r="BK36" s="70">
        <f>ReviewCalcs[[#This Row],[Retrofit Cost]]-ReviewCalcs[[#This Row],[Incentive ($)]]</f>
        <v>0</v>
      </c>
      <c r="BL36" s="118" t="e">
        <f>IFERROR(ReviewCalcs[[#This Row],[Net Project Cost ($)]]/ReviewCalcs[[#This Row],[Fixture Energy Cost Savings ($)]], #N/A)</f>
        <v>#N/A</v>
      </c>
      <c r="BM36" s="118" t="e">
        <f>IF(VLOOKUP(ReviewCalcs[[#This Row],[Existing Fixture Code]], Table7[[FIXTURE CODE]:[Baseline Fixture Code]], 8, FALSE)="N", VLOOKUP(ReviewCalcs[[#This Row],[Existing Fixture Code]], Table7[[FIXTURE CODE]:[Baseline Fixture Code]], 9, FALSE), ReviewCalcs[[#This Row],[Existing Fixture Code]])</f>
        <v>#N/A</v>
      </c>
      <c r="BN36" s="118" t="e">
        <f>INDEX(Table7[WATT/ FIXT], MATCH(ReviewCalcs[Baseline Fixture Code], Table7[FIXTURE CODE], 0))</f>
        <v>#N/A</v>
      </c>
      <c r="BO36" s="118">
        <f>IFERROR((ReviewCalcs[[#This Row],[Existing Fixture Quantity]]*ReviewCalcs[[#This Row],[Baseline Fixture Watts]]/1000-ReviewCalcs[[#This Row],[Proposed Fixture Quantity]]*ReviewCalcs[[#This Row],[Proposed Fixture Watts]]/1000)*ReviewCalcs[[#This Row],[Existing CF]]*ReviewCalcs[[#This Row],[IEFD]], 0)</f>
        <v>0</v>
      </c>
      <c r="BP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6" s="118">
        <f>IF(ReviewCalcs[[#This Row],[Existing CF]]=ReviewCalcs[[#This Row],[Proposed CF]], 0, ReviewCalcs[[#This Row],[Proposed Fixture Quantity]]*ReviewCalcs[[#This Row],[Proposed Fixture Watts]]/1000*ReviewCalcs[[#This Row],[Proposed CF]]*ReviewCalcs[[#This Row],[IEFD]])</f>
        <v>0</v>
      </c>
      <c r="BR36" s="118">
        <f>IFERROR(ReviewCalcs[[#This Row],[Proposed Fixture Quantity]]*ReviewCalcs[[#This Row],[Proposed Fixture Watts]]/1000*(ReviewCalcs[[#This Row],[Existing PAF]]-ReviewCalcs[[#This Row],[Proposed PAF]])*ReviewCalcs[[#This Row],[AOH]]*ReviewCalcs[[#This Row],[IEFE]],0)</f>
        <v>0</v>
      </c>
      <c r="BS36" s="118">
        <f>ReviewCalcs[[#This Row],[Incentive Fixture Demand Savings (kW)]]+ReviewCalcs[[#This Row],[Incentive Control Demand Savings (kW)]]</f>
        <v>0</v>
      </c>
      <c r="BT36" s="118">
        <f>ReviewCalcs[[#This Row],[Incentive Fixture Energy Savings (kWh)]]+ReviewCalcs[[#This Row],[Incentive Control Energy Savings (kWh)]]</f>
        <v>0</v>
      </c>
      <c r="BU36" s="73"/>
    </row>
    <row r="37" spans="1:73" ht="30" customHeight="1">
      <c r="A37" s="68">
        <v>34</v>
      </c>
      <c r="B37" s="96">
        <f>VLOOKUP(ReviewCalcs[[#This Row],[Project Index]], ProjectInput[], D$1, FALSE)</f>
        <v>0</v>
      </c>
      <c r="C37" s="97">
        <f>VLOOKUP(ReviewCalcs[[#This Row],[Project Index]], ProjectInput[], E$1, FALSE)</f>
        <v>0</v>
      </c>
      <c r="D37" s="97">
        <f>VLOOKUP(ReviewCalcs[[#This Row],[Project Index]], ProjectInput[], F$1, FALSE)</f>
        <v>0</v>
      </c>
      <c r="E37" s="97">
        <f>VLOOKUP(ReviewCalcs[[#This Row],[Project Index]], ProjectInput[], G$1, FALSE)</f>
        <v>0</v>
      </c>
      <c r="F37" s="97">
        <f>VLOOKUP(ReviewCalcs[[#This Row],[Project Index]], ProjectInput[], H$1, FALSE)</f>
        <v>0</v>
      </c>
      <c r="G37" s="98" t="str">
        <f>VLOOKUP(ReviewCalcs[[#This Row],[Project Index]], ProjectInput[], I$1, FALSE)</f>
        <v/>
      </c>
      <c r="H37" s="96">
        <f>VLOOKUP(ReviewCalcs[[#This Row],[Project Index]], ProjectInput[], J$1, FALSE)</f>
        <v>0</v>
      </c>
      <c r="I37" s="97">
        <f>VLOOKUP(ReviewCalcs[[#This Row],[Project Index]], ProjectInput[], K$1, FALSE)</f>
        <v>0</v>
      </c>
      <c r="J37" s="97">
        <f>VLOOKUP(ReviewCalcs[[#This Row],[Project Index]], ProjectInput[], L$1, FALSE)</f>
        <v>0</v>
      </c>
      <c r="K37" s="97">
        <f>VLOOKUP(ReviewCalcs[[#This Row],[Project Index]], ProjectInput[], M$1, FALSE)</f>
        <v>0</v>
      </c>
      <c r="L37" s="97">
        <f>VLOOKUP(ReviewCalcs[[#This Row],[Project Index]], ProjectInput[], N$1, FALSE)</f>
        <v>0</v>
      </c>
      <c r="M37" s="98" t="str">
        <f>VLOOKUP(ReviewCalcs[[#This Row],[Project Index]], ProjectInput[], O$1, FALSE)</f>
        <v/>
      </c>
      <c r="N37" s="96">
        <f>VLOOKUP(ReviewCalcs[[#This Row],[Project Index]], ProjectInput[], P$1, FALSE)</f>
        <v>0</v>
      </c>
      <c r="O37" s="97">
        <f>VLOOKUP(ReviewCalcs[[#This Row],[Project Index]], ProjectInput[], Q$1, FALSE)</f>
        <v>0</v>
      </c>
      <c r="P37" s="97">
        <f>VLOOKUP(ReviewCalcs[[#This Row],[Project Index]], ProjectInput[], R$1, FALSE)</f>
        <v>0</v>
      </c>
      <c r="Q37" s="97">
        <f>VLOOKUP(ReviewCalcs[[#This Row],[Project Index]], ProjectInput[], S$1, FALSE)</f>
        <v>0</v>
      </c>
      <c r="R37" s="97">
        <f>VLOOKUP(ReviewCalcs[[#This Row],[Project Index]], ProjectInput[], T$1, FALSE)</f>
        <v>0</v>
      </c>
      <c r="S37" s="97">
        <f>VLOOKUP(ReviewCalcs[[#This Row],[Project Index]], ProjectInput[], U$1, FALSE)</f>
        <v>0</v>
      </c>
      <c r="T37" s="97">
        <f>VLOOKUP(ReviewCalcs[[#This Row],[Project Index]], ProjectInput[], V$1, FALSE)</f>
        <v>0</v>
      </c>
      <c r="U37" s="97">
        <f>VLOOKUP(ReviewCalcs[[#This Row],[Project Index]], ProjectInput[], W$1, FALSE)</f>
        <v>0</v>
      </c>
      <c r="V37" s="98" t="str">
        <f>VLOOKUP(ReviewCalcs[[#This Row],[Project Index]], ProjectInput[], X$1, FALSE)</f>
        <v/>
      </c>
      <c r="W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7" s="75" t="e">
        <f>IF(VLOOKUP(ReviewCalcs[[#This Row],[Proposed Fixture Code]], Table7[[FIXTURE CODE]:[Baseline Fixture Code]], 8, FALSE)="N", "ERROR", "PASS")</f>
        <v>#N/A</v>
      </c>
      <c r="Y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7" s="75" t="e">
        <f>IF(OR(ReviewCalcs[[#This Row],[Baseline Fixture Watts]]&gt;=ReviewCalcs[[#This Row],[Proposed Fixture Watts]],ReviewCalcs[[#This Row],[Existing Fixture Watts]]&gt;=ReviewCalcs[[#This Row],[Proposed Fixture Watts]] ), "PASS", "ERROR")</f>
        <v>#N/A</v>
      </c>
      <c r="AA37" s="69" t="e">
        <f>VLOOKUP(ReviewCalcs[[#This Row],[Space Conditions]], Table_365[], 5, FALSE)</f>
        <v>#N/A</v>
      </c>
      <c r="AB37" s="68" t="str">
        <f>ReviewCalcs[[#This Row],[Annual Hours]]</f>
        <v/>
      </c>
      <c r="AC37" s="68" t="e">
        <f>VLOOKUP(ReviewCalcs[[#This Row],[Space Conditions]], Table_365[], 6, FALSE)</f>
        <v>#N/A</v>
      </c>
      <c r="AD37" s="68">
        <f>IF(ReviewCalcs[[#This Row],[Existing Control(s)]]='Tables &amp; Ranges'!$A$25, VLOOKUP(ReviewCalcs[[#This Row],[Building/Space Type]], Table_364[], 3, FALSE), CF_Contols)</f>
        <v>0.26</v>
      </c>
      <c r="AE37" s="68" t="e">
        <f>VLOOKUP(ReviewCalcs[[#This Row],[Existing Control(s)]], Table_358[], 2, FALSE)</f>
        <v>#N/A</v>
      </c>
      <c r="AF37" s="68">
        <f>IF(ReviewCalcs[[#This Row],[Proposed Control(s)]]='Tables &amp; Ranges'!$A$25, VLOOKUP(ReviewCalcs[[#This Row],[Building/Space Type]], Table_364[], 3, FALSE), CF_Contols)</f>
        <v>0.26</v>
      </c>
      <c r="AG37" s="68" t="e">
        <f>VLOOKUP(ReviewCalcs[[#This Row],[Proposed Control(s)]], Table_358[], 2, FALSE)</f>
        <v>#N/A</v>
      </c>
      <c r="AH37" s="68">
        <f>IFERROR((ReviewCalcs[[#This Row],[Existing Fixture Quantity]]*ReviewCalcs[[#This Row],[Existing Fixture Watts]]/1000)*ReviewCalcs[[#This Row],[Existing CF]]*ReviewCalcs[[#This Row],[IEFD]], 0)</f>
        <v>0</v>
      </c>
      <c r="AI37" s="68">
        <f>IFERROR((ReviewCalcs[[#This Row],[Proposed Fixture Quantity]]*ReviewCalcs[[#This Row],[Proposed Fixture Watts]]/1000)*ReviewCalcs[[#This Row],[Existing CF]]*ReviewCalcs[[#This Row],[IEFD]], 0)</f>
        <v>0</v>
      </c>
      <c r="AJ37" s="118">
        <f>IFERROR((ReviewCalcs[[#This Row],[Existing Fixture Quantity]]*ReviewCalcs[[#This Row],[Existing Fixture Watts]]/1000-ReviewCalcs[[#This Row],[Proposed Fixture Quantity]]*ReviewCalcs[[#This Row],[Proposed Fixture Watts]]/1000)*ReviewCalcs[[#This Row],[Existing CF]]*ReviewCalcs[[#This Row],[IEFD]], 0)</f>
        <v>0</v>
      </c>
      <c r="AK37" s="118">
        <f>IFERROR((ReviewCalcs[[#This Row],[Existing Fixture Quantity]]*ReviewCalcs[[#This Row],[Existing Fixture Watts]]/1000)*ReviewCalcs[[#This Row],[AOH]]*ReviewCalcs[[#This Row],[IEFE]]*ReviewCalcs[[#This Row],[Existing PAF]], 0)</f>
        <v>0</v>
      </c>
      <c r="AL37" s="118">
        <f>IFERROR((ReviewCalcs[[#This Row],[Proposed Fixture Quantity]]*ReviewCalcs[[#This Row],[Proposed Fixture Watts]]/1000)*ReviewCalcs[[#This Row],[AOH]]*ReviewCalcs[[#This Row],[IEFE]]*ReviewCalcs[[#This Row],[Existing PAF]], 0)</f>
        <v>0</v>
      </c>
      <c r="AM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7" s="118">
        <f>ReviewCalcs[[#This Row],[Fixture Existing Energy (kWh)]]*Avg_KWh_Rate</f>
        <v>0</v>
      </c>
      <c r="AO37" s="118">
        <f>ReviewCalcs[[#This Row],[Fixture Proposed Energy (kWh)]]*Avg_KWh_Rate</f>
        <v>0</v>
      </c>
      <c r="AP37" s="70">
        <f>ReviewCalcs[[#This Row],[Fixture Energy Savings]]*Avg_KWh_Rate</f>
        <v>0</v>
      </c>
      <c r="AQ37" s="129" t="e">
        <f>ReviewCalcs[[#This Row],[Existing Fixture Quantity]]*ReviewCalcs[[#This Row],[Existing Fixture Watts]]/1000*ReviewCalcs[[#This Row],[Existing CF]]*ReviewCalcs[[#This Row],[IEFD]]</f>
        <v>#VALUE!</v>
      </c>
      <c r="AR37" s="129" t="e">
        <f>ReviewCalcs[[#This Row],[Proposed Fixture Quantity]]*ReviewCalcs[[#This Row],[Proposed Fixture Watts]]/1000*ReviewCalcs[[#This Row],[Proposed CF]]*ReviewCalcs[[#This Row],[IEFD]]</f>
        <v>#VALUE!</v>
      </c>
      <c r="AS37" s="118">
        <f>IF(ReviewCalcs[[#This Row],[Existing CF]]=ReviewCalcs[[#This Row],[Proposed CF]], 0, ReviewCalcs[[#This Row],[Proposed Fixture Quantity]]*ReviewCalcs[[#This Row],[Proposed Fixture Watts]]/1000*ReviewCalcs[[#This Row],[Proposed CF]]*ReviewCalcs[[#This Row],[IEFD]])</f>
        <v>0</v>
      </c>
      <c r="AT37" s="118">
        <f>IFERROR(ReviewCalcs[[#This Row],[Existing Fixture Quantity]]*ReviewCalcs[[#This Row],[Existing Fixture Watts]]/1000*ReviewCalcs[[#This Row],[Existing PAF]]*ReviewCalcs[[#This Row],[AOH]]*ReviewCalcs[[#This Row],[IEFE]], 0)</f>
        <v>0</v>
      </c>
      <c r="AU37" s="118">
        <f>IFERROR(ReviewCalcs[[#This Row],[Proposed Fixture Quantity]]*ReviewCalcs[[#This Row],[Proposed Fixture Watts]]/1000*ReviewCalcs[[#This Row],[Proposed PAF]]*ReviewCalcs[[#This Row],[AOH]]*ReviewCalcs[[#This Row],[IEFE]], 0)</f>
        <v>0</v>
      </c>
      <c r="AV37" s="118">
        <f>IFERROR(ReviewCalcs[[#This Row],[Proposed Fixture Quantity]]*ReviewCalcs[[#This Row],[Proposed Fixture Watts]]/1000*(ReviewCalcs[[#This Row],[Existing PAF]]-ReviewCalcs[[#This Row],[Proposed PAF]])*ReviewCalcs[[#This Row],[AOH]]*ReviewCalcs[[#This Row],[IEFE]], 0)</f>
        <v>0</v>
      </c>
      <c r="AW37" s="118">
        <f>ReviewCalcs[[#This Row],[Control Existing Energy (kWh)]]*kWh_Incentive_Rate</f>
        <v>0</v>
      </c>
      <c r="AX37" s="118">
        <f>ReviewCalcs[[#This Row],[Control Proposed Energy (kWh)]]*kWh_Incentive_Rate</f>
        <v>0</v>
      </c>
      <c r="AY37" s="70">
        <f>ReviewCalcs[[#This Row],[Control Energy Savings (kWh)]]*kWh_Incentive_Rate</f>
        <v>0</v>
      </c>
      <c r="AZ37" s="70" t="e">
        <f>ReviewCalcs[[#This Row],[Fixture Existing Demand (kW)]]+ReviewCalcs[[#This Row],[Control Existing Demand (kW)]]</f>
        <v>#VALUE!</v>
      </c>
      <c r="BA37" s="70" t="e">
        <f>ReviewCalcs[[#This Row],[Fixture Proposed Demand (kW)]]+ReviewCalcs[[#This Row],[Control Proposed Demand (kW)]]</f>
        <v>#VALUE!</v>
      </c>
      <c r="BB37" s="118">
        <f>ReviewCalcs[[#This Row],[Fixture Demand Savings (kW)]]+ReviewCalcs[[#This Row],[Control Demand Savings (kW)]]</f>
        <v>0</v>
      </c>
      <c r="BC37" s="118">
        <f>ReviewCalcs[[#This Row],[Fixture Existing Energy (kWh)]]+ReviewCalcs[[#This Row],[Control Existing Energy (kWh)]]</f>
        <v>0</v>
      </c>
      <c r="BD37" s="118">
        <f>ReviewCalcs[[#This Row],[Fixture Proposed Energy (kWh)]]+ReviewCalcs[[#This Row],[Control Proposed Energy (kWh)]]</f>
        <v>0</v>
      </c>
      <c r="BE37" s="118">
        <f>ReviewCalcs[[#This Row],[Fixture Energy Savings]]+ReviewCalcs[[#This Row],[Control Energy Savings (kWh)]]</f>
        <v>0</v>
      </c>
      <c r="BF37" s="118">
        <f>ReviewCalcs[[#This Row],[Fixture Existing Cost ($)]]+ReviewCalcs[[#This Row],[Control Existing Cost ($)]]</f>
        <v>0</v>
      </c>
      <c r="BG37" s="118">
        <f>ReviewCalcs[[#This Row],[Fixture Proposed Cost ($)]]+ReviewCalcs[[#This Row],[Controls Proposed Cost ($)]]</f>
        <v>0</v>
      </c>
      <c r="BH37" s="70">
        <f>ReviewCalcs[[#This Row],[Total Energy Savings (kWh)]]*Avg_KWh_Rate</f>
        <v>0</v>
      </c>
      <c r="BI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7" s="70">
        <f>ReviewCalcs[[#This Row],[Retrofit Cost]]</f>
        <v>0</v>
      </c>
      <c r="BK37" s="70">
        <f>ReviewCalcs[[#This Row],[Retrofit Cost]]-ReviewCalcs[[#This Row],[Incentive ($)]]</f>
        <v>0</v>
      </c>
      <c r="BL37" s="118" t="e">
        <f>IFERROR(ReviewCalcs[[#This Row],[Net Project Cost ($)]]/ReviewCalcs[[#This Row],[Fixture Energy Cost Savings ($)]], #N/A)</f>
        <v>#N/A</v>
      </c>
      <c r="BM37" s="118" t="e">
        <f>IF(VLOOKUP(ReviewCalcs[[#This Row],[Existing Fixture Code]], Table7[[FIXTURE CODE]:[Baseline Fixture Code]], 8, FALSE)="N", VLOOKUP(ReviewCalcs[[#This Row],[Existing Fixture Code]], Table7[[FIXTURE CODE]:[Baseline Fixture Code]], 9, FALSE), ReviewCalcs[[#This Row],[Existing Fixture Code]])</f>
        <v>#N/A</v>
      </c>
      <c r="BN37" s="118" t="e">
        <f>INDEX(Table7[WATT/ FIXT], MATCH(ReviewCalcs[Baseline Fixture Code], Table7[FIXTURE CODE], 0))</f>
        <v>#N/A</v>
      </c>
      <c r="BO37" s="118">
        <f>IFERROR((ReviewCalcs[[#This Row],[Existing Fixture Quantity]]*ReviewCalcs[[#This Row],[Baseline Fixture Watts]]/1000-ReviewCalcs[[#This Row],[Proposed Fixture Quantity]]*ReviewCalcs[[#This Row],[Proposed Fixture Watts]]/1000)*ReviewCalcs[[#This Row],[Existing CF]]*ReviewCalcs[[#This Row],[IEFD]], 0)</f>
        <v>0</v>
      </c>
      <c r="BP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7" s="118">
        <f>IF(ReviewCalcs[[#This Row],[Existing CF]]=ReviewCalcs[[#This Row],[Proposed CF]], 0, ReviewCalcs[[#This Row],[Proposed Fixture Quantity]]*ReviewCalcs[[#This Row],[Proposed Fixture Watts]]/1000*ReviewCalcs[[#This Row],[Proposed CF]]*ReviewCalcs[[#This Row],[IEFD]])</f>
        <v>0</v>
      </c>
      <c r="BR37" s="118">
        <f>IFERROR(ReviewCalcs[[#This Row],[Proposed Fixture Quantity]]*ReviewCalcs[[#This Row],[Proposed Fixture Watts]]/1000*(ReviewCalcs[[#This Row],[Existing PAF]]-ReviewCalcs[[#This Row],[Proposed PAF]])*ReviewCalcs[[#This Row],[AOH]]*ReviewCalcs[[#This Row],[IEFE]],0)</f>
        <v>0</v>
      </c>
      <c r="BS37" s="118">
        <f>ReviewCalcs[[#This Row],[Incentive Fixture Demand Savings (kW)]]+ReviewCalcs[[#This Row],[Incentive Control Demand Savings (kW)]]</f>
        <v>0</v>
      </c>
      <c r="BT37" s="118">
        <f>ReviewCalcs[[#This Row],[Incentive Fixture Energy Savings (kWh)]]+ReviewCalcs[[#This Row],[Incentive Control Energy Savings (kWh)]]</f>
        <v>0</v>
      </c>
      <c r="BU37" s="73"/>
    </row>
    <row r="38" spans="1:73" ht="30" customHeight="1">
      <c r="A38" s="68">
        <v>35</v>
      </c>
      <c r="B38" s="96">
        <f>VLOOKUP(ReviewCalcs[[#This Row],[Project Index]], ProjectInput[], D$1, FALSE)</f>
        <v>0</v>
      </c>
      <c r="C38" s="97">
        <f>VLOOKUP(ReviewCalcs[[#This Row],[Project Index]], ProjectInput[], E$1, FALSE)</f>
        <v>0</v>
      </c>
      <c r="D38" s="97">
        <f>VLOOKUP(ReviewCalcs[[#This Row],[Project Index]], ProjectInput[], F$1, FALSE)</f>
        <v>0</v>
      </c>
      <c r="E38" s="97">
        <f>VLOOKUP(ReviewCalcs[[#This Row],[Project Index]], ProjectInput[], G$1, FALSE)</f>
        <v>0</v>
      </c>
      <c r="F38" s="97">
        <f>VLOOKUP(ReviewCalcs[[#This Row],[Project Index]], ProjectInput[], H$1, FALSE)</f>
        <v>0</v>
      </c>
      <c r="G38" s="98" t="str">
        <f>VLOOKUP(ReviewCalcs[[#This Row],[Project Index]], ProjectInput[], I$1, FALSE)</f>
        <v/>
      </c>
      <c r="H38" s="96">
        <f>VLOOKUP(ReviewCalcs[[#This Row],[Project Index]], ProjectInput[], J$1, FALSE)</f>
        <v>0</v>
      </c>
      <c r="I38" s="97">
        <f>VLOOKUP(ReviewCalcs[[#This Row],[Project Index]], ProjectInput[], K$1, FALSE)</f>
        <v>0</v>
      </c>
      <c r="J38" s="97">
        <f>VLOOKUP(ReviewCalcs[[#This Row],[Project Index]], ProjectInput[], L$1, FALSE)</f>
        <v>0</v>
      </c>
      <c r="K38" s="97">
        <f>VLOOKUP(ReviewCalcs[[#This Row],[Project Index]], ProjectInput[], M$1, FALSE)</f>
        <v>0</v>
      </c>
      <c r="L38" s="97">
        <f>VLOOKUP(ReviewCalcs[[#This Row],[Project Index]], ProjectInput[], N$1, FALSE)</f>
        <v>0</v>
      </c>
      <c r="M38" s="98" t="str">
        <f>VLOOKUP(ReviewCalcs[[#This Row],[Project Index]], ProjectInput[], O$1, FALSE)</f>
        <v/>
      </c>
      <c r="N38" s="96">
        <f>VLOOKUP(ReviewCalcs[[#This Row],[Project Index]], ProjectInput[], P$1, FALSE)</f>
        <v>0</v>
      </c>
      <c r="O38" s="97">
        <f>VLOOKUP(ReviewCalcs[[#This Row],[Project Index]], ProjectInput[], Q$1, FALSE)</f>
        <v>0</v>
      </c>
      <c r="P38" s="97">
        <f>VLOOKUP(ReviewCalcs[[#This Row],[Project Index]], ProjectInput[], R$1, FALSE)</f>
        <v>0</v>
      </c>
      <c r="Q38" s="97">
        <f>VLOOKUP(ReviewCalcs[[#This Row],[Project Index]], ProjectInput[], S$1, FALSE)</f>
        <v>0</v>
      </c>
      <c r="R38" s="97">
        <f>VLOOKUP(ReviewCalcs[[#This Row],[Project Index]], ProjectInput[], T$1, FALSE)</f>
        <v>0</v>
      </c>
      <c r="S38" s="97">
        <f>VLOOKUP(ReviewCalcs[[#This Row],[Project Index]], ProjectInput[], U$1, FALSE)</f>
        <v>0</v>
      </c>
      <c r="T38" s="97">
        <f>VLOOKUP(ReviewCalcs[[#This Row],[Project Index]], ProjectInput[], V$1, FALSE)</f>
        <v>0</v>
      </c>
      <c r="U38" s="97">
        <f>VLOOKUP(ReviewCalcs[[#This Row],[Project Index]], ProjectInput[], W$1, FALSE)</f>
        <v>0</v>
      </c>
      <c r="V38" s="98" t="str">
        <f>VLOOKUP(ReviewCalcs[[#This Row],[Project Index]], ProjectInput[], X$1, FALSE)</f>
        <v/>
      </c>
      <c r="W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8" s="75" t="e">
        <f>IF(VLOOKUP(ReviewCalcs[[#This Row],[Proposed Fixture Code]], Table7[[FIXTURE CODE]:[Baseline Fixture Code]], 8, FALSE)="N", "ERROR", "PASS")</f>
        <v>#N/A</v>
      </c>
      <c r="Y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8" s="75" t="e">
        <f>IF(OR(ReviewCalcs[[#This Row],[Baseline Fixture Watts]]&gt;=ReviewCalcs[[#This Row],[Proposed Fixture Watts]],ReviewCalcs[[#This Row],[Existing Fixture Watts]]&gt;=ReviewCalcs[[#This Row],[Proposed Fixture Watts]] ), "PASS", "ERROR")</f>
        <v>#N/A</v>
      </c>
      <c r="AA38" s="69" t="e">
        <f>VLOOKUP(ReviewCalcs[[#This Row],[Space Conditions]], Table_365[], 5, FALSE)</f>
        <v>#N/A</v>
      </c>
      <c r="AB38" s="68" t="str">
        <f>ReviewCalcs[[#This Row],[Annual Hours]]</f>
        <v/>
      </c>
      <c r="AC38" s="68" t="e">
        <f>VLOOKUP(ReviewCalcs[[#This Row],[Space Conditions]], Table_365[], 6, FALSE)</f>
        <v>#N/A</v>
      </c>
      <c r="AD38" s="68">
        <f>IF(ReviewCalcs[[#This Row],[Existing Control(s)]]='Tables &amp; Ranges'!$A$25, VLOOKUP(ReviewCalcs[[#This Row],[Building/Space Type]], Table_364[], 3, FALSE), CF_Contols)</f>
        <v>0.26</v>
      </c>
      <c r="AE38" s="68" t="e">
        <f>VLOOKUP(ReviewCalcs[[#This Row],[Existing Control(s)]], Table_358[], 2, FALSE)</f>
        <v>#N/A</v>
      </c>
      <c r="AF38" s="68">
        <f>IF(ReviewCalcs[[#This Row],[Proposed Control(s)]]='Tables &amp; Ranges'!$A$25, VLOOKUP(ReviewCalcs[[#This Row],[Building/Space Type]], Table_364[], 3, FALSE), CF_Contols)</f>
        <v>0.26</v>
      </c>
      <c r="AG38" s="68" t="e">
        <f>VLOOKUP(ReviewCalcs[[#This Row],[Proposed Control(s)]], Table_358[], 2, FALSE)</f>
        <v>#N/A</v>
      </c>
      <c r="AH38" s="68">
        <f>IFERROR((ReviewCalcs[[#This Row],[Existing Fixture Quantity]]*ReviewCalcs[[#This Row],[Existing Fixture Watts]]/1000)*ReviewCalcs[[#This Row],[Existing CF]]*ReviewCalcs[[#This Row],[IEFD]], 0)</f>
        <v>0</v>
      </c>
      <c r="AI38" s="68">
        <f>IFERROR((ReviewCalcs[[#This Row],[Proposed Fixture Quantity]]*ReviewCalcs[[#This Row],[Proposed Fixture Watts]]/1000)*ReviewCalcs[[#This Row],[Existing CF]]*ReviewCalcs[[#This Row],[IEFD]], 0)</f>
        <v>0</v>
      </c>
      <c r="AJ38" s="118">
        <f>IFERROR((ReviewCalcs[[#This Row],[Existing Fixture Quantity]]*ReviewCalcs[[#This Row],[Existing Fixture Watts]]/1000-ReviewCalcs[[#This Row],[Proposed Fixture Quantity]]*ReviewCalcs[[#This Row],[Proposed Fixture Watts]]/1000)*ReviewCalcs[[#This Row],[Existing CF]]*ReviewCalcs[[#This Row],[IEFD]], 0)</f>
        <v>0</v>
      </c>
      <c r="AK38" s="118">
        <f>IFERROR((ReviewCalcs[[#This Row],[Existing Fixture Quantity]]*ReviewCalcs[[#This Row],[Existing Fixture Watts]]/1000)*ReviewCalcs[[#This Row],[AOH]]*ReviewCalcs[[#This Row],[IEFE]]*ReviewCalcs[[#This Row],[Existing PAF]], 0)</f>
        <v>0</v>
      </c>
      <c r="AL38" s="118">
        <f>IFERROR((ReviewCalcs[[#This Row],[Proposed Fixture Quantity]]*ReviewCalcs[[#This Row],[Proposed Fixture Watts]]/1000)*ReviewCalcs[[#This Row],[AOH]]*ReviewCalcs[[#This Row],[IEFE]]*ReviewCalcs[[#This Row],[Existing PAF]], 0)</f>
        <v>0</v>
      </c>
      <c r="AM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8" s="118">
        <f>ReviewCalcs[[#This Row],[Fixture Existing Energy (kWh)]]*Avg_KWh_Rate</f>
        <v>0</v>
      </c>
      <c r="AO38" s="118">
        <f>ReviewCalcs[[#This Row],[Fixture Proposed Energy (kWh)]]*Avg_KWh_Rate</f>
        <v>0</v>
      </c>
      <c r="AP38" s="70">
        <f>ReviewCalcs[[#This Row],[Fixture Energy Savings]]*Avg_KWh_Rate</f>
        <v>0</v>
      </c>
      <c r="AQ38" s="129" t="e">
        <f>ReviewCalcs[[#This Row],[Existing Fixture Quantity]]*ReviewCalcs[[#This Row],[Existing Fixture Watts]]/1000*ReviewCalcs[[#This Row],[Existing CF]]*ReviewCalcs[[#This Row],[IEFD]]</f>
        <v>#VALUE!</v>
      </c>
      <c r="AR38" s="129" t="e">
        <f>ReviewCalcs[[#This Row],[Proposed Fixture Quantity]]*ReviewCalcs[[#This Row],[Proposed Fixture Watts]]/1000*ReviewCalcs[[#This Row],[Proposed CF]]*ReviewCalcs[[#This Row],[IEFD]]</f>
        <v>#VALUE!</v>
      </c>
      <c r="AS38" s="118">
        <f>IF(ReviewCalcs[[#This Row],[Existing CF]]=ReviewCalcs[[#This Row],[Proposed CF]], 0, ReviewCalcs[[#This Row],[Proposed Fixture Quantity]]*ReviewCalcs[[#This Row],[Proposed Fixture Watts]]/1000*ReviewCalcs[[#This Row],[Proposed CF]]*ReviewCalcs[[#This Row],[IEFD]])</f>
        <v>0</v>
      </c>
      <c r="AT38" s="118">
        <f>IFERROR(ReviewCalcs[[#This Row],[Existing Fixture Quantity]]*ReviewCalcs[[#This Row],[Existing Fixture Watts]]/1000*ReviewCalcs[[#This Row],[Existing PAF]]*ReviewCalcs[[#This Row],[AOH]]*ReviewCalcs[[#This Row],[IEFE]], 0)</f>
        <v>0</v>
      </c>
      <c r="AU38" s="118">
        <f>IFERROR(ReviewCalcs[[#This Row],[Proposed Fixture Quantity]]*ReviewCalcs[[#This Row],[Proposed Fixture Watts]]/1000*ReviewCalcs[[#This Row],[Proposed PAF]]*ReviewCalcs[[#This Row],[AOH]]*ReviewCalcs[[#This Row],[IEFE]], 0)</f>
        <v>0</v>
      </c>
      <c r="AV38" s="118">
        <f>IFERROR(ReviewCalcs[[#This Row],[Proposed Fixture Quantity]]*ReviewCalcs[[#This Row],[Proposed Fixture Watts]]/1000*(ReviewCalcs[[#This Row],[Existing PAF]]-ReviewCalcs[[#This Row],[Proposed PAF]])*ReviewCalcs[[#This Row],[AOH]]*ReviewCalcs[[#This Row],[IEFE]], 0)</f>
        <v>0</v>
      </c>
      <c r="AW38" s="118">
        <f>ReviewCalcs[[#This Row],[Control Existing Energy (kWh)]]*kWh_Incentive_Rate</f>
        <v>0</v>
      </c>
      <c r="AX38" s="118">
        <f>ReviewCalcs[[#This Row],[Control Proposed Energy (kWh)]]*kWh_Incentive_Rate</f>
        <v>0</v>
      </c>
      <c r="AY38" s="70">
        <f>ReviewCalcs[[#This Row],[Control Energy Savings (kWh)]]*kWh_Incentive_Rate</f>
        <v>0</v>
      </c>
      <c r="AZ38" s="70" t="e">
        <f>ReviewCalcs[[#This Row],[Fixture Existing Demand (kW)]]+ReviewCalcs[[#This Row],[Control Existing Demand (kW)]]</f>
        <v>#VALUE!</v>
      </c>
      <c r="BA38" s="70" t="e">
        <f>ReviewCalcs[[#This Row],[Fixture Proposed Demand (kW)]]+ReviewCalcs[[#This Row],[Control Proposed Demand (kW)]]</f>
        <v>#VALUE!</v>
      </c>
      <c r="BB38" s="118">
        <f>ReviewCalcs[[#This Row],[Fixture Demand Savings (kW)]]+ReviewCalcs[[#This Row],[Control Demand Savings (kW)]]</f>
        <v>0</v>
      </c>
      <c r="BC38" s="118">
        <f>ReviewCalcs[[#This Row],[Fixture Existing Energy (kWh)]]+ReviewCalcs[[#This Row],[Control Existing Energy (kWh)]]</f>
        <v>0</v>
      </c>
      <c r="BD38" s="118">
        <f>ReviewCalcs[[#This Row],[Fixture Proposed Energy (kWh)]]+ReviewCalcs[[#This Row],[Control Proposed Energy (kWh)]]</f>
        <v>0</v>
      </c>
      <c r="BE38" s="118">
        <f>ReviewCalcs[[#This Row],[Fixture Energy Savings]]+ReviewCalcs[[#This Row],[Control Energy Savings (kWh)]]</f>
        <v>0</v>
      </c>
      <c r="BF38" s="118">
        <f>ReviewCalcs[[#This Row],[Fixture Existing Cost ($)]]+ReviewCalcs[[#This Row],[Control Existing Cost ($)]]</f>
        <v>0</v>
      </c>
      <c r="BG38" s="118">
        <f>ReviewCalcs[[#This Row],[Fixture Proposed Cost ($)]]+ReviewCalcs[[#This Row],[Controls Proposed Cost ($)]]</f>
        <v>0</v>
      </c>
      <c r="BH38" s="70">
        <f>ReviewCalcs[[#This Row],[Total Energy Savings (kWh)]]*Avg_KWh_Rate</f>
        <v>0</v>
      </c>
      <c r="BI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8" s="70">
        <f>ReviewCalcs[[#This Row],[Retrofit Cost]]</f>
        <v>0</v>
      </c>
      <c r="BK38" s="70">
        <f>ReviewCalcs[[#This Row],[Retrofit Cost]]-ReviewCalcs[[#This Row],[Incentive ($)]]</f>
        <v>0</v>
      </c>
      <c r="BL38" s="118" t="e">
        <f>IFERROR(ReviewCalcs[[#This Row],[Net Project Cost ($)]]/ReviewCalcs[[#This Row],[Fixture Energy Cost Savings ($)]], #N/A)</f>
        <v>#N/A</v>
      </c>
      <c r="BM38" s="118" t="e">
        <f>IF(VLOOKUP(ReviewCalcs[[#This Row],[Existing Fixture Code]], Table7[[FIXTURE CODE]:[Baseline Fixture Code]], 8, FALSE)="N", VLOOKUP(ReviewCalcs[[#This Row],[Existing Fixture Code]], Table7[[FIXTURE CODE]:[Baseline Fixture Code]], 9, FALSE), ReviewCalcs[[#This Row],[Existing Fixture Code]])</f>
        <v>#N/A</v>
      </c>
      <c r="BN38" s="118" t="e">
        <f>INDEX(Table7[WATT/ FIXT], MATCH(ReviewCalcs[Baseline Fixture Code], Table7[FIXTURE CODE], 0))</f>
        <v>#N/A</v>
      </c>
      <c r="BO38" s="118">
        <f>IFERROR((ReviewCalcs[[#This Row],[Existing Fixture Quantity]]*ReviewCalcs[[#This Row],[Baseline Fixture Watts]]/1000-ReviewCalcs[[#This Row],[Proposed Fixture Quantity]]*ReviewCalcs[[#This Row],[Proposed Fixture Watts]]/1000)*ReviewCalcs[[#This Row],[Existing CF]]*ReviewCalcs[[#This Row],[IEFD]], 0)</f>
        <v>0</v>
      </c>
      <c r="BP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8" s="118">
        <f>IF(ReviewCalcs[[#This Row],[Existing CF]]=ReviewCalcs[[#This Row],[Proposed CF]], 0, ReviewCalcs[[#This Row],[Proposed Fixture Quantity]]*ReviewCalcs[[#This Row],[Proposed Fixture Watts]]/1000*ReviewCalcs[[#This Row],[Proposed CF]]*ReviewCalcs[[#This Row],[IEFD]])</f>
        <v>0</v>
      </c>
      <c r="BR38" s="118">
        <f>IFERROR(ReviewCalcs[[#This Row],[Proposed Fixture Quantity]]*ReviewCalcs[[#This Row],[Proposed Fixture Watts]]/1000*(ReviewCalcs[[#This Row],[Existing PAF]]-ReviewCalcs[[#This Row],[Proposed PAF]])*ReviewCalcs[[#This Row],[AOH]]*ReviewCalcs[[#This Row],[IEFE]],0)</f>
        <v>0</v>
      </c>
      <c r="BS38" s="118">
        <f>ReviewCalcs[[#This Row],[Incentive Fixture Demand Savings (kW)]]+ReviewCalcs[[#This Row],[Incentive Control Demand Savings (kW)]]</f>
        <v>0</v>
      </c>
      <c r="BT38" s="118">
        <f>ReviewCalcs[[#This Row],[Incentive Fixture Energy Savings (kWh)]]+ReviewCalcs[[#This Row],[Incentive Control Energy Savings (kWh)]]</f>
        <v>0</v>
      </c>
      <c r="BU38" s="73"/>
    </row>
    <row r="39" spans="1:73" ht="30" customHeight="1">
      <c r="A39" s="68">
        <v>36</v>
      </c>
      <c r="B39" s="96">
        <f>VLOOKUP(ReviewCalcs[[#This Row],[Project Index]], ProjectInput[], D$1, FALSE)</f>
        <v>0</v>
      </c>
      <c r="C39" s="97">
        <f>VLOOKUP(ReviewCalcs[[#This Row],[Project Index]], ProjectInput[], E$1, FALSE)</f>
        <v>0</v>
      </c>
      <c r="D39" s="97">
        <f>VLOOKUP(ReviewCalcs[[#This Row],[Project Index]], ProjectInput[], F$1, FALSE)</f>
        <v>0</v>
      </c>
      <c r="E39" s="97">
        <f>VLOOKUP(ReviewCalcs[[#This Row],[Project Index]], ProjectInput[], G$1, FALSE)</f>
        <v>0</v>
      </c>
      <c r="F39" s="97">
        <f>VLOOKUP(ReviewCalcs[[#This Row],[Project Index]], ProjectInput[], H$1, FALSE)</f>
        <v>0</v>
      </c>
      <c r="G39" s="98" t="str">
        <f>VLOOKUP(ReviewCalcs[[#This Row],[Project Index]], ProjectInput[], I$1, FALSE)</f>
        <v/>
      </c>
      <c r="H39" s="96">
        <f>VLOOKUP(ReviewCalcs[[#This Row],[Project Index]], ProjectInput[], J$1, FALSE)</f>
        <v>0</v>
      </c>
      <c r="I39" s="97">
        <f>VLOOKUP(ReviewCalcs[[#This Row],[Project Index]], ProjectInput[], K$1, FALSE)</f>
        <v>0</v>
      </c>
      <c r="J39" s="97">
        <f>VLOOKUP(ReviewCalcs[[#This Row],[Project Index]], ProjectInput[], L$1, FALSE)</f>
        <v>0</v>
      </c>
      <c r="K39" s="97">
        <f>VLOOKUP(ReviewCalcs[[#This Row],[Project Index]], ProjectInput[], M$1, FALSE)</f>
        <v>0</v>
      </c>
      <c r="L39" s="97">
        <f>VLOOKUP(ReviewCalcs[[#This Row],[Project Index]], ProjectInput[], N$1, FALSE)</f>
        <v>0</v>
      </c>
      <c r="M39" s="98" t="str">
        <f>VLOOKUP(ReviewCalcs[[#This Row],[Project Index]], ProjectInput[], O$1, FALSE)</f>
        <v/>
      </c>
      <c r="N39" s="96">
        <f>VLOOKUP(ReviewCalcs[[#This Row],[Project Index]], ProjectInput[], P$1, FALSE)</f>
        <v>0</v>
      </c>
      <c r="O39" s="97">
        <f>VLOOKUP(ReviewCalcs[[#This Row],[Project Index]], ProjectInput[], Q$1, FALSE)</f>
        <v>0</v>
      </c>
      <c r="P39" s="97">
        <f>VLOOKUP(ReviewCalcs[[#This Row],[Project Index]], ProjectInput[], R$1, FALSE)</f>
        <v>0</v>
      </c>
      <c r="Q39" s="97">
        <f>VLOOKUP(ReviewCalcs[[#This Row],[Project Index]], ProjectInput[], S$1, FALSE)</f>
        <v>0</v>
      </c>
      <c r="R39" s="97">
        <f>VLOOKUP(ReviewCalcs[[#This Row],[Project Index]], ProjectInput[], T$1, FALSE)</f>
        <v>0</v>
      </c>
      <c r="S39" s="97">
        <f>VLOOKUP(ReviewCalcs[[#This Row],[Project Index]], ProjectInput[], U$1, FALSE)</f>
        <v>0</v>
      </c>
      <c r="T39" s="97">
        <f>VLOOKUP(ReviewCalcs[[#This Row],[Project Index]], ProjectInput[], V$1, FALSE)</f>
        <v>0</v>
      </c>
      <c r="U39" s="97">
        <f>VLOOKUP(ReviewCalcs[[#This Row],[Project Index]], ProjectInput[], W$1, FALSE)</f>
        <v>0</v>
      </c>
      <c r="V39" s="98" t="str">
        <f>VLOOKUP(ReviewCalcs[[#This Row],[Project Index]], ProjectInput[], X$1, FALSE)</f>
        <v/>
      </c>
      <c r="W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9" s="75" t="e">
        <f>IF(VLOOKUP(ReviewCalcs[[#This Row],[Proposed Fixture Code]], Table7[[FIXTURE CODE]:[Baseline Fixture Code]], 8, FALSE)="N", "ERROR", "PASS")</f>
        <v>#N/A</v>
      </c>
      <c r="Y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9" s="75" t="e">
        <f>IF(OR(ReviewCalcs[[#This Row],[Baseline Fixture Watts]]&gt;=ReviewCalcs[[#This Row],[Proposed Fixture Watts]],ReviewCalcs[[#This Row],[Existing Fixture Watts]]&gt;=ReviewCalcs[[#This Row],[Proposed Fixture Watts]] ), "PASS", "ERROR")</f>
        <v>#N/A</v>
      </c>
      <c r="AA39" s="69" t="e">
        <f>VLOOKUP(ReviewCalcs[[#This Row],[Space Conditions]], Table_365[], 5, FALSE)</f>
        <v>#N/A</v>
      </c>
      <c r="AB39" s="68" t="str">
        <f>ReviewCalcs[[#This Row],[Annual Hours]]</f>
        <v/>
      </c>
      <c r="AC39" s="68" t="e">
        <f>VLOOKUP(ReviewCalcs[[#This Row],[Space Conditions]], Table_365[], 6, FALSE)</f>
        <v>#N/A</v>
      </c>
      <c r="AD39" s="68">
        <f>IF(ReviewCalcs[[#This Row],[Existing Control(s)]]='Tables &amp; Ranges'!$A$25, VLOOKUP(ReviewCalcs[[#This Row],[Building/Space Type]], Table_364[], 3, FALSE), CF_Contols)</f>
        <v>0.26</v>
      </c>
      <c r="AE39" s="68" t="e">
        <f>VLOOKUP(ReviewCalcs[[#This Row],[Existing Control(s)]], Table_358[], 2, FALSE)</f>
        <v>#N/A</v>
      </c>
      <c r="AF39" s="68">
        <f>IF(ReviewCalcs[[#This Row],[Proposed Control(s)]]='Tables &amp; Ranges'!$A$25, VLOOKUP(ReviewCalcs[[#This Row],[Building/Space Type]], Table_364[], 3, FALSE), CF_Contols)</f>
        <v>0.26</v>
      </c>
      <c r="AG39" s="68" t="e">
        <f>VLOOKUP(ReviewCalcs[[#This Row],[Proposed Control(s)]], Table_358[], 2, FALSE)</f>
        <v>#N/A</v>
      </c>
      <c r="AH39" s="68">
        <f>IFERROR((ReviewCalcs[[#This Row],[Existing Fixture Quantity]]*ReviewCalcs[[#This Row],[Existing Fixture Watts]]/1000)*ReviewCalcs[[#This Row],[Existing CF]]*ReviewCalcs[[#This Row],[IEFD]], 0)</f>
        <v>0</v>
      </c>
      <c r="AI39" s="68">
        <f>IFERROR((ReviewCalcs[[#This Row],[Proposed Fixture Quantity]]*ReviewCalcs[[#This Row],[Proposed Fixture Watts]]/1000)*ReviewCalcs[[#This Row],[Existing CF]]*ReviewCalcs[[#This Row],[IEFD]], 0)</f>
        <v>0</v>
      </c>
      <c r="AJ39" s="118">
        <f>IFERROR((ReviewCalcs[[#This Row],[Existing Fixture Quantity]]*ReviewCalcs[[#This Row],[Existing Fixture Watts]]/1000-ReviewCalcs[[#This Row],[Proposed Fixture Quantity]]*ReviewCalcs[[#This Row],[Proposed Fixture Watts]]/1000)*ReviewCalcs[[#This Row],[Existing CF]]*ReviewCalcs[[#This Row],[IEFD]], 0)</f>
        <v>0</v>
      </c>
      <c r="AK39" s="118">
        <f>IFERROR((ReviewCalcs[[#This Row],[Existing Fixture Quantity]]*ReviewCalcs[[#This Row],[Existing Fixture Watts]]/1000)*ReviewCalcs[[#This Row],[AOH]]*ReviewCalcs[[#This Row],[IEFE]]*ReviewCalcs[[#This Row],[Existing PAF]], 0)</f>
        <v>0</v>
      </c>
      <c r="AL39" s="118">
        <f>IFERROR((ReviewCalcs[[#This Row],[Proposed Fixture Quantity]]*ReviewCalcs[[#This Row],[Proposed Fixture Watts]]/1000)*ReviewCalcs[[#This Row],[AOH]]*ReviewCalcs[[#This Row],[IEFE]]*ReviewCalcs[[#This Row],[Existing PAF]], 0)</f>
        <v>0</v>
      </c>
      <c r="AM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9" s="118">
        <f>ReviewCalcs[[#This Row],[Fixture Existing Energy (kWh)]]*Avg_KWh_Rate</f>
        <v>0</v>
      </c>
      <c r="AO39" s="118">
        <f>ReviewCalcs[[#This Row],[Fixture Proposed Energy (kWh)]]*Avg_KWh_Rate</f>
        <v>0</v>
      </c>
      <c r="AP39" s="70">
        <f>ReviewCalcs[[#This Row],[Fixture Energy Savings]]*Avg_KWh_Rate</f>
        <v>0</v>
      </c>
      <c r="AQ39" s="129" t="e">
        <f>ReviewCalcs[[#This Row],[Existing Fixture Quantity]]*ReviewCalcs[[#This Row],[Existing Fixture Watts]]/1000*ReviewCalcs[[#This Row],[Existing CF]]*ReviewCalcs[[#This Row],[IEFD]]</f>
        <v>#VALUE!</v>
      </c>
      <c r="AR39" s="129" t="e">
        <f>ReviewCalcs[[#This Row],[Proposed Fixture Quantity]]*ReviewCalcs[[#This Row],[Proposed Fixture Watts]]/1000*ReviewCalcs[[#This Row],[Proposed CF]]*ReviewCalcs[[#This Row],[IEFD]]</f>
        <v>#VALUE!</v>
      </c>
      <c r="AS39" s="118">
        <f>IF(ReviewCalcs[[#This Row],[Existing CF]]=ReviewCalcs[[#This Row],[Proposed CF]], 0, ReviewCalcs[[#This Row],[Proposed Fixture Quantity]]*ReviewCalcs[[#This Row],[Proposed Fixture Watts]]/1000*ReviewCalcs[[#This Row],[Proposed CF]]*ReviewCalcs[[#This Row],[IEFD]])</f>
        <v>0</v>
      </c>
      <c r="AT39" s="118">
        <f>IFERROR(ReviewCalcs[[#This Row],[Existing Fixture Quantity]]*ReviewCalcs[[#This Row],[Existing Fixture Watts]]/1000*ReviewCalcs[[#This Row],[Existing PAF]]*ReviewCalcs[[#This Row],[AOH]]*ReviewCalcs[[#This Row],[IEFE]], 0)</f>
        <v>0</v>
      </c>
      <c r="AU39" s="118">
        <f>IFERROR(ReviewCalcs[[#This Row],[Proposed Fixture Quantity]]*ReviewCalcs[[#This Row],[Proposed Fixture Watts]]/1000*ReviewCalcs[[#This Row],[Proposed PAF]]*ReviewCalcs[[#This Row],[AOH]]*ReviewCalcs[[#This Row],[IEFE]], 0)</f>
        <v>0</v>
      </c>
      <c r="AV39" s="118">
        <f>IFERROR(ReviewCalcs[[#This Row],[Proposed Fixture Quantity]]*ReviewCalcs[[#This Row],[Proposed Fixture Watts]]/1000*(ReviewCalcs[[#This Row],[Existing PAF]]-ReviewCalcs[[#This Row],[Proposed PAF]])*ReviewCalcs[[#This Row],[AOH]]*ReviewCalcs[[#This Row],[IEFE]], 0)</f>
        <v>0</v>
      </c>
      <c r="AW39" s="118">
        <f>ReviewCalcs[[#This Row],[Control Existing Energy (kWh)]]*kWh_Incentive_Rate</f>
        <v>0</v>
      </c>
      <c r="AX39" s="118">
        <f>ReviewCalcs[[#This Row],[Control Proposed Energy (kWh)]]*kWh_Incentive_Rate</f>
        <v>0</v>
      </c>
      <c r="AY39" s="70">
        <f>ReviewCalcs[[#This Row],[Control Energy Savings (kWh)]]*kWh_Incentive_Rate</f>
        <v>0</v>
      </c>
      <c r="AZ39" s="70" t="e">
        <f>ReviewCalcs[[#This Row],[Fixture Existing Demand (kW)]]+ReviewCalcs[[#This Row],[Control Existing Demand (kW)]]</f>
        <v>#VALUE!</v>
      </c>
      <c r="BA39" s="70" t="e">
        <f>ReviewCalcs[[#This Row],[Fixture Proposed Demand (kW)]]+ReviewCalcs[[#This Row],[Control Proposed Demand (kW)]]</f>
        <v>#VALUE!</v>
      </c>
      <c r="BB39" s="118">
        <f>ReviewCalcs[[#This Row],[Fixture Demand Savings (kW)]]+ReviewCalcs[[#This Row],[Control Demand Savings (kW)]]</f>
        <v>0</v>
      </c>
      <c r="BC39" s="118">
        <f>ReviewCalcs[[#This Row],[Fixture Existing Energy (kWh)]]+ReviewCalcs[[#This Row],[Control Existing Energy (kWh)]]</f>
        <v>0</v>
      </c>
      <c r="BD39" s="118">
        <f>ReviewCalcs[[#This Row],[Fixture Proposed Energy (kWh)]]+ReviewCalcs[[#This Row],[Control Proposed Energy (kWh)]]</f>
        <v>0</v>
      </c>
      <c r="BE39" s="118">
        <f>ReviewCalcs[[#This Row],[Fixture Energy Savings]]+ReviewCalcs[[#This Row],[Control Energy Savings (kWh)]]</f>
        <v>0</v>
      </c>
      <c r="BF39" s="118">
        <f>ReviewCalcs[[#This Row],[Fixture Existing Cost ($)]]+ReviewCalcs[[#This Row],[Control Existing Cost ($)]]</f>
        <v>0</v>
      </c>
      <c r="BG39" s="118">
        <f>ReviewCalcs[[#This Row],[Fixture Proposed Cost ($)]]+ReviewCalcs[[#This Row],[Controls Proposed Cost ($)]]</f>
        <v>0</v>
      </c>
      <c r="BH39" s="70">
        <f>ReviewCalcs[[#This Row],[Total Energy Savings (kWh)]]*Avg_KWh_Rate</f>
        <v>0</v>
      </c>
      <c r="BI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9" s="70">
        <f>ReviewCalcs[[#This Row],[Retrofit Cost]]</f>
        <v>0</v>
      </c>
      <c r="BK39" s="70">
        <f>ReviewCalcs[[#This Row],[Retrofit Cost]]-ReviewCalcs[[#This Row],[Incentive ($)]]</f>
        <v>0</v>
      </c>
      <c r="BL39" s="118" t="e">
        <f>IFERROR(ReviewCalcs[[#This Row],[Net Project Cost ($)]]/ReviewCalcs[[#This Row],[Fixture Energy Cost Savings ($)]], #N/A)</f>
        <v>#N/A</v>
      </c>
      <c r="BM39" s="118" t="e">
        <f>IF(VLOOKUP(ReviewCalcs[[#This Row],[Existing Fixture Code]], Table7[[FIXTURE CODE]:[Baseline Fixture Code]], 8, FALSE)="N", VLOOKUP(ReviewCalcs[[#This Row],[Existing Fixture Code]], Table7[[FIXTURE CODE]:[Baseline Fixture Code]], 9, FALSE), ReviewCalcs[[#This Row],[Existing Fixture Code]])</f>
        <v>#N/A</v>
      </c>
      <c r="BN39" s="118" t="e">
        <f>INDEX(Table7[WATT/ FIXT], MATCH(ReviewCalcs[Baseline Fixture Code], Table7[FIXTURE CODE], 0))</f>
        <v>#N/A</v>
      </c>
      <c r="BO39" s="118">
        <f>IFERROR((ReviewCalcs[[#This Row],[Existing Fixture Quantity]]*ReviewCalcs[[#This Row],[Baseline Fixture Watts]]/1000-ReviewCalcs[[#This Row],[Proposed Fixture Quantity]]*ReviewCalcs[[#This Row],[Proposed Fixture Watts]]/1000)*ReviewCalcs[[#This Row],[Existing CF]]*ReviewCalcs[[#This Row],[IEFD]], 0)</f>
        <v>0</v>
      </c>
      <c r="BP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9" s="118">
        <f>IF(ReviewCalcs[[#This Row],[Existing CF]]=ReviewCalcs[[#This Row],[Proposed CF]], 0, ReviewCalcs[[#This Row],[Proposed Fixture Quantity]]*ReviewCalcs[[#This Row],[Proposed Fixture Watts]]/1000*ReviewCalcs[[#This Row],[Proposed CF]]*ReviewCalcs[[#This Row],[IEFD]])</f>
        <v>0</v>
      </c>
      <c r="BR39" s="118">
        <f>IFERROR(ReviewCalcs[[#This Row],[Proposed Fixture Quantity]]*ReviewCalcs[[#This Row],[Proposed Fixture Watts]]/1000*(ReviewCalcs[[#This Row],[Existing PAF]]-ReviewCalcs[[#This Row],[Proposed PAF]])*ReviewCalcs[[#This Row],[AOH]]*ReviewCalcs[[#This Row],[IEFE]],0)</f>
        <v>0</v>
      </c>
      <c r="BS39" s="118">
        <f>ReviewCalcs[[#This Row],[Incentive Fixture Demand Savings (kW)]]+ReviewCalcs[[#This Row],[Incentive Control Demand Savings (kW)]]</f>
        <v>0</v>
      </c>
      <c r="BT39" s="118">
        <f>ReviewCalcs[[#This Row],[Incentive Fixture Energy Savings (kWh)]]+ReviewCalcs[[#This Row],[Incentive Control Energy Savings (kWh)]]</f>
        <v>0</v>
      </c>
      <c r="BU39" s="73"/>
    </row>
    <row r="40" spans="1:73" ht="30" customHeight="1">
      <c r="A40" s="68">
        <v>37</v>
      </c>
      <c r="B40" s="96">
        <f>VLOOKUP(ReviewCalcs[[#This Row],[Project Index]], ProjectInput[], D$1, FALSE)</f>
        <v>0</v>
      </c>
      <c r="C40" s="97">
        <f>VLOOKUP(ReviewCalcs[[#This Row],[Project Index]], ProjectInput[], E$1, FALSE)</f>
        <v>0</v>
      </c>
      <c r="D40" s="97">
        <f>VLOOKUP(ReviewCalcs[[#This Row],[Project Index]], ProjectInput[], F$1, FALSE)</f>
        <v>0</v>
      </c>
      <c r="E40" s="97">
        <f>VLOOKUP(ReviewCalcs[[#This Row],[Project Index]], ProjectInput[], G$1, FALSE)</f>
        <v>0</v>
      </c>
      <c r="F40" s="97">
        <f>VLOOKUP(ReviewCalcs[[#This Row],[Project Index]], ProjectInput[], H$1, FALSE)</f>
        <v>0</v>
      </c>
      <c r="G40" s="98" t="str">
        <f>VLOOKUP(ReviewCalcs[[#This Row],[Project Index]], ProjectInput[], I$1, FALSE)</f>
        <v/>
      </c>
      <c r="H40" s="96">
        <f>VLOOKUP(ReviewCalcs[[#This Row],[Project Index]], ProjectInput[], J$1, FALSE)</f>
        <v>0</v>
      </c>
      <c r="I40" s="97">
        <f>VLOOKUP(ReviewCalcs[[#This Row],[Project Index]], ProjectInput[], K$1, FALSE)</f>
        <v>0</v>
      </c>
      <c r="J40" s="97">
        <f>VLOOKUP(ReviewCalcs[[#This Row],[Project Index]], ProjectInput[], L$1, FALSE)</f>
        <v>0</v>
      </c>
      <c r="K40" s="97">
        <f>VLOOKUP(ReviewCalcs[[#This Row],[Project Index]], ProjectInput[], M$1, FALSE)</f>
        <v>0</v>
      </c>
      <c r="L40" s="97">
        <f>VLOOKUP(ReviewCalcs[[#This Row],[Project Index]], ProjectInput[], N$1, FALSE)</f>
        <v>0</v>
      </c>
      <c r="M40" s="98" t="str">
        <f>VLOOKUP(ReviewCalcs[[#This Row],[Project Index]], ProjectInput[], O$1, FALSE)</f>
        <v/>
      </c>
      <c r="N40" s="96">
        <f>VLOOKUP(ReviewCalcs[[#This Row],[Project Index]], ProjectInput[], P$1, FALSE)</f>
        <v>0</v>
      </c>
      <c r="O40" s="97">
        <f>VLOOKUP(ReviewCalcs[[#This Row],[Project Index]], ProjectInput[], Q$1, FALSE)</f>
        <v>0</v>
      </c>
      <c r="P40" s="97">
        <f>VLOOKUP(ReviewCalcs[[#This Row],[Project Index]], ProjectInput[], R$1, FALSE)</f>
        <v>0</v>
      </c>
      <c r="Q40" s="97">
        <f>VLOOKUP(ReviewCalcs[[#This Row],[Project Index]], ProjectInput[], S$1, FALSE)</f>
        <v>0</v>
      </c>
      <c r="R40" s="97">
        <f>VLOOKUP(ReviewCalcs[[#This Row],[Project Index]], ProjectInput[], T$1, FALSE)</f>
        <v>0</v>
      </c>
      <c r="S40" s="97">
        <f>VLOOKUP(ReviewCalcs[[#This Row],[Project Index]], ProjectInput[], U$1, FALSE)</f>
        <v>0</v>
      </c>
      <c r="T40" s="97">
        <f>VLOOKUP(ReviewCalcs[[#This Row],[Project Index]], ProjectInput[], V$1, FALSE)</f>
        <v>0</v>
      </c>
      <c r="U40" s="97">
        <f>VLOOKUP(ReviewCalcs[[#This Row],[Project Index]], ProjectInput[], W$1, FALSE)</f>
        <v>0</v>
      </c>
      <c r="V40" s="98" t="str">
        <f>VLOOKUP(ReviewCalcs[[#This Row],[Project Index]], ProjectInput[], X$1, FALSE)</f>
        <v/>
      </c>
      <c r="W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0" s="75" t="e">
        <f>IF(VLOOKUP(ReviewCalcs[[#This Row],[Proposed Fixture Code]], Table7[[FIXTURE CODE]:[Baseline Fixture Code]], 8, FALSE)="N", "ERROR", "PASS")</f>
        <v>#N/A</v>
      </c>
      <c r="Y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0" s="75" t="e">
        <f>IF(OR(ReviewCalcs[[#This Row],[Baseline Fixture Watts]]&gt;=ReviewCalcs[[#This Row],[Proposed Fixture Watts]],ReviewCalcs[[#This Row],[Existing Fixture Watts]]&gt;=ReviewCalcs[[#This Row],[Proposed Fixture Watts]] ), "PASS", "ERROR")</f>
        <v>#N/A</v>
      </c>
      <c r="AA40" s="69" t="e">
        <f>VLOOKUP(ReviewCalcs[[#This Row],[Space Conditions]], Table_365[], 5, FALSE)</f>
        <v>#N/A</v>
      </c>
      <c r="AB40" s="68" t="str">
        <f>ReviewCalcs[[#This Row],[Annual Hours]]</f>
        <v/>
      </c>
      <c r="AC40" s="68" t="e">
        <f>VLOOKUP(ReviewCalcs[[#This Row],[Space Conditions]], Table_365[], 6, FALSE)</f>
        <v>#N/A</v>
      </c>
      <c r="AD40" s="68">
        <f>IF(ReviewCalcs[[#This Row],[Existing Control(s)]]='Tables &amp; Ranges'!$A$25, VLOOKUP(ReviewCalcs[[#This Row],[Building/Space Type]], Table_364[], 3, FALSE), CF_Contols)</f>
        <v>0.26</v>
      </c>
      <c r="AE40" s="68" t="e">
        <f>VLOOKUP(ReviewCalcs[[#This Row],[Existing Control(s)]], Table_358[], 2, FALSE)</f>
        <v>#N/A</v>
      </c>
      <c r="AF40" s="68">
        <f>IF(ReviewCalcs[[#This Row],[Proposed Control(s)]]='Tables &amp; Ranges'!$A$25, VLOOKUP(ReviewCalcs[[#This Row],[Building/Space Type]], Table_364[], 3, FALSE), CF_Contols)</f>
        <v>0.26</v>
      </c>
      <c r="AG40" s="68" t="e">
        <f>VLOOKUP(ReviewCalcs[[#This Row],[Proposed Control(s)]], Table_358[], 2, FALSE)</f>
        <v>#N/A</v>
      </c>
      <c r="AH40" s="68">
        <f>IFERROR((ReviewCalcs[[#This Row],[Existing Fixture Quantity]]*ReviewCalcs[[#This Row],[Existing Fixture Watts]]/1000)*ReviewCalcs[[#This Row],[Existing CF]]*ReviewCalcs[[#This Row],[IEFD]], 0)</f>
        <v>0</v>
      </c>
      <c r="AI40" s="68">
        <f>IFERROR((ReviewCalcs[[#This Row],[Proposed Fixture Quantity]]*ReviewCalcs[[#This Row],[Proposed Fixture Watts]]/1000)*ReviewCalcs[[#This Row],[Existing CF]]*ReviewCalcs[[#This Row],[IEFD]], 0)</f>
        <v>0</v>
      </c>
      <c r="AJ40" s="118">
        <f>IFERROR((ReviewCalcs[[#This Row],[Existing Fixture Quantity]]*ReviewCalcs[[#This Row],[Existing Fixture Watts]]/1000-ReviewCalcs[[#This Row],[Proposed Fixture Quantity]]*ReviewCalcs[[#This Row],[Proposed Fixture Watts]]/1000)*ReviewCalcs[[#This Row],[Existing CF]]*ReviewCalcs[[#This Row],[IEFD]], 0)</f>
        <v>0</v>
      </c>
      <c r="AK40" s="118">
        <f>IFERROR((ReviewCalcs[[#This Row],[Existing Fixture Quantity]]*ReviewCalcs[[#This Row],[Existing Fixture Watts]]/1000)*ReviewCalcs[[#This Row],[AOH]]*ReviewCalcs[[#This Row],[IEFE]]*ReviewCalcs[[#This Row],[Existing PAF]], 0)</f>
        <v>0</v>
      </c>
      <c r="AL40" s="118">
        <f>IFERROR((ReviewCalcs[[#This Row],[Proposed Fixture Quantity]]*ReviewCalcs[[#This Row],[Proposed Fixture Watts]]/1000)*ReviewCalcs[[#This Row],[AOH]]*ReviewCalcs[[#This Row],[IEFE]]*ReviewCalcs[[#This Row],[Existing PAF]], 0)</f>
        <v>0</v>
      </c>
      <c r="AM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0" s="118">
        <f>ReviewCalcs[[#This Row],[Fixture Existing Energy (kWh)]]*Avg_KWh_Rate</f>
        <v>0</v>
      </c>
      <c r="AO40" s="118">
        <f>ReviewCalcs[[#This Row],[Fixture Proposed Energy (kWh)]]*Avg_KWh_Rate</f>
        <v>0</v>
      </c>
      <c r="AP40" s="70">
        <f>ReviewCalcs[[#This Row],[Fixture Energy Savings]]*Avg_KWh_Rate</f>
        <v>0</v>
      </c>
      <c r="AQ40" s="129" t="e">
        <f>ReviewCalcs[[#This Row],[Existing Fixture Quantity]]*ReviewCalcs[[#This Row],[Existing Fixture Watts]]/1000*ReviewCalcs[[#This Row],[Existing CF]]*ReviewCalcs[[#This Row],[IEFD]]</f>
        <v>#VALUE!</v>
      </c>
      <c r="AR40" s="129" t="e">
        <f>ReviewCalcs[[#This Row],[Proposed Fixture Quantity]]*ReviewCalcs[[#This Row],[Proposed Fixture Watts]]/1000*ReviewCalcs[[#This Row],[Proposed CF]]*ReviewCalcs[[#This Row],[IEFD]]</f>
        <v>#VALUE!</v>
      </c>
      <c r="AS40" s="118">
        <f>IF(ReviewCalcs[[#This Row],[Existing CF]]=ReviewCalcs[[#This Row],[Proposed CF]], 0, ReviewCalcs[[#This Row],[Proposed Fixture Quantity]]*ReviewCalcs[[#This Row],[Proposed Fixture Watts]]/1000*ReviewCalcs[[#This Row],[Proposed CF]]*ReviewCalcs[[#This Row],[IEFD]])</f>
        <v>0</v>
      </c>
      <c r="AT40" s="118">
        <f>IFERROR(ReviewCalcs[[#This Row],[Existing Fixture Quantity]]*ReviewCalcs[[#This Row],[Existing Fixture Watts]]/1000*ReviewCalcs[[#This Row],[Existing PAF]]*ReviewCalcs[[#This Row],[AOH]]*ReviewCalcs[[#This Row],[IEFE]], 0)</f>
        <v>0</v>
      </c>
      <c r="AU40" s="118">
        <f>IFERROR(ReviewCalcs[[#This Row],[Proposed Fixture Quantity]]*ReviewCalcs[[#This Row],[Proposed Fixture Watts]]/1000*ReviewCalcs[[#This Row],[Proposed PAF]]*ReviewCalcs[[#This Row],[AOH]]*ReviewCalcs[[#This Row],[IEFE]], 0)</f>
        <v>0</v>
      </c>
      <c r="AV40" s="118">
        <f>IFERROR(ReviewCalcs[[#This Row],[Proposed Fixture Quantity]]*ReviewCalcs[[#This Row],[Proposed Fixture Watts]]/1000*(ReviewCalcs[[#This Row],[Existing PAF]]-ReviewCalcs[[#This Row],[Proposed PAF]])*ReviewCalcs[[#This Row],[AOH]]*ReviewCalcs[[#This Row],[IEFE]], 0)</f>
        <v>0</v>
      </c>
      <c r="AW40" s="118">
        <f>ReviewCalcs[[#This Row],[Control Existing Energy (kWh)]]*kWh_Incentive_Rate</f>
        <v>0</v>
      </c>
      <c r="AX40" s="118">
        <f>ReviewCalcs[[#This Row],[Control Proposed Energy (kWh)]]*kWh_Incentive_Rate</f>
        <v>0</v>
      </c>
      <c r="AY40" s="70">
        <f>ReviewCalcs[[#This Row],[Control Energy Savings (kWh)]]*kWh_Incentive_Rate</f>
        <v>0</v>
      </c>
      <c r="AZ40" s="70" t="e">
        <f>ReviewCalcs[[#This Row],[Fixture Existing Demand (kW)]]+ReviewCalcs[[#This Row],[Control Existing Demand (kW)]]</f>
        <v>#VALUE!</v>
      </c>
      <c r="BA40" s="70" t="e">
        <f>ReviewCalcs[[#This Row],[Fixture Proposed Demand (kW)]]+ReviewCalcs[[#This Row],[Control Proposed Demand (kW)]]</f>
        <v>#VALUE!</v>
      </c>
      <c r="BB40" s="118">
        <f>ReviewCalcs[[#This Row],[Fixture Demand Savings (kW)]]+ReviewCalcs[[#This Row],[Control Demand Savings (kW)]]</f>
        <v>0</v>
      </c>
      <c r="BC40" s="118">
        <f>ReviewCalcs[[#This Row],[Fixture Existing Energy (kWh)]]+ReviewCalcs[[#This Row],[Control Existing Energy (kWh)]]</f>
        <v>0</v>
      </c>
      <c r="BD40" s="118">
        <f>ReviewCalcs[[#This Row],[Fixture Proposed Energy (kWh)]]+ReviewCalcs[[#This Row],[Control Proposed Energy (kWh)]]</f>
        <v>0</v>
      </c>
      <c r="BE40" s="118">
        <f>ReviewCalcs[[#This Row],[Fixture Energy Savings]]+ReviewCalcs[[#This Row],[Control Energy Savings (kWh)]]</f>
        <v>0</v>
      </c>
      <c r="BF40" s="118">
        <f>ReviewCalcs[[#This Row],[Fixture Existing Cost ($)]]+ReviewCalcs[[#This Row],[Control Existing Cost ($)]]</f>
        <v>0</v>
      </c>
      <c r="BG40" s="118">
        <f>ReviewCalcs[[#This Row],[Fixture Proposed Cost ($)]]+ReviewCalcs[[#This Row],[Controls Proposed Cost ($)]]</f>
        <v>0</v>
      </c>
      <c r="BH40" s="70">
        <f>ReviewCalcs[[#This Row],[Total Energy Savings (kWh)]]*Avg_KWh_Rate</f>
        <v>0</v>
      </c>
      <c r="BI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0" s="70">
        <f>ReviewCalcs[[#This Row],[Retrofit Cost]]</f>
        <v>0</v>
      </c>
      <c r="BK40" s="70">
        <f>ReviewCalcs[[#This Row],[Retrofit Cost]]-ReviewCalcs[[#This Row],[Incentive ($)]]</f>
        <v>0</v>
      </c>
      <c r="BL40" s="118" t="e">
        <f>IFERROR(ReviewCalcs[[#This Row],[Net Project Cost ($)]]/ReviewCalcs[[#This Row],[Fixture Energy Cost Savings ($)]], #N/A)</f>
        <v>#N/A</v>
      </c>
      <c r="BM40" s="118" t="e">
        <f>IF(VLOOKUP(ReviewCalcs[[#This Row],[Existing Fixture Code]], Table7[[FIXTURE CODE]:[Baseline Fixture Code]], 8, FALSE)="N", VLOOKUP(ReviewCalcs[[#This Row],[Existing Fixture Code]], Table7[[FIXTURE CODE]:[Baseline Fixture Code]], 9, FALSE), ReviewCalcs[[#This Row],[Existing Fixture Code]])</f>
        <v>#N/A</v>
      </c>
      <c r="BN40" s="118" t="e">
        <f>INDEX(Table7[WATT/ FIXT], MATCH(ReviewCalcs[Baseline Fixture Code], Table7[FIXTURE CODE], 0))</f>
        <v>#N/A</v>
      </c>
      <c r="BO40" s="118">
        <f>IFERROR((ReviewCalcs[[#This Row],[Existing Fixture Quantity]]*ReviewCalcs[[#This Row],[Baseline Fixture Watts]]/1000-ReviewCalcs[[#This Row],[Proposed Fixture Quantity]]*ReviewCalcs[[#This Row],[Proposed Fixture Watts]]/1000)*ReviewCalcs[[#This Row],[Existing CF]]*ReviewCalcs[[#This Row],[IEFD]], 0)</f>
        <v>0</v>
      </c>
      <c r="BP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0" s="118">
        <f>IF(ReviewCalcs[[#This Row],[Existing CF]]=ReviewCalcs[[#This Row],[Proposed CF]], 0, ReviewCalcs[[#This Row],[Proposed Fixture Quantity]]*ReviewCalcs[[#This Row],[Proposed Fixture Watts]]/1000*ReviewCalcs[[#This Row],[Proposed CF]]*ReviewCalcs[[#This Row],[IEFD]])</f>
        <v>0</v>
      </c>
      <c r="BR40" s="118">
        <f>IFERROR(ReviewCalcs[[#This Row],[Proposed Fixture Quantity]]*ReviewCalcs[[#This Row],[Proposed Fixture Watts]]/1000*(ReviewCalcs[[#This Row],[Existing PAF]]-ReviewCalcs[[#This Row],[Proposed PAF]])*ReviewCalcs[[#This Row],[AOH]]*ReviewCalcs[[#This Row],[IEFE]],0)</f>
        <v>0</v>
      </c>
      <c r="BS40" s="118">
        <f>ReviewCalcs[[#This Row],[Incentive Fixture Demand Savings (kW)]]+ReviewCalcs[[#This Row],[Incentive Control Demand Savings (kW)]]</f>
        <v>0</v>
      </c>
      <c r="BT40" s="118">
        <f>ReviewCalcs[[#This Row],[Incentive Fixture Energy Savings (kWh)]]+ReviewCalcs[[#This Row],[Incentive Control Energy Savings (kWh)]]</f>
        <v>0</v>
      </c>
      <c r="BU40" s="73"/>
    </row>
    <row r="41" spans="1:73" ht="30" customHeight="1">
      <c r="A41" s="68">
        <v>38</v>
      </c>
      <c r="B41" s="96">
        <f>VLOOKUP(ReviewCalcs[[#This Row],[Project Index]], ProjectInput[], D$1, FALSE)</f>
        <v>0</v>
      </c>
      <c r="C41" s="97">
        <f>VLOOKUP(ReviewCalcs[[#This Row],[Project Index]], ProjectInput[], E$1, FALSE)</f>
        <v>0</v>
      </c>
      <c r="D41" s="97">
        <f>VLOOKUP(ReviewCalcs[[#This Row],[Project Index]], ProjectInput[], F$1, FALSE)</f>
        <v>0</v>
      </c>
      <c r="E41" s="97">
        <f>VLOOKUP(ReviewCalcs[[#This Row],[Project Index]], ProjectInput[], G$1, FALSE)</f>
        <v>0</v>
      </c>
      <c r="F41" s="97">
        <f>VLOOKUP(ReviewCalcs[[#This Row],[Project Index]], ProjectInput[], H$1, FALSE)</f>
        <v>0</v>
      </c>
      <c r="G41" s="98" t="str">
        <f>VLOOKUP(ReviewCalcs[[#This Row],[Project Index]], ProjectInput[], I$1, FALSE)</f>
        <v/>
      </c>
      <c r="H41" s="96">
        <f>VLOOKUP(ReviewCalcs[[#This Row],[Project Index]], ProjectInput[], J$1, FALSE)</f>
        <v>0</v>
      </c>
      <c r="I41" s="97">
        <f>VLOOKUP(ReviewCalcs[[#This Row],[Project Index]], ProjectInput[], K$1, FALSE)</f>
        <v>0</v>
      </c>
      <c r="J41" s="97">
        <f>VLOOKUP(ReviewCalcs[[#This Row],[Project Index]], ProjectInput[], L$1, FALSE)</f>
        <v>0</v>
      </c>
      <c r="K41" s="97">
        <f>VLOOKUP(ReviewCalcs[[#This Row],[Project Index]], ProjectInput[], M$1, FALSE)</f>
        <v>0</v>
      </c>
      <c r="L41" s="97">
        <f>VLOOKUP(ReviewCalcs[[#This Row],[Project Index]], ProjectInput[], N$1, FALSE)</f>
        <v>0</v>
      </c>
      <c r="M41" s="98" t="str">
        <f>VLOOKUP(ReviewCalcs[[#This Row],[Project Index]], ProjectInput[], O$1, FALSE)</f>
        <v/>
      </c>
      <c r="N41" s="96">
        <f>VLOOKUP(ReviewCalcs[[#This Row],[Project Index]], ProjectInput[], P$1, FALSE)</f>
        <v>0</v>
      </c>
      <c r="O41" s="97">
        <f>VLOOKUP(ReviewCalcs[[#This Row],[Project Index]], ProjectInput[], Q$1, FALSE)</f>
        <v>0</v>
      </c>
      <c r="P41" s="97">
        <f>VLOOKUP(ReviewCalcs[[#This Row],[Project Index]], ProjectInput[], R$1, FALSE)</f>
        <v>0</v>
      </c>
      <c r="Q41" s="97">
        <f>VLOOKUP(ReviewCalcs[[#This Row],[Project Index]], ProjectInput[], S$1, FALSE)</f>
        <v>0</v>
      </c>
      <c r="R41" s="97">
        <f>VLOOKUP(ReviewCalcs[[#This Row],[Project Index]], ProjectInput[], T$1, FALSE)</f>
        <v>0</v>
      </c>
      <c r="S41" s="97">
        <f>VLOOKUP(ReviewCalcs[[#This Row],[Project Index]], ProjectInput[], U$1, FALSE)</f>
        <v>0</v>
      </c>
      <c r="T41" s="97">
        <f>VLOOKUP(ReviewCalcs[[#This Row],[Project Index]], ProjectInput[], V$1, FALSE)</f>
        <v>0</v>
      </c>
      <c r="U41" s="97">
        <f>VLOOKUP(ReviewCalcs[[#This Row],[Project Index]], ProjectInput[], W$1, FALSE)</f>
        <v>0</v>
      </c>
      <c r="V41" s="98" t="str">
        <f>VLOOKUP(ReviewCalcs[[#This Row],[Project Index]], ProjectInput[], X$1, FALSE)</f>
        <v/>
      </c>
      <c r="W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1" s="75" t="e">
        <f>IF(VLOOKUP(ReviewCalcs[[#This Row],[Proposed Fixture Code]], Table7[[FIXTURE CODE]:[Baseline Fixture Code]], 8, FALSE)="N", "ERROR", "PASS")</f>
        <v>#N/A</v>
      </c>
      <c r="Y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1" s="75" t="e">
        <f>IF(OR(ReviewCalcs[[#This Row],[Baseline Fixture Watts]]&gt;=ReviewCalcs[[#This Row],[Proposed Fixture Watts]],ReviewCalcs[[#This Row],[Existing Fixture Watts]]&gt;=ReviewCalcs[[#This Row],[Proposed Fixture Watts]] ), "PASS", "ERROR")</f>
        <v>#N/A</v>
      </c>
      <c r="AA41" s="69" t="e">
        <f>VLOOKUP(ReviewCalcs[[#This Row],[Space Conditions]], Table_365[], 5, FALSE)</f>
        <v>#N/A</v>
      </c>
      <c r="AB41" s="68" t="str">
        <f>ReviewCalcs[[#This Row],[Annual Hours]]</f>
        <v/>
      </c>
      <c r="AC41" s="68" t="e">
        <f>VLOOKUP(ReviewCalcs[[#This Row],[Space Conditions]], Table_365[], 6, FALSE)</f>
        <v>#N/A</v>
      </c>
      <c r="AD41" s="68">
        <f>IF(ReviewCalcs[[#This Row],[Existing Control(s)]]='Tables &amp; Ranges'!$A$25, VLOOKUP(ReviewCalcs[[#This Row],[Building/Space Type]], Table_364[], 3, FALSE), CF_Contols)</f>
        <v>0.26</v>
      </c>
      <c r="AE41" s="68" t="e">
        <f>VLOOKUP(ReviewCalcs[[#This Row],[Existing Control(s)]], Table_358[], 2, FALSE)</f>
        <v>#N/A</v>
      </c>
      <c r="AF41" s="68">
        <f>IF(ReviewCalcs[[#This Row],[Proposed Control(s)]]='Tables &amp; Ranges'!$A$25, VLOOKUP(ReviewCalcs[[#This Row],[Building/Space Type]], Table_364[], 3, FALSE), CF_Contols)</f>
        <v>0.26</v>
      </c>
      <c r="AG41" s="68" t="e">
        <f>VLOOKUP(ReviewCalcs[[#This Row],[Proposed Control(s)]], Table_358[], 2, FALSE)</f>
        <v>#N/A</v>
      </c>
      <c r="AH41" s="68">
        <f>IFERROR((ReviewCalcs[[#This Row],[Existing Fixture Quantity]]*ReviewCalcs[[#This Row],[Existing Fixture Watts]]/1000)*ReviewCalcs[[#This Row],[Existing CF]]*ReviewCalcs[[#This Row],[IEFD]], 0)</f>
        <v>0</v>
      </c>
      <c r="AI41" s="68">
        <f>IFERROR((ReviewCalcs[[#This Row],[Proposed Fixture Quantity]]*ReviewCalcs[[#This Row],[Proposed Fixture Watts]]/1000)*ReviewCalcs[[#This Row],[Existing CF]]*ReviewCalcs[[#This Row],[IEFD]], 0)</f>
        <v>0</v>
      </c>
      <c r="AJ41" s="118">
        <f>IFERROR((ReviewCalcs[[#This Row],[Existing Fixture Quantity]]*ReviewCalcs[[#This Row],[Existing Fixture Watts]]/1000-ReviewCalcs[[#This Row],[Proposed Fixture Quantity]]*ReviewCalcs[[#This Row],[Proposed Fixture Watts]]/1000)*ReviewCalcs[[#This Row],[Existing CF]]*ReviewCalcs[[#This Row],[IEFD]], 0)</f>
        <v>0</v>
      </c>
      <c r="AK41" s="118">
        <f>IFERROR((ReviewCalcs[[#This Row],[Existing Fixture Quantity]]*ReviewCalcs[[#This Row],[Existing Fixture Watts]]/1000)*ReviewCalcs[[#This Row],[AOH]]*ReviewCalcs[[#This Row],[IEFE]]*ReviewCalcs[[#This Row],[Existing PAF]], 0)</f>
        <v>0</v>
      </c>
      <c r="AL41" s="118">
        <f>IFERROR((ReviewCalcs[[#This Row],[Proposed Fixture Quantity]]*ReviewCalcs[[#This Row],[Proposed Fixture Watts]]/1000)*ReviewCalcs[[#This Row],[AOH]]*ReviewCalcs[[#This Row],[IEFE]]*ReviewCalcs[[#This Row],[Existing PAF]], 0)</f>
        <v>0</v>
      </c>
      <c r="AM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1" s="118">
        <f>ReviewCalcs[[#This Row],[Fixture Existing Energy (kWh)]]*Avg_KWh_Rate</f>
        <v>0</v>
      </c>
      <c r="AO41" s="118">
        <f>ReviewCalcs[[#This Row],[Fixture Proposed Energy (kWh)]]*Avg_KWh_Rate</f>
        <v>0</v>
      </c>
      <c r="AP41" s="70">
        <f>ReviewCalcs[[#This Row],[Fixture Energy Savings]]*Avg_KWh_Rate</f>
        <v>0</v>
      </c>
      <c r="AQ41" s="129" t="e">
        <f>ReviewCalcs[[#This Row],[Existing Fixture Quantity]]*ReviewCalcs[[#This Row],[Existing Fixture Watts]]/1000*ReviewCalcs[[#This Row],[Existing CF]]*ReviewCalcs[[#This Row],[IEFD]]</f>
        <v>#VALUE!</v>
      </c>
      <c r="AR41" s="129" t="e">
        <f>ReviewCalcs[[#This Row],[Proposed Fixture Quantity]]*ReviewCalcs[[#This Row],[Proposed Fixture Watts]]/1000*ReviewCalcs[[#This Row],[Proposed CF]]*ReviewCalcs[[#This Row],[IEFD]]</f>
        <v>#VALUE!</v>
      </c>
      <c r="AS41" s="118">
        <f>IF(ReviewCalcs[[#This Row],[Existing CF]]=ReviewCalcs[[#This Row],[Proposed CF]], 0, ReviewCalcs[[#This Row],[Proposed Fixture Quantity]]*ReviewCalcs[[#This Row],[Proposed Fixture Watts]]/1000*ReviewCalcs[[#This Row],[Proposed CF]]*ReviewCalcs[[#This Row],[IEFD]])</f>
        <v>0</v>
      </c>
      <c r="AT41" s="118">
        <f>IFERROR(ReviewCalcs[[#This Row],[Existing Fixture Quantity]]*ReviewCalcs[[#This Row],[Existing Fixture Watts]]/1000*ReviewCalcs[[#This Row],[Existing PAF]]*ReviewCalcs[[#This Row],[AOH]]*ReviewCalcs[[#This Row],[IEFE]], 0)</f>
        <v>0</v>
      </c>
      <c r="AU41" s="118">
        <f>IFERROR(ReviewCalcs[[#This Row],[Proposed Fixture Quantity]]*ReviewCalcs[[#This Row],[Proposed Fixture Watts]]/1000*ReviewCalcs[[#This Row],[Proposed PAF]]*ReviewCalcs[[#This Row],[AOH]]*ReviewCalcs[[#This Row],[IEFE]], 0)</f>
        <v>0</v>
      </c>
      <c r="AV41" s="118">
        <f>IFERROR(ReviewCalcs[[#This Row],[Proposed Fixture Quantity]]*ReviewCalcs[[#This Row],[Proposed Fixture Watts]]/1000*(ReviewCalcs[[#This Row],[Existing PAF]]-ReviewCalcs[[#This Row],[Proposed PAF]])*ReviewCalcs[[#This Row],[AOH]]*ReviewCalcs[[#This Row],[IEFE]], 0)</f>
        <v>0</v>
      </c>
      <c r="AW41" s="118">
        <f>ReviewCalcs[[#This Row],[Control Existing Energy (kWh)]]*kWh_Incentive_Rate</f>
        <v>0</v>
      </c>
      <c r="AX41" s="118">
        <f>ReviewCalcs[[#This Row],[Control Proposed Energy (kWh)]]*kWh_Incentive_Rate</f>
        <v>0</v>
      </c>
      <c r="AY41" s="70">
        <f>ReviewCalcs[[#This Row],[Control Energy Savings (kWh)]]*kWh_Incentive_Rate</f>
        <v>0</v>
      </c>
      <c r="AZ41" s="70" t="e">
        <f>ReviewCalcs[[#This Row],[Fixture Existing Demand (kW)]]+ReviewCalcs[[#This Row],[Control Existing Demand (kW)]]</f>
        <v>#VALUE!</v>
      </c>
      <c r="BA41" s="70" t="e">
        <f>ReviewCalcs[[#This Row],[Fixture Proposed Demand (kW)]]+ReviewCalcs[[#This Row],[Control Proposed Demand (kW)]]</f>
        <v>#VALUE!</v>
      </c>
      <c r="BB41" s="118">
        <f>ReviewCalcs[[#This Row],[Fixture Demand Savings (kW)]]+ReviewCalcs[[#This Row],[Control Demand Savings (kW)]]</f>
        <v>0</v>
      </c>
      <c r="BC41" s="118">
        <f>ReviewCalcs[[#This Row],[Fixture Existing Energy (kWh)]]+ReviewCalcs[[#This Row],[Control Existing Energy (kWh)]]</f>
        <v>0</v>
      </c>
      <c r="BD41" s="118">
        <f>ReviewCalcs[[#This Row],[Fixture Proposed Energy (kWh)]]+ReviewCalcs[[#This Row],[Control Proposed Energy (kWh)]]</f>
        <v>0</v>
      </c>
      <c r="BE41" s="118">
        <f>ReviewCalcs[[#This Row],[Fixture Energy Savings]]+ReviewCalcs[[#This Row],[Control Energy Savings (kWh)]]</f>
        <v>0</v>
      </c>
      <c r="BF41" s="118">
        <f>ReviewCalcs[[#This Row],[Fixture Existing Cost ($)]]+ReviewCalcs[[#This Row],[Control Existing Cost ($)]]</f>
        <v>0</v>
      </c>
      <c r="BG41" s="118">
        <f>ReviewCalcs[[#This Row],[Fixture Proposed Cost ($)]]+ReviewCalcs[[#This Row],[Controls Proposed Cost ($)]]</f>
        <v>0</v>
      </c>
      <c r="BH41" s="70">
        <f>ReviewCalcs[[#This Row],[Total Energy Savings (kWh)]]*Avg_KWh_Rate</f>
        <v>0</v>
      </c>
      <c r="BI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1" s="70">
        <f>ReviewCalcs[[#This Row],[Retrofit Cost]]</f>
        <v>0</v>
      </c>
      <c r="BK41" s="70">
        <f>ReviewCalcs[[#This Row],[Retrofit Cost]]-ReviewCalcs[[#This Row],[Incentive ($)]]</f>
        <v>0</v>
      </c>
      <c r="BL41" s="118" t="e">
        <f>IFERROR(ReviewCalcs[[#This Row],[Net Project Cost ($)]]/ReviewCalcs[[#This Row],[Fixture Energy Cost Savings ($)]], #N/A)</f>
        <v>#N/A</v>
      </c>
      <c r="BM41" s="118" t="e">
        <f>IF(VLOOKUP(ReviewCalcs[[#This Row],[Existing Fixture Code]], Table7[[FIXTURE CODE]:[Baseline Fixture Code]], 8, FALSE)="N", VLOOKUP(ReviewCalcs[[#This Row],[Existing Fixture Code]], Table7[[FIXTURE CODE]:[Baseline Fixture Code]], 9, FALSE), ReviewCalcs[[#This Row],[Existing Fixture Code]])</f>
        <v>#N/A</v>
      </c>
      <c r="BN41" s="118" t="e">
        <f>INDEX(Table7[WATT/ FIXT], MATCH(ReviewCalcs[Baseline Fixture Code], Table7[FIXTURE CODE], 0))</f>
        <v>#N/A</v>
      </c>
      <c r="BO41" s="118">
        <f>IFERROR((ReviewCalcs[[#This Row],[Existing Fixture Quantity]]*ReviewCalcs[[#This Row],[Baseline Fixture Watts]]/1000-ReviewCalcs[[#This Row],[Proposed Fixture Quantity]]*ReviewCalcs[[#This Row],[Proposed Fixture Watts]]/1000)*ReviewCalcs[[#This Row],[Existing CF]]*ReviewCalcs[[#This Row],[IEFD]], 0)</f>
        <v>0</v>
      </c>
      <c r="BP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1" s="118">
        <f>IF(ReviewCalcs[[#This Row],[Existing CF]]=ReviewCalcs[[#This Row],[Proposed CF]], 0, ReviewCalcs[[#This Row],[Proposed Fixture Quantity]]*ReviewCalcs[[#This Row],[Proposed Fixture Watts]]/1000*ReviewCalcs[[#This Row],[Proposed CF]]*ReviewCalcs[[#This Row],[IEFD]])</f>
        <v>0</v>
      </c>
      <c r="BR41" s="118">
        <f>IFERROR(ReviewCalcs[[#This Row],[Proposed Fixture Quantity]]*ReviewCalcs[[#This Row],[Proposed Fixture Watts]]/1000*(ReviewCalcs[[#This Row],[Existing PAF]]-ReviewCalcs[[#This Row],[Proposed PAF]])*ReviewCalcs[[#This Row],[AOH]]*ReviewCalcs[[#This Row],[IEFE]],0)</f>
        <v>0</v>
      </c>
      <c r="BS41" s="118">
        <f>ReviewCalcs[[#This Row],[Incentive Fixture Demand Savings (kW)]]+ReviewCalcs[[#This Row],[Incentive Control Demand Savings (kW)]]</f>
        <v>0</v>
      </c>
      <c r="BT41" s="118">
        <f>ReviewCalcs[[#This Row],[Incentive Fixture Energy Savings (kWh)]]+ReviewCalcs[[#This Row],[Incentive Control Energy Savings (kWh)]]</f>
        <v>0</v>
      </c>
      <c r="BU41" s="73"/>
    </row>
    <row r="42" spans="1:73" ht="30" customHeight="1">
      <c r="A42" s="68">
        <v>39</v>
      </c>
      <c r="B42" s="96">
        <f>VLOOKUP(ReviewCalcs[[#This Row],[Project Index]], ProjectInput[], D$1, FALSE)</f>
        <v>0</v>
      </c>
      <c r="C42" s="97">
        <f>VLOOKUP(ReviewCalcs[[#This Row],[Project Index]], ProjectInput[], E$1, FALSE)</f>
        <v>0</v>
      </c>
      <c r="D42" s="97">
        <f>VLOOKUP(ReviewCalcs[[#This Row],[Project Index]], ProjectInput[], F$1, FALSE)</f>
        <v>0</v>
      </c>
      <c r="E42" s="97">
        <f>VLOOKUP(ReviewCalcs[[#This Row],[Project Index]], ProjectInput[], G$1, FALSE)</f>
        <v>0</v>
      </c>
      <c r="F42" s="97">
        <f>VLOOKUP(ReviewCalcs[[#This Row],[Project Index]], ProjectInput[], H$1, FALSE)</f>
        <v>0</v>
      </c>
      <c r="G42" s="98" t="str">
        <f>VLOOKUP(ReviewCalcs[[#This Row],[Project Index]], ProjectInput[], I$1, FALSE)</f>
        <v/>
      </c>
      <c r="H42" s="96">
        <f>VLOOKUP(ReviewCalcs[[#This Row],[Project Index]], ProjectInput[], J$1, FALSE)</f>
        <v>0</v>
      </c>
      <c r="I42" s="97">
        <f>VLOOKUP(ReviewCalcs[[#This Row],[Project Index]], ProjectInput[], K$1, FALSE)</f>
        <v>0</v>
      </c>
      <c r="J42" s="97">
        <f>VLOOKUP(ReviewCalcs[[#This Row],[Project Index]], ProjectInput[], L$1, FALSE)</f>
        <v>0</v>
      </c>
      <c r="K42" s="97">
        <f>VLOOKUP(ReviewCalcs[[#This Row],[Project Index]], ProjectInput[], M$1, FALSE)</f>
        <v>0</v>
      </c>
      <c r="L42" s="97">
        <f>VLOOKUP(ReviewCalcs[[#This Row],[Project Index]], ProjectInput[], N$1, FALSE)</f>
        <v>0</v>
      </c>
      <c r="M42" s="98" t="str">
        <f>VLOOKUP(ReviewCalcs[[#This Row],[Project Index]], ProjectInput[], O$1, FALSE)</f>
        <v/>
      </c>
      <c r="N42" s="96">
        <f>VLOOKUP(ReviewCalcs[[#This Row],[Project Index]], ProjectInput[], P$1, FALSE)</f>
        <v>0</v>
      </c>
      <c r="O42" s="97">
        <f>VLOOKUP(ReviewCalcs[[#This Row],[Project Index]], ProjectInput[], Q$1, FALSE)</f>
        <v>0</v>
      </c>
      <c r="P42" s="97">
        <f>VLOOKUP(ReviewCalcs[[#This Row],[Project Index]], ProjectInput[], R$1, FALSE)</f>
        <v>0</v>
      </c>
      <c r="Q42" s="97">
        <f>VLOOKUP(ReviewCalcs[[#This Row],[Project Index]], ProjectInput[], S$1, FALSE)</f>
        <v>0</v>
      </c>
      <c r="R42" s="97">
        <f>VLOOKUP(ReviewCalcs[[#This Row],[Project Index]], ProjectInput[], T$1, FALSE)</f>
        <v>0</v>
      </c>
      <c r="S42" s="97">
        <f>VLOOKUP(ReviewCalcs[[#This Row],[Project Index]], ProjectInput[], U$1, FALSE)</f>
        <v>0</v>
      </c>
      <c r="T42" s="97">
        <f>VLOOKUP(ReviewCalcs[[#This Row],[Project Index]], ProjectInput[], V$1, FALSE)</f>
        <v>0</v>
      </c>
      <c r="U42" s="97">
        <f>VLOOKUP(ReviewCalcs[[#This Row],[Project Index]], ProjectInput[], W$1, FALSE)</f>
        <v>0</v>
      </c>
      <c r="V42" s="98" t="str">
        <f>VLOOKUP(ReviewCalcs[[#This Row],[Project Index]], ProjectInput[], X$1, FALSE)</f>
        <v/>
      </c>
      <c r="W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2" s="75" t="e">
        <f>IF(VLOOKUP(ReviewCalcs[[#This Row],[Proposed Fixture Code]], Table7[[FIXTURE CODE]:[Baseline Fixture Code]], 8, FALSE)="N", "ERROR", "PASS")</f>
        <v>#N/A</v>
      </c>
      <c r="Y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2" s="75" t="e">
        <f>IF(OR(ReviewCalcs[[#This Row],[Baseline Fixture Watts]]&gt;=ReviewCalcs[[#This Row],[Proposed Fixture Watts]],ReviewCalcs[[#This Row],[Existing Fixture Watts]]&gt;=ReviewCalcs[[#This Row],[Proposed Fixture Watts]] ), "PASS", "ERROR")</f>
        <v>#N/A</v>
      </c>
      <c r="AA42" s="69" t="e">
        <f>VLOOKUP(ReviewCalcs[[#This Row],[Space Conditions]], Table_365[], 5, FALSE)</f>
        <v>#N/A</v>
      </c>
      <c r="AB42" s="68" t="str">
        <f>ReviewCalcs[[#This Row],[Annual Hours]]</f>
        <v/>
      </c>
      <c r="AC42" s="68" t="e">
        <f>VLOOKUP(ReviewCalcs[[#This Row],[Space Conditions]], Table_365[], 6, FALSE)</f>
        <v>#N/A</v>
      </c>
      <c r="AD42" s="68">
        <f>IF(ReviewCalcs[[#This Row],[Existing Control(s)]]='Tables &amp; Ranges'!$A$25, VLOOKUP(ReviewCalcs[[#This Row],[Building/Space Type]], Table_364[], 3, FALSE), CF_Contols)</f>
        <v>0.26</v>
      </c>
      <c r="AE42" s="68" t="e">
        <f>VLOOKUP(ReviewCalcs[[#This Row],[Existing Control(s)]], Table_358[], 2, FALSE)</f>
        <v>#N/A</v>
      </c>
      <c r="AF42" s="68">
        <f>IF(ReviewCalcs[[#This Row],[Proposed Control(s)]]='Tables &amp; Ranges'!$A$25, VLOOKUP(ReviewCalcs[[#This Row],[Building/Space Type]], Table_364[], 3, FALSE), CF_Contols)</f>
        <v>0.26</v>
      </c>
      <c r="AG42" s="68" t="e">
        <f>VLOOKUP(ReviewCalcs[[#This Row],[Proposed Control(s)]], Table_358[], 2, FALSE)</f>
        <v>#N/A</v>
      </c>
      <c r="AH42" s="68">
        <f>IFERROR((ReviewCalcs[[#This Row],[Existing Fixture Quantity]]*ReviewCalcs[[#This Row],[Existing Fixture Watts]]/1000)*ReviewCalcs[[#This Row],[Existing CF]]*ReviewCalcs[[#This Row],[IEFD]], 0)</f>
        <v>0</v>
      </c>
      <c r="AI42" s="68">
        <f>IFERROR((ReviewCalcs[[#This Row],[Proposed Fixture Quantity]]*ReviewCalcs[[#This Row],[Proposed Fixture Watts]]/1000)*ReviewCalcs[[#This Row],[Existing CF]]*ReviewCalcs[[#This Row],[IEFD]], 0)</f>
        <v>0</v>
      </c>
      <c r="AJ42" s="118">
        <f>IFERROR((ReviewCalcs[[#This Row],[Existing Fixture Quantity]]*ReviewCalcs[[#This Row],[Existing Fixture Watts]]/1000-ReviewCalcs[[#This Row],[Proposed Fixture Quantity]]*ReviewCalcs[[#This Row],[Proposed Fixture Watts]]/1000)*ReviewCalcs[[#This Row],[Existing CF]]*ReviewCalcs[[#This Row],[IEFD]], 0)</f>
        <v>0</v>
      </c>
      <c r="AK42" s="118">
        <f>IFERROR((ReviewCalcs[[#This Row],[Existing Fixture Quantity]]*ReviewCalcs[[#This Row],[Existing Fixture Watts]]/1000)*ReviewCalcs[[#This Row],[AOH]]*ReviewCalcs[[#This Row],[IEFE]]*ReviewCalcs[[#This Row],[Existing PAF]], 0)</f>
        <v>0</v>
      </c>
      <c r="AL42" s="118">
        <f>IFERROR((ReviewCalcs[[#This Row],[Proposed Fixture Quantity]]*ReviewCalcs[[#This Row],[Proposed Fixture Watts]]/1000)*ReviewCalcs[[#This Row],[AOH]]*ReviewCalcs[[#This Row],[IEFE]]*ReviewCalcs[[#This Row],[Existing PAF]], 0)</f>
        <v>0</v>
      </c>
      <c r="AM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2" s="118">
        <f>ReviewCalcs[[#This Row],[Fixture Existing Energy (kWh)]]*Avg_KWh_Rate</f>
        <v>0</v>
      </c>
      <c r="AO42" s="118">
        <f>ReviewCalcs[[#This Row],[Fixture Proposed Energy (kWh)]]*Avg_KWh_Rate</f>
        <v>0</v>
      </c>
      <c r="AP42" s="70">
        <f>ReviewCalcs[[#This Row],[Fixture Energy Savings]]*Avg_KWh_Rate</f>
        <v>0</v>
      </c>
      <c r="AQ42" s="129" t="e">
        <f>ReviewCalcs[[#This Row],[Existing Fixture Quantity]]*ReviewCalcs[[#This Row],[Existing Fixture Watts]]/1000*ReviewCalcs[[#This Row],[Existing CF]]*ReviewCalcs[[#This Row],[IEFD]]</f>
        <v>#VALUE!</v>
      </c>
      <c r="AR42" s="129" t="e">
        <f>ReviewCalcs[[#This Row],[Proposed Fixture Quantity]]*ReviewCalcs[[#This Row],[Proposed Fixture Watts]]/1000*ReviewCalcs[[#This Row],[Proposed CF]]*ReviewCalcs[[#This Row],[IEFD]]</f>
        <v>#VALUE!</v>
      </c>
      <c r="AS42" s="118">
        <f>IF(ReviewCalcs[[#This Row],[Existing CF]]=ReviewCalcs[[#This Row],[Proposed CF]], 0, ReviewCalcs[[#This Row],[Proposed Fixture Quantity]]*ReviewCalcs[[#This Row],[Proposed Fixture Watts]]/1000*ReviewCalcs[[#This Row],[Proposed CF]]*ReviewCalcs[[#This Row],[IEFD]])</f>
        <v>0</v>
      </c>
      <c r="AT42" s="118">
        <f>IFERROR(ReviewCalcs[[#This Row],[Existing Fixture Quantity]]*ReviewCalcs[[#This Row],[Existing Fixture Watts]]/1000*ReviewCalcs[[#This Row],[Existing PAF]]*ReviewCalcs[[#This Row],[AOH]]*ReviewCalcs[[#This Row],[IEFE]], 0)</f>
        <v>0</v>
      </c>
      <c r="AU42" s="118">
        <f>IFERROR(ReviewCalcs[[#This Row],[Proposed Fixture Quantity]]*ReviewCalcs[[#This Row],[Proposed Fixture Watts]]/1000*ReviewCalcs[[#This Row],[Proposed PAF]]*ReviewCalcs[[#This Row],[AOH]]*ReviewCalcs[[#This Row],[IEFE]], 0)</f>
        <v>0</v>
      </c>
      <c r="AV42" s="118">
        <f>IFERROR(ReviewCalcs[[#This Row],[Proposed Fixture Quantity]]*ReviewCalcs[[#This Row],[Proposed Fixture Watts]]/1000*(ReviewCalcs[[#This Row],[Existing PAF]]-ReviewCalcs[[#This Row],[Proposed PAF]])*ReviewCalcs[[#This Row],[AOH]]*ReviewCalcs[[#This Row],[IEFE]], 0)</f>
        <v>0</v>
      </c>
      <c r="AW42" s="118">
        <f>ReviewCalcs[[#This Row],[Control Existing Energy (kWh)]]*kWh_Incentive_Rate</f>
        <v>0</v>
      </c>
      <c r="AX42" s="118">
        <f>ReviewCalcs[[#This Row],[Control Proposed Energy (kWh)]]*kWh_Incentive_Rate</f>
        <v>0</v>
      </c>
      <c r="AY42" s="70">
        <f>ReviewCalcs[[#This Row],[Control Energy Savings (kWh)]]*kWh_Incentive_Rate</f>
        <v>0</v>
      </c>
      <c r="AZ42" s="70" t="e">
        <f>ReviewCalcs[[#This Row],[Fixture Existing Demand (kW)]]+ReviewCalcs[[#This Row],[Control Existing Demand (kW)]]</f>
        <v>#VALUE!</v>
      </c>
      <c r="BA42" s="70" t="e">
        <f>ReviewCalcs[[#This Row],[Fixture Proposed Demand (kW)]]+ReviewCalcs[[#This Row],[Control Proposed Demand (kW)]]</f>
        <v>#VALUE!</v>
      </c>
      <c r="BB42" s="118">
        <f>ReviewCalcs[[#This Row],[Fixture Demand Savings (kW)]]+ReviewCalcs[[#This Row],[Control Demand Savings (kW)]]</f>
        <v>0</v>
      </c>
      <c r="BC42" s="118">
        <f>ReviewCalcs[[#This Row],[Fixture Existing Energy (kWh)]]+ReviewCalcs[[#This Row],[Control Existing Energy (kWh)]]</f>
        <v>0</v>
      </c>
      <c r="BD42" s="118">
        <f>ReviewCalcs[[#This Row],[Fixture Proposed Energy (kWh)]]+ReviewCalcs[[#This Row],[Control Proposed Energy (kWh)]]</f>
        <v>0</v>
      </c>
      <c r="BE42" s="118">
        <f>ReviewCalcs[[#This Row],[Fixture Energy Savings]]+ReviewCalcs[[#This Row],[Control Energy Savings (kWh)]]</f>
        <v>0</v>
      </c>
      <c r="BF42" s="118">
        <f>ReviewCalcs[[#This Row],[Fixture Existing Cost ($)]]+ReviewCalcs[[#This Row],[Control Existing Cost ($)]]</f>
        <v>0</v>
      </c>
      <c r="BG42" s="118">
        <f>ReviewCalcs[[#This Row],[Fixture Proposed Cost ($)]]+ReviewCalcs[[#This Row],[Controls Proposed Cost ($)]]</f>
        <v>0</v>
      </c>
      <c r="BH42" s="70">
        <f>ReviewCalcs[[#This Row],[Total Energy Savings (kWh)]]*Avg_KWh_Rate</f>
        <v>0</v>
      </c>
      <c r="BI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2" s="70">
        <f>ReviewCalcs[[#This Row],[Retrofit Cost]]</f>
        <v>0</v>
      </c>
      <c r="BK42" s="70">
        <f>ReviewCalcs[[#This Row],[Retrofit Cost]]-ReviewCalcs[[#This Row],[Incentive ($)]]</f>
        <v>0</v>
      </c>
      <c r="BL42" s="118" t="e">
        <f>IFERROR(ReviewCalcs[[#This Row],[Net Project Cost ($)]]/ReviewCalcs[[#This Row],[Fixture Energy Cost Savings ($)]], #N/A)</f>
        <v>#N/A</v>
      </c>
      <c r="BM42" s="118" t="e">
        <f>IF(VLOOKUP(ReviewCalcs[[#This Row],[Existing Fixture Code]], Table7[[FIXTURE CODE]:[Baseline Fixture Code]], 8, FALSE)="N", VLOOKUP(ReviewCalcs[[#This Row],[Existing Fixture Code]], Table7[[FIXTURE CODE]:[Baseline Fixture Code]], 9, FALSE), ReviewCalcs[[#This Row],[Existing Fixture Code]])</f>
        <v>#N/A</v>
      </c>
      <c r="BN42" s="118" t="e">
        <f>INDEX(Table7[WATT/ FIXT], MATCH(ReviewCalcs[Baseline Fixture Code], Table7[FIXTURE CODE], 0))</f>
        <v>#N/A</v>
      </c>
      <c r="BO42" s="118">
        <f>IFERROR((ReviewCalcs[[#This Row],[Existing Fixture Quantity]]*ReviewCalcs[[#This Row],[Baseline Fixture Watts]]/1000-ReviewCalcs[[#This Row],[Proposed Fixture Quantity]]*ReviewCalcs[[#This Row],[Proposed Fixture Watts]]/1000)*ReviewCalcs[[#This Row],[Existing CF]]*ReviewCalcs[[#This Row],[IEFD]], 0)</f>
        <v>0</v>
      </c>
      <c r="BP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2" s="118">
        <f>IF(ReviewCalcs[[#This Row],[Existing CF]]=ReviewCalcs[[#This Row],[Proposed CF]], 0, ReviewCalcs[[#This Row],[Proposed Fixture Quantity]]*ReviewCalcs[[#This Row],[Proposed Fixture Watts]]/1000*ReviewCalcs[[#This Row],[Proposed CF]]*ReviewCalcs[[#This Row],[IEFD]])</f>
        <v>0</v>
      </c>
      <c r="BR42" s="118">
        <f>IFERROR(ReviewCalcs[[#This Row],[Proposed Fixture Quantity]]*ReviewCalcs[[#This Row],[Proposed Fixture Watts]]/1000*(ReviewCalcs[[#This Row],[Existing PAF]]-ReviewCalcs[[#This Row],[Proposed PAF]])*ReviewCalcs[[#This Row],[AOH]]*ReviewCalcs[[#This Row],[IEFE]],0)</f>
        <v>0</v>
      </c>
      <c r="BS42" s="118">
        <f>ReviewCalcs[[#This Row],[Incentive Fixture Demand Savings (kW)]]+ReviewCalcs[[#This Row],[Incentive Control Demand Savings (kW)]]</f>
        <v>0</v>
      </c>
      <c r="BT42" s="118">
        <f>ReviewCalcs[[#This Row],[Incentive Fixture Energy Savings (kWh)]]+ReviewCalcs[[#This Row],[Incentive Control Energy Savings (kWh)]]</f>
        <v>0</v>
      </c>
      <c r="BU42" s="73"/>
    </row>
    <row r="43" spans="1:73" ht="30" customHeight="1">
      <c r="A43" s="68">
        <v>40</v>
      </c>
      <c r="B43" s="96">
        <f>VLOOKUP(ReviewCalcs[[#This Row],[Project Index]], ProjectInput[], D$1, FALSE)</f>
        <v>0</v>
      </c>
      <c r="C43" s="97">
        <f>VLOOKUP(ReviewCalcs[[#This Row],[Project Index]], ProjectInput[], E$1, FALSE)</f>
        <v>0</v>
      </c>
      <c r="D43" s="97">
        <f>VLOOKUP(ReviewCalcs[[#This Row],[Project Index]], ProjectInput[], F$1, FALSE)</f>
        <v>0</v>
      </c>
      <c r="E43" s="97">
        <f>VLOOKUP(ReviewCalcs[[#This Row],[Project Index]], ProjectInput[], G$1, FALSE)</f>
        <v>0</v>
      </c>
      <c r="F43" s="97">
        <f>VLOOKUP(ReviewCalcs[[#This Row],[Project Index]], ProjectInput[], H$1, FALSE)</f>
        <v>0</v>
      </c>
      <c r="G43" s="98" t="str">
        <f>VLOOKUP(ReviewCalcs[[#This Row],[Project Index]], ProjectInput[], I$1, FALSE)</f>
        <v/>
      </c>
      <c r="H43" s="96">
        <f>VLOOKUP(ReviewCalcs[[#This Row],[Project Index]], ProjectInput[], J$1, FALSE)</f>
        <v>0</v>
      </c>
      <c r="I43" s="97">
        <f>VLOOKUP(ReviewCalcs[[#This Row],[Project Index]], ProjectInput[], K$1, FALSE)</f>
        <v>0</v>
      </c>
      <c r="J43" s="97">
        <f>VLOOKUP(ReviewCalcs[[#This Row],[Project Index]], ProjectInput[], L$1, FALSE)</f>
        <v>0</v>
      </c>
      <c r="K43" s="97">
        <f>VLOOKUP(ReviewCalcs[[#This Row],[Project Index]], ProjectInput[], M$1, FALSE)</f>
        <v>0</v>
      </c>
      <c r="L43" s="97">
        <f>VLOOKUP(ReviewCalcs[[#This Row],[Project Index]], ProjectInput[], N$1, FALSE)</f>
        <v>0</v>
      </c>
      <c r="M43" s="98" t="str">
        <f>VLOOKUP(ReviewCalcs[[#This Row],[Project Index]], ProjectInput[], O$1, FALSE)</f>
        <v/>
      </c>
      <c r="N43" s="96">
        <f>VLOOKUP(ReviewCalcs[[#This Row],[Project Index]], ProjectInput[], P$1, FALSE)</f>
        <v>0</v>
      </c>
      <c r="O43" s="97">
        <f>VLOOKUP(ReviewCalcs[[#This Row],[Project Index]], ProjectInput[], Q$1, FALSE)</f>
        <v>0</v>
      </c>
      <c r="P43" s="97">
        <f>VLOOKUP(ReviewCalcs[[#This Row],[Project Index]], ProjectInput[], R$1, FALSE)</f>
        <v>0</v>
      </c>
      <c r="Q43" s="97">
        <f>VLOOKUP(ReviewCalcs[[#This Row],[Project Index]], ProjectInput[], S$1, FALSE)</f>
        <v>0</v>
      </c>
      <c r="R43" s="97">
        <f>VLOOKUP(ReviewCalcs[[#This Row],[Project Index]], ProjectInput[], T$1, FALSE)</f>
        <v>0</v>
      </c>
      <c r="S43" s="97">
        <f>VLOOKUP(ReviewCalcs[[#This Row],[Project Index]], ProjectInput[], U$1, FALSE)</f>
        <v>0</v>
      </c>
      <c r="T43" s="97">
        <f>VLOOKUP(ReviewCalcs[[#This Row],[Project Index]], ProjectInput[], V$1, FALSE)</f>
        <v>0</v>
      </c>
      <c r="U43" s="97">
        <f>VLOOKUP(ReviewCalcs[[#This Row],[Project Index]], ProjectInput[], W$1, FALSE)</f>
        <v>0</v>
      </c>
      <c r="V43" s="98" t="str">
        <f>VLOOKUP(ReviewCalcs[[#This Row],[Project Index]], ProjectInput[], X$1, FALSE)</f>
        <v/>
      </c>
      <c r="W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3" s="75" t="e">
        <f>IF(VLOOKUP(ReviewCalcs[[#This Row],[Proposed Fixture Code]], Table7[[FIXTURE CODE]:[Baseline Fixture Code]], 8, FALSE)="N", "ERROR", "PASS")</f>
        <v>#N/A</v>
      </c>
      <c r="Y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3" s="75" t="e">
        <f>IF(OR(ReviewCalcs[[#This Row],[Baseline Fixture Watts]]&gt;=ReviewCalcs[[#This Row],[Proposed Fixture Watts]],ReviewCalcs[[#This Row],[Existing Fixture Watts]]&gt;=ReviewCalcs[[#This Row],[Proposed Fixture Watts]] ), "PASS", "ERROR")</f>
        <v>#N/A</v>
      </c>
      <c r="AA43" s="69" t="e">
        <f>VLOOKUP(ReviewCalcs[[#This Row],[Space Conditions]], Table_365[], 5, FALSE)</f>
        <v>#N/A</v>
      </c>
      <c r="AB43" s="68" t="str">
        <f>ReviewCalcs[[#This Row],[Annual Hours]]</f>
        <v/>
      </c>
      <c r="AC43" s="68" t="e">
        <f>VLOOKUP(ReviewCalcs[[#This Row],[Space Conditions]], Table_365[], 6, FALSE)</f>
        <v>#N/A</v>
      </c>
      <c r="AD43" s="68">
        <f>IF(ReviewCalcs[[#This Row],[Existing Control(s)]]='Tables &amp; Ranges'!$A$25, VLOOKUP(ReviewCalcs[[#This Row],[Building/Space Type]], Table_364[], 3, FALSE), CF_Contols)</f>
        <v>0.26</v>
      </c>
      <c r="AE43" s="68" t="e">
        <f>VLOOKUP(ReviewCalcs[[#This Row],[Existing Control(s)]], Table_358[], 2, FALSE)</f>
        <v>#N/A</v>
      </c>
      <c r="AF43" s="68">
        <f>IF(ReviewCalcs[[#This Row],[Proposed Control(s)]]='Tables &amp; Ranges'!$A$25, VLOOKUP(ReviewCalcs[[#This Row],[Building/Space Type]], Table_364[], 3, FALSE), CF_Contols)</f>
        <v>0.26</v>
      </c>
      <c r="AG43" s="68" t="e">
        <f>VLOOKUP(ReviewCalcs[[#This Row],[Proposed Control(s)]], Table_358[], 2, FALSE)</f>
        <v>#N/A</v>
      </c>
      <c r="AH43" s="68">
        <f>IFERROR((ReviewCalcs[[#This Row],[Existing Fixture Quantity]]*ReviewCalcs[[#This Row],[Existing Fixture Watts]]/1000)*ReviewCalcs[[#This Row],[Existing CF]]*ReviewCalcs[[#This Row],[IEFD]], 0)</f>
        <v>0</v>
      </c>
      <c r="AI43" s="68">
        <f>IFERROR((ReviewCalcs[[#This Row],[Proposed Fixture Quantity]]*ReviewCalcs[[#This Row],[Proposed Fixture Watts]]/1000)*ReviewCalcs[[#This Row],[Existing CF]]*ReviewCalcs[[#This Row],[IEFD]], 0)</f>
        <v>0</v>
      </c>
      <c r="AJ43" s="118">
        <f>IFERROR((ReviewCalcs[[#This Row],[Existing Fixture Quantity]]*ReviewCalcs[[#This Row],[Existing Fixture Watts]]/1000-ReviewCalcs[[#This Row],[Proposed Fixture Quantity]]*ReviewCalcs[[#This Row],[Proposed Fixture Watts]]/1000)*ReviewCalcs[[#This Row],[Existing CF]]*ReviewCalcs[[#This Row],[IEFD]], 0)</f>
        <v>0</v>
      </c>
      <c r="AK43" s="118">
        <f>IFERROR((ReviewCalcs[[#This Row],[Existing Fixture Quantity]]*ReviewCalcs[[#This Row],[Existing Fixture Watts]]/1000)*ReviewCalcs[[#This Row],[AOH]]*ReviewCalcs[[#This Row],[IEFE]]*ReviewCalcs[[#This Row],[Existing PAF]], 0)</f>
        <v>0</v>
      </c>
      <c r="AL43" s="118">
        <f>IFERROR((ReviewCalcs[[#This Row],[Proposed Fixture Quantity]]*ReviewCalcs[[#This Row],[Proposed Fixture Watts]]/1000)*ReviewCalcs[[#This Row],[AOH]]*ReviewCalcs[[#This Row],[IEFE]]*ReviewCalcs[[#This Row],[Existing PAF]], 0)</f>
        <v>0</v>
      </c>
      <c r="AM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3" s="118">
        <f>ReviewCalcs[[#This Row],[Fixture Existing Energy (kWh)]]*Avg_KWh_Rate</f>
        <v>0</v>
      </c>
      <c r="AO43" s="118">
        <f>ReviewCalcs[[#This Row],[Fixture Proposed Energy (kWh)]]*Avg_KWh_Rate</f>
        <v>0</v>
      </c>
      <c r="AP43" s="70">
        <f>ReviewCalcs[[#This Row],[Fixture Energy Savings]]*Avg_KWh_Rate</f>
        <v>0</v>
      </c>
      <c r="AQ43" s="129" t="e">
        <f>ReviewCalcs[[#This Row],[Existing Fixture Quantity]]*ReviewCalcs[[#This Row],[Existing Fixture Watts]]/1000*ReviewCalcs[[#This Row],[Existing CF]]*ReviewCalcs[[#This Row],[IEFD]]</f>
        <v>#VALUE!</v>
      </c>
      <c r="AR43" s="129" t="e">
        <f>ReviewCalcs[[#This Row],[Proposed Fixture Quantity]]*ReviewCalcs[[#This Row],[Proposed Fixture Watts]]/1000*ReviewCalcs[[#This Row],[Proposed CF]]*ReviewCalcs[[#This Row],[IEFD]]</f>
        <v>#VALUE!</v>
      </c>
      <c r="AS43" s="118">
        <f>IF(ReviewCalcs[[#This Row],[Existing CF]]=ReviewCalcs[[#This Row],[Proposed CF]], 0, ReviewCalcs[[#This Row],[Proposed Fixture Quantity]]*ReviewCalcs[[#This Row],[Proposed Fixture Watts]]/1000*ReviewCalcs[[#This Row],[Proposed CF]]*ReviewCalcs[[#This Row],[IEFD]])</f>
        <v>0</v>
      </c>
      <c r="AT43" s="118">
        <f>IFERROR(ReviewCalcs[[#This Row],[Existing Fixture Quantity]]*ReviewCalcs[[#This Row],[Existing Fixture Watts]]/1000*ReviewCalcs[[#This Row],[Existing PAF]]*ReviewCalcs[[#This Row],[AOH]]*ReviewCalcs[[#This Row],[IEFE]], 0)</f>
        <v>0</v>
      </c>
      <c r="AU43" s="118">
        <f>IFERROR(ReviewCalcs[[#This Row],[Proposed Fixture Quantity]]*ReviewCalcs[[#This Row],[Proposed Fixture Watts]]/1000*ReviewCalcs[[#This Row],[Proposed PAF]]*ReviewCalcs[[#This Row],[AOH]]*ReviewCalcs[[#This Row],[IEFE]], 0)</f>
        <v>0</v>
      </c>
      <c r="AV43" s="118">
        <f>IFERROR(ReviewCalcs[[#This Row],[Proposed Fixture Quantity]]*ReviewCalcs[[#This Row],[Proposed Fixture Watts]]/1000*(ReviewCalcs[[#This Row],[Existing PAF]]-ReviewCalcs[[#This Row],[Proposed PAF]])*ReviewCalcs[[#This Row],[AOH]]*ReviewCalcs[[#This Row],[IEFE]], 0)</f>
        <v>0</v>
      </c>
      <c r="AW43" s="118">
        <f>ReviewCalcs[[#This Row],[Control Existing Energy (kWh)]]*kWh_Incentive_Rate</f>
        <v>0</v>
      </c>
      <c r="AX43" s="118">
        <f>ReviewCalcs[[#This Row],[Control Proposed Energy (kWh)]]*kWh_Incentive_Rate</f>
        <v>0</v>
      </c>
      <c r="AY43" s="70">
        <f>ReviewCalcs[[#This Row],[Control Energy Savings (kWh)]]*kWh_Incentive_Rate</f>
        <v>0</v>
      </c>
      <c r="AZ43" s="70" t="e">
        <f>ReviewCalcs[[#This Row],[Fixture Existing Demand (kW)]]+ReviewCalcs[[#This Row],[Control Existing Demand (kW)]]</f>
        <v>#VALUE!</v>
      </c>
      <c r="BA43" s="70" t="e">
        <f>ReviewCalcs[[#This Row],[Fixture Proposed Demand (kW)]]+ReviewCalcs[[#This Row],[Control Proposed Demand (kW)]]</f>
        <v>#VALUE!</v>
      </c>
      <c r="BB43" s="118">
        <f>ReviewCalcs[[#This Row],[Fixture Demand Savings (kW)]]+ReviewCalcs[[#This Row],[Control Demand Savings (kW)]]</f>
        <v>0</v>
      </c>
      <c r="BC43" s="118">
        <f>ReviewCalcs[[#This Row],[Fixture Existing Energy (kWh)]]+ReviewCalcs[[#This Row],[Control Existing Energy (kWh)]]</f>
        <v>0</v>
      </c>
      <c r="BD43" s="118">
        <f>ReviewCalcs[[#This Row],[Fixture Proposed Energy (kWh)]]+ReviewCalcs[[#This Row],[Control Proposed Energy (kWh)]]</f>
        <v>0</v>
      </c>
      <c r="BE43" s="118">
        <f>ReviewCalcs[[#This Row],[Fixture Energy Savings]]+ReviewCalcs[[#This Row],[Control Energy Savings (kWh)]]</f>
        <v>0</v>
      </c>
      <c r="BF43" s="118">
        <f>ReviewCalcs[[#This Row],[Fixture Existing Cost ($)]]+ReviewCalcs[[#This Row],[Control Existing Cost ($)]]</f>
        <v>0</v>
      </c>
      <c r="BG43" s="118">
        <f>ReviewCalcs[[#This Row],[Fixture Proposed Cost ($)]]+ReviewCalcs[[#This Row],[Controls Proposed Cost ($)]]</f>
        <v>0</v>
      </c>
      <c r="BH43" s="70">
        <f>ReviewCalcs[[#This Row],[Total Energy Savings (kWh)]]*Avg_KWh_Rate</f>
        <v>0</v>
      </c>
      <c r="BI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3" s="70">
        <f>ReviewCalcs[[#This Row],[Retrofit Cost]]</f>
        <v>0</v>
      </c>
      <c r="BK43" s="70">
        <f>ReviewCalcs[[#This Row],[Retrofit Cost]]-ReviewCalcs[[#This Row],[Incentive ($)]]</f>
        <v>0</v>
      </c>
      <c r="BL43" s="118" t="e">
        <f>IFERROR(ReviewCalcs[[#This Row],[Net Project Cost ($)]]/ReviewCalcs[[#This Row],[Fixture Energy Cost Savings ($)]], #N/A)</f>
        <v>#N/A</v>
      </c>
      <c r="BM43" s="118" t="e">
        <f>IF(VLOOKUP(ReviewCalcs[[#This Row],[Existing Fixture Code]], Table7[[FIXTURE CODE]:[Baseline Fixture Code]], 8, FALSE)="N", VLOOKUP(ReviewCalcs[[#This Row],[Existing Fixture Code]], Table7[[FIXTURE CODE]:[Baseline Fixture Code]], 9, FALSE), ReviewCalcs[[#This Row],[Existing Fixture Code]])</f>
        <v>#N/A</v>
      </c>
      <c r="BN43" s="118" t="e">
        <f>INDEX(Table7[WATT/ FIXT], MATCH(ReviewCalcs[Baseline Fixture Code], Table7[FIXTURE CODE], 0))</f>
        <v>#N/A</v>
      </c>
      <c r="BO43" s="118">
        <f>IFERROR((ReviewCalcs[[#This Row],[Existing Fixture Quantity]]*ReviewCalcs[[#This Row],[Baseline Fixture Watts]]/1000-ReviewCalcs[[#This Row],[Proposed Fixture Quantity]]*ReviewCalcs[[#This Row],[Proposed Fixture Watts]]/1000)*ReviewCalcs[[#This Row],[Existing CF]]*ReviewCalcs[[#This Row],[IEFD]], 0)</f>
        <v>0</v>
      </c>
      <c r="BP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3" s="118">
        <f>IF(ReviewCalcs[[#This Row],[Existing CF]]=ReviewCalcs[[#This Row],[Proposed CF]], 0, ReviewCalcs[[#This Row],[Proposed Fixture Quantity]]*ReviewCalcs[[#This Row],[Proposed Fixture Watts]]/1000*ReviewCalcs[[#This Row],[Proposed CF]]*ReviewCalcs[[#This Row],[IEFD]])</f>
        <v>0</v>
      </c>
      <c r="BR43" s="118">
        <f>IFERROR(ReviewCalcs[[#This Row],[Proposed Fixture Quantity]]*ReviewCalcs[[#This Row],[Proposed Fixture Watts]]/1000*(ReviewCalcs[[#This Row],[Existing PAF]]-ReviewCalcs[[#This Row],[Proposed PAF]])*ReviewCalcs[[#This Row],[AOH]]*ReviewCalcs[[#This Row],[IEFE]],0)</f>
        <v>0</v>
      </c>
      <c r="BS43" s="118">
        <f>ReviewCalcs[[#This Row],[Incentive Fixture Demand Savings (kW)]]+ReviewCalcs[[#This Row],[Incentive Control Demand Savings (kW)]]</f>
        <v>0</v>
      </c>
      <c r="BT43" s="118">
        <f>ReviewCalcs[[#This Row],[Incentive Fixture Energy Savings (kWh)]]+ReviewCalcs[[#This Row],[Incentive Control Energy Savings (kWh)]]</f>
        <v>0</v>
      </c>
      <c r="BU43" s="73"/>
    </row>
    <row r="44" spans="1:73" ht="30" customHeight="1">
      <c r="A44" s="68">
        <v>41</v>
      </c>
      <c r="B44" s="96">
        <f>VLOOKUP(ReviewCalcs[[#This Row],[Project Index]], ProjectInput[], D$1, FALSE)</f>
        <v>0</v>
      </c>
      <c r="C44" s="97">
        <f>VLOOKUP(ReviewCalcs[[#This Row],[Project Index]], ProjectInput[], E$1, FALSE)</f>
        <v>0</v>
      </c>
      <c r="D44" s="97">
        <f>VLOOKUP(ReviewCalcs[[#This Row],[Project Index]], ProjectInput[], F$1, FALSE)</f>
        <v>0</v>
      </c>
      <c r="E44" s="97">
        <f>VLOOKUP(ReviewCalcs[[#This Row],[Project Index]], ProjectInput[], G$1, FALSE)</f>
        <v>0</v>
      </c>
      <c r="F44" s="97">
        <f>VLOOKUP(ReviewCalcs[[#This Row],[Project Index]], ProjectInput[], H$1, FALSE)</f>
        <v>0</v>
      </c>
      <c r="G44" s="98" t="str">
        <f>VLOOKUP(ReviewCalcs[[#This Row],[Project Index]], ProjectInput[], I$1, FALSE)</f>
        <v/>
      </c>
      <c r="H44" s="96">
        <f>VLOOKUP(ReviewCalcs[[#This Row],[Project Index]], ProjectInput[], J$1, FALSE)</f>
        <v>0</v>
      </c>
      <c r="I44" s="97">
        <f>VLOOKUP(ReviewCalcs[[#This Row],[Project Index]], ProjectInput[], K$1, FALSE)</f>
        <v>0</v>
      </c>
      <c r="J44" s="97">
        <f>VLOOKUP(ReviewCalcs[[#This Row],[Project Index]], ProjectInput[], L$1, FALSE)</f>
        <v>0</v>
      </c>
      <c r="K44" s="97">
        <f>VLOOKUP(ReviewCalcs[[#This Row],[Project Index]], ProjectInput[], M$1, FALSE)</f>
        <v>0</v>
      </c>
      <c r="L44" s="97">
        <f>VLOOKUP(ReviewCalcs[[#This Row],[Project Index]], ProjectInput[], N$1, FALSE)</f>
        <v>0</v>
      </c>
      <c r="M44" s="98" t="str">
        <f>VLOOKUP(ReviewCalcs[[#This Row],[Project Index]], ProjectInput[], O$1, FALSE)</f>
        <v/>
      </c>
      <c r="N44" s="96">
        <f>VLOOKUP(ReviewCalcs[[#This Row],[Project Index]], ProjectInput[], P$1, FALSE)</f>
        <v>0</v>
      </c>
      <c r="O44" s="97">
        <f>VLOOKUP(ReviewCalcs[[#This Row],[Project Index]], ProjectInput[], Q$1, FALSE)</f>
        <v>0</v>
      </c>
      <c r="P44" s="97">
        <f>VLOOKUP(ReviewCalcs[[#This Row],[Project Index]], ProjectInput[], R$1, FALSE)</f>
        <v>0</v>
      </c>
      <c r="Q44" s="97">
        <f>VLOOKUP(ReviewCalcs[[#This Row],[Project Index]], ProjectInput[], S$1, FALSE)</f>
        <v>0</v>
      </c>
      <c r="R44" s="97">
        <f>VLOOKUP(ReviewCalcs[[#This Row],[Project Index]], ProjectInput[], T$1, FALSE)</f>
        <v>0</v>
      </c>
      <c r="S44" s="97">
        <f>VLOOKUP(ReviewCalcs[[#This Row],[Project Index]], ProjectInput[], U$1, FALSE)</f>
        <v>0</v>
      </c>
      <c r="T44" s="97">
        <f>VLOOKUP(ReviewCalcs[[#This Row],[Project Index]], ProjectInput[], V$1, FALSE)</f>
        <v>0</v>
      </c>
      <c r="U44" s="97">
        <f>VLOOKUP(ReviewCalcs[[#This Row],[Project Index]], ProjectInput[], W$1, FALSE)</f>
        <v>0</v>
      </c>
      <c r="V44" s="98" t="str">
        <f>VLOOKUP(ReviewCalcs[[#This Row],[Project Index]], ProjectInput[], X$1, FALSE)</f>
        <v/>
      </c>
      <c r="W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4" s="75" t="e">
        <f>IF(VLOOKUP(ReviewCalcs[[#This Row],[Proposed Fixture Code]], Table7[[FIXTURE CODE]:[Baseline Fixture Code]], 8, FALSE)="N", "ERROR", "PASS")</f>
        <v>#N/A</v>
      </c>
      <c r="Y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4" s="75" t="e">
        <f>IF(OR(ReviewCalcs[[#This Row],[Baseline Fixture Watts]]&gt;=ReviewCalcs[[#This Row],[Proposed Fixture Watts]],ReviewCalcs[[#This Row],[Existing Fixture Watts]]&gt;=ReviewCalcs[[#This Row],[Proposed Fixture Watts]] ), "PASS", "ERROR")</f>
        <v>#N/A</v>
      </c>
      <c r="AA44" s="69" t="e">
        <f>VLOOKUP(ReviewCalcs[[#This Row],[Space Conditions]], Table_365[], 5, FALSE)</f>
        <v>#N/A</v>
      </c>
      <c r="AB44" s="68" t="str">
        <f>ReviewCalcs[[#This Row],[Annual Hours]]</f>
        <v/>
      </c>
      <c r="AC44" s="68" t="e">
        <f>VLOOKUP(ReviewCalcs[[#This Row],[Space Conditions]], Table_365[], 6, FALSE)</f>
        <v>#N/A</v>
      </c>
      <c r="AD44" s="68">
        <f>IF(ReviewCalcs[[#This Row],[Existing Control(s)]]='Tables &amp; Ranges'!$A$25, VLOOKUP(ReviewCalcs[[#This Row],[Building/Space Type]], Table_364[], 3, FALSE), CF_Contols)</f>
        <v>0.26</v>
      </c>
      <c r="AE44" s="68" t="e">
        <f>VLOOKUP(ReviewCalcs[[#This Row],[Existing Control(s)]], Table_358[], 2, FALSE)</f>
        <v>#N/A</v>
      </c>
      <c r="AF44" s="68">
        <f>IF(ReviewCalcs[[#This Row],[Proposed Control(s)]]='Tables &amp; Ranges'!$A$25, VLOOKUP(ReviewCalcs[[#This Row],[Building/Space Type]], Table_364[], 3, FALSE), CF_Contols)</f>
        <v>0.26</v>
      </c>
      <c r="AG44" s="68" t="e">
        <f>VLOOKUP(ReviewCalcs[[#This Row],[Proposed Control(s)]], Table_358[], 2, FALSE)</f>
        <v>#N/A</v>
      </c>
      <c r="AH44" s="68">
        <f>IFERROR((ReviewCalcs[[#This Row],[Existing Fixture Quantity]]*ReviewCalcs[[#This Row],[Existing Fixture Watts]]/1000)*ReviewCalcs[[#This Row],[Existing CF]]*ReviewCalcs[[#This Row],[IEFD]], 0)</f>
        <v>0</v>
      </c>
      <c r="AI44" s="68">
        <f>IFERROR((ReviewCalcs[[#This Row],[Proposed Fixture Quantity]]*ReviewCalcs[[#This Row],[Proposed Fixture Watts]]/1000)*ReviewCalcs[[#This Row],[Existing CF]]*ReviewCalcs[[#This Row],[IEFD]], 0)</f>
        <v>0</v>
      </c>
      <c r="AJ44" s="118">
        <f>IFERROR((ReviewCalcs[[#This Row],[Existing Fixture Quantity]]*ReviewCalcs[[#This Row],[Existing Fixture Watts]]/1000-ReviewCalcs[[#This Row],[Proposed Fixture Quantity]]*ReviewCalcs[[#This Row],[Proposed Fixture Watts]]/1000)*ReviewCalcs[[#This Row],[Existing CF]]*ReviewCalcs[[#This Row],[IEFD]], 0)</f>
        <v>0</v>
      </c>
      <c r="AK44" s="118">
        <f>IFERROR((ReviewCalcs[[#This Row],[Existing Fixture Quantity]]*ReviewCalcs[[#This Row],[Existing Fixture Watts]]/1000)*ReviewCalcs[[#This Row],[AOH]]*ReviewCalcs[[#This Row],[IEFE]]*ReviewCalcs[[#This Row],[Existing PAF]], 0)</f>
        <v>0</v>
      </c>
      <c r="AL44" s="118">
        <f>IFERROR((ReviewCalcs[[#This Row],[Proposed Fixture Quantity]]*ReviewCalcs[[#This Row],[Proposed Fixture Watts]]/1000)*ReviewCalcs[[#This Row],[AOH]]*ReviewCalcs[[#This Row],[IEFE]]*ReviewCalcs[[#This Row],[Existing PAF]], 0)</f>
        <v>0</v>
      </c>
      <c r="AM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4" s="118">
        <f>ReviewCalcs[[#This Row],[Fixture Existing Energy (kWh)]]*Avg_KWh_Rate</f>
        <v>0</v>
      </c>
      <c r="AO44" s="118">
        <f>ReviewCalcs[[#This Row],[Fixture Proposed Energy (kWh)]]*Avg_KWh_Rate</f>
        <v>0</v>
      </c>
      <c r="AP44" s="70">
        <f>ReviewCalcs[[#This Row],[Fixture Energy Savings]]*Avg_KWh_Rate</f>
        <v>0</v>
      </c>
      <c r="AQ44" s="129" t="e">
        <f>ReviewCalcs[[#This Row],[Existing Fixture Quantity]]*ReviewCalcs[[#This Row],[Existing Fixture Watts]]/1000*ReviewCalcs[[#This Row],[Existing CF]]*ReviewCalcs[[#This Row],[IEFD]]</f>
        <v>#VALUE!</v>
      </c>
      <c r="AR44" s="129" t="e">
        <f>ReviewCalcs[[#This Row],[Proposed Fixture Quantity]]*ReviewCalcs[[#This Row],[Proposed Fixture Watts]]/1000*ReviewCalcs[[#This Row],[Proposed CF]]*ReviewCalcs[[#This Row],[IEFD]]</f>
        <v>#VALUE!</v>
      </c>
      <c r="AS44" s="118">
        <f>IF(ReviewCalcs[[#This Row],[Existing CF]]=ReviewCalcs[[#This Row],[Proposed CF]], 0, ReviewCalcs[[#This Row],[Proposed Fixture Quantity]]*ReviewCalcs[[#This Row],[Proposed Fixture Watts]]/1000*ReviewCalcs[[#This Row],[Proposed CF]]*ReviewCalcs[[#This Row],[IEFD]])</f>
        <v>0</v>
      </c>
      <c r="AT44" s="118">
        <f>IFERROR(ReviewCalcs[[#This Row],[Existing Fixture Quantity]]*ReviewCalcs[[#This Row],[Existing Fixture Watts]]/1000*ReviewCalcs[[#This Row],[Existing PAF]]*ReviewCalcs[[#This Row],[AOH]]*ReviewCalcs[[#This Row],[IEFE]], 0)</f>
        <v>0</v>
      </c>
      <c r="AU44" s="118">
        <f>IFERROR(ReviewCalcs[[#This Row],[Proposed Fixture Quantity]]*ReviewCalcs[[#This Row],[Proposed Fixture Watts]]/1000*ReviewCalcs[[#This Row],[Proposed PAF]]*ReviewCalcs[[#This Row],[AOH]]*ReviewCalcs[[#This Row],[IEFE]], 0)</f>
        <v>0</v>
      </c>
      <c r="AV44" s="118">
        <f>IFERROR(ReviewCalcs[[#This Row],[Proposed Fixture Quantity]]*ReviewCalcs[[#This Row],[Proposed Fixture Watts]]/1000*(ReviewCalcs[[#This Row],[Existing PAF]]-ReviewCalcs[[#This Row],[Proposed PAF]])*ReviewCalcs[[#This Row],[AOH]]*ReviewCalcs[[#This Row],[IEFE]], 0)</f>
        <v>0</v>
      </c>
      <c r="AW44" s="118">
        <f>ReviewCalcs[[#This Row],[Control Existing Energy (kWh)]]*kWh_Incentive_Rate</f>
        <v>0</v>
      </c>
      <c r="AX44" s="118">
        <f>ReviewCalcs[[#This Row],[Control Proposed Energy (kWh)]]*kWh_Incentive_Rate</f>
        <v>0</v>
      </c>
      <c r="AY44" s="70">
        <f>ReviewCalcs[[#This Row],[Control Energy Savings (kWh)]]*kWh_Incentive_Rate</f>
        <v>0</v>
      </c>
      <c r="AZ44" s="70" t="e">
        <f>ReviewCalcs[[#This Row],[Fixture Existing Demand (kW)]]+ReviewCalcs[[#This Row],[Control Existing Demand (kW)]]</f>
        <v>#VALUE!</v>
      </c>
      <c r="BA44" s="70" t="e">
        <f>ReviewCalcs[[#This Row],[Fixture Proposed Demand (kW)]]+ReviewCalcs[[#This Row],[Control Proposed Demand (kW)]]</f>
        <v>#VALUE!</v>
      </c>
      <c r="BB44" s="118">
        <f>ReviewCalcs[[#This Row],[Fixture Demand Savings (kW)]]+ReviewCalcs[[#This Row],[Control Demand Savings (kW)]]</f>
        <v>0</v>
      </c>
      <c r="BC44" s="118">
        <f>ReviewCalcs[[#This Row],[Fixture Existing Energy (kWh)]]+ReviewCalcs[[#This Row],[Control Existing Energy (kWh)]]</f>
        <v>0</v>
      </c>
      <c r="BD44" s="118">
        <f>ReviewCalcs[[#This Row],[Fixture Proposed Energy (kWh)]]+ReviewCalcs[[#This Row],[Control Proposed Energy (kWh)]]</f>
        <v>0</v>
      </c>
      <c r="BE44" s="118">
        <f>ReviewCalcs[[#This Row],[Fixture Energy Savings]]+ReviewCalcs[[#This Row],[Control Energy Savings (kWh)]]</f>
        <v>0</v>
      </c>
      <c r="BF44" s="118">
        <f>ReviewCalcs[[#This Row],[Fixture Existing Cost ($)]]+ReviewCalcs[[#This Row],[Control Existing Cost ($)]]</f>
        <v>0</v>
      </c>
      <c r="BG44" s="118">
        <f>ReviewCalcs[[#This Row],[Fixture Proposed Cost ($)]]+ReviewCalcs[[#This Row],[Controls Proposed Cost ($)]]</f>
        <v>0</v>
      </c>
      <c r="BH44" s="70">
        <f>ReviewCalcs[[#This Row],[Total Energy Savings (kWh)]]*Avg_KWh_Rate</f>
        <v>0</v>
      </c>
      <c r="BI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4" s="70">
        <f>ReviewCalcs[[#This Row],[Retrofit Cost]]</f>
        <v>0</v>
      </c>
      <c r="BK44" s="70">
        <f>ReviewCalcs[[#This Row],[Retrofit Cost]]-ReviewCalcs[[#This Row],[Incentive ($)]]</f>
        <v>0</v>
      </c>
      <c r="BL44" s="118" t="e">
        <f>IFERROR(ReviewCalcs[[#This Row],[Net Project Cost ($)]]/ReviewCalcs[[#This Row],[Fixture Energy Cost Savings ($)]], #N/A)</f>
        <v>#N/A</v>
      </c>
      <c r="BM44" s="118" t="e">
        <f>IF(VLOOKUP(ReviewCalcs[[#This Row],[Existing Fixture Code]], Table7[[FIXTURE CODE]:[Baseline Fixture Code]], 8, FALSE)="N", VLOOKUP(ReviewCalcs[[#This Row],[Existing Fixture Code]], Table7[[FIXTURE CODE]:[Baseline Fixture Code]], 9, FALSE), ReviewCalcs[[#This Row],[Existing Fixture Code]])</f>
        <v>#N/A</v>
      </c>
      <c r="BN44" s="118" t="e">
        <f>INDEX(Table7[WATT/ FIXT], MATCH(ReviewCalcs[Baseline Fixture Code], Table7[FIXTURE CODE], 0))</f>
        <v>#N/A</v>
      </c>
      <c r="BO44" s="118">
        <f>IFERROR((ReviewCalcs[[#This Row],[Existing Fixture Quantity]]*ReviewCalcs[[#This Row],[Baseline Fixture Watts]]/1000-ReviewCalcs[[#This Row],[Proposed Fixture Quantity]]*ReviewCalcs[[#This Row],[Proposed Fixture Watts]]/1000)*ReviewCalcs[[#This Row],[Existing CF]]*ReviewCalcs[[#This Row],[IEFD]], 0)</f>
        <v>0</v>
      </c>
      <c r="BP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4" s="118">
        <f>IF(ReviewCalcs[[#This Row],[Existing CF]]=ReviewCalcs[[#This Row],[Proposed CF]], 0, ReviewCalcs[[#This Row],[Proposed Fixture Quantity]]*ReviewCalcs[[#This Row],[Proposed Fixture Watts]]/1000*ReviewCalcs[[#This Row],[Proposed CF]]*ReviewCalcs[[#This Row],[IEFD]])</f>
        <v>0</v>
      </c>
      <c r="BR44" s="118">
        <f>IFERROR(ReviewCalcs[[#This Row],[Proposed Fixture Quantity]]*ReviewCalcs[[#This Row],[Proposed Fixture Watts]]/1000*(ReviewCalcs[[#This Row],[Existing PAF]]-ReviewCalcs[[#This Row],[Proposed PAF]])*ReviewCalcs[[#This Row],[AOH]]*ReviewCalcs[[#This Row],[IEFE]],0)</f>
        <v>0</v>
      </c>
      <c r="BS44" s="118">
        <f>ReviewCalcs[[#This Row],[Incentive Fixture Demand Savings (kW)]]+ReviewCalcs[[#This Row],[Incentive Control Demand Savings (kW)]]</f>
        <v>0</v>
      </c>
      <c r="BT44" s="118">
        <f>ReviewCalcs[[#This Row],[Incentive Fixture Energy Savings (kWh)]]+ReviewCalcs[[#This Row],[Incentive Control Energy Savings (kWh)]]</f>
        <v>0</v>
      </c>
      <c r="BU44" s="73"/>
    </row>
    <row r="45" spans="1:73" ht="30" customHeight="1">
      <c r="A45" s="68">
        <v>42</v>
      </c>
      <c r="B45" s="96">
        <f>VLOOKUP(ReviewCalcs[[#This Row],[Project Index]], ProjectInput[], D$1, FALSE)</f>
        <v>0</v>
      </c>
      <c r="C45" s="97">
        <f>VLOOKUP(ReviewCalcs[[#This Row],[Project Index]], ProjectInput[], E$1, FALSE)</f>
        <v>0</v>
      </c>
      <c r="D45" s="97">
        <f>VLOOKUP(ReviewCalcs[[#This Row],[Project Index]], ProjectInput[], F$1, FALSE)</f>
        <v>0</v>
      </c>
      <c r="E45" s="97">
        <f>VLOOKUP(ReviewCalcs[[#This Row],[Project Index]], ProjectInput[], G$1, FALSE)</f>
        <v>0</v>
      </c>
      <c r="F45" s="97">
        <f>VLOOKUP(ReviewCalcs[[#This Row],[Project Index]], ProjectInput[], H$1, FALSE)</f>
        <v>0</v>
      </c>
      <c r="G45" s="98" t="str">
        <f>VLOOKUP(ReviewCalcs[[#This Row],[Project Index]], ProjectInput[], I$1, FALSE)</f>
        <v/>
      </c>
      <c r="H45" s="96">
        <f>VLOOKUP(ReviewCalcs[[#This Row],[Project Index]], ProjectInput[], J$1, FALSE)</f>
        <v>0</v>
      </c>
      <c r="I45" s="97">
        <f>VLOOKUP(ReviewCalcs[[#This Row],[Project Index]], ProjectInput[], K$1, FALSE)</f>
        <v>0</v>
      </c>
      <c r="J45" s="97">
        <f>VLOOKUP(ReviewCalcs[[#This Row],[Project Index]], ProjectInput[], L$1, FALSE)</f>
        <v>0</v>
      </c>
      <c r="K45" s="97">
        <f>VLOOKUP(ReviewCalcs[[#This Row],[Project Index]], ProjectInput[], M$1, FALSE)</f>
        <v>0</v>
      </c>
      <c r="L45" s="97">
        <f>VLOOKUP(ReviewCalcs[[#This Row],[Project Index]], ProjectInput[], N$1, FALSE)</f>
        <v>0</v>
      </c>
      <c r="M45" s="98" t="str">
        <f>VLOOKUP(ReviewCalcs[[#This Row],[Project Index]], ProjectInput[], O$1, FALSE)</f>
        <v/>
      </c>
      <c r="N45" s="96">
        <f>VLOOKUP(ReviewCalcs[[#This Row],[Project Index]], ProjectInput[], P$1, FALSE)</f>
        <v>0</v>
      </c>
      <c r="O45" s="97">
        <f>VLOOKUP(ReviewCalcs[[#This Row],[Project Index]], ProjectInput[], Q$1, FALSE)</f>
        <v>0</v>
      </c>
      <c r="P45" s="97">
        <f>VLOOKUP(ReviewCalcs[[#This Row],[Project Index]], ProjectInput[], R$1, FALSE)</f>
        <v>0</v>
      </c>
      <c r="Q45" s="97">
        <f>VLOOKUP(ReviewCalcs[[#This Row],[Project Index]], ProjectInput[], S$1, FALSE)</f>
        <v>0</v>
      </c>
      <c r="R45" s="97">
        <f>VLOOKUP(ReviewCalcs[[#This Row],[Project Index]], ProjectInput[], T$1, FALSE)</f>
        <v>0</v>
      </c>
      <c r="S45" s="97">
        <f>VLOOKUP(ReviewCalcs[[#This Row],[Project Index]], ProjectInput[], U$1, FALSE)</f>
        <v>0</v>
      </c>
      <c r="T45" s="97">
        <f>VLOOKUP(ReviewCalcs[[#This Row],[Project Index]], ProjectInput[], V$1, FALSE)</f>
        <v>0</v>
      </c>
      <c r="U45" s="97">
        <f>VLOOKUP(ReviewCalcs[[#This Row],[Project Index]], ProjectInput[], W$1, FALSE)</f>
        <v>0</v>
      </c>
      <c r="V45" s="98" t="str">
        <f>VLOOKUP(ReviewCalcs[[#This Row],[Project Index]], ProjectInput[], X$1, FALSE)</f>
        <v/>
      </c>
      <c r="W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5" s="75" t="e">
        <f>IF(VLOOKUP(ReviewCalcs[[#This Row],[Proposed Fixture Code]], Table7[[FIXTURE CODE]:[Baseline Fixture Code]], 8, FALSE)="N", "ERROR", "PASS")</f>
        <v>#N/A</v>
      </c>
      <c r="Y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5" s="75" t="e">
        <f>IF(OR(ReviewCalcs[[#This Row],[Baseline Fixture Watts]]&gt;=ReviewCalcs[[#This Row],[Proposed Fixture Watts]],ReviewCalcs[[#This Row],[Existing Fixture Watts]]&gt;=ReviewCalcs[[#This Row],[Proposed Fixture Watts]] ), "PASS", "ERROR")</f>
        <v>#N/A</v>
      </c>
      <c r="AA45" s="69" t="e">
        <f>VLOOKUP(ReviewCalcs[[#This Row],[Space Conditions]], Table_365[], 5, FALSE)</f>
        <v>#N/A</v>
      </c>
      <c r="AB45" s="68" t="str">
        <f>ReviewCalcs[[#This Row],[Annual Hours]]</f>
        <v/>
      </c>
      <c r="AC45" s="68" t="e">
        <f>VLOOKUP(ReviewCalcs[[#This Row],[Space Conditions]], Table_365[], 6, FALSE)</f>
        <v>#N/A</v>
      </c>
      <c r="AD45" s="68">
        <f>IF(ReviewCalcs[[#This Row],[Existing Control(s)]]='Tables &amp; Ranges'!$A$25, VLOOKUP(ReviewCalcs[[#This Row],[Building/Space Type]], Table_364[], 3, FALSE), CF_Contols)</f>
        <v>0.26</v>
      </c>
      <c r="AE45" s="68" t="e">
        <f>VLOOKUP(ReviewCalcs[[#This Row],[Existing Control(s)]], Table_358[], 2, FALSE)</f>
        <v>#N/A</v>
      </c>
      <c r="AF45" s="68">
        <f>IF(ReviewCalcs[[#This Row],[Proposed Control(s)]]='Tables &amp; Ranges'!$A$25, VLOOKUP(ReviewCalcs[[#This Row],[Building/Space Type]], Table_364[], 3, FALSE), CF_Contols)</f>
        <v>0.26</v>
      </c>
      <c r="AG45" s="68" t="e">
        <f>VLOOKUP(ReviewCalcs[[#This Row],[Proposed Control(s)]], Table_358[], 2, FALSE)</f>
        <v>#N/A</v>
      </c>
      <c r="AH45" s="68">
        <f>IFERROR((ReviewCalcs[[#This Row],[Existing Fixture Quantity]]*ReviewCalcs[[#This Row],[Existing Fixture Watts]]/1000)*ReviewCalcs[[#This Row],[Existing CF]]*ReviewCalcs[[#This Row],[IEFD]], 0)</f>
        <v>0</v>
      </c>
      <c r="AI45" s="68">
        <f>IFERROR((ReviewCalcs[[#This Row],[Proposed Fixture Quantity]]*ReviewCalcs[[#This Row],[Proposed Fixture Watts]]/1000)*ReviewCalcs[[#This Row],[Existing CF]]*ReviewCalcs[[#This Row],[IEFD]], 0)</f>
        <v>0</v>
      </c>
      <c r="AJ45" s="118">
        <f>IFERROR((ReviewCalcs[[#This Row],[Existing Fixture Quantity]]*ReviewCalcs[[#This Row],[Existing Fixture Watts]]/1000-ReviewCalcs[[#This Row],[Proposed Fixture Quantity]]*ReviewCalcs[[#This Row],[Proposed Fixture Watts]]/1000)*ReviewCalcs[[#This Row],[Existing CF]]*ReviewCalcs[[#This Row],[IEFD]], 0)</f>
        <v>0</v>
      </c>
      <c r="AK45" s="118">
        <f>IFERROR((ReviewCalcs[[#This Row],[Existing Fixture Quantity]]*ReviewCalcs[[#This Row],[Existing Fixture Watts]]/1000)*ReviewCalcs[[#This Row],[AOH]]*ReviewCalcs[[#This Row],[IEFE]]*ReviewCalcs[[#This Row],[Existing PAF]], 0)</f>
        <v>0</v>
      </c>
      <c r="AL45" s="118">
        <f>IFERROR((ReviewCalcs[[#This Row],[Proposed Fixture Quantity]]*ReviewCalcs[[#This Row],[Proposed Fixture Watts]]/1000)*ReviewCalcs[[#This Row],[AOH]]*ReviewCalcs[[#This Row],[IEFE]]*ReviewCalcs[[#This Row],[Existing PAF]], 0)</f>
        <v>0</v>
      </c>
      <c r="AM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5" s="118">
        <f>ReviewCalcs[[#This Row],[Fixture Existing Energy (kWh)]]*Avg_KWh_Rate</f>
        <v>0</v>
      </c>
      <c r="AO45" s="118">
        <f>ReviewCalcs[[#This Row],[Fixture Proposed Energy (kWh)]]*Avg_KWh_Rate</f>
        <v>0</v>
      </c>
      <c r="AP45" s="70">
        <f>ReviewCalcs[[#This Row],[Fixture Energy Savings]]*Avg_KWh_Rate</f>
        <v>0</v>
      </c>
      <c r="AQ45" s="129" t="e">
        <f>ReviewCalcs[[#This Row],[Existing Fixture Quantity]]*ReviewCalcs[[#This Row],[Existing Fixture Watts]]/1000*ReviewCalcs[[#This Row],[Existing CF]]*ReviewCalcs[[#This Row],[IEFD]]</f>
        <v>#VALUE!</v>
      </c>
      <c r="AR45" s="129" t="e">
        <f>ReviewCalcs[[#This Row],[Proposed Fixture Quantity]]*ReviewCalcs[[#This Row],[Proposed Fixture Watts]]/1000*ReviewCalcs[[#This Row],[Proposed CF]]*ReviewCalcs[[#This Row],[IEFD]]</f>
        <v>#VALUE!</v>
      </c>
      <c r="AS45" s="118">
        <f>IF(ReviewCalcs[[#This Row],[Existing CF]]=ReviewCalcs[[#This Row],[Proposed CF]], 0, ReviewCalcs[[#This Row],[Proposed Fixture Quantity]]*ReviewCalcs[[#This Row],[Proposed Fixture Watts]]/1000*ReviewCalcs[[#This Row],[Proposed CF]]*ReviewCalcs[[#This Row],[IEFD]])</f>
        <v>0</v>
      </c>
      <c r="AT45" s="118">
        <f>IFERROR(ReviewCalcs[[#This Row],[Existing Fixture Quantity]]*ReviewCalcs[[#This Row],[Existing Fixture Watts]]/1000*ReviewCalcs[[#This Row],[Existing PAF]]*ReviewCalcs[[#This Row],[AOH]]*ReviewCalcs[[#This Row],[IEFE]], 0)</f>
        <v>0</v>
      </c>
      <c r="AU45" s="118">
        <f>IFERROR(ReviewCalcs[[#This Row],[Proposed Fixture Quantity]]*ReviewCalcs[[#This Row],[Proposed Fixture Watts]]/1000*ReviewCalcs[[#This Row],[Proposed PAF]]*ReviewCalcs[[#This Row],[AOH]]*ReviewCalcs[[#This Row],[IEFE]], 0)</f>
        <v>0</v>
      </c>
      <c r="AV45" s="118">
        <f>IFERROR(ReviewCalcs[[#This Row],[Proposed Fixture Quantity]]*ReviewCalcs[[#This Row],[Proposed Fixture Watts]]/1000*(ReviewCalcs[[#This Row],[Existing PAF]]-ReviewCalcs[[#This Row],[Proposed PAF]])*ReviewCalcs[[#This Row],[AOH]]*ReviewCalcs[[#This Row],[IEFE]], 0)</f>
        <v>0</v>
      </c>
      <c r="AW45" s="118">
        <f>ReviewCalcs[[#This Row],[Control Existing Energy (kWh)]]*kWh_Incentive_Rate</f>
        <v>0</v>
      </c>
      <c r="AX45" s="118">
        <f>ReviewCalcs[[#This Row],[Control Proposed Energy (kWh)]]*kWh_Incentive_Rate</f>
        <v>0</v>
      </c>
      <c r="AY45" s="70">
        <f>ReviewCalcs[[#This Row],[Control Energy Savings (kWh)]]*kWh_Incentive_Rate</f>
        <v>0</v>
      </c>
      <c r="AZ45" s="70" t="e">
        <f>ReviewCalcs[[#This Row],[Fixture Existing Demand (kW)]]+ReviewCalcs[[#This Row],[Control Existing Demand (kW)]]</f>
        <v>#VALUE!</v>
      </c>
      <c r="BA45" s="70" t="e">
        <f>ReviewCalcs[[#This Row],[Fixture Proposed Demand (kW)]]+ReviewCalcs[[#This Row],[Control Proposed Demand (kW)]]</f>
        <v>#VALUE!</v>
      </c>
      <c r="BB45" s="118">
        <f>ReviewCalcs[[#This Row],[Fixture Demand Savings (kW)]]+ReviewCalcs[[#This Row],[Control Demand Savings (kW)]]</f>
        <v>0</v>
      </c>
      <c r="BC45" s="118">
        <f>ReviewCalcs[[#This Row],[Fixture Existing Energy (kWh)]]+ReviewCalcs[[#This Row],[Control Existing Energy (kWh)]]</f>
        <v>0</v>
      </c>
      <c r="BD45" s="118">
        <f>ReviewCalcs[[#This Row],[Fixture Proposed Energy (kWh)]]+ReviewCalcs[[#This Row],[Control Proposed Energy (kWh)]]</f>
        <v>0</v>
      </c>
      <c r="BE45" s="118">
        <f>ReviewCalcs[[#This Row],[Fixture Energy Savings]]+ReviewCalcs[[#This Row],[Control Energy Savings (kWh)]]</f>
        <v>0</v>
      </c>
      <c r="BF45" s="118">
        <f>ReviewCalcs[[#This Row],[Fixture Existing Cost ($)]]+ReviewCalcs[[#This Row],[Control Existing Cost ($)]]</f>
        <v>0</v>
      </c>
      <c r="BG45" s="118">
        <f>ReviewCalcs[[#This Row],[Fixture Proposed Cost ($)]]+ReviewCalcs[[#This Row],[Controls Proposed Cost ($)]]</f>
        <v>0</v>
      </c>
      <c r="BH45" s="70">
        <f>ReviewCalcs[[#This Row],[Total Energy Savings (kWh)]]*Avg_KWh_Rate</f>
        <v>0</v>
      </c>
      <c r="BI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5" s="70">
        <f>ReviewCalcs[[#This Row],[Retrofit Cost]]</f>
        <v>0</v>
      </c>
      <c r="BK45" s="70">
        <f>ReviewCalcs[[#This Row],[Retrofit Cost]]-ReviewCalcs[[#This Row],[Incentive ($)]]</f>
        <v>0</v>
      </c>
      <c r="BL45" s="118" t="e">
        <f>IFERROR(ReviewCalcs[[#This Row],[Net Project Cost ($)]]/ReviewCalcs[[#This Row],[Fixture Energy Cost Savings ($)]], #N/A)</f>
        <v>#N/A</v>
      </c>
      <c r="BM45" s="118" t="e">
        <f>IF(VLOOKUP(ReviewCalcs[[#This Row],[Existing Fixture Code]], Table7[[FIXTURE CODE]:[Baseline Fixture Code]], 8, FALSE)="N", VLOOKUP(ReviewCalcs[[#This Row],[Existing Fixture Code]], Table7[[FIXTURE CODE]:[Baseline Fixture Code]], 9, FALSE), ReviewCalcs[[#This Row],[Existing Fixture Code]])</f>
        <v>#N/A</v>
      </c>
      <c r="BN45" s="118" t="e">
        <f>INDEX(Table7[WATT/ FIXT], MATCH(ReviewCalcs[Baseline Fixture Code], Table7[FIXTURE CODE], 0))</f>
        <v>#N/A</v>
      </c>
      <c r="BO45" s="118">
        <f>IFERROR((ReviewCalcs[[#This Row],[Existing Fixture Quantity]]*ReviewCalcs[[#This Row],[Baseline Fixture Watts]]/1000-ReviewCalcs[[#This Row],[Proposed Fixture Quantity]]*ReviewCalcs[[#This Row],[Proposed Fixture Watts]]/1000)*ReviewCalcs[[#This Row],[Existing CF]]*ReviewCalcs[[#This Row],[IEFD]], 0)</f>
        <v>0</v>
      </c>
      <c r="BP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5" s="118">
        <f>IF(ReviewCalcs[[#This Row],[Existing CF]]=ReviewCalcs[[#This Row],[Proposed CF]], 0, ReviewCalcs[[#This Row],[Proposed Fixture Quantity]]*ReviewCalcs[[#This Row],[Proposed Fixture Watts]]/1000*ReviewCalcs[[#This Row],[Proposed CF]]*ReviewCalcs[[#This Row],[IEFD]])</f>
        <v>0</v>
      </c>
      <c r="BR45" s="118">
        <f>IFERROR(ReviewCalcs[[#This Row],[Proposed Fixture Quantity]]*ReviewCalcs[[#This Row],[Proposed Fixture Watts]]/1000*(ReviewCalcs[[#This Row],[Existing PAF]]-ReviewCalcs[[#This Row],[Proposed PAF]])*ReviewCalcs[[#This Row],[AOH]]*ReviewCalcs[[#This Row],[IEFE]],0)</f>
        <v>0</v>
      </c>
      <c r="BS45" s="118">
        <f>ReviewCalcs[[#This Row],[Incentive Fixture Demand Savings (kW)]]+ReviewCalcs[[#This Row],[Incentive Control Demand Savings (kW)]]</f>
        <v>0</v>
      </c>
      <c r="BT45" s="118">
        <f>ReviewCalcs[[#This Row],[Incentive Fixture Energy Savings (kWh)]]+ReviewCalcs[[#This Row],[Incentive Control Energy Savings (kWh)]]</f>
        <v>0</v>
      </c>
      <c r="BU45" s="73"/>
    </row>
    <row r="46" spans="1:73" ht="30" customHeight="1">
      <c r="A46" s="68">
        <v>43</v>
      </c>
      <c r="B46" s="96">
        <f>VLOOKUP(ReviewCalcs[[#This Row],[Project Index]], ProjectInput[], D$1, FALSE)</f>
        <v>0</v>
      </c>
      <c r="C46" s="97">
        <f>VLOOKUP(ReviewCalcs[[#This Row],[Project Index]], ProjectInput[], E$1, FALSE)</f>
        <v>0</v>
      </c>
      <c r="D46" s="97">
        <f>VLOOKUP(ReviewCalcs[[#This Row],[Project Index]], ProjectInput[], F$1, FALSE)</f>
        <v>0</v>
      </c>
      <c r="E46" s="97">
        <f>VLOOKUP(ReviewCalcs[[#This Row],[Project Index]], ProjectInput[], G$1, FALSE)</f>
        <v>0</v>
      </c>
      <c r="F46" s="97">
        <f>VLOOKUP(ReviewCalcs[[#This Row],[Project Index]], ProjectInput[], H$1, FALSE)</f>
        <v>0</v>
      </c>
      <c r="G46" s="98" t="str">
        <f>VLOOKUP(ReviewCalcs[[#This Row],[Project Index]], ProjectInput[], I$1, FALSE)</f>
        <v/>
      </c>
      <c r="H46" s="96">
        <f>VLOOKUP(ReviewCalcs[[#This Row],[Project Index]], ProjectInput[], J$1, FALSE)</f>
        <v>0</v>
      </c>
      <c r="I46" s="97">
        <f>VLOOKUP(ReviewCalcs[[#This Row],[Project Index]], ProjectInput[], K$1, FALSE)</f>
        <v>0</v>
      </c>
      <c r="J46" s="97">
        <f>VLOOKUP(ReviewCalcs[[#This Row],[Project Index]], ProjectInput[], L$1, FALSE)</f>
        <v>0</v>
      </c>
      <c r="K46" s="97">
        <f>VLOOKUP(ReviewCalcs[[#This Row],[Project Index]], ProjectInput[], M$1, FALSE)</f>
        <v>0</v>
      </c>
      <c r="L46" s="97">
        <f>VLOOKUP(ReviewCalcs[[#This Row],[Project Index]], ProjectInput[], N$1, FALSE)</f>
        <v>0</v>
      </c>
      <c r="M46" s="98" t="str">
        <f>VLOOKUP(ReviewCalcs[[#This Row],[Project Index]], ProjectInput[], O$1, FALSE)</f>
        <v/>
      </c>
      <c r="N46" s="96">
        <f>VLOOKUP(ReviewCalcs[[#This Row],[Project Index]], ProjectInput[], P$1, FALSE)</f>
        <v>0</v>
      </c>
      <c r="O46" s="97">
        <f>VLOOKUP(ReviewCalcs[[#This Row],[Project Index]], ProjectInput[], Q$1, FALSE)</f>
        <v>0</v>
      </c>
      <c r="P46" s="97">
        <f>VLOOKUP(ReviewCalcs[[#This Row],[Project Index]], ProjectInput[], R$1, FALSE)</f>
        <v>0</v>
      </c>
      <c r="Q46" s="97">
        <f>VLOOKUP(ReviewCalcs[[#This Row],[Project Index]], ProjectInput[], S$1, FALSE)</f>
        <v>0</v>
      </c>
      <c r="R46" s="97">
        <f>VLOOKUP(ReviewCalcs[[#This Row],[Project Index]], ProjectInput[], T$1, FALSE)</f>
        <v>0</v>
      </c>
      <c r="S46" s="97">
        <f>VLOOKUP(ReviewCalcs[[#This Row],[Project Index]], ProjectInput[], U$1, FALSE)</f>
        <v>0</v>
      </c>
      <c r="T46" s="97">
        <f>VLOOKUP(ReviewCalcs[[#This Row],[Project Index]], ProjectInput[], V$1, FALSE)</f>
        <v>0</v>
      </c>
      <c r="U46" s="97">
        <f>VLOOKUP(ReviewCalcs[[#This Row],[Project Index]], ProjectInput[], W$1, FALSE)</f>
        <v>0</v>
      </c>
      <c r="V46" s="98" t="str">
        <f>VLOOKUP(ReviewCalcs[[#This Row],[Project Index]], ProjectInput[], X$1, FALSE)</f>
        <v/>
      </c>
      <c r="W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6" s="75" t="e">
        <f>IF(VLOOKUP(ReviewCalcs[[#This Row],[Proposed Fixture Code]], Table7[[FIXTURE CODE]:[Baseline Fixture Code]], 8, FALSE)="N", "ERROR", "PASS")</f>
        <v>#N/A</v>
      </c>
      <c r="Y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6" s="75" t="e">
        <f>IF(OR(ReviewCalcs[[#This Row],[Baseline Fixture Watts]]&gt;=ReviewCalcs[[#This Row],[Proposed Fixture Watts]],ReviewCalcs[[#This Row],[Existing Fixture Watts]]&gt;=ReviewCalcs[[#This Row],[Proposed Fixture Watts]] ), "PASS", "ERROR")</f>
        <v>#N/A</v>
      </c>
      <c r="AA46" s="69" t="e">
        <f>VLOOKUP(ReviewCalcs[[#This Row],[Space Conditions]], Table_365[], 5, FALSE)</f>
        <v>#N/A</v>
      </c>
      <c r="AB46" s="68" t="str">
        <f>ReviewCalcs[[#This Row],[Annual Hours]]</f>
        <v/>
      </c>
      <c r="AC46" s="68" t="e">
        <f>VLOOKUP(ReviewCalcs[[#This Row],[Space Conditions]], Table_365[], 6, FALSE)</f>
        <v>#N/A</v>
      </c>
      <c r="AD46" s="68">
        <f>IF(ReviewCalcs[[#This Row],[Existing Control(s)]]='Tables &amp; Ranges'!$A$25, VLOOKUP(ReviewCalcs[[#This Row],[Building/Space Type]], Table_364[], 3, FALSE), CF_Contols)</f>
        <v>0.26</v>
      </c>
      <c r="AE46" s="68" t="e">
        <f>VLOOKUP(ReviewCalcs[[#This Row],[Existing Control(s)]], Table_358[], 2, FALSE)</f>
        <v>#N/A</v>
      </c>
      <c r="AF46" s="68">
        <f>IF(ReviewCalcs[[#This Row],[Proposed Control(s)]]='Tables &amp; Ranges'!$A$25, VLOOKUP(ReviewCalcs[[#This Row],[Building/Space Type]], Table_364[], 3, FALSE), CF_Contols)</f>
        <v>0.26</v>
      </c>
      <c r="AG46" s="68" t="e">
        <f>VLOOKUP(ReviewCalcs[[#This Row],[Proposed Control(s)]], Table_358[], 2, FALSE)</f>
        <v>#N/A</v>
      </c>
      <c r="AH46" s="68">
        <f>IFERROR((ReviewCalcs[[#This Row],[Existing Fixture Quantity]]*ReviewCalcs[[#This Row],[Existing Fixture Watts]]/1000)*ReviewCalcs[[#This Row],[Existing CF]]*ReviewCalcs[[#This Row],[IEFD]], 0)</f>
        <v>0</v>
      </c>
      <c r="AI46" s="68">
        <f>IFERROR((ReviewCalcs[[#This Row],[Proposed Fixture Quantity]]*ReviewCalcs[[#This Row],[Proposed Fixture Watts]]/1000)*ReviewCalcs[[#This Row],[Existing CF]]*ReviewCalcs[[#This Row],[IEFD]], 0)</f>
        <v>0</v>
      </c>
      <c r="AJ46" s="118">
        <f>IFERROR((ReviewCalcs[[#This Row],[Existing Fixture Quantity]]*ReviewCalcs[[#This Row],[Existing Fixture Watts]]/1000-ReviewCalcs[[#This Row],[Proposed Fixture Quantity]]*ReviewCalcs[[#This Row],[Proposed Fixture Watts]]/1000)*ReviewCalcs[[#This Row],[Existing CF]]*ReviewCalcs[[#This Row],[IEFD]], 0)</f>
        <v>0</v>
      </c>
      <c r="AK46" s="118">
        <f>IFERROR((ReviewCalcs[[#This Row],[Existing Fixture Quantity]]*ReviewCalcs[[#This Row],[Existing Fixture Watts]]/1000)*ReviewCalcs[[#This Row],[AOH]]*ReviewCalcs[[#This Row],[IEFE]]*ReviewCalcs[[#This Row],[Existing PAF]], 0)</f>
        <v>0</v>
      </c>
      <c r="AL46" s="118">
        <f>IFERROR((ReviewCalcs[[#This Row],[Proposed Fixture Quantity]]*ReviewCalcs[[#This Row],[Proposed Fixture Watts]]/1000)*ReviewCalcs[[#This Row],[AOH]]*ReviewCalcs[[#This Row],[IEFE]]*ReviewCalcs[[#This Row],[Existing PAF]], 0)</f>
        <v>0</v>
      </c>
      <c r="AM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6" s="118">
        <f>ReviewCalcs[[#This Row],[Fixture Existing Energy (kWh)]]*Avg_KWh_Rate</f>
        <v>0</v>
      </c>
      <c r="AO46" s="118">
        <f>ReviewCalcs[[#This Row],[Fixture Proposed Energy (kWh)]]*Avg_KWh_Rate</f>
        <v>0</v>
      </c>
      <c r="AP46" s="70">
        <f>ReviewCalcs[[#This Row],[Fixture Energy Savings]]*Avg_KWh_Rate</f>
        <v>0</v>
      </c>
      <c r="AQ46" s="129" t="e">
        <f>ReviewCalcs[[#This Row],[Existing Fixture Quantity]]*ReviewCalcs[[#This Row],[Existing Fixture Watts]]/1000*ReviewCalcs[[#This Row],[Existing CF]]*ReviewCalcs[[#This Row],[IEFD]]</f>
        <v>#VALUE!</v>
      </c>
      <c r="AR46" s="129" t="e">
        <f>ReviewCalcs[[#This Row],[Proposed Fixture Quantity]]*ReviewCalcs[[#This Row],[Proposed Fixture Watts]]/1000*ReviewCalcs[[#This Row],[Proposed CF]]*ReviewCalcs[[#This Row],[IEFD]]</f>
        <v>#VALUE!</v>
      </c>
      <c r="AS46" s="118">
        <f>IF(ReviewCalcs[[#This Row],[Existing CF]]=ReviewCalcs[[#This Row],[Proposed CF]], 0, ReviewCalcs[[#This Row],[Proposed Fixture Quantity]]*ReviewCalcs[[#This Row],[Proposed Fixture Watts]]/1000*ReviewCalcs[[#This Row],[Proposed CF]]*ReviewCalcs[[#This Row],[IEFD]])</f>
        <v>0</v>
      </c>
      <c r="AT46" s="118">
        <f>IFERROR(ReviewCalcs[[#This Row],[Existing Fixture Quantity]]*ReviewCalcs[[#This Row],[Existing Fixture Watts]]/1000*ReviewCalcs[[#This Row],[Existing PAF]]*ReviewCalcs[[#This Row],[AOH]]*ReviewCalcs[[#This Row],[IEFE]], 0)</f>
        <v>0</v>
      </c>
      <c r="AU46" s="118">
        <f>IFERROR(ReviewCalcs[[#This Row],[Proposed Fixture Quantity]]*ReviewCalcs[[#This Row],[Proposed Fixture Watts]]/1000*ReviewCalcs[[#This Row],[Proposed PAF]]*ReviewCalcs[[#This Row],[AOH]]*ReviewCalcs[[#This Row],[IEFE]], 0)</f>
        <v>0</v>
      </c>
      <c r="AV46" s="118">
        <f>IFERROR(ReviewCalcs[[#This Row],[Proposed Fixture Quantity]]*ReviewCalcs[[#This Row],[Proposed Fixture Watts]]/1000*(ReviewCalcs[[#This Row],[Existing PAF]]-ReviewCalcs[[#This Row],[Proposed PAF]])*ReviewCalcs[[#This Row],[AOH]]*ReviewCalcs[[#This Row],[IEFE]], 0)</f>
        <v>0</v>
      </c>
      <c r="AW46" s="118">
        <f>ReviewCalcs[[#This Row],[Control Existing Energy (kWh)]]*kWh_Incentive_Rate</f>
        <v>0</v>
      </c>
      <c r="AX46" s="118">
        <f>ReviewCalcs[[#This Row],[Control Proposed Energy (kWh)]]*kWh_Incentive_Rate</f>
        <v>0</v>
      </c>
      <c r="AY46" s="70">
        <f>ReviewCalcs[[#This Row],[Control Energy Savings (kWh)]]*kWh_Incentive_Rate</f>
        <v>0</v>
      </c>
      <c r="AZ46" s="70" t="e">
        <f>ReviewCalcs[[#This Row],[Fixture Existing Demand (kW)]]+ReviewCalcs[[#This Row],[Control Existing Demand (kW)]]</f>
        <v>#VALUE!</v>
      </c>
      <c r="BA46" s="70" t="e">
        <f>ReviewCalcs[[#This Row],[Fixture Proposed Demand (kW)]]+ReviewCalcs[[#This Row],[Control Proposed Demand (kW)]]</f>
        <v>#VALUE!</v>
      </c>
      <c r="BB46" s="118">
        <f>ReviewCalcs[[#This Row],[Fixture Demand Savings (kW)]]+ReviewCalcs[[#This Row],[Control Demand Savings (kW)]]</f>
        <v>0</v>
      </c>
      <c r="BC46" s="118">
        <f>ReviewCalcs[[#This Row],[Fixture Existing Energy (kWh)]]+ReviewCalcs[[#This Row],[Control Existing Energy (kWh)]]</f>
        <v>0</v>
      </c>
      <c r="BD46" s="118">
        <f>ReviewCalcs[[#This Row],[Fixture Proposed Energy (kWh)]]+ReviewCalcs[[#This Row],[Control Proposed Energy (kWh)]]</f>
        <v>0</v>
      </c>
      <c r="BE46" s="118">
        <f>ReviewCalcs[[#This Row],[Fixture Energy Savings]]+ReviewCalcs[[#This Row],[Control Energy Savings (kWh)]]</f>
        <v>0</v>
      </c>
      <c r="BF46" s="118">
        <f>ReviewCalcs[[#This Row],[Fixture Existing Cost ($)]]+ReviewCalcs[[#This Row],[Control Existing Cost ($)]]</f>
        <v>0</v>
      </c>
      <c r="BG46" s="118">
        <f>ReviewCalcs[[#This Row],[Fixture Proposed Cost ($)]]+ReviewCalcs[[#This Row],[Controls Proposed Cost ($)]]</f>
        <v>0</v>
      </c>
      <c r="BH46" s="70">
        <f>ReviewCalcs[[#This Row],[Total Energy Savings (kWh)]]*Avg_KWh_Rate</f>
        <v>0</v>
      </c>
      <c r="BI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6" s="70">
        <f>ReviewCalcs[[#This Row],[Retrofit Cost]]</f>
        <v>0</v>
      </c>
      <c r="BK46" s="70">
        <f>ReviewCalcs[[#This Row],[Retrofit Cost]]-ReviewCalcs[[#This Row],[Incentive ($)]]</f>
        <v>0</v>
      </c>
      <c r="BL46" s="118" t="e">
        <f>IFERROR(ReviewCalcs[[#This Row],[Net Project Cost ($)]]/ReviewCalcs[[#This Row],[Fixture Energy Cost Savings ($)]], #N/A)</f>
        <v>#N/A</v>
      </c>
      <c r="BM46" s="118" t="e">
        <f>IF(VLOOKUP(ReviewCalcs[[#This Row],[Existing Fixture Code]], Table7[[FIXTURE CODE]:[Baseline Fixture Code]], 8, FALSE)="N", VLOOKUP(ReviewCalcs[[#This Row],[Existing Fixture Code]], Table7[[FIXTURE CODE]:[Baseline Fixture Code]], 9, FALSE), ReviewCalcs[[#This Row],[Existing Fixture Code]])</f>
        <v>#N/A</v>
      </c>
      <c r="BN46" s="118" t="e">
        <f>INDEX(Table7[WATT/ FIXT], MATCH(ReviewCalcs[Baseline Fixture Code], Table7[FIXTURE CODE], 0))</f>
        <v>#N/A</v>
      </c>
      <c r="BO46" s="118">
        <f>IFERROR((ReviewCalcs[[#This Row],[Existing Fixture Quantity]]*ReviewCalcs[[#This Row],[Baseline Fixture Watts]]/1000-ReviewCalcs[[#This Row],[Proposed Fixture Quantity]]*ReviewCalcs[[#This Row],[Proposed Fixture Watts]]/1000)*ReviewCalcs[[#This Row],[Existing CF]]*ReviewCalcs[[#This Row],[IEFD]], 0)</f>
        <v>0</v>
      </c>
      <c r="BP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6" s="118">
        <f>IF(ReviewCalcs[[#This Row],[Existing CF]]=ReviewCalcs[[#This Row],[Proposed CF]], 0, ReviewCalcs[[#This Row],[Proposed Fixture Quantity]]*ReviewCalcs[[#This Row],[Proposed Fixture Watts]]/1000*ReviewCalcs[[#This Row],[Proposed CF]]*ReviewCalcs[[#This Row],[IEFD]])</f>
        <v>0</v>
      </c>
      <c r="BR46" s="118">
        <f>IFERROR(ReviewCalcs[[#This Row],[Proposed Fixture Quantity]]*ReviewCalcs[[#This Row],[Proposed Fixture Watts]]/1000*(ReviewCalcs[[#This Row],[Existing PAF]]-ReviewCalcs[[#This Row],[Proposed PAF]])*ReviewCalcs[[#This Row],[AOH]]*ReviewCalcs[[#This Row],[IEFE]],0)</f>
        <v>0</v>
      </c>
      <c r="BS46" s="118">
        <f>ReviewCalcs[[#This Row],[Incentive Fixture Demand Savings (kW)]]+ReviewCalcs[[#This Row],[Incentive Control Demand Savings (kW)]]</f>
        <v>0</v>
      </c>
      <c r="BT46" s="118">
        <f>ReviewCalcs[[#This Row],[Incentive Fixture Energy Savings (kWh)]]+ReviewCalcs[[#This Row],[Incentive Control Energy Savings (kWh)]]</f>
        <v>0</v>
      </c>
      <c r="BU46" s="73"/>
    </row>
    <row r="47" spans="1:73" ht="30" customHeight="1">
      <c r="A47" s="68">
        <v>44</v>
      </c>
      <c r="B47" s="96">
        <f>VLOOKUP(ReviewCalcs[[#This Row],[Project Index]], ProjectInput[], D$1, FALSE)</f>
        <v>0</v>
      </c>
      <c r="C47" s="97">
        <f>VLOOKUP(ReviewCalcs[[#This Row],[Project Index]], ProjectInput[], E$1, FALSE)</f>
        <v>0</v>
      </c>
      <c r="D47" s="97">
        <f>VLOOKUP(ReviewCalcs[[#This Row],[Project Index]], ProjectInput[], F$1, FALSE)</f>
        <v>0</v>
      </c>
      <c r="E47" s="97">
        <f>VLOOKUP(ReviewCalcs[[#This Row],[Project Index]], ProjectInput[], G$1, FALSE)</f>
        <v>0</v>
      </c>
      <c r="F47" s="97">
        <f>VLOOKUP(ReviewCalcs[[#This Row],[Project Index]], ProjectInput[], H$1, FALSE)</f>
        <v>0</v>
      </c>
      <c r="G47" s="98" t="str">
        <f>VLOOKUP(ReviewCalcs[[#This Row],[Project Index]], ProjectInput[], I$1, FALSE)</f>
        <v/>
      </c>
      <c r="H47" s="96">
        <f>VLOOKUP(ReviewCalcs[[#This Row],[Project Index]], ProjectInput[], J$1, FALSE)</f>
        <v>0</v>
      </c>
      <c r="I47" s="97">
        <f>VLOOKUP(ReviewCalcs[[#This Row],[Project Index]], ProjectInput[], K$1, FALSE)</f>
        <v>0</v>
      </c>
      <c r="J47" s="97">
        <f>VLOOKUP(ReviewCalcs[[#This Row],[Project Index]], ProjectInput[], L$1, FALSE)</f>
        <v>0</v>
      </c>
      <c r="K47" s="97">
        <f>VLOOKUP(ReviewCalcs[[#This Row],[Project Index]], ProjectInput[], M$1, FALSE)</f>
        <v>0</v>
      </c>
      <c r="L47" s="97">
        <f>VLOOKUP(ReviewCalcs[[#This Row],[Project Index]], ProjectInput[], N$1, FALSE)</f>
        <v>0</v>
      </c>
      <c r="M47" s="98" t="str">
        <f>VLOOKUP(ReviewCalcs[[#This Row],[Project Index]], ProjectInput[], O$1, FALSE)</f>
        <v/>
      </c>
      <c r="N47" s="96">
        <f>VLOOKUP(ReviewCalcs[[#This Row],[Project Index]], ProjectInput[], P$1, FALSE)</f>
        <v>0</v>
      </c>
      <c r="O47" s="97">
        <f>VLOOKUP(ReviewCalcs[[#This Row],[Project Index]], ProjectInput[], Q$1, FALSE)</f>
        <v>0</v>
      </c>
      <c r="P47" s="97">
        <f>VLOOKUP(ReviewCalcs[[#This Row],[Project Index]], ProjectInput[], R$1, FALSE)</f>
        <v>0</v>
      </c>
      <c r="Q47" s="97">
        <f>VLOOKUP(ReviewCalcs[[#This Row],[Project Index]], ProjectInput[], S$1, FALSE)</f>
        <v>0</v>
      </c>
      <c r="R47" s="97">
        <f>VLOOKUP(ReviewCalcs[[#This Row],[Project Index]], ProjectInput[], T$1, FALSE)</f>
        <v>0</v>
      </c>
      <c r="S47" s="97">
        <f>VLOOKUP(ReviewCalcs[[#This Row],[Project Index]], ProjectInput[], U$1, FALSE)</f>
        <v>0</v>
      </c>
      <c r="T47" s="97">
        <f>VLOOKUP(ReviewCalcs[[#This Row],[Project Index]], ProjectInput[], V$1, FALSE)</f>
        <v>0</v>
      </c>
      <c r="U47" s="97">
        <f>VLOOKUP(ReviewCalcs[[#This Row],[Project Index]], ProjectInput[], W$1, FALSE)</f>
        <v>0</v>
      </c>
      <c r="V47" s="98" t="str">
        <f>VLOOKUP(ReviewCalcs[[#This Row],[Project Index]], ProjectInput[], X$1, FALSE)</f>
        <v/>
      </c>
      <c r="W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7" s="75" t="e">
        <f>IF(VLOOKUP(ReviewCalcs[[#This Row],[Proposed Fixture Code]], Table7[[FIXTURE CODE]:[Baseline Fixture Code]], 8, FALSE)="N", "ERROR", "PASS")</f>
        <v>#N/A</v>
      </c>
      <c r="Y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7" s="75" t="e">
        <f>IF(OR(ReviewCalcs[[#This Row],[Baseline Fixture Watts]]&gt;=ReviewCalcs[[#This Row],[Proposed Fixture Watts]],ReviewCalcs[[#This Row],[Existing Fixture Watts]]&gt;=ReviewCalcs[[#This Row],[Proposed Fixture Watts]] ), "PASS", "ERROR")</f>
        <v>#N/A</v>
      </c>
      <c r="AA47" s="69" t="e">
        <f>VLOOKUP(ReviewCalcs[[#This Row],[Space Conditions]], Table_365[], 5, FALSE)</f>
        <v>#N/A</v>
      </c>
      <c r="AB47" s="68" t="str">
        <f>ReviewCalcs[[#This Row],[Annual Hours]]</f>
        <v/>
      </c>
      <c r="AC47" s="68" t="e">
        <f>VLOOKUP(ReviewCalcs[[#This Row],[Space Conditions]], Table_365[], 6, FALSE)</f>
        <v>#N/A</v>
      </c>
      <c r="AD47" s="68">
        <f>IF(ReviewCalcs[[#This Row],[Existing Control(s)]]='Tables &amp; Ranges'!$A$25, VLOOKUP(ReviewCalcs[[#This Row],[Building/Space Type]], Table_364[], 3, FALSE), CF_Contols)</f>
        <v>0.26</v>
      </c>
      <c r="AE47" s="68" t="e">
        <f>VLOOKUP(ReviewCalcs[[#This Row],[Existing Control(s)]], Table_358[], 2, FALSE)</f>
        <v>#N/A</v>
      </c>
      <c r="AF47" s="68">
        <f>IF(ReviewCalcs[[#This Row],[Proposed Control(s)]]='Tables &amp; Ranges'!$A$25, VLOOKUP(ReviewCalcs[[#This Row],[Building/Space Type]], Table_364[], 3, FALSE), CF_Contols)</f>
        <v>0.26</v>
      </c>
      <c r="AG47" s="68" t="e">
        <f>VLOOKUP(ReviewCalcs[[#This Row],[Proposed Control(s)]], Table_358[], 2, FALSE)</f>
        <v>#N/A</v>
      </c>
      <c r="AH47" s="68">
        <f>IFERROR((ReviewCalcs[[#This Row],[Existing Fixture Quantity]]*ReviewCalcs[[#This Row],[Existing Fixture Watts]]/1000)*ReviewCalcs[[#This Row],[Existing CF]]*ReviewCalcs[[#This Row],[IEFD]], 0)</f>
        <v>0</v>
      </c>
      <c r="AI47" s="68">
        <f>IFERROR((ReviewCalcs[[#This Row],[Proposed Fixture Quantity]]*ReviewCalcs[[#This Row],[Proposed Fixture Watts]]/1000)*ReviewCalcs[[#This Row],[Existing CF]]*ReviewCalcs[[#This Row],[IEFD]], 0)</f>
        <v>0</v>
      </c>
      <c r="AJ47" s="118">
        <f>IFERROR((ReviewCalcs[[#This Row],[Existing Fixture Quantity]]*ReviewCalcs[[#This Row],[Existing Fixture Watts]]/1000-ReviewCalcs[[#This Row],[Proposed Fixture Quantity]]*ReviewCalcs[[#This Row],[Proposed Fixture Watts]]/1000)*ReviewCalcs[[#This Row],[Existing CF]]*ReviewCalcs[[#This Row],[IEFD]], 0)</f>
        <v>0</v>
      </c>
      <c r="AK47" s="118">
        <f>IFERROR((ReviewCalcs[[#This Row],[Existing Fixture Quantity]]*ReviewCalcs[[#This Row],[Existing Fixture Watts]]/1000)*ReviewCalcs[[#This Row],[AOH]]*ReviewCalcs[[#This Row],[IEFE]]*ReviewCalcs[[#This Row],[Existing PAF]], 0)</f>
        <v>0</v>
      </c>
      <c r="AL47" s="118">
        <f>IFERROR((ReviewCalcs[[#This Row],[Proposed Fixture Quantity]]*ReviewCalcs[[#This Row],[Proposed Fixture Watts]]/1000)*ReviewCalcs[[#This Row],[AOH]]*ReviewCalcs[[#This Row],[IEFE]]*ReviewCalcs[[#This Row],[Existing PAF]], 0)</f>
        <v>0</v>
      </c>
      <c r="AM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7" s="118">
        <f>ReviewCalcs[[#This Row],[Fixture Existing Energy (kWh)]]*Avg_KWh_Rate</f>
        <v>0</v>
      </c>
      <c r="AO47" s="118">
        <f>ReviewCalcs[[#This Row],[Fixture Proposed Energy (kWh)]]*Avg_KWh_Rate</f>
        <v>0</v>
      </c>
      <c r="AP47" s="70">
        <f>ReviewCalcs[[#This Row],[Fixture Energy Savings]]*Avg_KWh_Rate</f>
        <v>0</v>
      </c>
      <c r="AQ47" s="129" t="e">
        <f>ReviewCalcs[[#This Row],[Existing Fixture Quantity]]*ReviewCalcs[[#This Row],[Existing Fixture Watts]]/1000*ReviewCalcs[[#This Row],[Existing CF]]*ReviewCalcs[[#This Row],[IEFD]]</f>
        <v>#VALUE!</v>
      </c>
      <c r="AR47" s="129" t="e">
        <f>ReviewCalcs[[#This Row],[Proposed Fixture Quantity]]*ReviewCalcs[[#This Row],[Proposed Fixture Watts]]/1000*ReviewCalcs[[#This Row],[Proposed CF]]*ReviewCalcs[[#This Row],[IEFD]]</f>
        <v>#VALUE!</v>
      </c>
      <c r="AS47" s="118">
        <f>IF(ReviewCalcs[[#This Row],[Existing CF]]=ReviewCalcs[[#This Row],[Proposed CF]], 0, ReviewCalcs[[#This Row],[Proposed Fixture Quantity]]*ReviewCalcs[[#This Row],[Proposed Fixture Watts]]/1000*ReviewCalcs[[#This Row],[Proposed CF]]*ReviewCalcs[[#This Row],[IEFD]])</f>
        <v>0</v>
      </c>
      <c r="AT47" s="118">
        <f>IFERROR(ReviewCalcs[[#This Row],[Existing Fixture Quantity]]*ReviewCalcs[[#This Row],[Existing Fixture Watts]]/1000*ReviewCalcs[[#This Row],[Existing PAF]]*ReviewCalcs[[#This Row],[AOH]]*ReviewCalcs[[#This Row],[IEFE]], 0)</f>
        <v>0</v>
      </c>
      <c r="AU47" s="118">
        <f>IFERROR(ReviewCalcs[[#This Row],[Proposed Fixture Quantity]]*ReviewCalcs[[#This Row],[Proposed Fixture Watts]]/1000*ReviewCalcs[[#This Row],[Proposed PAF]]*ReviewCalcs[[#This Row],[AOH]]*ReviewCalcs[[#This Row],[IEFE]], 0)</f>
        <v>0</v>
      </c>
      <c r="AV47" s="118">
        <f>IFERROR(ReviewCalcs[[#This Row],[Proposed Fixture Quantity]]*ReviewCalcs[[#This Row],[Proposed Fixture Watts]]/1000*(ReviewCalcs[[#This Row],[Existing PAF]]-ReviewCalcs[[#This Row],[Proposed PAF]])*ReviewCalcs[[#This Row],[AOH]]*ReviewCalcs[[#This Row],[IEFE]], 0)</f>
        <v>0</v>
      </c>
      <c r="AW47" s="118">
        <f>ReviewCalcs[[#This Row],[Control Existing Energy (kWh)]]*kWh_Incentive_Rate</f>
        <v>0</v>
      </c>
      <c r="AX47" s="118">
        <f>ReviewCalcs[[#This Row],[Control Proposed Energy (kWh)]]*kWh_Incentive_Rate</f>
        <v>0</v>
      </c>
      <c r="AY47" s="70">
        <f>ReviewCalcs[[#This Row],[Control Energy Savings (kWh)]]*kWh_Incentive_Rate</f>
        <v>0</v>
      </c>
      <c r="AZ47" s="70" t="e">
        <f>ReviewCalcs[[#This Row],[Fixture Existing Demand (kW)]]+ReviewCalcs[[#This Row],[Control Existing Demand (kW)]]</f>
        <v>#VALUE!</v>
      </c>
      <c r="BA47" s="70" t="e">
        <f>ReviewCalcs[[#This Row],[Fixture Proposed Demand (kW)]]+ReviewCalcs[[#This Row],[Control Proposed Demand (kW)]]</f>
        <v>#VALUE!</v>
      </c>
      <c r="BB47" s="118">
        <f>ReviewCalcs[[#This Row],[Fixture Demand Savings (kW)]]+ReviewCalcs[[#This Row],[Control Demand Savings (kW)]]</f>
        <v>0</v>
      </c>
      <c r="BC47" s="118">
        <f>ReviewCalcs[[#This Row],[Fixture Existing Energy (kWh)]]+ReviewCalcs[[#This Row],[Control Existing Energy (kWh)]]</f>
        <v>0</v>
      </c>
      <c r="BD47" s="118">
        <f>ReviewCalcs[[#This Row],[Fixture Proposed Energy (kWh)]]+ReviewCalcs[[#This Row],[Control Proposed Energy (kWh)]]</f>
        <v>0</v>
      </c>
      <c r="BE47" s="118">
        <f>ReviewCalcs[[#This Row],[Fixture Energy Savings]]+ReviewCalcs[[#This Row],[Control Energy Savings (kWh)]]</f>
        <v>0</v>
      </c>
      <c r="BF47" s="118">
        <f>ReviewCalcs[[#This Row],[Fixture Existing Cost ($)]]+ReviewCalcs[[#This Row],[Control Existing Cost ($)]]</f>
        <v>0</v>
      </c>
      <c r="BG47" s="118">
        <f>ReviewCalcs[[#This Row],[Fixture Proposed Cost ($)]]+ReviewCalcs[[#This Row],[Controls Proposed Cost ($)]]</f>
        <v>0</v>
      </c>
      <c r="BH47" s="70">
        <f>ReviewCalcs[[#This Row],[Total Energy Savings (kWh)]]*Avg_KWh_Rate</f>
        <v>0</v>
      </c>
      <c r="BI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7" s="70">
        <f>ReviewCalcs[[#This Row],[Retrofit Cost]]</f>
        <v>0</v>
      </c>
      <c r="BK47" s="70">
        <f>ReviewCalcs[[#This Row],[Retrofit Cost]]-ReviewCalcs[[#This Row],[Incentive ($)]]</f>
        <v>0</v>
      </c>
      <c r="BL47" s="118" t="e">
        <f>IFERROR(ReviewCalcs[[#This Row],[Net Project Cost ($)]]/ReviewCalcs[[#This Row],[Fixture Energy Cost Savings ($)]], #N/A)</f>
        <v>#N/A</v>
      </c>
      <c r="BM47" s="118" t="e">
        <f>IF(VLOOKUP(ReviewCalcs[[#This Row],[Existing Fixture Code]], Table7[[FIXTURE CODE]:[Baseline Fixture Code]], 8, FALSE)="N", VLOOKUP(ReviewCalcs[[#This Row],[Existing Fixture Code]], Table7[[FIXTURE CODE]:[Baseline Fixture Code]], 9, FALSE), ReviewCalcs[[#This Row],[Existing Fixture Code]])</f>
        <v>#N/A</v>
      </c>
      <c r="BN47" s="118" t="e">
        <f>INDEX(Table7[WATT/ FIXT], MATCH(ReviewCalcs[Baseline Fixture Code], Table7[FIXTURE CODE], 0))</f>
        <v>#N/A</v>
      </c>
      <c r="BO47" s="118">
        <f>IFERROR((ReviewCalcs[[#This Row],[Existing Fixture Quantity]]*ReviewCalcs[[#This Row],[Baseline Fixture Watts]]/1000-ReviewCalcs[[#This Row],[Proposed Fixture Quantity]]*ReviewCalcs[[#This Row],[Proposed Fixture Watts]]/1000)*ReviewCalcs[[#This Row],[Existing CF]]*ReviewCalcs[[#This Row],[IEFD]], 0)</f>
        <v>0</v>
      </c>
      <c r="BP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7" s="118">
        <f>IF(ReviewCalcs[[#This Row],[Existing CF]]=ReviewCalcs[[#This Row],[Proposed CF]], 0, ReviewCalcs[[#This Row],[Proposed Fixture Quantity]]*ReviewCalcs[[#This Row],[Proposed Fixture Watts]]/1000*ReviewCalcs[[#This Row],[Proposed CF]]*ReviewCalcs[[#This Row],[IEFD]])</f>
        <v>0</v>
      </c>
      <c r="BR47" s="118">
        <f>IFERROR(ReviewCalcs[[#This Row],[Proposed Fixture Quantity]]*ReviewCalcs[[#This Row],[Proposed Fixture Watts]]/1000*(ReviewCalcs[[#This Row],[Existing PAF]]-ReviewCalcs[[#This Row],[Proposed PAF]])*ReviewCalcs[[#This Row],[AOH]]*ReviewCalcs[[#This Row],[IEFE]],0)</f>
        <v>0</v>
      </c>
      <c r="BS47" s="118">
        <f>ReviewCalcs[[#This Row],[Incentive Fixture Demand Savings (kW)]]+ReviewCalcs[[#This Row],[Incentive Control Demand Savings (kW)]]</f>
        <v>0</v>
      </c>
      <c r="BT47" s="118">
        <f>ReviewCalcs[[#This Row],[Incentive Fixture Energy Savings (kWh)]]+ReviewCalcs[[#This Row],[Incentive Control Energy Savings (kWh)]]</f>
        <v>0</v>
      </c>
      <c r="BU47" s="73"/>
    </row>
    <row r="48" spans="1:73" ht="30" customHeight="1">
      <c r="A48" s="68">
        <v>45</v>
      </c>
      <c r="B48" s="96">
        <f>VLOOKUP(ReviewCalcs[[#This Row],[Project Index]], ProjectInput[], D$1, FALSE)</f>
        <v>0</v>
      </c>
      <c r="C48" s="97">
        <f>VLOOKUP(ReviewCalcs[[#This Row],[Project Index]], ProjectInput[], E$1, FALSE)</f>
        <v>0</v>
      </c>
      <c r="D48" s="97">
        <f>VLOOKUP(ReviewCalcs[[#This Row],[Project Index]], ProjectInput[], F$1, FALSE)</f>
        <v>0</v>
      </c>
      <c r="E48" s="97">
        <f>VLOOKUP(ReviewCalcs[[#This Row],[Project Index]], ProjectInput[], G$1, FALSE)</f>
        <v>0</v>
      </c>
      <c r="F48" s="97">
        <f>VLOOKUP(ReviewCalcs[[#This Row],[Project Index]], ProjectInput[], H$1, FALSE)</f>
        <v>0</v>
      </c>
      <c r="G48" s="98" t="str">
        <f>VLOOKUP(ReviewCalcs[[#This Row],[Project Index]], ProjectInput[], I$1, FALSE)</f>
        <v/>
      </c>
      <c r="H48" s="96">
        <f>VLOOKUP(ReviewCalcs[[#This Row],[Project Index]], ProjectInput[], J$1, FALSE)</f>
        <v>0</v>
      </c>
      <c r="I48" s="97">
        <f>VLOOKUP(ReviewCalcs[[#This Row],[Project Index]], ProjectInput[], K$1, FALSE)</f>
        <v>0</v>
      </c>
      <c r="J48" s="97">
        <f>VLOOKUP(ReviewCalcs[[#This Row],[Project Index]], ProjectInput[], L$1, FALSE)</f>
        <v>0</v>
      </c>
      <c r="K48" s="97">
        <f>VLOOKUP(ReviewCalcs[[#This Row],[Project Index]], ProjectInput[], M$1, FALSE)</f>
        <v>0</v>
      </c>
      <c r="L48" s="97">
        <f>VLOOKUP(ReviewCalcs[[#This Row],[Project Index]], ProjectInput[], N$1, FALSE)</f>
        <v>0</v>
      </c>
      <c r="M48" s="98" t="str">
        <f>VLOOKUP(ReviewCalcs[[#This Row],[Project Index]], ProjectInput[], O$1, FALSE)</f>
        <v/>
      </c>
      <c r="N48" s="96">
        <f>VLOOKUP(ReviewCalcs[[#This Row],[Project Index]], ProjectInput[], P$1, FALSE)</f>
        <v>0</v>
      </c>
      <c r="O48" s="97">
        <f>VLOOKUP(ReviewCalcs[[#This Row],[Project Index]], ProjectInput[], Q$1, FALSE)</f>
        <v>0</v>
      </c>
      <c r="P48" s="97">
        <f>VLOOKUP(ReviewCalcs[[#This Row],[Project Index]], ProjectInput[], R$1, FALSE)</f>
        <v>0</v>
      </c>
      <c r="Q48" s="97">
        <f>VLOOKUP(ReviewCalcs[[#This Row],[Project Index]], ProjectInput[], S$1, FALSE)</f>
        <v>0</v>
      </c>
      <c r="R48" s="97">
        <f>VLOOKUP(ReviewCalcs[[#This Row],[Project Index]], ProjectInput[], T$1, FALSE)</f>
        <v>0</v>
      </c>
      <c r="S48" s="97">
        <f>VLOOKUP(ReviewCalcs[[#This Row],[Project Index]], ProjectInput[], U$1, FALSE)</f>
        <v>0</v>
      </c>
      <c r="T48" s="97">
        <f>VLOOKUP(ReviewCalcs[[#This Row],[Project Index]], ProjectInput[], V$1, FALSE)</f>
        <v>0</v>
      </c>
      <c r="U48" s="97">
        <f>VLOOKUP(ReviewCalcs[[#This Row],[Project Index]], ProjectInput[], W$1, FALSE)</f>
        <v>0</v>
      </c>
      <c r="V48" s="98" t="str">
        <f>VLOOKUP(ReviewCalcs[[#This Row],[Project Index]], ProjectInput[], X$1, FALSE)</f>
        <v/>
      </c>
      <c r="W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8" s="75" t="e">
        <f>IF(VLOOKUP(ReviewCalcs[[#This Row],[Proposed Fixture Code]], Table7[[FIXTURE CODE]:[Baseline Fixture Code]], 8, FALSE)="N", "ERROR", "PASS")</f>
        <v>#N/A</v>
      </c>
      <c r="Y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8" s="75" t="e">
        <f>IF(OR(ReviewCalcs[[#This Row],[Baseline Fixture Watts]]&gt;=ReviewCalcs[[#This Row],[Proposed Fixture Watts]],ReviewCalcs[[#This Row],[Existing Fixture Watts]]&gt;=ReviewCalcs[[#This Row],[Proposed Fixture Watts]] ), "PASS", "ERROR")</f>
        <v>#N/A</v>
      </c>
      <c r="AA48" s="69" t="e">
        <f>VLOOKUP(ReviewCalcs[[#This Row],[Space Conditions]], Table_365[], 5, FALSE)</f>
        <v>#N/A</v>
      </c>
      <c r="AB48" s="68" t="str">
        <f>ReviewCalcs[[#This Row],[Annual Hours]]</f>
        <v/>
      </c>
      <c r="AC48" s="68" t="e">
        <f>VLOOKUP(ReviewCalcs[[#This Row],[Space Conditions]], Table_365[], 6, FALSE)</f>
        <v>#N/A</v>
      </c>
      <c r="AD48" s="68">
        <f>IF(ReviewCalcs[[#This Row],[Existing Control(s)]]='Tables &amp; Ranges'!$A$25, VLOOKUP(ReviewCalcs[[#This Row],[Building/Space Type]], Table_364[], 3, FALSE), CF_Contols)</f>
        <v>0.26</v>
      </c>
      <c r="AE48" s="68" t="e">
        <f>VLOOKUP(ReviewCalcs[[#This Row],[Existing Control(s)]], Table_358[], 2, FALSE)</f>
        <v>#N/A</v>
      </c>
      <c r="AF48" s="68">
        <f>IF(ReviewCalcs[[#This Row],[Proposed Control(s)]]='Tables &amp; Ranges'!$A$25, VLOOKUP(ReviewCalcs[[#This Row],[Building/Space Type]], Table_364[], 3, FALSE), CF_Contols)</f>
        <v>0.26</v>
      </c>
      <c r="AG48" s="68" t="e">
        <f>VLOOKUP(ReviewCalcs[[#This Row],[Proposed Control(s)]], Table_358[], 2, FALSE)</f>
        <v>#N/A</v>
      </c>
      <c r="AH48" s="68">
        <f>IFERROR((ReviewCalcs[[#This Row],[Existing Fixture Quantity]]*ReviewCalcs[[#This Row],[Existing Fixture Watts]]/1000)*ReviewCalcs[[#This Row],[Existing CF]]*ReviewCalcs[[#This Row],[IEFD]], 0)</f>
        <v>0</v>
      </c>
      <c r="AI48" s="68">
        <f>IFERROR((ReviewCalcs[[#This Row],[Proposed Fixture Quantity]]*ReviewCalcs[[#This Row],[Proposed Fixture Watts]]/1000)*ReviewCalcs[[#This Row],[Existing CF]]*ReviewCalcs[[#This Row],[IEFD]], 0)</f>
        <v>0</v>
      </c>
      <c r="AJ48" s="118">
        <f>IFERROR((ReviewCalcs[[#This Row],[Existing Fixture Quantity]]*ReviewCalcs[[#This Row],[Existing Fixture Watts]]/1000-ReviewCalcs[[#This Row],[Proposed Fixture Quantity]]*ReviewCalcs[[#This Row],[Proposed Fixture Watts]]/1000)*ReviewCalcs[[#This Row],[Existing CF]]*ReviewCalcs[[#This Row],[IEFD]], 0)</f>
        <v>0</v>
      </c>
      <c r="AK48" s="118">
        <f>IFERROR((ReviewCalcs[[#This Row],[Existing Fixture Quantity]]*ReviewCalcs[[#This Row],[Existing Fixture Watts]]/1000)*ReviewCalcs[[#This Row],[AOH]]*ReviewCalcs[[#This Row],[IEFE]]*ReviewCalcs[[#This Row],[Existing PAF]], 0)</f>
        <v>0</v>
      </c>
      <c r="AL48" s="118">
        <f>IFERROR((ReviewCalcs[[#This Row],[Proposed Fixture Quantity]]*ReviewCalcs[[#This Row],[Proposed Fixture Watts]]/1000)*ReviewCalcs[[#This Row],[AOH]]*ReviewCalcs[[#This Row],[IEFE]]*ReviewCalcs[[#This Row],[Existing PAF]], 0)</f>
        <v>0</v>
      </c>
      <c r="AM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8" s="118">
        <f>ReviewCalcs[[#This Row],[Fixture Existing Energy (kWh)]]*Avg_KWh_Rate</f>
        <v>0</v>
      </c>
      <c r="AO48" s="118">
        <f>ReviewCalcs[[#This Row],[Fixture Proposed Energy (kWh)]]*Avg_KWh_Rate</f>
        <v>0</v>
      </c>
      <c r="AP48" s="70">
        <f>ReviewCalcs[[#This Row],[Fixture Energy Savings]]*Avg_KWh_Rate</f>
        <v>0</v>
      </c>
      <c r="AQ48" s="129" t="e">
        <f>ReviewCalcs[[#This Row],[Existing Fixture Quantity]]*ReviewCalcs[[#This Row],[Existing Fixture Watts]]/1000*ReviewCalcs[[#This Row],[Existing CF]]*ReviewCalcs[[#This Row],[IEFD]]</f>
        <v>#VALUE!</v>
      </c>
      <c r="AR48" s="129" t="e">
        <f>ReviewCalcs[[#This Row],[Proposed Fixture Quantity]]*ReviewCalcs[[#This Row],[Proposed Fixture Watts]]/1000*ReviewCalcs[[#This Row],[Proposed CF]]*ReviewCalcs[[#This Row],[IEFD]]</f>
        <v>#VALUE!</v>
      </c>
      <c r="AS48" s="118">
        <f>IF(ReviewCalcs[[#This Row],[Existing CF]]=ReviewCalcs[[#This Row],[Proposed CF]], 0, ReviewCalcs[[#This Row],[Proposed Fixture Quantity]]*ReviewCalcs[[#This Row],[Proposed Fixture Watts]]/1000*ReviewCalcs[[#This Row],[Proposed CF]]*ReviewCalcs[[#This Row],[IEFD]])</f>
        <v>0</v>
      </c>
      <c r="AT48" s="118">
        <f>IFERROR(ReviewCalcs[[#This Row],[Existing Fixture Quantity]]*ReviewCalcs[[#This Row],[Existing Fixture Watts]]/1000*ReviewCalcs[[#This Row],[Existing PAF]]*ReviewCalcs[[#This Row],[AOH]]*ReviewCalcs[[#This Row],[IEFE]], 0)</f>
        <v>0</v>
      </c>
      <c r="AU48" s="118">
        <f>IFERROR(ReviewCalcs[[#This Row],[Proposed Fixture Quantity]]*ReviewCalcs[[#This Row],[Proposed Fixture Watts]]/1000*ReviewCalcs[[#This Row],[Proposed PAF]]*ReviewCalcs[[#This Row],[AOH]]*ReviewCalcs[[#This Row],[IEFE]], 0)</f>
        <v>0</v>
      </c>
      <c r="AV48" s="118">
        <f>IFERROR(ReviewCalcs[[#This Row],[Proposed Fixture Quantity]]*ReviewCalcs[[#This Row],[Proposed Fixture Watts]]/1000*(ReviewCalcs[[#This Row],[Existing PAF]]-ReviewCalcs[[#This Row],[Proposed PAF]])*ReviewCalcs[[#This Row],[AOH]]*ReviewCalcs[[#This Row],[IEFE]], 0)</f>
        <v>0</v>
      </c>
      <c r="AW48" s="118">
        <f>ReviewCalcs[[#This Row],[Control Existing Energy (kWh)]]*kWh_Incentive_Rate</f>
        <v>0</v>
      </c>
      <c r="AX48" s="118">
        <f>ReviewCalcs[[#This Row],[Control Proposed Energy (kWh)]]*kWh_Incentive_Rate</f>
        <v>0</v>
      </c>
      <c r="AY48" s="70">
        <f>ReviewCalcs[[#This Row],[Control Energy Savings (kWh)]]*kWh_Incentive_Rate</f>
        <v>0</v>
      </c>
      <c r="AZ48" s="70" t="e">
        <f>ReviewCalcs[[#This Row],[Fixture Existing Demand (kW)]]+ReviewCalcs[[#This Row],[Control Existing Demand (kW)]]</f>
        <v>#VALUE!</v>
      </c>
      <c r="BA48" s="70" t="e">
        <f>ReviewCalcs[[#This Row],[Fixture Proposed Demand (kW)]]+ReviewCalcs[[#This Row],[Control Proposed Demand (kW)]]</f>
        <v>#VALUE!</v>
      </c>
      <c r="BB48" s="118">
        <f>ReviewCalcs[[#This Row],[Fixture Demand Savings (kW)]]+ReviewCalcs[[#This Row],[Control Demand Savings (kW)]]</f>
        <v>0</v>
      </c>
      <c r="BC48" s="118">
        <f>ReviewCalcs[[#This Row],[Fixture Existing Energy (kWh)]]+ReviewCalcs[[#This Row],[Control Existing Energy (kWh)]]</f>
        <v>0</v>
      </c>
      <c r="BD48" s="118">
        <f>ReviewCalcs[[#This Row],[Fixture Proposed Energy (kWh)]]+ReviewCalcs[[#This Row],[Control Proposed Energy (kWh)]]</f>
        <v>0</v>
      </c>
      <c r="BE48" s="118">
        <f>ReviewCalcs[[#This Row],[Fixture Energy Savings]]+ReviewCalcs[[#This Row],[Control Energy Savings (kWh)]]</f>
        <v>0</v>
      </c>
      <c r="BF48" s="118">
        <f>ReviewCalcs[[#This Row],[Fixture Existing Cost ($)]]+ReviewCalcs[[#This Row],[Control Existing Cost ($)]]</f>
        <v>0</v>
      </c>
      <c r="BG48" s="118">
        <f>ReviewCalcs[[#This Row],[Fixture Proposed Cost ($)]]+ReviewCalcs[[#This Row],[Controls Proposed Cost ($)]]</f>
        <v>0</v>
      </c>
      <c r="BH48" s="70">
        <f>ReviewCalcs[[#This Row],[Total Energy Savings (kWh)]]*Avg_KWh_Rate</f>
        <v>0</v>
      </c>
      <c r="BI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8" s="70">
        <f>ReviewCalcs[[#This Row],[Retrofit Cost]]</f>
        <v>0</v>
      </c>
      <c r="BK48" s="70">
        <f>ReviewCalcs[[#This Row],[Retrofit Cost]]-ReviewCalcs[[#This Row],[Incentive ($)]]</f>
        <v>0</v>
      </c>
      <c r="BL48" s="118" t="e">
        <f>IFERROR(ReviewCalcs[[#This Row],[Net Project Cost ($)]]/ReviewCalcs[[#This Row],[Fixture Energy Cost Savings ($)]], #N/A)</f>
        <v>#N/A</v>
      </c>
      <c r="BM48" s="118" t="e">
        <f>IF(VLOOKUP(ReviewCalcs[[#This Row],[Existing Fixture Code]], Table7[[FIXTURE CODE]:[Baseline Fixture Code]], 8, FALSE)="N", VLOOKUP(ReviewCalcs[[#This Row],[Existing Fixture Code]], Table7[[FIXTURE CODE]:[Baseline Fixture Code]], 9, FALSE), ReviewCalcs[[#This Row],[Existing Fixture Code]])</f>
        <v>#N/A</v>
      </c>
      <c r="BN48" s="118" t="e">
        <f>INDEX(Table7[WATT/ FIXT], MATCH(ReviewCalcs[Baseline Fixture Code], Table7[FIXTURE CODE], 0))</f>
        <v>#N/A</v>
      </c>
      <c r="BO48" s="118">
        <f>IFERROR((ReviewCalcs[[#This Row],[Existing Fixture Quantity]]*ReviewCalcs[[#This Row],[Baseline Fixture Watts]]/1000-ReviewCalcs[[#This Row],[Proposed Fixture Quantity]]*ReviewCalcs[[#This Row],[Proposed Fixture Watts]]/1000)*ReviewCalcs[[#This Row],[Existing CF]]*ReviewCalcs[[#This Row],[IEFD]], 0)</f>
        <v>0</v>
      </c>
      <c r="BP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8" s="118">
        <f>IF(ReviewCalcs[[#This Row],[Existing CF]]=ReviewCalcs[[#This Row],[Proposed CF]], 0, ReviewCalcs[[#This Row],[Proposed Fixture Quantity]]*ReviewCalcs[[#This Row],[Proposed Fixture Watts]]/1000*ReviewCalcs[[#This Row],[Proposed CF]]*ReviewCalcs[[#This Row],[IEFD]])</f>
        <v>0</v>
      </c>
      <c r="BR48" s="118">
        <f>IFERROR(ReviewCalcs[[#This Row],[Proposed Fixture Quantity]]*ReviewCalcs[[#This Row],[Proposed Fixture Watts]]/1000*(ReviewCalcs[[#This Row],[Existing PAF]]-ReviewCalcs[[#This Row],[Proposed PAF]])*ReviewCalcs[[#This Row],[AOH]]*ReviewCalcs[[#This Row],[IEFE]],0)</f>
        <v>0</v>
      </c>
      <c r="BS48" s="118">
        <f>ReviewCalcs[[#This Row],[Incentive Fixture Demand Savings (kW)]]+ReviewCalcs[[#This Row],[Incentive Control Demand Savings (kW)]]</f>
        <v>0</v>
      </c>
      <c r="BT48" s="118">
        <f>ReviewCalcs[[#This Row],[Incentive Fixture Energy Savings (kWh)]]+ReviewCalcs[[#This Row],[Incentive Control Energy Savings (kWh)]]</f>
        <v>0</v>
      </c>
      <c r="BU48" s="73"/>
    </row>
    <row r="49" spans="1:73" ht="30" customHeight="1">
      <c r="A49" s="68">
        <v>46</v>
      </c>
      <c r="B49" s="96">
        <f>VLOOKUP(ReviewCalcs[[#This Row],[Project Index]], ProjectInput[], D$1, FALSE)</f>
        <v>0</v>
      </c>
      <c r="C49" s="97">
        <f>VLOOKUP(ReviewCalcs[[#This Row],[Project Index]], ProjectInput[], E$1, FALSE)</f>
        <v>0</v>
      </c>
      <c r="D49" s="97">
        <f>VLOOKUP(ReviewCalcs[[#This Row],[Project Index]], ProjectInput[], F$1, FALSE)</f>
        <v>0</v>
      </c>
      <c r="E49" s="97">
        <f>VLOOKUP(ReviewCalcs[[#This Row],[Project Index]], ProjectInput[], G$1, FALSE)</f>
        <v>0</v>
      </c>
      <c r="F49" s="97">
        <f>VLOOKUP(ReviewCalcs[[#This Row],[Project Index]], ProjectInput[], H$1, FALSE)</f>
        <v>0</v>
      </c>
      <c r="G49" s="98" t="str">
        <f>VLOOKUP(ReviewCalcs[[#This Row],[Project Index]], ProjectInput[], I$1, FALSE)</f>
        <v/>
      </c>
      <c r="H49" s="96">
        <f>VLOOKUP(ReviewCalcs[[#This Row],[Project Index]], ProjectInput[], J$1, FALSE)</f>
        <v>0</v>
      </c>
      <c r="I49" s="97">
        <f>VLOOKUP(ReviewCalcs[[#This Row],[Project Index]], ProjectInput[], K$1, FALSE)</f>
        <v>0</v>
      </c>
      <c r="J49" s="97">
        <f>VLOOKUP(ReviewCalcs[[#This Row],[Project Index]], ProjectInput[], L$1, FALSE)</f>
        <v>0</v>
      </c>
      <c r="K49" s="97">
        <f>VLOOKUP(ReviewCalcs[[#This Row],[Project Index]], ProjectInput[], M$1, FALSE)</f>
        <v>0</v>
      </c>
      <c r="L49" s="97">
        <f>VLOOKUP(ReviewCalcs[[#This Row],[Project Index]], ProjectInput[], N$1, FALSE)</f>
        <v>0</v>
      </c>
      <c r="M49" s="98" t="str">
        <f>VLOOKUP(ReviewCalcs[[#This Row],[Project Index]], ProjectInput[], O$1, FALSE)</f>
        <v/>
      </c>
      <c r="N49" s="96">
        <f>VLOOKUP(ReviewCalcs[[#This Row],[Project Index]], ProjectInput[], P$1, FALSE)</f>
        <v>0</v>
      </c>
      <c r="O49" s="97">
        <f>VLOOKUP(ReviewCalcs[[#This Row],[Project Index]], ProjectInput[], Q$1, FALSE)</f>
        <v>0</v>
      </c>
      <c r="P49" s="97">
        <f>VLOOKUP(ReviewCalcs[[#This Row],[Project Index]], ProjectInput[], R$1, FALSE)</f>
        <v>0</v>
      </c>
      <c r="Q49" s="97">
        <f>VLOOKUP(ReviewCalcs[[#This Row],[Project Index]], ProjectInput[], S$1, FALSE)</f>
        <v>0</v>
      </c>
      <c r="R49" s="97">
        <f>VLOOKUP(ReviewCalcs[[#This Row],[Project Index]], ProjectInput[], T$1, FALSE)</f>
        <v>0</v>
      </c>
      <c r="S49" s="97">
        <f>VLOOKUP(ReviewCalcs[[#This Row],[Project Index]], ProjectInput[], U$1, FALSE)</f>
        <v>0</v>
      </c>
      <c r="T49" s="97">
        <f>VLOOKUP(ReviewCalcs[[#This Row],[Project Index]], ProjectInput[], V$1, FALSE)</f>
        <v>0</v>
      </c>
      <c r="U49" s="97">
        <f>VLOOKUP(ReviewCalcs[[#This Row],[Project Index]], ProjectInput[], W$1, FALSE)</f>
        <v>0</v>
      </c>
      <c r="V49" s="98" t="str">
        <f>VLOOKUP(ReviewCalcs[[#This Row],[Project Index]], ProjectInput[], X$1, FALSE)</f>
        <v/>
      </c>
      <c r="W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49" s="75" t="e">
        <f>IF(VLOOKUP(ReviewCalcs[[#This Row],[Proposed Fixture Code]], Table7[[FIXTURE CODE]:[Baseline Fixture Code]], 8, FALSE)="N", "ERROR", "PASS")</f>
        <v>#N/A</v>
      </c>
      <c r="Y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49" s="75" t="e">
        <f>IF(OR(ReviewCalcs[[#This Row],[Baseline Fixture Watts]]&gt;=ReviewCalcs[[#This Row],[Proposed Fixture Watts]],ReviewCalcs[[#This Row],[Existing Fixture Watts]]&gt;=ReviewCalcs[[#This Row],[Proposed Fixture Watts]] ), "PASS", "ERROR")</f>
        <v>#N/A</v>
      </c>
      <c r="AA49" s="69" t="e">
        <f>VLOOKUP(ReviewCalcs[[#This Row],[Space Conditions]], Table_365[], 5, FALSE)</f>
        <v>#N/A</v>
      </c>
      <c r="AB49" s="68" t="str">
        <f>ReviewCalcs[[#This Row],[Annual Hours]]</f>
        <v/>
      </c>
      <c r="AC49" s="68" t="e">
        <f>VLOOKUP(ReviewCalcs[[#This Row],[Space Conditions]], Table_365[], 6, FALSE)</f>
        <v>#N/A</v>
      </c>
      <c r="AD49" s="68">
        <f>IF(ReviewCalcs[[#This Row],[Existing Control(s)]]='Tables &amp; Ranges'!$A$25, VLOOKUP(ReviewCalcs[[#This Row],[Building/Space Type]], Table_364[], 3, FALSE), CF_Contols)</f>
        <v>0.26</v>
      </c>
      <c r="AE49" s="68" t="e">
        <f>VLOOKUP(ReviewCalcs[[#This Row],[Existing Control(s)]], Table_358[], 2, FALSE)</f>
        <v>#N/A</v>
      </c>
      <c r="AF49" s="68">
        <f>IF(ReviewCalcs[[#This Row],[Proposed Control(s)]]='Tables &amp; Ranges'!$A$25, VLOOKUP(ReviewCalcs[[#This Row],[Building/Space Type]], Table_364[], 3, FALSE), CF_Contols)</f>
        <v>0.26</v>
      </c>
      <c r="AG49" s="68" t="e">
        <f>VLOOKUP(ReviewCalcs[[#This Row],[Proposed Control(s)]], Table_358[], 2, FALSE)</f>
        <v>#N/A</v>
      </c>
      <c r="AH49" s="68">
        <f>IFERROR((ReviewCalcs[[#This Row],[Existing Fixture Quantity]]*ReviewCalcs[[#This Row],[Existing Fixture Watts]]/1000)*ReviewCalcs[[#This Row],[Existing CF]]*ReviewCalcs[[#This Row],[IEFD]], 0)</f>
        <v>0</v>
      </c>
      <c r="AI49" s="68">
        <f>IFERROR((ReviewCalcs[[#This Row],[Proposed Fixture Quantity]]*ReviewCalcs[[#This Row],[Proposed Fixture Watts]]/1000)*ReviewCalcs[[#This Row],[Existing CF]]*ReviewCalcs[[#This Row],[IEFD]], 0)</f>
        <v>0</v>
      </c>
      <c r="AJ49" s="118">
        <f>IFERROR((ReviewCalcs[[#This Row],[Existing Fixture Quantity]]*ReviewCalcs[[#This Row],[Existing Fixture Watts]]/1000-ReviewCalcs[[#This Row],[Proposed Fixture Quantity]]*ReviewCalcs[[#This Row],[Proposed Fixture Watts]]/1000)*ReviewCalcs[[#This Row],[Existing CF]]*ReviewCalcs[[#This Row],[IEFD]], 0)</f>
        <v>0</v>
      </c>
      <c r="AK49" s="118">
        <f>IFERROR((ReviewCalcs[[#This Row],[Existing Fixture Quantity]]*ReviewCalcs[[#This Row],[Existing Fixture Watts]]/1000)*ReviewCalcs[[#This Row],[AOH]]*ReviewCalcs[[#This Row],[IEFE]]*ReviewCalcs[[#This Row],[Existing PAF]], 0)</f>
        <v>0</v>
      </c>
      <c r="AL49" s="118">
        <f>IFERROR((ReviewCalcs[[#This Row],[Proposed Fixture Quantity]]*ReviewCalcs[[#This Row],[Proposed Fixture Watts]]/1000)*ReviewCalcs[[#This Row],[AOH]]*ReviewCalcs[[#This Row],[IEFE]]*ReviewCalcs[[#This Row],[Existing PAF]], 0)</f>
        <v>0</v>
      </c>
      <c r="AM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49" s="118">
        <f>ReviewCalcs[[#This Row],[Fixture Existing Energy (kWh)]]*Avg_KWh_Rate</f>
        <v>0</v>
      </c>
      <c r="AO49" s="118">
        <f>ReviewCalcs[[#This Row],[Fixture Proposed Energy (kWh)]]*Avg_KWh_Rate</f>
        <v>0</v>
      </c>
      <c r="AP49" s="70">
        <f>ReviewCalcs[[#This Row],[Fixture Energy Savings]]*Avg_KWh_Rate</f>
        <v>0</v>
      </c>
      <c r="AQ49" s="129" t="e">
        <f>ReviewCalcs[[#This Row],[Existing Fixture Quantity]]*ReviewCalcs[[#This Row],[Existing Fixture Watts]]/1000*ReviewCalcs[[#This Row],[Existing CF]]*ReviewCalcs[[#This Row],[IEFD]]</f>
        <v>#VALUE!</v>
      </c>
      <c r="AR49" s="129" t="e">
        <f>ReviewCalcs[[#This Row],[Proposed Fixture Quantity]]*ReviewCalcs[[#This Row],[Proposed Fixture Watts]]/1000*ReviewCalcs[[#This Row],[Proposed CF]]*ReviewCalcs[[#This Row],[IEFD]]</f>
        <v>#VALUE!</v>
      </c>
      <c r="AS49" s="118">
        <f>IF(ReviewCalcs[[#This Row],[Existing CF]]=ReviewCalcs[[#This Row],[Proposed CF]], 0, ReviewCalcs[[#This Row],[Proposed Fixture Quantity]]*ReviewCalcs[[#This Row],[Proposed Fixture Watts]]/1000*ReviewCalcs[[#This Row],[Proposed CF]]*ReviewCalcs[[#This Row],[IEFD]])</f>
        <v>0</v>
      </c>
      <c r="AT49" s="118">
        <f>IFERROR(ReviewCalcs[[#This Row],[Existing Fixture Quantity]]*ReviewCalcs[[#This Row],[Existing Fixture Watts]]/1000*ReviewCalcs[[#This Row],[Existing PAF]]*ReviewCalcs[[#This Row],[AOH]]*ReviewCalcs[[#This Row],[IEFE]], 0)</f>
        <v>0</v>
      </c>
      <c r="AU49" s="118">
        <f>IFERROR(ReviewCalcs[[#This Row],[Proposed Fixture Quantity]]*ReviewCalcs[[#This Row],[Proposed Fixture Watts]]/1000*ReviewCalcs[[#This Row],[Proposed PAF]]*ReviewCalcs[[#This Row],[AOH]]*ReviewCalcs[[#This Row],[IEFE]], 0)</f>
        <v>0</v>
      </c>
      <c r="AV49" s="118">
        <f>IFERROR(ReviewCalcs[[#This Row],[Proposed Fixture Quantity]]*ReviewCalcs[[#This Row],[Proposed Fixture Watts]]/1000*(ReviewCalcs[[#This Row],[Existing PAF]]-ReviewCalcs[[#This Row],[Proposed PAF]])*ReviewCalcs[[#This Row],[AOH]]*ReviewCalcs[[#This Row],[IEFE]], 0)</f>
        <v>0</v>
      </c>
      <c r="AW49" s="118">
        <f>ReviewCalcs[[#This Row],[Control Existing Energy (kWh)]]*kWh_Incentive_Rate</f>
        <v>0</v>
      </c>
      <c r="AX49" s="118">
        <f>ReviewCalcs[[#This Row],[Control Proposed Energy (kWh)]]*kWh_Incentive_Rate</f>
        <v>0</v>
      </c>
      <c r="AY49" s="70">
        <f>ReviewCalcs[[#This Row],[Control Energy Savings (kWh)]]*kWh_Incentive_Rate</f>
        <v>0</v>
      </c>
      <c r="AZ49" s="70" t="e">
        <f>ReviewCalcs[[#This Row],[Fixture Existing Demand (kW)]]+ReviewCalcs[[#This Row],[Control Existing Demand (kW)]]</f>
        <v>#VALUE!</v>
      </c>
      <c r="BA49" s="70" t="e">
        <f>ReviewCalcs[[#This Row],[Fixture Proposed Demand (kW)]]+ReviewCalcs[[#This Row],[Control Proposed Demand (kW)]]</f>
        <v>#VALUE!</v>
      </c>
      <c r="BB49" s="118">
        <f>ReviewCalcs[[#This Row],[Fixture Demand Savings (kW)]]+ReviewCalcs[[#This Row],[Control Demand Savings (kW)]]</f>
        <v>0</v>
      </c>
      <c r="BC49" s="118">
        <f>ReviewCalcs[[#This Row],[Fixture Existing Energy (kWh)]]+ReviewCalcs[[#This Row],[Control Existing Energy (kWh)]]</f>
        <v>0</v>
      </c>
      <c r="BD49" s="118">
        <f>ReviewCalcs[[#This Row],[Fixture Proposed Energy (kWh)]]+ReviewCalcs[[#This Row],[Control Proposed Energy (kWh)]]</f>
        <v>0</v>
      </c>
      <c r="BE49" s="118">
        <f>ReviewCalcs[[#This Row],[Fixture Energy Savings]]+ReviewCalcs[[#This Row],[Control Energy Savings (kWh)]]</f>
        <v>0</v>
      </c>
      <c r="BF49" s="118">
        <f>ReviewCalcs[[#This Row],[Fixture Existing Cost ($)]]+ReviewCalcs[[#This Row],[Control Existing Cost ($)]]</f>
        <v>0</v>
      </c>
      <c r="BG49" s="118">
        <f>ReviewCalcs[[#This Row],[Fixture Proposed Cost ($)]]+ReviewCalcs[[#This Row],[Controls Proposed Cost ($)]]</f>
        <v>0</v>
      </c>
      <c r="BH49" s="70">
        <f>ReviewCalcs[[#This Row],[Total Energy Savings (kWh)]]*Avg_KWh_Rate</f>
        <v>0</v>
      </c>
      <c r="BI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49" s="70">
        <f>ReviewCalcs[[#This Row],[Retrofit Cost]]</f>
        <v>0</v>
      </c>
      <c r="BK49" s="70">
        <f>ReviewCalcs[[#This Row],[Retrofit Cost]]-ReviewCalcs[[#This Row],[Incentive ($)]]</f>
        <v>0</v>
      </c>
      <c r="BL49" s="118" t="e">
        <f>IFERROR(ReviewCalcs[[#This Row],[Net Project Cost ($)]]/ReviewCalcs[[#This Row],[Fixture Energy Cost Savings ($)]], #N/A)</f>
        <v>#N/A</v>
      </c>
      <c r="BM49" s="118" t="e">
        <f>IF(VLOOKUP(ReviewCalcs[[#This Row],[Existing Fixture Code]], Table7[[FIXTURE CODE]:[Baseline Fixture Code]], 8, FALSE)="N", VLOOKUP(ReviewCalcs[[#This Row],[Existing Fixture Code]], Table7[[FIXTURE CODE]:[Baseline Fixture Code]], 9, FALSE), ReviewCalcs[[#This Row],[Existing Fixture Code]])</f>
        <v>#N/A</v>
      </c>
      <c r="BN49" s="118" t="e">
        <f>INDEX(Table7[WATT/ FIXT], MATCH(ReviewCalcs[Baseline Fixture Code], Table7[FIXTURE CODE], 0))</f>
        <v>#N/A</v>
      </c>
      <c r="BO49" s="118">
        <f>IFERROR((ReviewCalcs[[#This Row],[Existing Fixture Quantity]]*ReviewCalcs[[#This Row],[Baseline Fixture Watts]]/1000-ReviewCalcs[[#This Row],[Proposed Fixture Quantity]]*ReviewCalcs[[#This Row],[Proposed Fixture Watts]]/1000)*ReviewCalcs[[#This Row],[Existing CF]]*ReviewCalcs[[#This Row],[IEFD]], 0)</f>
        <v>0</v>
      </c>
      <c r="BP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49" s="118">
        <f>IF(ReviewCalcs[[#This Row],[Existing CF]]=ReviewCalcs[[#This Row],[Proposed CF]], 0, ReviewCalcs[[#This Row],[Proposed Fixture Quantity]]*ReviewCalcs[[#This Row],[Proposed Fixture Watts]]/1000*ReviewCalcs[[#This Row],[Proposed CF]]*ReviewCalcs[[#This Row],[IEFD]])</f>
        <v>0</v>
      </c>
      <c r="BR49" s="118">
        <f>IFERROR(ReviewCalcs[[#This Row],[Proposed Fixture Quantity]]*ReviewCalcs[[#This Row],[Proposed Fixture Watts]]/1000*(ReviewCalcs[[#This Row],[Existing PAF]]-ReviewCalcs[[#This Row],[Proposed PAF]])*ReviewCalcs[[#This Row],[AOH]]*ReviewCalcs[[#This Row],[IEFE]],0)</f>
        <v>0</v>
      </c>
      <c r="BS49" s="118">
        <f>ReviewCalcs[[#This Row],[Incentive Fixture Demand Savings (kW)]]+ReviewCalcs[[#This Row],[Incentive Control Demand Savings (kW)]]</f>
        <v>0</v>
      </c>
      <c r="BT49" s="118">
        <f>ReviewCalcs[[#This Row],[Incentive Fixture Energy Savings (kWh)]]+ReviewCalcs[[#This Row],[Incentive Control Energy Savings (kWh)]]</f>
        <v>0</v>
      </c>
      <c r="BU49" s="73"/>
    </row>
    <row r="50" spans="1:73" ht="30" customHeight="1">
      <c r="A50" s="68">
        <v>47</v>
      </c>
      <c r="B50" s="96">
        <f>VLOOKUP(ReviewCalcs[[#This Row],[Project Index]], ProjectInput[], D$1, FALSE)</f>
        <v>0</v>
      </c>
      <c r="C50" s="97">
        <f>VLOOKUP(ReviewCalcs[[#This Row],[Project Index]], ProjectInput[], E$1, FALSE)</f>
        <v>0</v>
      </c>
      <c r="D50" s="97">
        <f>VLOOKUP(ReviewCalcs[[#This Row],[Project Index]], ProjectInput[], F$1, FALSE)</f>
        <v>0</v>
      </c>
      <c r="E50" s="97">
        <f>VLOOKUP(ReviewCalcs[[#This Row],[Project Index]], ProjectInput[], G$1, FALSE)</f>
        <v>0</v>
      </c>
      <c r="F50" s="97">
        <f>VLOOKUP(ReviewCalcs[[#This Row],[Project Index]], ProjectInput[], H$1, FALSE)</f>
        <v>0</v>
      </c>
      <c r="G50" s="98" t="str">
        <f>VLOOKUP(ReviewCalcs[[#This Row],[Project Index]], ProjectInput[], I$1, FALSE)</f>
        <v/>
      </c>
      <c r="H50" s="96">
        <f>VLOOKUP(ReviewCalcs[[#This Row],[Project Index]], ProjectInput[], J$1, FALSE)</f>
        <v>0</v>
      </c>
      <c r="I50" s="97">
        <f>VLOOKUP(ReviewCalcs[[#This Row],[Project Index]], ProjectInput[], K$1, FALSE)</f>
        <v>0</v>
      </c>
      <c r="J50" s="97">
        <f>VLOOKUP(ReviewCalcs[[#This Row],[Project Index]], ProjectInput[], L$1, FALSE)</f>
        <v>0</v>
      </c>
      <c r="K50" s="97">
        <f>VLOOKUP(ReviewCalcs[[#This Row],[Project Index]], ProjectInput[], M$1, FALSE)</f>
        <v>0</v>
      </c>
      <c r="L50" s="97">
        <f>VLOOKUP(ReviewCalcs[[#This Row],[Project Index]], ProjectInput[], N$1, FALSE)</f>
        <v>0</v>
      </c>
      <c r="M50" s="98" t="str">
        <f>VLOOKUP(ReviewCalcs[[#This Row],[Project Index]], ProjectInput[], O$1, FALSE)</f>
        <v/>
      </c>
      <c r="N50" s="96">
        <f>VLOOKUP(ReviewCalcs[[#This Row],[Project Index]], ProjectInput[], P$1, FALSE)</f>
        <v>0</v>
      </c>
      <c r="O50" s="97">
        <f>VLOOKUP(ReviewCalcs[[#This Row],[Project Index]], ProjectInput[], Q$1, FALSE)</f>
        <v>0</v>
      </c>
      <c r="P50" s="97">
        <f>VLOOKUP(ReviewCalcs[[#This Row],[Project Index]], ProjectInput[], R$1, FALSE)</f>
        <v>0</v>
      </c>
      <c r="Q50" s="97">
        <f>VLOOKUP(ReviewCalcs[[#This Row],[Project Index]], ProjectInput[], S$1, FALSE)</f>
        <v>0</v>
      </c>
      <c r="R50" s="97">
        <f>VLOOKUP(ReviewCalcs[[#This Row],[Project Index]], ProjectInput[], T$1, FALSE)</f>
        <v>0</v>
      </c>
      <c r="S50" s="97">
        <f>VLOOKUP(ReviewCalcs[[#This Row],[Project Index]], ProjectInput[], U$1, FALSE)</f>
        <v>0</v>
      </c>
      <c r="T50" s="97">
        <f>VLOOKUP(ReviewCalcs[[#This Row],[Project Index]], ProjectInput[], V$1, FALSE)</f>
        <v>0</v>
      </c>
      <c r="U50" s="97">
        <f>VLOOKUP(ReviewCalcs[[#This Row],[Project Index]], ProjectInput[], W$1, FALSE)</f>
        <v>0</v>
      </c>
      <c r="V50" s="98" t="str">
        <f>VLOOKUP(ReviewCalcs[[#This Row],[Project Index]], ProjectInput[], X$1, FALSE)</f>
        <v/>
      </c>
      <c r="W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0" s="75" t="e">
        <f>IF(VLOOKUP(ReviewCalcs[[#This Row],[Proposed Fixture Code]], Table7[[FIXTURE CODE]:[Baseline Fixture Code]], 8, FALSE)="N", "ERROR", "PASS")</f>
        <v>#N/A</v>
      </c>
      <c r="Y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0" s="75" t="e">
        <f>IF(OR(ReviewCalcs[[#This Row],[Baseline Fixture Watts]]&gt;=ReviewCalcs[[#This Row],[Proposed Fixture Watts]],ReviewCalcs[[#This Row],[Existing Fixture Watts]]&gt;=ReviewCalcs[[#This Row],[Proposed Fixture Watts]] ), "PASS", "ERROR")</f>
        <v>#N/A</v>
      </c>
      <c r="AA50" s="69" t="e">
        <f>VLOOKUP(ReviewCalcs[[#This Row],[Space Conditions]], Table_365[], 5, FALSE)</f>
        <v>#N/A</v>
      </c>
      <c r="AB50" s="68" t="str">
        <f>ReviewCalcs[[#This Row],[Annual Hours]]</f>
        <v/>
      </c>
      <c r="AC50" s="68" t="e">
        <f>VLOOKUP(ReviewCalcs[[#This Row],[Space Conditions]], Table_365[], 6, FALSE)</f>
        <v>#N/A</v>
      </c>
      <c r="AD50" s="68">
        <f>IF(ReviewCalcs[[#This Row],[Existing Control(s)]]='Tables &amp; Ranges'!$A$25, VLOOKUP(ReviewCalcs[[#This Row],[Building/Space Type]], Table_364[], 3, FALSE), CF_Contols)</f>
        <v>0.26</v>
      </c>
      <c r="AE50" s="68" t="e">
        <f>VLOOKUP(ReviewCalcs[[#This Row],[Existing Control(s)]], Table_358[], 2, FALSE)</f>
        <v>#N/A</v>
      </c>
      <c r="AF50" s="68">
        <f>IF(ReviewCalcs[[#This Row],[Proposed Control(s)]]='Tables &amp; Ranges'!$A$25, VLOOKUP(ReviewCalcs[[#This Row],[Building/Space Type]], Table_364[], 3, FALSE), CF_Contols)</f>
        <v>0.26</v>
      </c>
      <c r="AG50" s="68" t="e">
        <f>VLOOKUP(ReviewCalcs[[#This Row],[Proposed Control(s)]], Table_358[], 2, FALSE)</f>
        <v>#N/A</v>
      </c>
      <c r="AH50" s="68">
        <f>IFERROR((ReviewCalcs[[#This Row],[Existing Fixture Quantity]]*ReviewCalcs[[#This Row],[Existing Fixture Watts]]/1000)*ReviewCalcs[[#This Row],[Existing CF]]*ReviewCalcs[[#This Row],[IEFD]], 0)</f>
        <v>0</v>
      </c>
      <c r="AI50" s="68">
        <f>IFERROR((ReviewCalcs[[#This Row],[Proposed Fixture Quantity]]*ReviewCalcs[[#This Row],[Proposed Fixture Watts]]/1000)*ReviewCalcs[[#This Row],[Existing CF]]*ReviewCalcs[[#This Row],[IEFD]], 0)</f>
        <v>0</v>
      </c>
      <c r="AJ50" s="118">
        <f>IFERROR((ReviewCalcs[[#This Row],[Existing Fixture Quantity]]*ReviewCalcs[[#This Row],[Existing Fixture Watts]]/1000-ReviewCalcs[[#This Row],[Proposed Fixture Quantity]]*ReviewCalcs[[#This Row],[Proposed Fixture Watts]]/1000)*ReviewCalcs[[#This Row],[Existing CF]]*ReviewCalcs[[#This Row],[IEFD]], 0)</f>
        <v>0</v>
      </c>
      <c r="AK50" s="118">
        <f>IFERROR((ReviewCalcs[[#This Row],[Existing Fixture Quantity]]*ReviewCalcs[[#This Row],[Existing Fixture Watts]]/1000)*ReviewCalcs[[#This Row],[AOH]]*ReviewCalcs[[#This Row],[IEFE]]*ReviewCalcs[[#This Row],[Existing PAF]], 0)</f>
        <v>0</v>
      </c>
      <c r="AL50" s="118">
        <f>IFERROR((ReviewCalcs[[#This Row],[Proposed Fixture Quantity]]*ReviewCalcs[[#This Row],[Proposed Fixture Watts]]/1000)*ReviewCalcs[[#This Row],[AOH]]*ReviewCalcs[[#This Row],[IEFE]]*ReviewCalcs[[#This Row],[Existing PAF]], 0)</f>
        <v>0</v>
      </c>
      <c r="AM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0" s="118">
        <f>ReviewCalcs[[#This Row],[Fixture Existing Energy (kWh)]]*Avg_KWh_Rate</f>
        <v>0</v>
      </c>
      <c r="AO50" s="118">
        <f>ReviewCalcs[[#This Row],[Fixture Proposed Energy (kWh)]]*Avg_KWh_Rate</f>
        <v>0</v>
      </c>
      <c r="AP50" s="70">
        <f>ReviewCalcs[[#This Row],[Fixture Energy Savings]]*Avg_KWh_Rate</f>
        <v>0</v>
      </c>
      <c r="AQ50" s="129" t="e">
        <f>ReviewCalcs[[#This Row],[Existing Fixture Quantity]]*ReviewCalcs[[#This Row],[Existing Fixture Watts]]/1000*ReviewCalcs[[#This Row],[Existing CF]]*ReviewCalcs[[#This Row],[IEFD]]</f>
        <v>#VALUE!</v>
      </c>
      <c r="AR50" s="129" t="e">
        <f>ReviewCalcs[[#This Row],[Proposed Fixture Quantity]]*ReviewCalcs[[#This Row],[Proposed Fixture Watts]]/1000*ReviewCalcs[[#This Row],[Proposed CF]]*ReviewCalcs[[#This Row],[IEFD]]</f>
        <v>#VALUE!</v>
      </c>
      <c r="AS50" s="118">
        <f>IF(ReviewCalcs[[#This Row],[Existing CF]]=ReviewCalcs[[#This Row],[Proposed CF]], 0, ReviewCalcs[[#This Row],[Proposed Fixture Quantity]]*ReviewCalcs[[#This Row],[Proposed Fixture Watts]]/1000*ReviewCalcs[[#This Row],[Proposed CF]]*ReviewCalcs[[#This Row],[IEFD]])</f>
        <v>0</v>
      </c>
      <c r="AT50" s="118">
        <f>IFERROR(ReviewCalcs[[#This Row],[Existing Fixture Quantity]]*ReviewCalcs[[#This Row],[Existing Fixture Watts]]/1000*ReviewCalcs[[#This Row],[Existing PAF]]*ReviewCalcs[[#This Row],[AOH]]*ReviewCalcs[[#This Row],[IEFE]], 0)</f>
        <v>0</v>
      </c>
      <c r="AU50" s="118">
        <f>IFERROR(ReviewCalcs[[#This Row],[Proposed Fixture Quantity]]*ReviewCalcs[[#This Row],[Proposed Fixture Watts]]/1000*ReviewCalcs[[#This Row],[Proposed PAF]]*ReviewCalcs[[#This Row],[AOH]]*ReviewCalcs[[#This Row],[IEFE]], 0)</f>
        <v>0</v>
      </c>
      <c r="AV50" s="118">
        <f>IFERROR(ReviewCalcs[[#This Row],[Proposed Fixture Quantity]]*ReviewCalcs[[#This Row],[Proposed Fixture Watts]]/1000*(ReviewCalcs[[#This Row],[Existing PAF]]-ReviewCalcs[[#This Row],[Proposed PAF]])*ReviewCalcs[[#This Row],[AOH]]*ReviewCalcs[[#This Row],[IEFE]], 0)</f>
        <v>0</v>
      </c>
      <c r="AW50" s="118">
        <f>ReviewCalcs[[#This Row],[Control Existing Energy (kWh)]]*kWh_Incentive_Rate</f>
        <v>0</v>
      </c>
      <c r="AX50" s="118">
        <f>ReviewCalcs[[#This Row],[Control Proposed Energy (kWh)]]*kWh_Incentive_Rate</f>
        <v>0</v>
      </c>
      <c r="AY50" s="70">
        <f>ReviewCalcs[[#This Row],[Control Energy Savings (kWh)]]*kWh_Incentive_Rate</f>
        <v>0</v>
      </c>
      <c r="AZ50" s="70" t="e">
        <f>ReviewCalcs[[#This Row],[Fixture Existing Demand (kW)]]+ReviewCalcs[[#This Row],[Control Existing Demand (kW)]]</f>
        <v>#VALUE!</v>
      </c>
      <c r="BA50" s="70" t="e">
        <f>ReviewCalcs[[#This Row],[Fixture Proposed Demand (kW)]]+ReviewCalcs[[#This Row],[Control Proposed Demand (kW)]]</f>
        <v>#VALUE!</v>
      </c>
      <c r="BB50" s="118">
        <f>ReviewCalcs[[#This Row],[Fixture Demand Savings (kW)]]+ReviewCalcs[[#This Row],[Control Demand Savings (kW)]]</f>
        <v>0</v>
      </c>
      <c r="BC50" s="118">
        <f>ReviewCalcs[[#This Row],[Fixture Existing Energy (kWh)]]+ReviewCalcs[[#This Row],[Control Existing Energy (kWh)]]</f>
        <v>0</v>
      </c>
      <c r="BD50" s="118">
        <f>ReviewCalcs[[#This Row],[Fixture Proposed Energy (kWh)]]+ReviewCalcs[[#This Row],[Control Proposed Energy (kWh)]]</f>
        <v>0</v>
      </c>
      <c r="BE50" s="118">
        <f>ReviewCalcs[[#This Row],[Fixture Energy Savings]]+ReviewCalcs[[#This Row],[Control Energy Savings (kWh)]]</f>
        <v>0</v>
      </c>
      <c r="BF50" s="118">
        <f>ReviewCalcs[[#This Row],[Fixture Existing Cost ($)]]+ReviewCalcs[[#This Row],[Control Existing Cost ($)]]</f>
        <v>0</v>
      </c>
      <c r="BG50" s="118">
        <f>ReviewCalcs[[#This Row],[Fixture Proposed Cost ($)]]+ReviewCalcs[[#This Row],[Controls Proposed Cost ($)]]</f>
        <v>0</v>
      </c>
      <c r="BH50" s="70">
        <f>ReviewCalcs[[#This Row],[Total Energy Savings (kWh)]]*Avg_KWh_Rate</f>
        <v>0</v>
      </c>
      <c r="BI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0" s="70">
        <f>ReviewCalcs[[#This Row],[Retrofit Cost]]</f>
        <v>0</v>
      </c>
      <c r="BK50" s="70">
        <f>ReviewCalcs[[#This Row],[Retrofit Cost]]-ReviewCalcs[[#This Row],[Incentive ($)]]</f>
        <v>0</v>
      </c>
      <c r="BL50" s="118" t="e">
        <f>IFERROR(ReviewCalcs[[#This Row],[Net Project Cost ($)]]/ReviewCalcs[[#This Row],[Fixture Energy Cost Savings ($)]], #N/A)</f>
        <v>#N/A</v>
      </c>
      <c r="BM50" s="118" t="e">
        <f>IF(VLOOKUP(ReviewCalcs[[#This Row],[Existing Fixture Code]], Table7[[FIXTURE CODE]:[Baseline Fixture Code]], 8, FALSE)="N", VLOOKUP(ReviewCalcs[[#This Row],[Existing Fixture Code]], Table7[[FIXTURE CODE]:[Baseline Fixture Code]], 9, FALSE), ReviewCalcs[[#This Row],[Existing Fixture Code]])</f>
        <v>#N/A</v>
      </c>
      <c r="BN50" s="118" t="e">
        <f>INDEX(Table7[WATT/ FIXT], MATCH(ReviewCalcs[Baseline Fixture Code], Table7[FIXTURE CODE], 0))</f>
        <v>#N/A</v>
      </c>
      <c r="BO50" s="118">
        <f>IFERROR((ReviewCalcs[[#This Row],[Existing Fixture Quantity]]*ReviewCalcs[[#This Row],[Baseline Fixture Watts]]/1000-ReviewCalcs[[#This Row],[Proposed Fixture Quantity]]*ReviewCalcs[[#This Row],[Proposed Fixture Watts]]/1000)*ReviewCalcs[[#This Row],[Existing CF]]*ReviewCalcs[[#This Row],[IEFD]], 0)</f>
        <v>0</v>
      </c>
      <c r="BP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0" s="118">
        <f>IF(ReviewCalcs[[#This Row],[Existing CF]]=ReviewCalcs[[#This Row],[Proposed CF]], 0, ReviewCalcs[[#This Row],[Proposed Fixture Quantity]]*ReviewCalcs[[#This Row],[Proposed Fixture Watts]]/1000*ReviewCalcs[[#This Row],[Proposed CF]]*ReviewCalcs[[#This Row],[IEFD]])</f>
        <v>0</v>
      </c>
      <c r="BR50" s="118">
        <f>IFERROR(ReviewCalcs[[#This Row],[Proposed Fixture Quantity]]*ReviewCalcs[[#This Row],[Proposed Fixture Watts]]/1000*(ReviewCalcs[[#This Row],[Existing PAF]]-ReviewCalcs[[#This Row],[Proposed PAF]])*ReviewCalcs[[#This Row],[AOH]]*ReviewCalcs[[#This Row],[IEFE]],0)</f>
        <v>0</v>
      </c>
      <c r="BS50" s="118">
        <f>ReviewCalcs[[#This Row],[Incentive Fixture Demand Savings (kW)]]+ReviewCalcs[[#This Row],[Incentive Control Demand Savings (kW)]]</f>
        <v>0</v>
      </c>
      <c r="BT50" s="118">
        <f>ReviewCalcs[[#This Row],[Incentive Fixture Energy Savings (kWh)]]+ReviewCalcs[[#This Row],[Incentive Control Energy Savings (kWh)]]</f>
        <v>0</v>
      </c>
      <c r="BU50" s="73"/>
    </row>
    <row r="51" spans="1:73" ht="30" customHeight="1">
      <c r="A51" s="68">
        <v>48</v>
      </c>
      <c r="B51" s="96">
        <f>VLOOKUP(ReviewCalcs[[#This Row],[Project Index]], ProjectInput[], D$1, FALSE)</f>
        <v>0</v>
      </c>
      <c r="C51" s="97">
        <f>VLOOKUP(ReviewCalcs[[#This Row],[Project Index]], ProjectInput[], E$1, FALSE)</f>
        <v>0</v>
      </c>
      <c r="D51" s="97">
        <f>VLOOKUP(ReviewCalcs[[#This Row],[Project Index]], ProjectInput[], F$1, FALSE)</f>
        <v>0</v>
      </c>
      <c r="E51" s="97">
        <f>VLOOKUP(ReviewCalcs[[#This Row],[Project Index]], ProjectInput[], G$1, FALSE)</f>
        <v>0</v>
      </c>
      <c r="F51" s="97">
        <f>VLOOKUP(ReviewCalcs[[#This Row],[Project Index]], ProjectInput[], H$1, FALSE)</f>
        <v>0</v>
      </c>
      <c r="G51" s="98" t="str">
        <f>VLOOKUP(ReviewCalcs[[#This Row],[Project Index]], ProjectInput[], I$1, FALSE)</f>
        <v/>
      </c>
      <c r="H51" s="96">
        <f>VLOOKUP(ReviewCalcs[[#This Row],[Project Index]], ProjectInput[], J$1, FALSE)</f>
        <v>0</v>
      </c>
      <c r="I51" s="97">
        <f>VLOOKUP(ReviewCalcs[[#This Row],[Project Index]], ProjectInput[], K$1, FALSE)</f>
        <v>0</v>
      </c>
      <c r="J51" s="97">
        <f>VLOOKUP(ReviewCalcs[[#This Row],[Project Index]], ProjectInput[], L$1, FALSE)</f>
        <v>0</v>
      </c>
      <c r="K51" s="97">
        <f>VLOOKUP(ReviewCalcs[[#This Row],[Project Index]], ProjectInput[], M$1, FALSE)</f>
        <v>0</v>
      </c>
      <c r="L51" s="97">
        <f>VLOOKUP(ReviewCalcs[[#This Row],[Project Index]], ProjectInput[], N$1, FALSE)</f>
        <v>0</v>
      </c>
      <c r="M51" s="98" t="str">
        <f>VLOOKUP(ReviewCalcs[[#This Row],[Project Index]], ProjectInput[], O$1, FALSE)</f>
        <v/>
      </c>
      <c r="N51" s="96">
        <f>VLOOKUP(ReviewCalcs[[#This Row],[Project Index]], ProjectInput[], P$1, FALSE)</f>
        <v>0</v>
      </c>
      <c r="O51" s="97">
        <f>VLOOKUP(ReviewCalcs[[#This Row],[Project Index]], ProjectInput[], Q$1, FALSE)</f>
        <v>0</v>
      </c>
      <c r="P51" s="97">
        <f>VLOOKUP(ReviewCalcs[[#This Row],[Project Index]], ProjectInput[], R$1, FALSE)</f>
        <v>0</v>
      </c>
      <c r="Q51" s="97">
        <f>VLOOKUP(ReviewCalcs[[#This Row],[Project Index]], ProjectInput[], S$1, FALSE)</f>
        <v>0</v>
      </c>
      <c r="R51" s="97">
        <f>VLOOKUP(ReviewCalcs[[#This Row],[Project Index]], ProjectInput[], T$1, FALSE)</f>
        <v>0</v>
      </c>
      <c r="S51" s="97">
        <f>VLOOKUP(ReviewCalcs[[#This Row],[Project Index]], ProjectInput[], U$1, FALSE)</f>
        <v>0</v>
      </c>
      <c r="T51" s="97">
        <f>VLOOKUP(ReviewCalcs[[#This Row],[Project Index]], ProjectInput[], V$1, FALSE)</f>
        <v>0</v>
      </c>
      <c r="U51" s="97">
        <f>VLOOKUP(ReviewCalcs[[#This Row],[Project Index]], ProjectInput[], W$1, FALSE)</f>
        <v>0</v>
      </c>
      <c r="V51" s="98" t="str">
        <f>VLOOKUP(ReviewCalcs[[#This Row],[Project Index]], ProjectInput[], X$1, FALSE)</f>
        <v/>
      </c>
      <c r="W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1" s="75" t="e">
        <f>IF(VLOOKUP(ReviewCalcs[[#This Row],[Proposed Fixture Code]], Table7[[FIXTURE CODE]:[Baseline Fixture Code]], 8, FALSE)="N", "ERROR", "PASS")</f>
        <v>#N/A</v>
      </c>
      <c r="Y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1" s="75" t="e">
        <f>IF(OR(ReviewCalcs[[#This Row],[Baseline Fixture Watts]]&gt;=ReviewCalcs[[#This Row],[Proposed Fixture Watts]],ReviewCalcs[[#This Row],[Existing Fixture Watts]]&gt;=ReviewCalcs[[#This Row],[Proposed Fixture Watts]] ), "PASS", "ERROR")</f>
        <v>#N/A</v>
      </c>
      <c r="AA51" s="69" t="e">
        <f>VLOOKUP(ReviewCalcs[[#This Row],[Space Conditions]], Table_365[], 5, FALSE)</f>
        <v>#N/A</v>
      </c>
      <c r="AB51" s="68" t="str">
        <f>ReviewCalcs[[#This Row],[Annual Hours]]</f>
        <v/>
      </c>
      <c r="AC51" s="68" t="e">
        <f>VLOOKUP(ReviewCalcs[[#This Row],[Space Conditions]], Table_365[], 6, FALSE)</f>
        <v>#N/A</v>
      </c>
      <c r="AD51" s="68">
        <f>IF(ReviewCalcs[[#This Row],[Existing Control(s)]]='Tables &amp; Ranges'!$A$25, VLOOKUP(ReviewCalcs[[#This Row],[Building/Space Type]], Table_364[], 3, FALSE), CF_Contols)</f>
        <v>0.26</v>
      </c>
      <c r="AE51" s="68" t="e">
        <f>VLOOKUP(ReviewCalcs[[#This Row],[Existing Control(s)]], Table_358[], 2, FALSE)</f>
        <v>#N/A</v>
      </c>
      <c r="AF51" s="68">
        <f>IF(ReviewCalcs[[#This Row],[Proposed Control(s)]]='Tables &amp; Ranges'!$A$25, VLOOKUP(ReviewCalcs[[#This Row],[Building/Space Type]], Table_364[], 3, FALSE), CF_Contols)</f>
        <v>0.26</v>
      </c>
      <c r="AG51" s="68" t="e">
        <f>VLOOKUP(ReviewCalcs[[#This Row],[Proposed Control(s)]], Table_358[], 2, FALSE)</f>
        <v>#N/A</v>
      </c>
      <c r="AH51" s="68">
        <f>IFERROR((ReviewCalcs[[#This Row],[Existing Fixture Quantity]]*ReviewCalcs[[#This Row],[Existing Fixture Watts]]/1000)*ReviewCalcs[[#This Row],[Existing CF]]*ReviewCalcs[[#This Row],[IEFD]], 0)</f>
        <v>0</v>
      </c>
      <c r="AI51" s="68">
        <f>IFERROR((ReviewCalcs[[#This Row],[Proposed Fixture Quantity]]*ReviewCalcs[[#This Row],[Proposed Fixture Watts]]/1000)*ReviewCalcs[[#This Row],[Existing CF]]*ReviewCalcs[[#This Row],[IEFD]], 0)</f>
        <v>0</v>
      </c>
      <c r="AJ51" s="118">
        <f>IFERROR((ReviewCalcs[[#This Row],[Existing Fixture Quantity]]*ReviewCalcs[[#This Row],[Existing Fixture Watts]]/1000-ReviewCalcs[[#This Row],[Proposed Fixture Quantity]]*ReviewCalcs[[#This Row],[Proposed Fixture Watts]]/1000)*ReviewCalcs[[#This Row],[Existing CF]]*ReviewCalcs[[#This Row],[IEFD]], 0)</f>
        <v>0</v>
      </c>
      <c r="AK51" s="118">
        <f>IFERROR((ReviewCalcs[[#This Row],[Existing Fixture Quantity]]*ReviewCalcs[[#This Row],[Existing Fixture Watts]]/1000)*ReviewCalcs[[#This Row],[AOH]]*ReviewCalcs[[#This Row],[IEFE]]*ReviewCalcs[[#This Row],[Existing PAF]], 0)</f>
        <v>0</v>
      </c>
      <c r="AL51" s="118">
        <f>IFERROR((ReviewCalcs[[#This Row],[Proposed Fixture Quantity]]*ReviewCalcs[[#This Row],[Proposed Fixture Watts]]/1000)*ReviewCalcs[[#This Row],[AOH]]*ReviewCalcs[[#This Row],[IEFE]]*ReviewCalcs[[#This Row],[Existing PAF]], 0)</f>
        <v>0</v>
      </c>
      <c r="AM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1" s="118">
        <f>ReviewCalcs[[#This Row],[Fixture Existing Energy (kWh)]]*Avg_KWh_Rate</f>
        <v>0</v>
      </c>
      <c r="AO51" s="118">
        <f>ReviewCalcs[[#This Row],[Fixture Proposed Energy (kWh)]]*Avg_KWh_Rate</f>
        <v>0</v>
      </c>
      <c r="AP51" s="70">
        <f>ReviewCalcs[[#This Row],[Fixture Energy Savings]]*Avg_KWh_Rate</f>
        <v>0</v>
      </c>
      <c r="AQ51" s="129" t="e">
        <f>ReviewCalcs[[#This Row],[Existing Fixture Quantity]]*ReviewCalcs[[#This Row],[Existing Fixture Watts]]/1000*ReviewCalcs[[#This Row],[Existing CF]]*ReviewCalcs[[#This Row],[IEFD]]</f>
        <v>#VALUE!</v>
      </c>
      <c r="AR51" s="129" t="e">
        <f>ReviewCalcs[[#This Row],[Proposed Fixture Quantity]]*ReviewCalcs[[#This Row],[Proposed Fixture Watts]]/1000*ReviewCalcs[[#This Row],[Proposed CF]]*ReviewCalcs[[#This Row],[IEFD]]</f>
        <v>#VALUE!</v>
      </c>
      <c r="AS51" s="118">
        <f>IF(ReviewCalcs[[#This Row],[Existing CF]]=ReviewCalcs[[#This Row],[Proposed CF]], 0, ReviewCalcs[[#This Row],[Proposed Fixture Quantity]]*ReviewCalcs[[#This Row],[Proposed Fixture Watts]]/1000*ReviewCalcs[[#This Row],[Proposed CF]]*ReviewCalcs[[#This Row],[IEFD]])</f>
        <v>0</v>
      </c>
      <c r="AT51" s="118">
        <f>IFERROR(ReviewCalcs[[#This Row],[Existing Fixture Quantity]]*ReviewCalcs[[#This Row],[Existing Fixture Watts]]/1000*ReviewCalcs[[#This Row],[Existing PAF]]*ReviewCalcs[[#This Row],[AOH]]*ReviewCalcs[[#This Row],[IEFE]], 0)</f>
        <v>0</v>
      </c>
      <c r="AU51" s="118">
        <f>IFERROR(ReviewCalcs[[#This Row],[Proposed Fixture Quantity]]*ReviewCalcs[[#This Row],[Proposed Fixture Watts]]/1000*ReviewCalcs[[#This Row],[Proposed PAF]]*ReviewCalcs[[#This Row],[AOH]]*ReviewCalcs[[#This Row],[IEFE]], 0)</f>
        <v>0</v>
      </c>
      <c r="AV51" s="118">
        <f>IFERROR(ReviewCalcs[[#This Row],[Proposed Fixture Quantity]]*ReviewCalcs[[#This Row],[Proposed Fixture Watts]]/1000*(ReviewCalcs[[#This Row],[Existing PAF]]-ReviewCalcs[[#This Row],[Proposed PAF]])*ReviewCalcs[[#This Row],[AOH]]*ReviewCalcs[[#This Row],[IEFE]], 0)</f>
        <v>0</v>
      </c>
      <c r="AW51" s="118">
        <f>ReviewCalcs[[#This Row],[Control Existing Energy (kWh)]]*kWh_Incentive_Rate</f>
        <v>0</v>
      </c>
      <c r="AX51" s="118">
        <f>ReviewCalcs[[#This Row],[Control Proposed Energy (kWh)]]*kWh_Incentive_Rate</f>
        <v>0</v>
      </c>
      <c r="AY51" s="70">
        <f>ReviewCalcs[[#This Row],[Control Energy Savings (kWh)]]*kWh_Incentive_Rate</f>
        <v>0</v>
      </c>
      <c r="AZ51" s="70" t="e">
        <f>ReviewCalcs[[#This Row],[Fixture Existing Demand (kW)]]+ReviewCalcs[[#This Row],[Control Existing Demand (kW)]]</f>
        <v>#VALUE!</v>
      </c>
      <c r="BA51" s="70" t="e">
        <f>ReviewCalcs[[#This Row],[Fixture Proposed Demand (kW)]]+ReviewCalcs[[#This Row],[Control Proposed Demand (kW)]]</f>
        <v>#VALUE!</v>
      </c>
      <c r="BB51" s="118">
        <f>ReviewCalcs[[#This Row],[Fixture Demand Savings (kW)]]+ReviewCalcs[[#This Row],[Control Demand Savings (kW)]]</f>
        <v>0</v>
      </c>
      <c r="BC51" s="118">
        <f>ReviewCalcs[[#This Row],[Fixture Existing Energy (kWh)]]+ReviewCalcs[[#This Row],[Control Existing Energy (kWh)]]</f>
        <v>0</v>
      </c>
      <c r="BD51" s="118">
        <f>ReviewCalcs[[#This Row],[Fixture Proposed Energy (kWh)]]+ReviewCalcs[[#This Row],[Control Proposed Energy (kWh)]]</f>
        <v>0</v>
      </c>
      <c r="BE51" s="118">
        <f>ReviewCalcs[[#This Row],[Fixture Energy Savings]]+ReviewCalcs[[#This Row],[Control Energy Savings (kWh)]]</f>
        <v>0</v>
      </c>
      <c r="BF51" s="118">
        <f>ReviewCalcs[[#This Row],[Fixture Existing Cost ($)]]+ReviewCalcs[[#This Row],[Control Existing Cost ($)]]</f>
        <v>0</v>
      </c>
      <c r="BG51" s="118">
        <f>ReviewCalcs[[#This Row],[Fixture Proposed Cost ($)]]+ReviewCalcs[[#This Row],[Controls Proposed Cost ($)]]</f>
        <v>0</v>
      </c>
      <c r="BH51" s="70">
        <f>ReviewCalcs[[#This Row],[Total Energy Savings (kWh)]]*Avg_KWh_Rate</f>
        <v>0</v>
      </c>
      <c r="BI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1" s="70">
        <f>ReviewCalcs[[#This Row],[Retrofit Cost]]</f>
        <v>0</v>
      </c>
      <c r="BK51" s="70">
        <f>ReviewCalcs[[#This Row],[Retrofit Cost]]-ReviewCalcs[[#This Row],[Incentive ($)]]</f>
        <v>0</v>
      </c>
      <c r="BL51" s="118" t="e">
        <f>IFERROR(ReviewCalcs[[#This Row],[Net Project Cost ($)]]/ReviewCalcs[[#This Row],[Fixture Energy Cost Savings ($)]], #N/A)</f>
        <v>#N/A</v>
      </c>
      <c r="BM51" s="118" t="e">
        <f>IF(VLOOKUP(ReviewCalcs[[#This Row],[Existing Fixture Code]], Table7[[FIXTURE CODE]:[Baseline Fixture Code]], 8, FALSE)="N", VLOOKUP(ReviewCalcs[[#This Row],[Existing Fixture Code]], Table7[[FIXTURE CODE]:[Baseline Fixture Code]], 9, FALSE), ReviewCalcs[[#This Row],[Existing Fixture Code]])</f>
        <v>#N/A</v>
      </c>
      <c r="BN51" s="118" t="e">
        <f>INDEX(Table7[WATT/ FIXT], MATCH(ReviewCalcs[Baseline Fixture Code], Table7[FIXTURE CODE], 0))</f>
        <v>#N/A</v>
      </c>
      <c r="BO51" s="118">
        <f>IFERROR((ReviewCalcs[[#This Row],[Existing Fixture Quantity]]*ReviewCalcs[[#This Row],[Baseline Fixture Watts]]/1000-ReviewCalcs[[#This Row],[Proposed Fixture Quantity]]*ReviewCalcs[[#This Row],[Proposed Fixture Watts]]/1000)*ReviewCalcs[[#This Row],[Existing CF]]*ReviewCalcs[[#This Row],[IEFD]], 0)</f>
        <v>0</v>
      </c>
      <c r="BP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1" s="118">
        <f>IF(ReviewCalcs[[#This Row],[Existing CF]]=ReviewCalcs[[#This Row],[Proposed CF]], 0, ReviewCalcs[[#This Row],[Proposed Fixture Quantity]]*ReviewCalcs[[#This Row],[Proposed Fixture Watts]]/1000*ReviewCalcs[[#This Row],[Proposed CF]]*ReviewCalcs[[#This Row],[IEFD]])</f>
        <v>0</v>
      </c>
      <c r="BR51" s="118">
        <f>IFERROR(ReviewCalcs[[#This Row],[Proposed Fixture Quantity]]*ReviewCalcs[[#This Row],[Proposed Fixture Watts]]/1000*(ReviewCalcs[[#This Row],[Existing PAF]]-ReviewCalcs[[#This Row],[Proposed PAF]])*ReviewCalcs[[#This Row],[AOH]]*ReviewCalcs[[#This Row],[IEFE]],0)</f>
        <v>0</v>
      </c>
      <c r="BS51" s="118">
        <f>ReviewCalcs[[#This Row],[Incentive Fixture Demand Savings (kW)]]+ReviewCalcs[[#This Row],[Incentive Control Demand Savings (kW)]]</f>
        <v>0</v>
      </c>
      <c r="BT51" s="118">
        <f>ReviewCalcs[[#This Row],[Incentive Fixture Energy Savings (kWh)]]+ReviewCalcs[[#This Row],[Incentive Control Energy Savings (kWh)]]</f>
        <v>0</v>
      </c>
      <c r="BU51" s="73"/>
    </row>
    <row r="52" spans="1:73" ht="30" customHeight="1">
      <c r="A52" s="68">
        <v>49</v>
      </c>
      <c r="B52" s="96">
        <f>VLOOKUP(ReviewCalcs[[#This Row],[Project Index]], ProjectInput[], D$1, FALSE)</f>
        <v>0</v>
      </c>
      <c r="C52" s="97">
        <f>VLOOKUP(ReviewCalcs[[#This Row],[Project Index]], ProjectInput[], E$1, FALSE)</f>
        <v>0</v>
      </c>
      <c r="D52" s="97">
        <f>VLOOKUP(ReviewCalcs[[#This Row],[Project Index]], ProjectInput[], F$1, FALSE)</f>
        <v>0</v>
      </c>
      <c r="E52" s="97">
        <f>VLOOKUP(ReviewCalcs[[#This Row],[Project Index]], ProjectInput[], G$1, FALSE)</f>
        <v>0</v>
      </c>
      <c r="F52" s="97">
        <f>VLOOKUP(ReviewCalcs[[#This Row],[Project Index]], ProjectInput[], H$1, FALSE)</f>
        <v>0</v>
      </c>
      <c r="G52" s="98" t="str">
        <f>VLOOKUP(ReviewCalcs[[#This Row],[Project Index]], ProjectInput[], I$1, FALSE)</f>
        <v/>
      </c>
      <c r="H52" s="96">
        <f>VLOOKUP(ReviewCalcs[[#This Row],[Project Index]], ProjectInput[], J$1, FALSE)</f>
        <v>0</v>
      </c>
      <c r="I52" s="97">
        <f>VLOOKUP(ReviewCalcs[[#This Row],[Project Index]], ProjectInput[], K$1, FALSE)</f>
        <v>0</v>
      </c>
      <c r="J52" s="97">
        <f>VLOOKUP(ReviewCalcs[[#This Row],[Project Index]], ProjectInput[], L$1, FALSE)</f>
        <v>0</v>
      </c>
      <c r="K52" s="97">
        <f>VLOOKUP(ReviewCalcs[[#This Row],[Project Index]], ProjectInput[], M$1, FALSE)</f>
        <v>0</v>
      </c>
      <c r="L52" s="97">
        <f>VLOOKUP(ReviewCalcs[[#This Row],[Project Index]], ProjectInput[], N$1, FALSE)</f>
        <v>0</v>
      </c>
      <c r="M52" s="98" t="str">
        <f>VLOOKUP(ReviewCalcs[[#This Row],[Project Index]], ProjectInput[], O$1, FALSE)</f>
        <v/>
      </c>
      <c r="N52" s="96">
        <f>VLOOKUP(ReviewCalcs[[#This Row],[Project Index]], ProjectInput[], P$1, FALSE)</f>
        <v>0</v>
      </c>
      <c r="O52" s="97">
        <f>VLOOKUP(ReviewCalcs[[#This Row],[Project Index]], ProjectInput[], Q$1, FALSE)</f>
        <v>0</v>
      </c>
      <c r="P52" s="97">
        <f>VLOOKUP(ReviewCalcs[[#This Row],[Project Index]], ProjectInput[], R$1, FALSE)</f>
        <v>0</v>
      </c>
      <c r="Q52" s="97">
        <f>VLOOKUP(ReviewCalcs[[#This Row],[Project Index]], ProjectInput[], S$1, FALSE)</f>
        <v>0</v>
      </c>
      <c r="R52" s="97">
        <f>VLOOKUP(ReviewCalcs[[#This Row],[Project Index]], ProjectInput[], T$1, FALSE)</f>
        <v>0</v>
      </c>
      <c r="S52" s="97">
        <f>VLOOKUP(ReviewCalcs[[#This Row],[Project Index]], ProjectInput[], U$1, FALSE)</f>
        <v>0</v>
      </c>
      <c r="T52" s="97">
        <f>VLOOKUP(ReviewCalcs[[#This Row],[Project Index]], ProjectInput[], V$1, FALSE)</f>
        <v>0</v>
      </c>
      <c r="U52" s="97">
        <f>VLOOKUP(ReviewCalcs[[#This Row],[Project Index]], ProjectInput[], W$1, FALSE)</f>
        <v>0</v>
      </c>
      <c r="V52" s="98" t="str">
        <f>VLOOKUP(ReviewCalcs[[#This Row],[Project Index]], ProjectInput[], X$1, FALSE)</f>
        <v/>
      </c>
      <c r="W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2" s="75" t="e">
        <f>IF(VLOOKUP(ReviewCalcs[[#This Row],[Proposed Fixture Code]], Table7[[FIXTURE CODE]:[Baseline Fixture Code]], 8, FALSE)="N", "ERROR", "PASS")</f>
        <v>#N/A</v>
      </c>
      <c r="Y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2" s="75" t="e">
        <f>IF(OR(ReviewCalcs[[#This Row],[Baseline Fixture Watts]]&gt;=ReviewCalcs[[#This Row],[Proposed Fixture Watts]],ReviewCalcs[[#This Row],[Existing Fixture Watts]]&gt;=ReviewCalcs[[#This Row],[Proposed Fixture Watts]] ), "PASS", "ERROR")</f>
        <v>#N/A</v>
      </c>
      <c r="AA52" s="69" t="e">
        <f>VLOOKUP(ReviewCalcs[[#This Row],[Space Conditions]], Table_365[], 5, FALSE)</f>
        <v>#N/A</v>
      </c>
      <c r="AB52" s="68" t="str">
        <f>ReviewCalcs[[#This Row],[Annual Hours]]</f>
        <v/>
      </c>
      <c r="AC52" s="68" t="e">
        <f>VLOOKUP(ReviewCalcs[[#This Row],[Space Conditions]], Table_365[], 6, FALSE)</f>
        <v>#N/A</v>
      </c>
      <c r="AD52" s="68">
        <f>IF(ReviewCalcs[[#This Row],[Existing Control(s)]]='Tables &amp; Ranges'!$A$25, VLOOKUP(ReviewCalcs[[#This Row],[Building/Space Type]], Table_364[], 3, FALSE), CF_Contols)</f>
        <v>0.26</v>
      </c>
      <c r="AE52" s="68" t="e">
        <f>VLOOKUP(ReviewCalcs[[#This Row],[Existing Control(s)]], Table_358[], 2, FALSE)</f>
        <v>#N/A</v>
      </c>
      <c r="AF52" s="68">
        <f>IF(ReviewCalcs[[#This Row],[Proposed Control(s)]]='Tables &amp; Ranges'!$A$25, VLOOKUP(ReviewCalcs[[#This Row],[Building/Space Type]], Table_364[], 3, FALSE), CF_Contols)</f>
        <v>0.26</v>
      </c>
      <c r="AG52" s="68" t="e">
        <f>VLOOKUP(ReviewCalcs[[#This Row],[Proposed Control(s)]], Table_358[], 2, FALSE)</f>
        <v>#N/A</v>
      </c>
      <c r="AH52" s="68">
        <f>IFERROR((ReviewCalcs[[#This Row],[Existing Fixture Quantity]]*ReviewCalcs[[#This Row],[Existing Fixture Watts]]/1000)*ReviewCalcs[[#This Row],[Existing CF]]*ReviewCalcs[[#This Row],[IEFD]], 0)</f>
        <v>0</v>
      </c>
      <c r="AI52" s="68">
        <f>IFERROR((ReviewCalcs[[#This Row],[Proposed Fixture Quantity]]*ReviewCalcs[[#This Row],[Proposed Fixture Watts]]/1000)*ReviewCalcs[[#This Row],[Existing CF]]*ReviewCalcs[[#This Row],[IEFD]], 0)</f>
        <v>0</v>
      </c>
      <c r="AJ52" s="118">
        <f>IFERROR((ReviewCalcs[[#This Row],[Existing Fixture Quantity]]*ReviewCalcs[[#This Row],[Existing Fixture Watts]]/1000-ReviewCalcs[[#This Row],[Proposed Fixture Quantity]]*ReviewCalcs[[#This Row],[Proposed Fixture Watts]]/1000)*ReviewCalcs[[#This Row],[Existing CF]]*ReviewCalcs[[#This Row],[IEFD]], 0)</f>
        <v>0</v>
      </c>
      <c r="AK52" s="118">
        <f>IFERROR((ReviewCalcs[[#This Row],[Existing Fixture Quantity]]*ReviewCalcs[[#This Row],[Existing Fixture Watts]]/1000)*ReviewCalcs[[#This Row],[AOH]]*ReviewCalcs[[#This Row],[IEFE]]*ReviewCalcs[[#This Row],[Existing PAF]], 0)</f>
        <v>0</v>
      </c>
      <c r="AL52" s="118">
        <f>IFERROR((ReviewCalcs[[#This Row],[Proposed Fixture Quantity]]*ReviewCalcs[[#This Row],[Proposed Fixture Watts]]/1000)*ReviewCalcs[[#This Row],[AOH]]*ReviewCalcs[[#This Row],[IEFE]]*ReviewCalcs[[#This Row],[Existing PAF]], 0)</f>
        <v>0</v>
      </c>
      <c r="AM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2" s="118">
        <f>ReviewCalcs[[#This Row],[Fixture Existing Energy (kWh)]]*Avg_KWh_Rate</f>
        <v>0</v>
      </c>
      <c r="AO52" s="118">
        <f>ReviewCalcs[[#This Row],[Fixture Proposed Energy (kWh)]]*Avg_KWh_Rate</f>
        <v>0</v>
      </c>
      <c r="AP52" s="70">
        <f>ReviewCalcs[[#This Row],[Fixture Energy Savings]]*Avg_KWh_Rate</f>
        <v>0</v>
      </c>
      <c r="AQ52" s="129" t="e">
        <f>ReviewCalcs[[#This Row],[Existing Fixture Quantity]]*ReviewCalcs[[#This Row],[Existing Fixture Watts]]/1000*ReviewCalcs[[#This Row],[Existing CF]]*ReviewCalcs[[#This Row],[IEFD]]</f>
        <v>#VALUE!</v>
      </c>
      <c r="AR52" s="129" t="e">
        <f>ReviewCalcs[[#This Row],[Proposed Fixture Quantity]]*ReviewCalcs[[#This Row],[Proposed Fixture Watts]]/1000*ReviewCalcs[[#This Row],[Proposed CF]]*ReviewCalcs[[#This Row],[IEFD]]</f>
        <v>#VALUE!</v>
      </c>
      <c r="AS52" s="118">
        <f>IF(ReviewCalcs[[#This Row],[Existing CF]]=ReviewCalcs[[#This Row],[Proposed CF]], 0, ReviewCalcs[[#This Row],[Proposed Fixture Quantity]]*ReviewCalcs[[#This Row],[Proposed Fixture Watts]]/1000*ReviewCalcs[[#This Row],[Proposed CF]]*ReviewCalcs[[#This Row],[IEFD]])</f>
        <v>0</v>
      </c>
      <c r="AT52" s="118">
        <f>IFERROR(ReviewCalcs[[#This Row],[Existing Fixture Quantity]]*ReviewCalcs[[#This Row],[Existing Fixture Watts]]/1000*ReviewCalcs[[#This Row],[Existing PAF]]*ReviewCalcs[[#This Row],[AOH]]*ReviewCalcs[[#This Row],[IEFE]], 0)</f>
        <v>0</v>
      </c>
      <c r="AU52" s="118">
        <f>IFERROR(ReviewCalcs[[#This Row],[Proposed Fixture Quantity]]*ReviewCalcs[[#This Row],[Proposed Fixture Watts]]/1000*ReviewCalcs[[#This Row],[Proposed PAF]]*ReviewCalcs[[#This Row],[AOH]]*ReviewCalcs[[#This Row],[IEFE]], 0)</f>
        <v>0</v>
      </c>
      <c r="AV52" s="118">
        <f>IFERROR(ReviewCalcs[[#This Row],[Proposed Fixture Quantity]]*ReviewCalcs[[#This Row],[Proposed Fixture Watts]]/1000*(ReviewCalcs[[#This Row],[Existing PAF]]-ReviewCalcs[[#This Row],[Proposed PAF]])*ReviewCalcs[[#This Row],[AOH]]*ReviewCalcs[[#This Row],[IEFE]], 0)</f>
        <v>0</v>
      </c>
      <c r="AW52" s="118">
        <f>ReviewCalcs[[#This Row],[Control Existing Energy (kWh)]]*kWh_Incentive_Rate</f>
        <v>0</v>
      </c>
      <c r="AX52" s="118">
        <f>ReviewCalcs[[#This Row],[Control Proposed Energy (kWh)]]*kWh_Incentive_Rate</f>
        <v>0</v>
      </c>
      <c r="AY52" s="70">
        <f>ReviewCalcs[[#This Row],[Control Energy Savings (kWh)]]*kWh_Incentive_Rate</f>
        <v>0</v>
      </c>
      <c r="AZ52" s="70" t="e">
        <f>ReviewCalcs[[#This Row],[Fixture Existing Demand (kW)]]+ReviewCalcs[[#This Row],[Control Existing Demand (kW)]]</f>
        <v>#VALUE!</v>
      </c>
      <c r="BA52" s="70" t="e">
        <f>ReviewCalcs[[#This Row],[Fixture Proposed Demand (kW)]]+ReviewCalcs[[#This Row],[Control Proposed Demand (kW)]]</f>
        <v>#VALUE!</v>
      </c>
      <c r="BB52" s="118">
        <f>ReviewCalcs[[#This Row],[Fixture Demand Savings (kW)]]+ReviewCalcs[[#This Row],[Control Demand Savings (kW)]]</f>
        <v>0</v>
      </c>
      <c r="BC52" s="118">
        <f>ReviewCalcs[[#This Row],[Fixture Existing Energy (kWh)]]+ReviewCalcs[[#This Row],[Control Existing Energy (kWh)]]</f>
        <v>0</v>
      </c>
      <c r="BD52" s="118">
        <f>ReviewCalcs[[#This Row],[Fixture Proposed Energy (kWh)]]+ReviewCalcs[[#This Row],[Control Proposed Energy (kWh)]]</f>
        <v>0</v>
      </c>
      <c r="BE52" s="118">
        <f>ReviewCalcs[[#This Row],[Fixture Energy Savings]]+ReviewCalcs[[#This Row],[Control Energy Savings (kWh)]]</f>
        <v>0</v>
      </c>
      <c r="BF52" s="118">
        <f>ReviewCalcs[[#This Row],[Fixture Existing Cost ($)]]+ReviewCalcs[[#This Row],[Control Existing Cost ($)]]</f>
        <v>0</v>
      </c>
      <c r="BG52" s="118">
        <f>ReviewCalcs[[#This Row],[Fixture Proposed Cost ($)]]+ReviewCalcs[[#This Row],[Controls Proposed Cost ($)]]</f>
        <v>0</v>
      </c>
      <c r="BH52" s="70">
        <f>ReviewCalcs[[#This Row],[Total Energy Savings (kWh)]]*Avg_KWh_Rate</f>
        <v>0</v>
      </c>
      <c r="BI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2" s="70">
        <f>ReviewCalcs[[#This Row],[Retrofit Cost]]</f>
        <v>0</v>
      </c>
      <c r="BK52" s="70">
        <f>ReviewCalcs[[#This Row],[Retrofit Cost]]-ReviewCalcs[[#This Row],[Incentive ($)]]</f>
        <v>0</v>
      </c>
      <c r="BL52" s="118" t="e">
        <f>IFERROR(ReviewCalcs[[#This Row],[Net Project Cost ($)]]/ReviewCalcs[[#This Row],[Fixture Energy Cost Savings ($)]], #N/A)</f>
        <v>#N/A</v>
      </c>
      <c r="BM52" s="118" t="e">
        <f>IF(VLOOKUP(ReviewCalcs[[#This Row],[Existing Fixture Code]], Table7[[FIXTURE CODE]:[Baseline Fixture Code]], 8, FALSE)="N", VLOOKUP(ReviewCalcs[[#This Row],[Existing Fixture Code]], Table7[[FIXTURE CODE]:[Baseline Fixture Code]], 9, FALSE), ReviewCalcs[[#This Row],[Existing Fixture Code]])</f>
        <v>#N/A</v>
      </c>
      <c r="BN52" s="118" t="e">
        <f>INDEX(Table7[WATT/ FIXT], MATCH(ReviewCalcs[Baseline Fixture Code], Table7[FIXTURE CODE], 0))</f>
        <v>#N/A</v>
      </c>
      <c r="BO52" s="118">
        <f>IFERROR((ReviewCalcs[[#This Row],[Existing Fixture Quantity]]*ReviewCalcs[[#This Row],[Baseline Fixture Watts]]/1000-ReviewCalcs[[#This Row],[Proposed Fixture Quantity]]*ReviewCalcs[[#This Row],[Proposed Fixture Watts]]/1000)*ReviewCalcs[[#This Row],[Existing CF]]*ReviewCalcs[[#This Row],[IEFD]], 0)</f>
        <v>0</v>
      </c>
      <c r="BP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2" s="118">
        <f>IF(ReviewCalcs[[#This Row],[Existing CF]]=ReviewCalcs[[#This Row],[Proposed CF]], 0, ReviewCalcs[[#This Row],[Proposed Fixture Quantity]]*ReviewCalcs[[#This Row],[Proposed Fixture Watts]]/1000*ReviewCalcs[[#This Row],[Proposed CF]]*ReviewCalcs[[#This Row],[IEFD]])</f>
        <v>0</v>
      </c>
      <c r="BR52" s="118">
        <f>IFERROR(ReviewCalcs[[#This Row],[Proposed Fixture Quantity]]*ReviewCalcs[[#This Row],[Proposed Fixture Watts]]/1000*(ReviewCalcs[[#This Row],[Existing PAF]]-ReviewCalcs[[#This Row],[Proposed PAF]])*ReviewCalcs[[#This Row],[AOH]]*ReviewCalcs[[#This Row],[IEFE]],0)</f>
        <v>0</v>
      </c>
      <c r="BS52" s="118">
        <f>ReviewCalcs[[#This Row],[Incentive Fixture Demand Savings (kW)]]+ReviewCalcs[[#This Row],[Incentive Control Demand Savings (kW)]]</f>
        <v>0</v>
      </c>
      <c r="BT52" s="118">
        <f>ReviewCalcs[[#This Row],[Incentive Fixture Energy Savings (kWh)]]+ReviewCalcs[[#This Row],[Incentive Control Energy Savings (kWh)]]</f>
        <v>0</v>
      </c>
      <c r="BU52" s="73"/>
    </row>
    <row r="53" spans="1:73" ht="30" customHeight="1">
      <c r="A53" s="68">
        <v>50</v>
      </c>
      <c r="B53" s="96">
        <f>VLOOKUP(ReviewCalcs[[#This Row],[Project Index]], ProjectInput[], D$1, FALSE)</f>
        <v>0</v>
      </c>
      <c r="C53" s="97">
        <f>VLOOKUP(ReviewCalcs[[#This Row],[Project Index]], ProjectInput[], E$1, FALSE)</f>
        <v>0</v>
      </c>
      <c r="D53" s="97">
        <f>VLOOKUP(ReviewCalcs[[#This Row],[Project Index]], ProjectInput[], F$1, FALSE)</f>
        <v>0</v>
      </c>
      <c r="E53" s="97">
        <f>VLOOKUP(ReviewCalcs[[#This Row],[Project Index]], ProjectInput[], G$1, FALSE)</f>
        <v>0</v>
      </c>
      <c r="F53" s="97">
        <f>VLOOKUP(ReviewCalcs[[#This Row],[Project Index]], ProjectInput[], H$1, FALSE)</f>
        <v>0</v>
      </c>
      <c r="G53" s="98" t="str">
        <f>VLOOKUP(ReviewCalcs[[#This Row],[Project Index]], ProjectInput[], I$1, FALSE)</f>
        <v/>
      </c>
      <c r="H53" s="96">
        <f>VLOOKUP(ReviewCalcs[[#This Row],[Project Index]], ProjectInput[], J$1, FALSE)</f>
        <v>0</v>
      </c>
      <c r="I53" s="97">
        <f>VLOOKUP(ReviewCalcs[[#This Row],[Project Index]], ProjectInput[], K$1, FALSE)</f>
        <v>0</v>
      </c>
      <c r="J53" s="97">
        <f>VLOOKUP(ReviewCalcs[[#This Row],[Project Index]], ProjectInput[], L$1, FALSE)</f>
        <v>0</v>
      </c>
      <c r="K53" s="97">
        <f>VLOOKUP(ReviewCalcs[[#This Row],[Project Index]], ProjectInput[], M$1, FALSE)</f>
        <v>0</v>
      </c>
      <c r="L53" s="97">
        <f>VLOOKUP(ReviewCalcs[[#This Row],[Project Index]], ProjectInput[], N$1, FALSE)</f>
        <v>0</v>
      </c>
      <c r="M53" s="98" t="str">
        <f>VLOOKUP(ReviewCalcs[[#This Row],[Project Index]], ProjectInput[], O$1, FALSE)</f>
        <v/>
      </c>
      <c r="N53" s="96">
        <f>VLOOKUP(ReviewCalcs[[#This Row],[Project Index]], ProjectInput[], P$1, FALSE)</f>
        <v>0</v>
      </c>
      <c r="O53" s="97">
        <f>VLOOKUP(ReviewCalcs[[#This Row],[Project Index]], ProjectInput[], Q$1, FALSE)</f>
        <v>0</v>
      </c>
      <c r="P53" s="97">
        <f>VLOOKUP(ReviewCalcs[[#This Row],[Project Index]], ProjectInput[], R$1, FALSE)</f>
        <v>0</v>
      </c>
      <c r="Q53" s="97">
        <f>VLOOKUP(ReviewCalcs[[#This Row],[Project Index]], ProjectInput[], S$1, FALSE)</f>
        <v>0</v>
      </c>
      <c r="R53" s="97">
        <f>VLOOKUP(ReviewCalcs[[#This Row],[Project Index]], ProjectInput[], T$1, FALSE)</f>
        <v>0</v>
      </c>
      <c r="S53" s="97">
        <f>VLOOKUP(ReviewCalcs[[#This Row],[Project Index]], ProjectInput[], U$1, FALSE)</f>
        <v>0</v>
      </c>
      <c r="T53" s="97">
        <f>VLOOKUP(ReviewCalcs[[#This Row],[Project Index]], ProjectInput[], V$1, FALSE)</f>
        <v>0</v>
      </c>
      <c r="U53" s="97">
        <f>VLOOKUP(ReviewCalcs[[#This Row],[Project Index]], ProjectInput[], W$1, FALSE)</f>
        <v>0</v>
      </c>
      <c r="V53" s="98" t="str">
        <f>VLOOKUP(ReviewCalcs[[#This Row],[Project Index]], ProjectInput[], X$1, FALSE)</f>
        <v/>
      </c>
      <c r="W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3" s="75" t="e">
        <f>IF(VLOOKUP(ReviewCalcs[[#This Row],[Proposed Fixture Code]], Table7[[FIXTURE CODE]:[Baseline Fixture Code]], 8, FALSE)="N", "ERROR", "PASS")</f>
        <v>#N/A</v>
      </c>
      <c r="Y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3" s="75" t="e">
        <f>IF(OR(ReviewCalcs[[#This Row],[Baseline Fixture Watts]]&gt;=ReviewCalcs[[#This Row],[Proposed Fixture Watts]],ReviewCalcs[[#This Row],[Existing Fixture Watts]]&gt;=ReviewCalcs[[#This Row],[Proposed Fixture Watts]] ), "PASS", "ERROR")</f>
        <v>#N/A</v>
      </c>
      <c r="AA53" s="69" t="e">
        <f>VLOOKUP(ReviewCalcs[[#This Row],[Space Conditions]], Table_365[], 5, FALSE)</f>
        <v>#N/A</v>
      </c>
      <c r="AB53" s="68" t="str">
        <f>ReviewCalcs[[#This Row],[Annual Hours]]</f>
        <v/>
      </c>
      <c r="AC53" s="68" t="e">
        <f>VLOOKUP(ReviewCalcs[[#This Row],[Space Conditions]], Table_365[], 6, FALSE)</f>
        <v>#N/A</v>
      </c>
      <c r="AD53" s="68">
        <f>IF(ReviewCalcs[[#This Row],[Existing Control(s)]]='Tables &amp; Ranges'!$A$25, VLOOKUP(ReviewCalcs[[#This Row],[Building/Space Type]], Table_364[], 3, FALSE), CF_Contols)</f>
        <v>0.26</v>
      </c>
      <c r="AE53" s="68" t="e">
        <f>VLOOKUP(ReviewCalcs[[#This Row],[Existing Control(s)]], Table_358[], 2, FALSE)</f>
        <v>#N/A</v>
      </c>
      <c r="AF53" s="68">
        <f>IF(ReviewCalcs[[#This Row],[Proposed Control(s)]]='Tables &amp; Ranges'!$A$25, VLOOKUP(ReviewCalcs[[#This Row],[Building/Space Type]], Table_364[], 3, FALSE), CF_Contols)</f>
        <v>0.26</v>
      </c>
      <c r="AG53" s="68" t="e">
        <f>VLOOKUP(ReviewCalcs[[#This Row],[Proposed Control(s)]], Table_358[], 2, FALSE)</f>
        <v>#N/A</v>
      </c>
      <c r="AH53" s="68">
        <f>IFERROR((ReviewCalcs[[#This Row],[Existing Fixture Quantity]]*ReviewCalcs[[#This Row],[Existing Fixture Watts]]/1000)*ReviewCalcs[[#This Row],[Existing CF]]*ReviewCalcs[[#This Row],[IEFD]], 0)</f>
        <v>0</v>
      </c>
      <c r="AI53" s="68">
        <f>IFERROR((ReviewCalcs[[#This Row],[Proposed Fixture Quantity]]*ReviewCalcs[[#This Row],[Proposed Fixture Watts]]/1000)*ReviewCalcs[[#This Row],[Existing CF]]*ReviewCalcs[[#This Row],[IEFD]], 0)</f>
        <v>0</v>
      </c>
      <c r="AJ53" s="118">
        <f>IFERROR((ReviewCalcs[[#This Row],[Existing Fixture Quantity]]*ReviewCalcs[[#This Row],[Existing Fixture Watts]]/1000-ReviewCalcs[[#This Row],[Proposed Fixture Quantity]]*ReviewCalcs[[#This Row],[Proposed Fixture Watts]]/1000)*ReviewCalcs[[#This Row],[Existing CF]]*ReviewCalcs[[#This Row],[IEFD]], 0)</f>
        <v>0</v>
      </c>
      <c r="AK53" s="118">
        <f>IFERROR((ReviewCalcs[[#This Row],[Existing Fixture Quantity]]*ReviewCalcs[[#This Row],[Existing Fixture Watts]]/1000)*ReviewCalcs[[#This Row],[AOH]]*ReviewCalcs[[#This Row],[IEFE]]*ReviewCalcs[[#This Row],[Existing PAF]], 0)</f>
        <v>0</v>
      </c>
      <c r="AL53" s="118">
        <f>IFERROR((ReviewCalcs[[#This Row],[Proposed Fixture Quantity]]*ReviewCalcs[[#This Row],[Proposed Fixture Watts]]/1000)*ReviewCalcs[[#This Row],[AOH]]*ReviewCalcs[[#This Row],[IEFE]]*ReviewCalcs[[#This Row],[Existing PAF]], 0)</f>
        <v>0</v>
      </c>
      <c r="AM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3" s="118">
        <f>ReviewCalcs[[#This Row],[Fixture Existing Energy (kWh)]]*Avg_KWh_Rate</f>
        <v>0</v>
      </c>
      <c r="AO53" s="118">
        <f>ReviewCalcs[[#This Row],[Fixture Proposed Energy (kWh)]]*Avg_KWh_Rate</f>
        <v>0</v>
      </c>
      <c r="AP53" s="70">
        <f>ReviewCalcs[[#This Row],[Fixture Energy Savings]]*Avg_KWh_Rate</f>
        <v>0</v>
      </c>
      <c r="AQ53" s="129" t="e">
        <f>ReviewCalcs[[#This Row],[Existing Fixture Quantity]]*ReviewCalcs[[#This Row],[Existing Fixture Watts]]/1000*ReviewCalcs[[#This Row],[Existing CF]]*ReviewCalcs[[#This Row],[IEFD]]</f>
        <v>#VALUE!</v>
      </c>
      <c r="AR53" s="129" t="e">
        <f>ReviewCalcs[[#This Row],[Proposed Fixture Quantity]]*ReviewCalcs[[#This Row],[Proposed Fixture Watts]]/1000*ReviewCalcs[[#This Row],[Proposed CF]]*ReviewCalcs[[#This Row],[IEFD]]</f>
        <v>#VALUE!</v>
      </c>
      <c r="AS53" s="118">
        <f>IF(ReviewCalcs[[#This Row],[Existing CF]]=ReviewCalcs[[#This Row],[Proposed CF]], 0, ReviewCalcs[[#This Row],[Proposed Fixture Quantity]]*ReviewCalcs[[#This Row],[Proposed Fixture Watts]]/1000*ReviewCalcs[[#This Row],[Proposed CF]]*ReviewCalcs[[#This Row],[IEFD]])</f>
        <v>0</v>
      </c>
      <c r="AT53" s="118">
        <f>IFERROR(ReviewCalcs[[#This Row],[Existing Fixture Quantity]]*ReviewCalcs[[#This Row],[Existing Fixture Watts]]/1000*ReviewCalcs[[#This Row],[Existing PAF]]*ReviewCalcs[[#This Row],[AOH]]*ReviewCalcs[[#This Row],[IEFE]], 0)</f>
        <v>0</v>
      </c>
      <c r="AU53" s="118">
        <f>IFERROR(ReviewCalcs[[#This Row],[Proposed Fixture Quantity]]*ReviewCalcs[[#This Row],[Proposed Fixture Watts]]/1000*ReviewCalcs[[#This Row],[Proposed PAF]]*ReviewCalcs[[#This Row],[AOH]]*ReviewCalcs[[#This Row],[IEFE]], 0)</f>
        <v>0</v>
      </c>
      <c r="AV53" s="118">
        <f>IFERROR(ReviewCalcs[[#This Row],[Proposed Fixture Quantity]]*ReviewCalcs[[#This Row],[Proposed Fixture Watts]]/1000*(ReviewCalcs[[#This Row],[Existing PAF]]-ReviewCalcs[[#This Row],[Proposed PAF]])*ReviewCalcs[[#This Row],[AOH]]*ReviewCalcs[[#This Row],[IEFE]], 0)</f>
        <v>0</v>
      </c>
      <c r="AW53" s="118">
        <f>ReviewCalcs[[#This Row],[Control Existing Energy (kWh)]]*kWh_Incentive_Rate</f>
        <v>0</v>
      </c>
      <c r="AX53" s="118">
        <f>ReviewCalcs[[#This Row],[Control Proposed Energy (kWh)]]*kWh_Incentive_Rate</f>
        <v>0</v>
      </c>
      <c r="AY53" s="70">
        <f>ReviewCalcs[[#This Row],[Control Energy Savings (kWh)]]*kWh_Incentive_Rate</f>
        <v>0</v>
      </c>
      <c r="AZ53" s="70" t="e">
        <f>ReviewCalcs[[#This Row],[Fixture Existing Demand (kW)]]+ReviewCalcs[[#This Row],[Control Existing Demand (kW)]]</f>
        <v>#VALUE!</v>
      </c>
      <c r="BA53" s="70" t="e">
        <f>ReviewCalcs[[#This Row],[Fixture Proposed Demand (kW)]]+ReviewCalcs[[#This Row],[Control Proposed Demand (kW)]]</f>
        <v>#VALUE!</v>
      </c>
      <c r="BB53" s="118">
        <f>ReviewCalcs[[#This Row],[Fixture Demand Savings (kW)]]+ReviewCalcs[[#This Row],[Control Demand Savings (kW)]]</f>
        <v>0</v>
      </c>
      <c r="BC53" s="118">
        <f>ReviewCalcs[[#This Row],[Fixture Existing Energy (kWh)]]+ReviewCalcs[[#This Row],[Control Existing Energy (kWh)]]</f>
        <v>0</v>
      </c>
      <c r="BD53" s="118">
        <f>ReviewCalcs[[#This Row],[Fixture Proposed Energy (kWh)]]+ReviewCalcs[[#This Row],[Control Proposed Energy (kWh)]]</f>
        <v>0</v>
      </c>
      <c r="BE53" s="118">
        <f>ReviewCalcs[[#This Row],[Fixture Energy Savings]]+ReviewCalcs[[#This Row],[Control Energy Savings (kWh)]]</f>
        <v>0</v>
      </c>
      <c r="BF53" s="118">
        <f>ReviewCalcs[[#This Row],[Fixture Existing Cost ($)]]+ReviewCalcs[[#This Row],[Control Existing Cost ($)]]</f>
        <v>0</v>
      </c>
      <c r="BG53" s="118">
        <f>ReviewCalcs[[#This Row],[Fixture Proposed Cost ($)]]+ReviewCalcs[[#This Row],[Controls Proposed Cost ($)]]</f>
        <v>0</v>
      </c>
      <c r="BH53" s="70">
        <f>ReviewCalcs[[#This Row],[Total Energy Savings (kWh)]]*Avg_KWh_Rate</f>
        <v>0</v>
      </c>
      <c r="BI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3" s="70">
        <f>ReviewCalcs[[#This Row],[Retrofit Cost]]</f>
        <v>0</v>
      </c>
      <c r="BK53" s="70">
        <f>ReviewCalcs[[#This Row],[Retrofit Cost]]-ReviewCalcs[[#This Row],[Incentive ($)]]</f>
        <v>0</v>
      </c>
      <c r="BL53" s="118" t="e">
        <f>IFERROR(ReviewCalcs[[#This Row],[Net Project Cost ($)]]/ReviewCalcs[[#This Row],[Fixture Energy Cost Savings ($)]], #N/A)</f>
        <v>#N/A</v>
      </c>
      <c r="BM53" s="118" t="e">
        <f>IF(VLOOKUP(ReviewCalcs[[#This Row],[Existing Fixture Code]], Table7[[FIXTURE CODE]:[Baseline Fixture Code]], 8, FALSE)="N", VLOOKUP(ReviewCalcs[[#This Row],[Existing Fixture Code]], Table7[[FIXTURE CODE]:[Baseline Fixture Code]], 9, FALSE), ReviewCalcs[[#This Row],[Existing Fixture Code]])</f>
        <v>#N/A</v>
      </c>
      <c r="BN53" s="118" t="e">
        <f>INDEX(Table7[WATT/ FIXT], MATCH(ReviewCalcs[Baseline Fixture Code], Table7[FIXTURE CODE], 0))</f>
        <v>#N/A</v>
      </c>
      <c r="BO53" s="118">
        <f>IFERROR((ReviewCalcs[[#This Row],[Existing Fixture Quantity]]*ReviewCalcs[[#This Row],[Baseline Fixture Watts]]/1000-ReviewCalcs[[#This Row],[Proposed Fixture Quantity]]*ReviewCalcs[[#This Row],[Proposed Fixture Watts]]/1000)*ReviewCalcs[[#This Row],[Existing CF]]*ReviewCalcs[[#This Row],[IEFD]], 0)</f>
        <v>0</v>
      </c>
      <c r="BP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3" s="118">
        <f>IF(ReviewCalcs[[#This Row],[Existing CF]]=ReviewCalcs[[#This Row],[Proposed CF]], 0, ReviewCalcs[[#This Row],[Proposed Fixture Quantity]]*ReviewCalcs[[#This Row],[Proposed Fixture Watts]]/1000*ReviewCalcs[[#This Row],[Proposed CF]]*ReviewCalcs[[#This Row],[IEFD]])</f>
        <v>0</v>
      </c>
      <c r="BR53" s="118">
        <f>IFERROR(ReviewCalcs[[#This Row],[Proposed Fixture Quantity]]*ReviewCalcs[[#This Row],[Proposed Fixture Watts]]/1000*(ReviewCalcs[[#This Row],[Existing PAF]]-ReviewCalcs[[#This Row],[Proposed PAF]])*ReviewCalcs[[#This Row],[AOH]]*ReviewCalcs[[#This Row],[IEFE]],0)</f>
        <v>0</v>
      </c>
      <c r="BS53" s="118">
        <f>ReviewCalcs[[#This Row],[Incentive Fixture Demand Savings (kW)]]+ReviewCalcs[[#This Row],[Incentive Control Demand Savings (kW)]]</f>
        <v>0</v>
      </c>
      <c r="BT53" s="118">
        <f>ReviewCalcs[[#This Row],[Incentive Fixture Energy Savings (kWh)]]+ReviewCalcs[[#This Row],[Incentive Control Energy Savings (kWh)]]</f>
        <v>0</v>
      </c>
      <c r="BU53" s="73"/>
    </row>
    <row r="54" spans="1:73" ht="30" customHeight="1">
      <c r="A54" s="68">
        <v>51</v>
      </c>
      <c r="B54" s="96">
        <f>VLOOKUP(ReviewCalcs[[#This Row],[Project Index]], ProjectInput[], D$1, FALSE)</f>
        <v>0</v>
      </c>
      <c r="C54" s="97">
        <f>VLOOKUP(ReviewCalcs[[#This Row],[Project Index]], ProjectInput[], E$1, FALSE)</f>
        <v>0</v>
      </c>
      <c r="D54" s="97">
        <f>VLOOKUP(ReviewCalcs[[#This Row],[Project Index]], ProjectInput[], F$1, FALSE)</f>
        <v>0</v>
      </c>
      <c r="E54" s="97">
        <f>VLOOKUP(ReviewCalcs[[#This Row],[Project Index]], ProjectInput[], G$1, FALSE)</f>
        <v>0</v>
      </c>
      <c r="F54" s="97">
        <f>VLOOKUP(ReviewCalcs[[#This Row],[Project Index]], ProjectInput[], H$1, FALSE)</f>
        <v>0</v>
      </c>
      <c r="G54" s="98" t="str">
        <f>VLOOKUP(ReviewCalcs[[#This Row],[Project Index]], ProjectInput[], I$1, FALSE)</f>
        <v/>
      </c>
      <c r="H54" s="96">
        <f>VLOOKUP(ReviewCalcs[[#This Row],[Project Index]], ProjectInput[], J$1, FALSE)</f>
        <v>0</v>
      </c>
      <c r="I54" s="97">
        <f>VLOOKUP(ReviewCalcs[[#This Row],[Project Index]], ProjectInput[], K$1, FALSE)</f>
        <v>0</v>
      </c>
      <c r="J54" s="97">
        <f>VLOOKUP(ReviewCalcs[[#This Row],[Project Index]], ProjectInput[], L$1, FALSE)</f>
        <v>0</v>
      </c>
      <c r="K54" s="97">
        <f>VLOOKUP(ReviewCalcs[[#This Row],[Project Index]], ProjectInput[], M$1, FALSE)</f>
        <v>0</v>
      </c>
      <c r="L54" s="97">
        <f>VLOOKUP(ReviewCalcs[[#This Row],[Project Index]], ProjectInput[], N$1, FALSE)</f>
        <v>0</v>
      </c>
      <c r="M54" s="98" t="str">
        <f>VLOOKUP(ReviewCalcs[[#This Row],[Project Index]], ProjectInput[], O$1, FALSE)</f>
        <v/>
      </c>
      <c r="N54" s="96">
        <f>VLOOKUP(ReviewCalcs[[#This Row],[Project Index]], ProjectInput[], P$1, FALSE)</f>
        <v>0</v>
      </c>
      <c r="O54" s="97">
        <f>VLOOKUP(ReviewCalcs[[#This Row],[Project Index]], ProjectInput[], Q$1, FALSE)</f>
        <v>0</v>
      </c>
      <c r="P54" s="97">
        <f>VLOOKUP(ReviewCalcs[[#This Row],[Project Index]], ProjectInput[], R$1, FALSE)</f>
        <v>0</v>
      </c>
      <c r="Q54" s="97">
        <f>VLOOKUP(ReviewCalcs[[#This Row],[Project Index]], ProjectInput[], S$1, FALSE)</f>
        <v>0</v>
      </c>
      <c r="R54" s="97">
        <f>VLOOKUP(ReviewCalcs[[#This Row],[Project Index]], ProjectInput[], T$1, FALSE)</f>
        <v>0</v>
      </c>
      <c r="S54" s="97">
        <f>VLOOKUP(ReviewCalcs[[#This Row],[Project Index]], ProjectInput[], U$1, FALSE)</f>
        <v>0</v>
      </c>
      <c r="T54" s="97">
        <f>VLOOKUP(ReviewCalcs[[#This Row],[Project Index]], ProjectInput[], V$1, FALSE)</f>
        <v>0</v>
      </c>
      <c r="U54" s="97">
        <f>VLOOKUP(ReviewCalcs[[#This Row],[Project Index]], ProjectInput[], W$1, FALSE)</f>
        <v>0</v>
      </c>
      <c r="V54" s="98" t="str">
        <f>VLOOKUP(ReviewCalcs[[#This Row],[Project Index]], ProjectInput[], X$1, FALSE)</f>
        <v/>
      </c>
      <c r="W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4" s="75" t="e">
        <f>IF(VLOOKUP(ReviewCalcs[[#This Row],[Proposed Fixture Code]], Table7[[FIXTURE CODE]:[Baseline Fixture Code]], 8, FALSE)="N", "ERROR", "PASS")</f>
        <v>#N/A</v>
      </c>
      <c r="Y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4" s="75" t="e">
        <f>IF(OR(ReviewCalcs[[#This Row],[Baseline Fixture Watts]]&gt;=ReviewCalcs[[#This Row],[Proposed Fixture Watts]],ReviewCalcs[[#This Row],[Existing Fixture Watts]]&gt;=ReviewCalcs[[#This Row],[Proposed Fixture Watts]] ), "PASS", "ERROR")</f>
        <v>#N/A</v>
      </c>
      <c r="AA54" s="69" t="e">
        <f>VLOOKUP(ReviewCalcs[[#This Row],[Space Conditions]], Table_365[], 5, FALSE)</f>
        <v>#N/A</v>
      </c>
      <c r="AB54" s="68" t="str">
        <f>ReviewCalcs[[#This Row],[Annual Hours]]</f>
        <v/>
      </c>
      <c r="AC54" s="68" t="e">
        <f>VLOOKUP(ReviewCalcs[[#This Row],[Space Conditions]], Table_365[], 6, FALSE)</f>
        <v>#N/A</v>
      </c>
      <c r="AD54" s="68">
        <f>IF(ReviewCalcs[[#This Row],[Existing Control(s)]]='Tables &amp; Ranges'!$A$25, VLOOKUP(ReviewCalcs[[#This Row],[Building/Space Type]], Table_364[], 3, FALSE), CF_Contols)</f>
        <v>0.26</v>
      </c>
      <c r="AE54" s="68" t="e">
        <f>VLOOKUP(ReviewCalcs[[#This Row],[Existing Control(s)]], Table_358[], 2, FALSE)</f>
        <v>#N/A</v>
      </c>
      <c r="AF54" s="68">
        <f>IF(ReviewCalcs[[#This Row],[Proposed Control(s)]]='Tables &amp; Ranges'!$A$25, VLOOKUP(ReviewCalcs[[#This Row],[Building/Space Type]], Table_364[], 3, FALSE), CF_Contols)</f>
        <v>0.26</v>
      </c>
      <c r="AG54" s="68" t="e">
        <f>VLOOKUP(ReviewCalcs[[#This Row],[Proposed Control(s)]], Table_358[], 2, FALSE)</f>
        <v>#N/A</v>
      </c>
      <c r="AH54" s="68">
        <f>IFERROR((ReviewCalcs[[#This Row],[Existing Fixture Quantity]]*ReviewCalcs[[#This Row],[Existing Fixture Watts]]/1000)*ReviewCalcs[[#This Row],[Existing CF]]*ReviewCalcs[[#This Row],[IEFD]], 0)</f>
        <v>0</v>
      </c>
      <c r="AI54" s="68">
        <f>IFERROR((ReviewCalcs[[#This Row],[Proposed Fixture Quantity]]*ReviewCalcs[[#This Row],[Proposed Fixture Watts]]/1000)*ReviewCalcs[[#This Row],[Existing CF]]*ReviewCalcs[[#This Row],[IEFD]], 0)</f>
        <v>0</v>
      </c>
      <c r="AJ54" s="118">
        <f>IFERROR((ReviewCalcs[[#This Row],[Existing Fixture Quantity]]*ReviewCalcs[[#This Row],[Existing Fixture Watts]]/1000-ReviewCalcs[[#This Row],[Proposed Fixture Quantity]]*ReviewCalcs[[#This Row],[Proposed Fixture Watts]]/1000)*ReviewCalcs[[#This Row],[Existing CF]]*ReviewCalcs[[#This Row],[IEFD]], 0)</f>
        <v>0</v>
      </c>
      <c r="AK54" s="118">
        <f>IFERROR((ReviewCalcs[[#This Row],[Existing Fixture Quantity]]*ReviewCalcs[[#This Row],[Existing Fixture Watts]]/1000)*ReviewCalcs[[#This Row],[AOH]]*ReviewCalcs[[#This Row],[IEFE]]*ReviewCalcs[[#This Row],[Existing PAF]], 0)</f>
        <v>0</v>
      </c>
      <c r="AL54" s="118">
        <f>IFERROR((ReviewCalcs[[#This Row],[Proposed Fixture Quantity]]*ReviewCalcs[[#This Row],[Proposed Fixture Watts]]/1000)*ReviewCalcs[[#This Row],[AOH]]*ReviewCalcs[[#This Row],[IEFE]]*ReviewCalcs[[#This Row],[Existing PAF]], 0)</f>
        <v>0</v>
      </c>
      <c r="AM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4" s="118">
        <f>ReviewCalcs[[#This Row],[Fixture Existing Energy (kWh)]]*Avg_KWh_Rate</f>
        <v>0</v>
      </c>
      <c r="AO54" s="118">
        <f>ReviewCalcs[[#This Row],[Fixture Proposed Energy (kWh)]]*Avg_KWh_Rate</f>
        <v>0</v>
      </c>
      <c r="AP54" s="70">
        <f>ReviewCalcs[[#This Row],[Fixture Energy Savings]]*Avg_KWh_Rate</f>
        <v>0</v>
      </c>
      <c r="AQ54" s="129" t="e">
        <f>ReviewCalcs[[#This Row],[Existing Fixture Quantity]]*ReviewCalcs[[#This Row],[Existing Fixture Watts]]/1000*ReviewCalcs[[#This Row],[Existing CF]]*ReviewCalcs[[#This Row],[IEFD]]</f>
        <v>#VALUE!</v>
      </c>
      <c r="AR54" s="129" t="e">
        <f>ReviewCalcs[[#This Row],[Proposed Fixture Quantity]]*ReviewCalcs[[#This Row],[Proposed Fixture Watts]]/1000*ReviewCalcs[[#This Row],[Proposed CF]]*ReviewCalcs[[#This Row],[IEFD]]</f>
        <v>#VALUE!</v>
      </c>
      <c r="AS54" s="118">
        <f>IF(ReviewCalcs[[#This Row],[Existing CF]]=ReviewCalcs[[#This Row],[Proposed CF]], 0, ReviewCalcs[[#This Row],[Proposed Fixture Quantity]]*ReviewCalcs[[#This Row],[Proposed Fixture Watts]]/1000*ReviewCalcs[[#This Row],[Proposed CF]]*ReviewCalcs[[#This Row],[IEFD]])</f>
        <v>0</v>
      </c>
      <c r="AT54" s="118">
        <f>IFERROR(ReviewCalcs[[#This Row],[Existing Fixture Quantity]]*ReviewCalcs[[#This Row],[Existing Fixture Watts]]/1000*ReviewCalcs[[#This Row],[Existing PAF]]*ReviewCalcs[[#This Row],[AOH]]*ReviewCalcs[[#This Row],[IEFE]], 0)</f>
        <v>0</v>
      </c>
      <c r="AU54" s="118">
        <f>IFERROR(ReviewCalcs[[#This Row],[Proposed Fixture Quantity]]*ReviewCalcs[[#This Row],[Proposed Fixture Watts]]/1000*ReviewCalcs[[#This Row],[Proposed PAF]]*ReviewCalcs[[#This Row],[AOH]]*ReviewCalcs[[#This Row],[IEFE]], 0)</f>
        <v>0</v>
      </c>
      <c r="AV54" s="118">
        <f>IFERROR(ReviewCalcs[[#This Row],[Proposed Fixture Quantity]]*ReviewCalcs[[#This Row],[Proposed Fixture Watts]]/1000*(ReviewCalcs[[#This Row],[Existing PAF]]-ReviewCalcs[[#This Row],[Proposed PAF]])*ReviewCalcs[[#This Row],[AOH]]*ReviewCalcs[[#This Row],[IEFE]], 0)</f>
        <v>0</v>
      </c>
      <c r="AW54" s="118">
        <f>ReviewCalcs[[#This Row],[Control Existing Energy (kWh)]]*kWh_Incentive_Rate</f>
        <v>0</v>
      </c>
      <c r="AX54" s="118">
        <f>ReviewCalcs[[#This Row],[Control Proposed Energy (kWh)]]*kWh_Incentive_Rate</f>
        <v>0</v>
      </c>
      <c r="AY54" s="70">
        <f>ReviewCalcs[[#This Row],[Control Energy Savings (kWh)]]*kWh_Incentive_Rate</f>
        <v>0</v>
      </c>
      <c r="AZ54" s="70" t="e">
        <f>ReviewCalcs[[#This Row],[Fixture Existing Demand (kW)]]+ReviewCalcs[[#This Row],[Control Existing Demand (kW)]]</f>
        <v>#VALUE!</v>
      </c>
      <c r="BA54" s="70" t="e">
        <f>ReviewCalcs[[#This Row],[Fixture Proposed Demand (kW)]]+ReviewCalcs[[#This Row],[Control Proposed Demand (kW)]]</f>
        <v>#VALUE!</v>
      </c>
      <c r="BB54" s="118">
        <f>ReviewCalcs[[#This Row],[Fixture Demand Savings (kW)]]+ReviewCalcs[[#This Row],[Control Demand Savings (kW)]]</f>
        <v>0</v>
      </c>
      <c r="BC54" s="118">
        <f>ReviewCalcs[[#This Row],[Fixture Existing Energy (kWh)]]+ReviewCalcs[[#This Row],[Control Existing Energy (kWh)]]</f>
        <v>0</v>
      </c>
      <c r="BD54" s="118">
        <f>ReviewCalcs[[#This Row],[Fixture Proposed Energy (kWh)]]+ReviewCalcs[[#This Row],[Control Proposed Energy (kWh)]]</f>
        <v>0</v>
      </c>
      <c r="BE54" s="118">
        <f>ReviewCalcs[[#This Row],[Fixture Energy Savings]]+ReviewCalcs[[#This Row],[Control Energy Savings (kWh)]]</f>
        <v>0</v>
      </c>
      <c r="BF54" s="118">
        <f>ReviewCalcs[[#This Row],[Fixture Existing Cost ($)]]+ReviewCalcs[[#This Row],[Control Existing Cost ($)]]</f>
        <v>0</v>
      </c>
      <c r="BG54" s="118">
        <f>ReviewCalcs[[#This Row],[Fixture Proposed Cost ($)]]+ReviewCalcs[[#This Row],[Controls Proposed Cost ($)]]</f>
        <v>0</v>
      </c>
      <c r="BH54" s="70">
        <f>ReviewCalcs[[#This Row],[Total Energy Savings (kWh)]]*Avg_KWh_Rate</f>
        <v>0</v>
      </c>
      <c r="BI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4" s="70">
        <f>ReviewCalcs[[#This Row],[Retrofit Cost]]</f>
        <v>0</v>
      </c>
      <c r="BK54" s="70">
        <f>ReviewCalcs[[#This Row],[Retrofit Cost]]-ReviewCalcs[[#This Row],[Incentive ($)]]</f>
        <v>0</v>
      </c>
      <c r="BL54" s="118" t="e">
        <f>IFERROR(ReviewCalcs[[#This Row],[Net Project Cost ($)]]/ReviewCalcs[[#This Row],[Fixture Energy Cost Savings ($)]], #N/A)</f>
        <v>#N/A</v>
      </c>
      <c r="BM54" s="118" t="e">
        <f>IF(VLOOKUP(ReviewCalcs[[#This Row],[Existing Fixture Code]], Table7[[FIXTURE CODE]:[Baseline Fixture Code]], 8, FALSE)="N", VLOOKUP(ReviewCalcs[[#This Row],[Existing Fixture Code]], Table7[[FIXTURE CODE]:[Baseline Fixture Code]], 9, FALSE), ReviewCalcs[[#This Row],[Existing Fixture Code]])</f>
        <v>#N/A</v>
      </c>
      <c r="BN54" s="118" t="e">
        <f>INDEX(Table7[WATT/ FIXT], MATCH(ReviewCalcs[Baseline Fixture Code], Table7[FIXTURE CODE], 0))</f>
        <v>#N/A</v>
      </c>
      <c r="BO54" s="118">
        <f>IFERROR((ReviewCalcs[[#This Row],[Existing Fixture Quantity]]*ReviewCalcs[[#This Row],[Baseline Fixture Watts]]/1000-ReviewCalcs[[#This Row],[Proposed Fixture Quantity]]*ReviewCalcs[[#This Row],[Proposed Fixture Watts]]/1000)*ReviewCalcs[[#This Row],[Existing CF]]*ReviewCalcs[[#This Row],[IEFD]], 0)</f>
        <v>0</v>
      </c>
      <c r="BP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4" s="118">
        <f>IF(ReviewCalcs[[#This Row],[Existing CF]]=ReviewCalcs[[#This Row],[Proposed CF]], 0, ReviewCalcs[[#This Row],[Proposed Fixture Quantity]]*ReviewCalcs[[#This Row],[Proposed Fixture Watts]]/1000*ReviewCalcs[[#This Row],[Proposed CF]]*ReviewCalcs[[#This Row],[IEFD]])</f>
        <v>0</v>
      </c>
      <c r="BR54" s="118">
        <f>IFERROR(ReviewCalcs[[#This Row],[Proposed Fixture Quantity]]*ReviewCalcs[[#This Row],[Proposed Fixture Watts]]/1000*(ReviewCalcs[[#This Row],[Existing PAF]]-ReviewCalcs[[#This Row],[Proposed PAF]])*ReviewCalcs[[#This Row],[AOH]]*ReviewCalcs[[#This Row],[IEFE]],0)</f>
        <v>0</v>
      </c>
      <c r="BS54" s="118">
        <f>ReviewCalcs[[#This Row],[Incentive Fixture Demand Savings (kW)]]+ReviewCalcs[[#This Row],[Incentive Control Demand Savings (kW)]]</f>
        <v>0</v>
      </c>
      <c r="BT54" s="118">
        <f>ReviewCalcs[[#This Row],[Incentive Fixture Energy Savings (kWh)]]+ReviewCalcs[[#This Row],[Incentive Control Energy Savings (kWh)]]</f>
        <v>0</v>
      </c>
      <c r="BU54" s="73"/>
    </row>
    <row r="55" spans="1:73" ht="30" customHeight="1">
      <c r="A55" s="68">
        <v>52</v>
      </c>
      <c r="B55" s="96">
        <f>VLOOKUP(ReviewCalcs[[#This Row],[Project Index]], ProjectInput[], D$1, FALSE)</f>
        <v>0</v>
      </c>
      <c r="C55" s="97">
        <f>VLOOKUP(ReviewCalcs[[#This Row],[Project Index]], ProjectInput[], E$1, FALSE)</f>
        <v>0</v>
      </c>
      <c r="D55" s="97">
        <f>VLOOKUP(ReviewCalcs[[#This Row],[Project Index]], ProjectInput[], F$1, FALSE)</f>
        <v>0</v>
      </c>
      <c r="E55" s="97">
        <f>VLOOKUP(ReviewCalcs[[#This Row],[Project Index]], ProjectInput[], G$1, FALSE)</f>
        <v>0</v>
      </c>
      <c r="F55" s="97">
        <f>VLOOKUP(ReviewCalcs[[#This Row],[Project Index]], ProjectInput[], H$1, FALSE)</f>
        <v>0</v>
      </c>
      <c r="G55" s="98" t="str">
        <f>VLOOKUP(ReviewCalcs[[#This Row],[Project Index]], ProjectInput[], I$1, FALSE)</f>
        <v/>
      </c>
      <c r="H55" s="96">
        <f>VLOOKUP(ReviewCalcs[[#This Row],[Project Index]], ProjectInput[], J$1, FALSE)</f>
        <v>0</v>
      </c>
      <c r="I55" s="97">
        <f>VLOOKUP(ReviewCalcs[[#This Row],[Project Index]], ProjectInput[], K$1, FALSE)</f>
        <v>0</v>
      </c>
      <c r="J55" s="97">
        <f>VLOOKUP(ReviewCalcs[[#This Row],[Project Index]], ProjectInput[], L$1, FALSE)</f>
        <v>0</v>
      </c>
      <c r="K55" s="97">
        <f>VLOOKUP(ReviewCalcs[[#This Row],[Project Index]], ProjectInput[], M$1, FALSE)</f>
        <v>0</v>
      </c>
      <c r="L55" s="97">
        <f>VLOOKUP(ReviewCalcs[[#This Row],[Project Index]], ProjectInput[], N$1, FALSE)</f>
        <v>0</v>
      </c>
      <c r="M55" s="98" t="str">
        <f>VLOOKUP(ReviewCalcs[[#This Row],[Project Index]], ProjectInput[], O$1, FALSE)</f>
        <v/>
      </c>
      <c r="N55" s="96">
        <f>VLOOKUP(ReviewCalcs[[#This Row],[Project Index]], ProjectInput[], P$1, FALSE)</f>
        <v>0</v>
      </c>
      <c r="O55" s="97">
        <f>VLOOKUP(ReviewCalcs[[#This Row],[Project Index]], ProjectInput[], Q$1, FALSE)</f>
        <v>0</v>
      </c>
      <c r="P55" s="97">
        <f>VLOOKUP(ReviewCalcs[[#This Row],[Project Index]], ProjectInput[], R$1, FALSE)</f>
        <v>0</v>
      </c>
      <c r="Q55" s="97">
        <f>VLOOKUP(ReviewCalcs[[#This Row],[Project Index]], ProjectInput[], S$1, FALSE)</f>
        <v>0</v>
      </c>
      <c r="R55" s="97">
        <f>VLOOKUP(ReviewCalcs[[#This Row],[Project Index]], ProjectInput[], T$1, FALSE)</f>
        <v>0</v>
      </c>
      <c r="S55" s="97">
        <f>VLOOKUP(ReviewCalcs[[#This Row],[Project Index]], ProjectInput[], U$1, FALSE)</f>
        <v>0</v>
      </c>
      <c r="T55" s="97">
        <f>VLOOKUP(ReviewCalcs[[#This Row],[Project Index]], ProjectInput[], V$1, FALSE)</f>
        <v>0</v>
      </c>
      <c r="U55" s="97">
        <f>VLOOKUP(ReviewCalcs[[#This Row],[Project Index]], ProjectInput[], W$1, FALSE)</f>
        <v>0</v>
      </c>
      <c r="V55" s="98" t="str">
        <f>VLOOKUP(ReviewCalcs[[#This Row],[Project Index]], ProjectInput[], X$1, FALSE)</f>
        <v/>
      </c>
      <c r="W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5" s="75" t="e">
        <f>IF(VLOOKUP(ReviewCalcs[[#This Row],[Proposed Fixture Code]], Table7[[FIXTURE CODE]:[Baseline Fixture Code]], 8, FALSE)="N", "ERROR", "PASS")</f>
        <v>#N/A</v>
      </c>
      <c r="Y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5" s="75" t="e">
        <f>IF(OR(ReviewCalcs[[#This Row],[Baseline Fixture Watts]]&gt;=ReviewCalcs[[#This Row],[Proposed Fixture Watts]],ReviewCalcs[[#This Row],[Existing Fixture Watts]]&gt;=ReviewCalcs[[#This Row],[Proposed Fixture Watts]] ), "PASS", "ERROR")</f>
        <v>#N/A</v>
      </c>
      <c r="AA55" s="69" t="e">
        <f>VLOOKUP(ReviewCalcs[[#This Row],[Space Conditions]], Table_365[], 5, FALSE)</f>
        <v>#N/A</v>
      </c>
      <c r="AB55" s="68" t="str">
        <f>ReviewCalcs[[#This Row],[Annual Hours]]</f>
        <v/>
      </c>
      <c r="AC55" s="68" t="e">
        <f>VLOOKUP(ReviewCalcs[[#This Row],[Space Conditions]], Table_365[], 6, FALSE)</f>
        <v>#N/A</v>
      </c>
      <c r="AD55" s="68">
        <f>IF(ReviewCalcs[[#This Row],[Existing Control(s)]]='Tables &amp; Ranges'!$A$25, VLOOKUP(ReviewCalcs[[#This Row],[Building/Space Type]], Table_364[], 3, FALSE), CF_Contols)</f>
        <v>0.26</v>
      </c>
      <c r="AE55" s="68" t="e">
        <f>VLOOKUP(ReviewCalcs[[#This Row],[Existing Control(s)]], Table_358[], 2, FALSE)</f>
        <v>#N/A</v>
      </c>
      <c r="AF55" s="68">
        <f>IF(ReviewCalcs[[#This Row],[Proposed Control(s)]]='Tables &amp; Ranges'!$A$25, VLOOKUP(ReviewCalcs[[#This Row],[Building/Space Type]], Table_364[], 3, FALSE), CF_Contols)</f>
        <v>0.26</v>
      </c>
      <c r="AG55" s="68" t="e">
        <f>VLOOKUP(ReviewCalcs[[#This Row],[Proposed Control(s)]], Table_358[], 2, FALSE)</f>
        <v>#N/A</v>
      </c>
      <c r="AH55" s="68">
        <f>IFERROR((ReviewCalcs[[#This Row],[Existing Fixture Quantity]]*ReviewCalcs[[#This Row],[Existing Fixture Watts]]/1000)*ReviewCalcs[[#This Row],[Existing CF]]*ReviewCalcs[[#This Row],[IEFD]], 0)</f>
        <v>0</v>
      </c>
      <c r="AI55" s="68">
        <f>IFERROR((ReviewCalcs[[#This Row],[Proposed Fixture Quantity]]*ReviewCalcs[[#This Row],[Proposed Fixture Watts]]/1000)*ReviewCalcs[[#This Row],[Existing CF]]*ReviewCalcs[[#This Row],[IEFD]], 0)</f>
        <v>0</v>
      </c>
      <c r="AJ55" s="118">
        <f>IFERROR((ReviewCalcs[[#This Row],[Existing Fixture Quantity]]*ReviewCalcs[[#This Row],[Existing Fixture Watts]]/1000-ReviewCalcs[[#This Row],[Proposed Fixture Quantity]]*ReviewCalcs[[#This Row],[Proposed Fixture Watts]]/1000)*ReviewCalcs[[#This Row],[Existing CF]]*ReviewCalcs[[#This Row],[IEFD]], 0)</f>
        <v>0</v>
      </c>
      <c r="AK55" s="118">
        <f>IFERROR((ReviewCalcs[[#This Row],[Existing Fixture Quantity]]*ReviewCalcs[[#This Row],[Existing Fixture Watts]]/1000)*ReviewCalcs[[#This Row],[AOH]]*ReviewCalcs[[#This Row],[IEFE]]*ReviewCalcs[[#This Row],[Existing PAF]], 0)</f>
        <v>0</v>
      </c>
      <c r="AL55" s="118">
        <f>IFERROR((ReviewCalcs[[#This Row],[Proposed Fixture Quantity]]*ReviewCalcs[[#This Row],[Proposed Fixture Watts]]/1000)*ReviewCalcs[[#This Row],[AOH]]*ReviewCalcs[[#This Row],[IEFE]]*ReviewCalcs[[#This Row],[Existing PAF]], 0)</f>
        <v>0</v>
      </c>
      <c r="AM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5" s="118">
        <f>ReviewCalcs[[#This Row],[Fixture Existing Energy (kWh)]]*Avg_KWh_Rate</f>
        <v>0</v>
      </c>
      <c r="AO55" s="118">
        <f>ReviewCalcs[[#This Row],[Fixture Proposed Energy (kWh)]]*Avg_KWh_Rate</f>
        <v>0</v>
      </c>
      <c r="AP55" s="70">
        <f>ReviewCalcs[[#This Row],[Fixture Energy Savings]]*Avg_KWh_Rate</f>
        <v>0</v>
      </c>
      <c r="AQ55" s="129" t="e">
        <f>ReviewCalcs[[#This Row],[Existing Fixture Quantity]]*ReviewCalcs[[#This Row],[Existing Fixture Watts]]/1000*ReviewCalcs[[#This Row],[Existing CF]]*ReviewCalcs[[#This Row],[IEFD]]</f>
        <v>#VALUE!</v>
      </c>
      <c r="AR55" s="129" t="e">
        <f>ReviewCalcs[[#This Row],[Proposed Fixture Quantity]]*ReviewCalcs[[#This Row],[Proposed Fixture Watts]]/1000*ReviewCalcs[[#This Row],[Proposed CF]]*ReviewCalcs[[#This Row],[IEFD]]</f>
        <v>#VALUE!</v>
      </c>
      <c r="AS55" s="118">
        <f>IF(ReviewCalcs[[#This Row],[Existing CF]]=ReviewCalcs[[#This Row],[Proposed CF]], 0, ReviewCalcs[[#This Row],[Proposed Fixture Quantity]]*ReviewCalcs[[#This Row],[Proposed Fixture Watts]]/1000*ReviewCalcs[[#This Row],[Proposed CF]]*ReviewCalcs[[#This Row],[IEFD]])</f>
        <v>0</v>
      </c>
      <c r="AT55" s="118">
        <f>IFERROR(ReviewCalcs[[#This Row],[Existing Fixture Quantity]]*ReviewCalcs[[#This Row],[Existing Fixture Watts]]/1000*ReviewCalcs[[#This Row],[Existing PAF]]*ReviewCalcs[[#This Row],[AOH]]*ReviewCalcs[[#This Row],[IEFE]], 0)</f>
        <v>0</v>
      </c>
      <c r="AU55" s="118">
        <f>IFERROR(ReviewCalcs[[#This Row],[Proposed Fixture Quantity]]*ReviewCalcs[[#This Row],[Proposed Fixture Watts]]/1000*ReviewCalcs[[#This Row],[Proposed PAF]]*ReviewCalcs[[#This Row],[AOH]]*ReviewCalcs[[#This Row],[IEFE]], 0)</f>
        <v>0</v>
      </c>
      <c r="AV55" s="118">
        <f>IFERROR(ReviewCalcs[[#This Row],[Proposed Fixture Quantity]]*ReviewCalcs[[#This Row],[Proposed Fixture Watts]]/1000*(ReviewCalcs[[#This Row],[Existing PAF]]-ReviewCalcs[[#This Row],[Proposed PAF]])*ReviewCalcs[[#This Row],[AOH]]*ReviewCalcs[[#This Row],[IEFE]], 0)</f>
        <v>0</v>
      </c>
      <c r="AW55" s="118">
        <f>ReviewCalcs[[#This Row],[Control Existing Energy (kWh)]]*kWh_Incentive_Rate</f>
        <v>0</v>
      </c>
      <c r="AX55" s="118">
        <f>ReviewCalcs[[#This Row],[Control Proposed Energy (kWh)]]*kWh_Incentive_Rate</f>
        <v>0</v>
      </c>
      <c r="AY55" s="70">
        <f>ReviewCalcs[[#This Row],[Control Energy Savings (kWh)]]*kWh_Incentive_Rate</f>
        <v>0</v>
      </c>
      <c r="AZ55" s="70" t="e">
        <f>ReviewCalcs[[#This Row],[Fixture Existing Demand (kW)]]+ReviewCalcs[[#This Row],[Control Existing Demand (kW)]]</f>
        <v>#VALUE!</v>
      </c>
      <c r="BA55" s="70" t="e">
        <f>ReviewCalcs[[#This Row],[Fixture Proposed Demand (kW)]]+ReviewCalcs[[#This Row],[Control Proposed Demand (kW)]]</f>
        <v>#VALUE!</v>
      </c>
      <c r="BB55" s="118">
        <f>ReviewCalcs[[#This Row],[Fixture Demand Savings (kW)]]+ReviewCalcs[[#This Row],[Control Demand Savings (kW)]]</f>
        <v>0</v>
      </c>
      <c r="BC55" s="118">
        <f>ReviewCalcs[[#This Row],[Fixture Existing Energy (kWh)]]+ReviewCalcs[[#This Row],[Control Existing Energy (kWh)]]</f>
        <v>0</v>
      </c>
      <c r="BD55" s="118">
        <f>ReviewCalcs[[#This Row],[Fixture Proposed Energy (kWh)]]+ReviewCalcs[[#This Row],[Control Proposed Energy (kWh)]]</f>
        <v>0</v>
      </c>
      <c r="BE55" s="118">
        <f>ReviewCalcs[[#This Row],[Fixture Energy Savings]]+ReviewCalcs[[#This Row],[Control Energy Savings (kWh)]]</f>
        <v>0</v>
      </c>
      <c r="BF55" s="118">
        <f>ReviewCalcs[[#This Row],[Fixture Existing Cost ($)]]+ReviewCalcs[[#This Row],[Control Existing Cost ($)]]</f>
        <v>0</v>
      </c>
      <c r="BG55" s="118">
        <f>ReviewCalcs[[#This Row],[Fixture Proposed Cost ($)]]+ReviewCalcs[[#This Row],[Controls Proposed Cost ($)]]</f>
        <v>0</v>
      </c>
      <c r="BH55" s="70">
        <f>ReviewCalcs[[#This Row],[Total Energy Savings (kWh)]]*Avg_KWh_Rate</f>
        <v>0</v>
      </c>
      <c r="BI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5" s="70">
        <f>ReviewCalcs[[#This Row],[Retrofit Cost]]</f>
        <v>0</v>
      </c>
      <c r="BK55" s="70">
        <f>ReviewCalcs[[#This Row],[Retrofit Cost]]-ReviewCalcs[[#This Row],[Incentive ($)]]</f>
        <v>0</v>
      </c>
      <c r="BL55" s="118" t="e">
        <f>IFERROR(ReviewCalcs[[#This Row],[Net Project Cost ($)]]/ReviewCalcs[[#This Row],[Fixture Energy Cost Savings ($)]], #N/A)</f>
        <v>#N/A</v>
      </c>
      <c r="BM55" s="118" t="e">
        <f>IF(VLOOKUP(ReviewCalcs[[#This Row],[Existing Fixture Code]], Table7[[FIXTURE CODE]:[Baseline Fixture Code]], 8, FALSE)="N", VLOOKUP(ReviewCalcs[[#This Row],[Existing Fixture Code]], Table7[[FIXTURE CODE]:[Baseline Fixture Code]], 9, FALSE), ReviewCalcs[[#This Row],[Existing Fixture Code]])</f>
        <v>#N/A</v>
      </c>
      <c r="BN55" s="118" t="e">
        <f>INDEX(Table7[WATT/ FIXT], MATCH(ReviewCalcs[Baseline Fixture Code], Table7[FIXTURE CODE], 0))</f>
        <v>#N/A</v>
      </c>
      <c r="BO55" s="118">
        <f>IFERROR((ReviewCalcs[[#This Row],[Existing Fixture Quantity]]*ReviewCalcs[[#This Row],[Baseline Fixture Watts]]/1000-ReviewCalcs[[#This Row],[Proposed Fixture Quantity]]*ReviewCalcs[[#This Row],[Proposed Fixture Watts]]/1000)*ReviewCalcs[[#This Row],[Existing CF]]*ReviewCalcs[[#This Row],[IEFD]], 0)</f>
        <v>0</v>
      </c>
      <c r="BP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5" s="118">
        <f>IF(ReviewCalcs[[#This Row],[Existing CF]]=ReviewCalcs[[#This Row],[Proposed CF]], 0, ReviewCalcs[[#This Row],[Proposed Fixture Quantity]]*ReviewCalcs[[#This Row],[Proposed Fixture Watts]]/1000*ReviewCalcs[[#This Row],[Proposed CF]]*ReviewCalcs[[#This Row],[IEFD]])</f>
        <v>0</v>
      </c>
      <c r="BR55" s="118">
        <f>IFERROR(ReviewCalcs[[#This Row],[Proposed Fixture Quantity]]*ReviewCalcs[[#This Row],[Proposed Fixture Watts]]/1000*(ReviewCalcs[[#This Row],[Existing PAF]]-ReviewCalcs[[#This Row],[Proposed PAF]])*ReviewCalcs[[#This Row],[AOH]]*ReviewCalcs[[#This Row],[IEFE]],0)</f>
        <v>0</v>
      </c>
      <c r="BS55" s="118">
        <f>ReviewCalcs[[#This Row],[Incentive Fixture Demand Savings (kW)]]+ReviewCalcs[[#This Row],[Incentive Control Demand Savings (kW)]]</f>
        <v>0</v>
      </c>
      <c r="BT55" s="118">
        <f>ReviewCalcs[[#This Row],[Incentive Fixture Energy Savings (kWh)]]+ReviewCalcs[[#This Row],[Incentive Control Energy Savings (kWh)]]</f>
        <v>0</v>
      </c>
      <c r="BU55" s="73"/>
    </row>
    <row r="56" spans="1:73" ht="30" customHeight="1">
      <c r="A56" s="68">
        <v>53</v>
      </c>
      <c r="B56" s="96">
        <f>VLOOKUP(ReviewCalcs[[#This Row],[Project Index]], ProjectInput[], D$1, FALSE)</f>
        <v>0</v>
      </c>
      <c r="C56" s="97">
        <f>VLOOKUP(ReviewCalcs[[#This Row],[Project Index]], ProjectInput[], E$1, FALSE)</f>
        <v>0</v>
      </c>
      <c r="D56" s="97">
        <f>VLOOKUP(ReviewCalcs[[#This Row],[Project Index]], ProjectInput[], F$1, FALSE)</f>
        <v>0</v>
      </c>
      <c r="E56" s="97">
        <f>VLOOKUP(ReviewCalcs[[#This Row],[Project Index]], ProjectInput[], G$1, FALSE)</f>
        <v>0</v>
      </c>
      <c r="F56" s="97">
        <f>VLOOKUP(ReviewCalcs[[#This Row],[Project Index]], ProjectInput[], H$1, FALSE)</f>
        <v>0</v>
      </c>
      <c r="G56" s="98" t="str">
        <f>VLOOKUP(ReviewCalcs[[#This Row],[Project Index]], ProjectInput[], I$1, FALSE)</f>
        <v/>
      </c>
      <c r="H56" s="96">
        <f>VLOOKUP(ReviewCalcs[[#This Row],[Project Index]], ProjectInput[], J$1, FALSE)</f>
        <v>0</v>
      </c>
      <c r="I56" s="97">
        <f>VLOOKUP(ReviewCalcs[[#This Row],[Project Index]], ProjectInput[], K$1, FALSE)</f>
        <v>0</v>
      </c>
      <c r="J56" s="97">
        <f>VLOOKUP(ReviewCalcs[[#This Row],[Project Index]], ProjectInput[], L$1, FALSE)</f>
        <v>0</v>
      </c>
      <c r="K56" s="97">
        <f>VLOOKUP(ReviewCalcs[[#This Row],[Project Index]], ProjectInput[], M$1, FALSE)</f>
        <v>0</v>
      </c>
      <c r="L56" s="97">
        <f>VLOOKUP(ReviewCalcs[[#This Row],[Project Index]], ProjectInput[], N$1, FALSE)</f>
        <v>0</v>
      </c>
      <c r="M56" s="98" t="str">
        <f>VLOOKUP(ReviewCalcs[[#This Row],[Project Index]], ProjectInput[], O$1, FALSE)</f>
        <v/>
      </c>
      <c r="N56" s="96">
        <f>VLOOKUP(ReviewCalcs[[#This Row],[Project Index]], ProjectInput[], P$1, FALSE)</f>
        <v>0</v>
      </c>
      <c r="O56" s="97">
        <f>VLOOKUP(ReviewCalcs[[#This Row],[Project Index]], ProjectInput[], Q$1, FALSE)</f>
        <v>0</v>
      </c>
      <c r="P56" s="97">
        <f>VLOOKUP(ReviewCalcs[[#This Row],[Project Index]], ProjectInput[], R$1, FALSE)</f>
        <v>0</v>
      </c>
      <c r="Q56" s="97">
        <f>VLOOKUP(ReviewCalcs[[#This Row],[Project Index]], ProjectInput[], S$1, FALSE)</f>
        <v>0</v>
      </c>
      <c r="R56" s="97">
        <f>VLOOKUP(ReviewCalcs[[#This Row],[Project Index]], ProjectInput[], T$1, FALSE)</f>
        <v>0</v>
      </c>
      <c r="S56" s="97">
        <f>VLOOKUP(ReviewCalcs[[#This Row],[Project Index]], ProjectInput[], U$1, FALSE)</f>
        <v>0</v>
      </c>
      <c r="T56" s="97">
        <f>VLOOKUP(ReviewCalcs[[#This Row],[Project Index]], ProjectInput[], V$1, FALSE)</f>
        <v>0</v>
      </c>
      <c r="U56" s="97">
        <f>VLOOKUP(ReviewCalcs[[#This Row],[Project Index]], ProjectInput[], W$1, FALSE)</f>
        <v>0</v>
      </c>
      <c r="V56" s="98" t="str">
        <f>VLOOKUP(ReviewCalcs[[#This Row],[Project Index]], ProjectInput[], X$1, FALSE)</f>
        <v/>
      </c>
      <c r="W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6" s="75" t="e">
        <f>IF(VLOOKUP(ReviewCalcs[[#This Row],[Proposed Fixture Code]], Table7[[FIXTURE CODE]:[Baseline Fixture Code]], 8, FALSE)="N", "ERROR", "PASS")</f>
        <v>#N/A</v>
      </c>
      <c r="Y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6" s="75" t="e">
        <f>IF(OR(ReviewCalcs[[#This Row],[Baseline Fixture Watts]]&gt;=ReviewCalcs[[#This Row],[Proposed Fixture Watts]],ReviewCalcs[[#This Row],[Existing Fixture Watts]]&gt;=ReviewCalcs[[#This Row],[Proposed Fixture Watts]] ), "PASS", "ERROR")</f>
        <v>#N/A</v>
      </c>
      <c r="AA56" s="69" t="e">
        <f>VLOOKUP(ReviewCalcs[[#This Row],[Space Conditions]], Table_365[], 5, FALSE)</f>
        <v>#N/A</v>
      </c>
      <c r="AB56" s="68" t="str">
        <f>ReviewCalcs[[#This Row],[Annual Hours]]</f>
        <v/>
      </c>
      <c r="AC56" s="68" t="e">
        <f>VLOOKUP(ReviewCalcs[[#This Row],[Space Conditions]], Table_365[], 6, FALSE)</f>
        <v>#N/A</v>
      </c>
      <c r="AD56" s="68">
        <f>IF(ReviewCalcs[[#This Row],[Existing Control(s)]]='Tables &amp; Ranges'!$A$25, VLOOKUP(ReviewCalcs[[#This Row],[Building/Space Type]], Table_364[], 3, FALSE), CF_Contols)</f>
        <v>0.26</v>
      </c>
      <c r="AE56" s="68" t="e">
        <f>VLOOKUP(ReviewCalcs[[#This Row],[Existing Control(s)]], Table_358[], 2, FALSE)</f>
        <v>#N/A</v>
      </c>
      <c r="AF56" s="68">
        <f>IF(ReviewCalcs[[#This Row],[Proposed Control(s)]]='Tables &amp; Ranges'!$A$25, VLOOKUP(ReviewCalcs[[#This Row],[Building/Space Type]], Table_364[], 3, FALSE), CF_Contols)</f>
        <v>0.26</v>
      </c>
      <c r="AG56" s="68" t="e">
        <f>VLOOKUP(ReviewCalcs[[#This Row],[Proposed Control(s)]], Table_358[], 2, FALSE)</f>
        <v>#N/A</v>
      </c>
      <c r="AH56" s="68">
        <f>IFERROR((ReviewCalcs[[#This Row],[Existing Fixture Quantity]]*ReviewCalcs[[#This Row],[Existing Fixture Watts]]/1000)*ReviewCalcs[[#This Row],[Existing CF]]*ReviewCalcs[[#This Row],[IEFD]], 0)</f>
        <v>0</v>
      </c>
      <c r="AI56" s="68">
        <f>IFERROR((ReviewCalcs[[#This Row],[Proposed Fixture Quantity]]*ReviewCalcs[[#This Row],[Proposed Fixture Watts]]/1000)*ReviewCalcs[[#This Row],[Existing CF]]*ReviewCalcs[[#This Row],[IEFD]], 0)</f>
        <v>0</v>
      </c>
      <c r="AJ56" s="118">
        <f>IFERROR((ReviewCalcs[[#This Row],[Existing Fixture Quantity]]*ReviewCalcs[[#This Row],[Existing Fixture Watts]]/1000-ReviewCalcs[[#This Row],[Proposed Fixture Quantity]]*ReviewCalcs[[#This Row],[Proposed Fixture Watts]]/1000)*ReviewCalcs[[#This Row],[Existing CF]]*ReviewCalcs[[#This Row],[IEFD]], 0)</f>
        <v>0</v>
      </c>
      <c r="AK56" s="118">
        <f>IFERROR((ReviewCalcs[[#This Row],[Existing Fixture Quantity]]*ReviewCalcs[[#This Row],[Existing Fixture Watts]]/1000)*ReviewCalcs[[#This Row],[AOH]]*ReviewCalcs[[#This Row],[IEFE]]*ReviewCalcs[[#This Row],[Existing PAF]], 0)</f>
        <v>0</v>
      </c>
      <c r="AL56" s="118">
        <f>IFERROR((ReviewCalcs[[#This Row],[Proposed Fixture Quantity]]*ReviewCalcs[[#This Row],[Proposed Fixture Watts]]/1000)*ReviewCalcs[[#This Row],[AOH]]*ReviewCalcs[[#This Row],[IEFE]]*ReviewCalcs[[#This Row],[Existing PAF]], 0)</f>
        <v>0</v>
      </c>
      <c r="AM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6" s="118">
        <f>ReviewCalcs[[#This Row],[Fixture Existing Energy (kWh)]]*Avg_KWh_Rate</f>
        <v>0</v>
      </c>
      <c r="AO56" s="118">
        <f>ReviewCalcs[[#This Row],[Fixture Proposed Energy (kWh)]]*Avg_KWh_Rate</f>
        <v>0</v>
      </c>
      <c r="AP56" s="70">
        <f>ReviewCalcs[[#This Row],[Fixture Energy Savings]]*Avg_KWh_Rate</f>
        <v>0</v>
      </c>
      <c r="AQ56" s="129" t="e">
        <f>ReviewCalcs[[#This Row],[Existing Fixture Quantity]]*ReviewCalcs[[#This Row],[Existing Fixture Watts]]/1000*ReviewCalcs[[#This Row],[Existing CF]]*ReviewCalcs[[#This Row],[IEFD]]</f>
        <v>#VALUE!</v>
      </c>
      <c r="AR56" s="129" t="e">
        <f>ReviewCalcs[[#This Row],[Proposed Fixture Quantity]]*ReviewCalcs[[#This Row],[Proposed Fixture Watts]]/1000*ReviewCalcs[[#This Row],[Proposed CF]]*ReviewCalcs[[#This Row],[IEFD]]</f>
        <v>#VALUE!</v>
      </c>
      <c r="AS56" s="118">
        <f>IF(ReviewCalcs[[#This Row],[Existing CF]]=ReviewCalcs[[#This Row],[Proposed CF]], 0, ReviewCalcs[[#This Row],[Proposed Fixture Quantity]]*ReviewCalcs[[#This Row],[Proposed Fixture Watts]]/1000*ReviewCalcs[[#This Row],[Proposed CF]]*ReviewCalcs[[#This Row],[IEFD]])</f>
        <v>0</v>
      </c>
      <c r="AT56" s="118">
        <f>IFERROR(ReviewCalcs[[#This Row],[Existing Fixture Quantity]]*ReviewCalcs[[#This Row],[Existing Fixture Watts]]/1000*ReviewCalcs[[#This Row],[Existing PAF]]*ReviewCalcs[[#This Row],[AOH]]*ReviewCalcs[[#This Row],[IEFE]], 0)</f>
        <v>0</v>
      </c>
      <c r="AU56" s="118">
        <f>IFERROR(ReviewCalcs[[#This Row],[Proposed Fixture Quantity]]*ReviewCalcs[[#This Row],[Proposed Fixture Watts]]/1000*ReviewCalcs[[#This Row],[Proposed PAF]]*ReviewCalcs[[#This Row],[AOH]]*ReviewCalcs[[#This Row],[IEFE]], 0)</f>
        <v>0</v>
      </c>
      <c r="AV56" s="118">
        <f>IFERROR(ReviewCalcs[[#This Row],[Proposed Fixture Quantity]]*ReviewCalcs[[#This Row],[Proposed Fixture Watts]]/1000*(ReviewCalcs[[#This Row],[Existing PAF]]-ReviewCalcs[[#This Row],[Proposed PAF]])*ReviewCalcs[[#This Row],[AOH]]*ReviewCalcs[[#This Row],[IEFE]], 0)</f>
        <v>0</v>
      </c>
      <c r="AW56" s="118">
        <f>ReviewCalcs[[#This Row],[Control Existing Energy (kWh)]]*kWh_Incentive_Rate</f>
        <v>0</v>
      </c>
      <c r="AX56" s="118">
        <f>ReviewCalcs[[#This Row],[Control Proposed Energy (kWh)]]*kWh_Incentive_Rate</f>
        <v>0</v>
      </c>
      <c r="AY56" s="70">
        <f>ReviewCalcs[[#This Row],[Control Energy Savings (kWh)]]*kWh_Incentive_Rate</f>
        <v>0</v>
      </c>
      <c r="AZ56" s="70" t="e">
        <f>ReviewCalcs[[#This Row],[Fixture Existing Demand (kW)]]+ReviewCalcs[[#This Row],[Control Existing Demand (kW)]]</f>
        <v>#VALUE!</v>
      </c>
      <c r="BA56" s="70" t="e">
        <f>ReviewCalcs[[#This Row],[Fixture Proposed Demand (kW)]]+ReviewCalcs[[#This Row],[Control Proposed Demand (kW)]]</f>
        <v>#VALUE!</v>
      </c>
      <c r="BB56" s="118">
        <f>ReviewCalcs[[#This Row],[Fixture Demand Savings (kW)]]+ReviewCalcs[[#This Row],[Control Demand Savings (kW)]]</f>
        <v>0</v>
      </c>
      <c r="BC56" s="118">
        <f>ReviewCalcs[[#This Row],[Fixture Existing Energy (kWh)]]+ReviewCalcs[[#This Row],[Control Existing Energy (kWh)]]</f>
        <v>0</v>
      </c>
      <c r="BD56" s="118">
        <f>ReviewCalcs[[#This Row],[Fixture Proposed Energy (kWh)]]+ReviewCalcs[[#This Row],[Control Proposed Energy (kWh)]]</f>
        <v>0</v>
      </c>
      <c r="BE56" s="118">
        <f>ReviewCalcs[[#This Row],[Fixture Energy Savings]]+ReviewCalcs[[#This Row],[Control Energy Savings (kWh)]]</f>
        <v>0</v>
      </c>
      <c r="BF56" s="118">
        <f>ReviewCalcs[[#This Row],[Fixture Existing Cost ($)]]+ReviewCalcs[[#This Row],[Control Existing Cost ($)]]</f>
        <v>0</v>
      </c>
      <c r="BG56" s="118">
        <f>ReviewCalcs[[#This Row],[Fixture Proposed Cost ($)]]+ReviewCalcs[[#This Row],[Controls Proposed Cost ($)]]</f>
        <v>0</v>
      </c>
      <c r="BH56" s="70">
        <f>ReviewCalcs[[#This Row],[Total Energy Savings (kWh)]]*Avg_KWh_Rate</f>
        <v>0</v>
      </c>
      <c r="BI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6" s="70">
        <f>ReviewCalcs[[#This Row],[Retrofit Cost]]</f>
        <v>0</v>
      </c>
      <c r="BK56" s="70">
        <f>ReviewCalcs[[#This Row],[Retrofit Cost]]-ReviewCalcs[[#This Row],[Incentive ($)]]</f>
        <v>0</v>
      </c>
      <c r="BL56" s="118" t="e">
        <f>IFERROR(ReviewCalcs[[#This Row],[Net Project Cost ($)]]/ReviewCalcs[[#This Row],[Fixture Energy Cost Savings ($)]], #N/A)</f>
        <v>#N/A</v>
      </c>
      <c r="BM56" s="118" t="e">
        <f>IF(VLOOKUP(ReviewCalcs[[#This Row],[Existing Fixture Code]], Table7[[FIXTURE CODE]:[Baseline Fixture Code]], 8, FALSE)="N", VLOOKUP(ReviewCalcs[[#This Row],[Existing Fixture Code]], Table7[[FIXTURE CODE]:[Baseline Fixture Code]], 9, FALSE), ReviewCalcs[[#This Row],[Existing Fixture Code]])</f>
        <v>#N/A</v>
      </c>
      <c r="BN56" s="118" t="e">
        <f>INDEX(Table7[WATT/ FIXT], MATCH(ReviewCalcs[Baseline Fixture Code], Table7[FIXTURE CODE], 0))</f>
        <v>#N/A</v>
      </c>
      <c r="BO56" s="118">
        <f>IFERROR((ReviewCalcs[[#This Row],[Existing Fixture Quantity]]*ReviewCalcs[[#This Row],[Baseline Fixture Watts]]/1000-ReviewCalcs[[#This Row],[Proposed Fixture Quantity]]*ReviewCalcs[[#This Row],[Proposed Fixture Watts]]/1000)*ReviewCalcs[[#This Row],[Existing CF]]*ReviewCalcs[[#This Row],[IEFD]], 0)</f>
        <v>0</v>
      </c>
      <c r="BP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6" s="118">
        <f>IF(ReviewCalcs[[#This Row],[Existing CF]]=ReviewCalcs[[#This Row],[Proposed CF]], 0, ReviewCalcs[[#This Row],[Proposed Fixture Quantity]]*ReviewCalcs[[#This Row],[Proposed Fixture Watts]]/1000*ReviewCalcs[[#This Row],[Proposed CF]]*ReviewCalcs[[#This Row],[IEFD]])</f>
        <v>0</v>
      </c>
      <c r="BR56" s="118">
        <f>IFERROR(ReviewCalcs[[#This Row],[Proposed Fixture Quantity]]*ReviewCalcs[[#This Row],[Proposed Fixture Watts]]/1000*(ReviewCalcs[[#This Row],[Existing PAF]]-ReviewCalcs[[#This Row],[Proposed PAF]])*ReviewCalcs[[#This Row],[AOH]]*ReviewCalcs[[#This Row],[IEFE]],0)</f>
        <v>0</v>
      </c>
      <c r="BS56" s="118">
        <f>ReviewCalcs[[#This Row],[Incentive Fixture Demand Savings (kW)]]+ReviewCalcs[[#This Row],[Incentive Control Demand Savings (kW)]]</f>
        <v>0</v>
      </c>
      <c r="BT56" s="118">
        <f>ReviewCalcs[[#This Row],[Incentive Fixture Energy Savings (kWh)]]+ReviewCalcs[[#This Row],[Incentive Control Energy Savings (kWh)]]</f>
        <v>0</v>
      </c>
      <c r="BU56" s="73"/>
    </row>
    <row r="57" spans="1:73" ht="30" customHeight="1">
      <c r="A57" s="68">
        <v>54</v>
      </c>
      <c r="B57" s="96">
        <f>VLOOKUP(ReviewCalcs[[#This Row],[Project Index]], ProjectInput[], D$1, FALSE)</f>
        <v>0</v>
      </c>
      <c r="C57" s="97">
        <f>VLOOKUP(ReviewCalcs[[#This Row],[Project Index]], ProjectInput[], E$1, FALSE)</f>
        <v>0</v>
      </c>
      <c r="D57" s="97">
        <f>VLOOKUP(ReviewCalcs[[#This Row],[Project Index]], ProjectInput[], F$1, FALSE)</f>
        <v>0</v>
      </c>
      <c r="E57" s="97">
        <f>VLOOKUP(ReviewCalcs[[#This Row],[Project Index]], ProjectInput[], G$1, FALSE)</f>
        <v>0</v>
      </c>
      <c r="F57" s="97">
        <f>VLOOKUP(ReviewCalcs[[#This Row],[Project Index]], ProjectInput[], H$1, FALSE)</f>
        <v>0</v>
      </c>
      <c r="G57" s="98" t="str">
        <f>VLOOKUP(ReviewCalcs[[#This Row],[Project Index]], ProjectInput[], I$1, FALSE)</f>
        <v/>
      </c>
      <c r="H57" s="96">
        <f>VLOOKUP(ReviewCalcs[[#This Row],[Project Index]], ProjectInput[], J$1, FALSE)</f>
        <v>0</v>
      </c>
      <c r="I57" s="97">
        <f>VLOOKUP(ReviewCalcs[[#This Row],[Project Index]], ProjectInput[], K$1, FALSE)</f>
        <v>0</v>
      </c>
      <c r="J57" s="97">
        <f>VLOOKUP(ReviewCalcs[[#This Row],[Project Index]], ProjectInput[], L$1, FALSE)</f>
        <v>0</v>
      </c>
      <c r="K57" s="97">
        <f>VLOOKUP(ReviewCalcs[[#This Row],[Project Index]], ProjectInput[], M$1, FALSE)</f>
        <v>0</v>
      </c>
      <c r="L57" s="97">
        <f>VLOOKUP(ReviewCalcs[[#This Row],[Project Index]], ProjectInput[], N$1, FALSE)</f>
        <v>0</v>
      </c>
      <c r="M57" s="98" t="str">
        <f>VLOOKUP(ReviewCalcs[[#This Row],[Project Index]], ProjectInput[], O$1, FALSE)</f>
        <v/>
      </c>
      <c r="N57" s="96">
        <f>VLOOKUP(ReviewCalcs[[#This Row],[Project Index]], ProjectInput[], P$1, FALSE)</f>
        <v>0</v>
      </c>
      <c r="O57" s="97">
        <f>VLOOKUP(ReviewCalcs[[#This Row],[Project Index]], ProjectInput[], Q$1, FALSE)</f>
        <v>0</v>
      </c>
      <c r="P57" s="97">
        <f>VLOOKUP(ReviewCalcs[[#This Row],[Project Index]], ProjectInput[], R$1, FALSE)</f>
        <v>0</v>
      </c>
      <c r="Q57" s="97">
        <f>VLOOKUP(ReviewCalcs[[#This Row],[Project Index]], ProjectInput[], S$1, FALSE)</f>
        <v>0</v>
      </c>
      <c r="R57" s="97">
        <f>VLOOKUP(ReviewCalcs[[#This Row],[Project Index]], ProjectInput[], T$1, FALSE)</f>
        <v>0</v>
      </c>
      <c r="S57" s="97">
        <f>VLOOKUP(ReviewCalcs[[#This Row],[Project Index]], ProjectInput[], U$1, FALSE)</f>
        <v>0</v>
      </c>
      <c r="T57" s="97">
        <f>VLOOKUP(ReviewCalcs[[#This Row],[Project Index]], ProjectInput[], V$1, FALSE)</f>
        <v>0</v>
      </c>
      <c r="U57" s="97">
        <f>VLOOKUP(ReviewCalcs[[#This Row],[Project Index]], ProjectInput[], W$1, FALSE)</f>
        <v>0</v>
      </c>
      <c r="V57" s="98" t="str">
        <f>VLOOKUP(ReviewCalcs[[#This Row],[Project Index]], ProjectInput[], X$1, FALSE)</f>
        <v/>
      </c>
      <c r="W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7" s="75" t="e">
        <f>IF(VLOOKUP(ReviewCalcs[[#This Row],[Proposed Fixture Code]], Table7[[FIXTURE CODE]:[Baseline Fixture Code]], 8, FALSE)="N", "ERROR", "PASS")</f>
        <v>#N/A</v>
      </c>
      <c r="Y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7" s="75" t="e">
        <f>IF(OR(ReviewCalcs[[#This Row],[Baseline Fixture Watts]]&gt;=ReviewCalcs[[#This Row],[Proposed Fixture Watts]],ReviewCalcs[[#This Row],[Existing Fixture Watts]]&gt;=ReviewCalcs[[#This Row],[Proposed Fixture Watts]] ), "PASS", "ERROR")</f>
        <v>#N/A</v>
      </c>
      <c r="AA57" s="69" t="e">
        <f>VLOOKUP(ReviewCalcs[[#This Row],[Space Conditions]], Table_365[], 5, FALSE)</f>
        <v>#N/A</v>
      </c>
      <c r="AB57" s="68" t="str">
        <f>ReviewCalcs[[#This Row],[Annual Hours]]</f>
        <v/>
      </c>
      <c r="AC57" s="68" t="e">
        <f>VLOOKUP(ReviewCalcs[[#This Row],[Space Conditions]], Table_365[], 6, FALSE)</f>
        <v>#N/A</v>
      </c>
      <c r="AD57" s="68">
        <f>IF(ReviewCalcs[[#This Row],[Existing Control(s)]]='Tables &amp; Ranges'!$A$25, VLOOKUP(ReviewCalcs[[#This Row],[Building/Space Type]], Table_364[], 3, FALSE), CF_Contols)</f>
        <v>0.26</v>
      </c>
      <c r="AE57" s="68" t="e">
        <f>VLOOKUP(ReviewCalcs[[#This Row],[Existing Control(s)]], Table_358[], 2, FALSE)</f>
        <v>#N/A</v>
      </c>
      <c r="AF57" s="68">
        <f>IF(ReviewCalcs[[#This Row],[Proposed Control(s)]]='Tables &amp; Ranges'!$A$25, VLOOKUP(ReviewCalcs[[#This Row],[Building/Space Type]], Table_364[], 3, FALSE), CF_Contols)</f>
        <v>0.26</v>
      </c>
      <c r="AG57" s="68" t="e">
        <f>VLOOKUP(ReviewCalcs[[#This Row],[Proposed Control(s)]], Table_358[], 2, FALSE)</f>
        <v>#N/A</v>
      </c>
      <c r="AH57" s="68">
        <f>IFERROR((ReviewCalcs[[#This Row],[Existing Fixture Quantity]]*ReviewCalcs[[#This Row],[Existing Fixture Watts]]/1000)*ReviewCalcs[[#This Row],[Existing CF]]*ReviewCalcs[[#This Row],[IEFD]], 0)</f>
        <v>0</v>
      </c>
      <c r="AI57" s="68">
        <f>IFERROR((ReviewCalcs[[#This Row],[Proposed Fixture Quantity]]*ReviewCalcs[[#This Row],[Proposed Fixture Watts]]/1000)*ReviewCalcs[[#This Row],[Existing CF]]*ReviewCalcs[[#This Row],[IEFD]], 0)</f>
        <v>0</v>
      </c>
      <c r="AJ57" s="118">
        <f>IFERROR((ReviewCalcs[[#This Row],[Existing Fixture Quantity]]*ReviewCalcs[[#This Row],[Existing Fixture Watts]]/1000-ReviewCalcs[[#This Row],[Proposed Fixture Quantity]]*ReviewCalcs[[#This Row],[Proposed Fixture Watts]]/1000)*ReviewCalcs[[#This Row],[Existing CF]]*ReviewCalcs[[#This Row],[IEFD]], 0)</f>
        <v>0</v>
      </c>
      <c r="AK57" s="118">
        <f>IFERROR((ReviewCalcs[[#This Row],[Existing Fixture Quantity]]*ReviewCalcs[[#This Row],[Existing Fixture Watts]]/1000)*ReviewCalcs[[#This Row],[AOH]]*ReviewCalcs[[#This Row],[IEFE]]*ReviewCalcs[[#This Row],[Existing PAF]], 0)</f>
        <v>0</v>
      </c>
      <c r="AL57" s="118">
        <f>IFERROR((ReviewCalcs[[#This Row],[Proposed Fixture Quantity]]*ReviewCalcs[[#This Row],[Proposed Fixture Watts]]/1000)*ReviewCalcs[[#This Row],[AOH]]*ReviewCalcs[[#This Row],[IEFE]]*ReviewCalcs[[#This Row],[Existing PAF]], 0)</f>
        <v>0</v>
      </c>
      <c r="AM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7" s="118">
        <f>ReviewCalcs[[#This Row],[Fixture Existing Energy (kWh)]]*Avg_KWh_Rate</f>
        <v>0</v>
      </c>
      <c r="AO57" s="118">
        <f>ReviewCalcs[[#This Row],[Fixture Proposed Energy (kWh)]]*Avg_KWh_Rate</f>
        <v>0</v>
      </c>
      <c r="AP57" s="70">
        <f>ReviewCalcs[[#This Row],[Fixture Energy Savings]]*Avg_KWh_Rate</f>
        <v>0</v>
      </c>
      <c r="AQ57" s="129" t="e">
        <f>ReviewCalcs[[#This Row],[Existing Fixture Quantity]]*ReviewCalcs[[#This Row],[Existing Fixture Watts]]/1000*ReviewCalcs[[#This Row],[Existing CF]]*ReviewCalcs[[#This Row],[IEFD]]</f>
        <v>#VALUE!</v>
      </c>
      <c r="AR57" s="129" t="e">
        <f>ReviewCalcs[[#This Row],[Proposed Fixture Quantity]]*ReviewCalcs[[#This Row],[Proposed Fixture Watts]]/1000*ReviewCalcs[[#This Row],[Proposed CF]]*ReviewCalcs[[#This Row],[IEFD]]</f>
        <v>#VALUE!</v>
      </c>
      <c r="AS57" s="118">
        <f>IF(ReviewCalcs[[#This Row],[Existing CF]]=ReviewCalcs[[#This Row],[Proposed CF]], 0, ReviewCalcs[[#This Row],[Proposed Fixture Quantity]]*ReviewCalcs[[#This Row],[Proposed Fixture Watts]]/1000*ReviewCalcs[[#This Row],[Proposed CF]]*ReviewCalcs[[#This Row],[IEFD]])</f>
        <v>0</v>
      </c>
      <c r="AT57" s="118">
        <f>IFERROR(ReviewCalcs[[#This Row],[Existing Fixture Quantity]]*ReviewCalcs[[#This Row],[Existing Fixture Watts]]/1000*ReviewCalcs[[#This Row],[Existing PAF]]*ReviewCalcs[[#This Row],[AOH]]*ReviewCalcs[[#This Row],[IEFE]], 0)</f>
        <v>0</v>
      </c>
      <c r="AU57" s="118">
        <f>IFERROR(ReviewCalcs[[#This Row],[Proposed Fixture Quantity]]*ReviewCalcs[[#This Row],[Proposed Fixture Watts]]/1000*ReviewCalcs[[#This Row],[Proposed PAF]]*ReviewCalcs[[#This Row],[AOH]]*ReviewCalcs[[#This Row],[IEFE]], 0)</f>
        <v>0</v>
      </c>
      <c r="AV57" s="118">
        <f>IFERROR(ReviewCalcs[[#This Row],[Proposed Fixture Quantity]]*ReviewCalcs[[#This Row],[Proposed Fixture Watts]]/1000*(ReviewCalcs[[#This Row],[Existing PAF]]-ReviewCalcs[[#This Row],[Proposed PAF]])*ReviewCalcs[[#This Row],[AOH]]*ReviewCalcs[[#This Row],[IEFE]], 0)</f>
        <v>0</v>
      </c>
      <c r="AW57" s="118">
        <f>ReviewCalcs[[#This Row],[Control Existing Energy (kWh)]]*kWh_Incentive_Rate</f>
        <v>0</v>
      </c>
      <c r="AX57" s="118">
        <f>ReviewCalcs[[#This Row],[Control Proposed Energy (kWh)]]*kWh_Incentive_Rate</f>
        <v>0</v>
      </c>
      <c r="AY57" s="70">
        <f>ReviewCalcs[[#This Row],[Control Energy Savings (kWh)]]*kWh_Incentive_Rate</f>
        <v>0</v>
      </c>
      <c r="AZ57" s="70" t="e">
        <f>ReviewCalcs[[#This Row],[Fixture Existing Demand (kW)]]+ReviewCalcs[[#This Row],[Control Existing Demand (kW)]]</f>
        <v>#VALUE!</v>
      </c>
      <c r="BA57" s="70" t="e">
        <f>ReviewCalcs[[#This Row],[Fixture Proposed Demand (kW)]]+ReviewCalcs[[#This Row],[Control Proposed Demand (kW)]]</f>
        <v>#VALUE!</v>
      </c>
      <c r="BB57" s="118">
        <f>ReviewCalcs[[#This Row],[Fixture Demand Savings (kW)]]+ReviewCalcs[[#This Row],[Control Demand Savings (kW)]]</f>
        <v>0</v>
      </c>
      <c r="BC57" s="118">
        <f>ReviewCalcs[[#This Row],[Fixture Existing Energy (kWh)]]+ReviewCalcs[[#This Row],[Control Existing Energy (kWh)]]</f>
        <v>0</v>
      </c>
      <c r="BD57" s="118">
        <f>ReviewCalcs[[#This Row],[Fixture Proposed Energy (kWh)]]+ReviewCalcs[[#This Row],[Control Proposed Energy (kWh)]]</f>
        <v>0</v>
      </c>
      <c r="BE57" s="118">
        <f>ReviewCalcs[[#This Row],[Fixture Energy Savings]]+ReviewCalcs[[#This Row],[Control Energy Savings (kWh)]]</f>
        <v>0</v>
      </c>
      <c r="BF57" s="118">
        <f>ReviewCalcs[[#This Row],[Fixture Existing Cost ($)]]+ReviewCalcs[[#This Row],[Control Existing Cost ($)]]</f>
        <v>0</v>
      </c>
      <c r="BG57" s="118">
        <f>ReviewCalcs[[#This Row],[Fixture Proposed Cost ($)]]+ReviewCalcs[[#This Row],[Controls Proposed Cost ($)]]</f>
        <v>0</v>
      </c>
      <c r="BH57" s="70">
        <f>ReviewCalcs[[#This Row],[Total Energy Savings (kWh)]]*Avg_KWh_Rate</f>
        <v>0</v>
      </c>
      <c r="BI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7" s="70">
        <f>ReviewCalcs[[#This Row],[Retrofit Cost]]</f>
        <v>0</v>
      </c>
      <c r="BK57" s="70">
        <f>ReviewCalcs[[#This Row],[Retrofit Cost]]-ReviewCalcs[[#This Row],[Incentive ($)]]</f>
        <v>0</v>
      </c>
      <c r="BL57" s="118" t="e">
        <f>IFERROR(ReviewCalcs[[#This Row],[Net Project Cost ($)]]/ReviewCalcs[[#This Row],[Fixture Energy Cost Savings ($)]], #N/A)</f>
        <v>#N/A</v>
      </c>
      <c r="BM57" s="118" t="e">
        <f>IF(VLOOKUP(ReviewCalcs[[#This Row],[Existing Fixture Code]], Table7[[FIXTURE CODE]:[Baseline Fixture Code]], 8, FALSE)="N", VLOOKUP(ReviewCalcs[[#This Row],[Existing Fixture Code]], Table7[[FIXTURE CODE]:[Baseline Fixture Code]], 9, FALSE), ReviewCalcs[[#This Row],[Existing Fixture Code]])</f>
        <v>#N/A</v>
      </c>
      <c r="BN57" s="118" t="e">
        <f>INDEX(Table7[WATT/ FIXT], MATCH(ReviewCalcs[Baseline Fixture Code], Table7[FIXTURE CODE], 0))</f>
        <v>#N/A</v>
      </c>
      <c r="BO57" s="118">
        <f>IFERROR((ReviewCalcs[[#This Row],[Existing Fixture Quantity]]*ReviewCalcs[[#This Row],[Baseline Fixture Watts]]/1000-ReviewCalcs[[#This Row],[Proposed Fixture Quantity]]*ReviewCalcs[[#This Row],[Proposed Fixture Watts]]/1000)*ReviewCalcs[[#This Row],[Existing CF]]*ReviewCalcs[[#This Row],[IEFD]], 0)</f>
        <v>0</v>
      </c>
      <c r="BP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7" s="118">
        <f>IF(ReviewCalcs[[#This Row],[Existing CF]]=ReviewCalcs[[#This Row],[Proposed CF]], 0, ReviewCalcs[[#This Row],[Proposed Fixture Quantity]]*ReviewCalcs[[#This Row],[Proposed Fixture Watts]]/1000*ReviewCalcs[[#This Row],[Proposed CF]]*ReviewCalcs[[#This Row],[IEFD]])</f>
        <v>0</v>
      </c>
      <c r="BR57" s="118">
        <f>IFERROR(ReviewCalcs[[#This Row],[Proposed Fixture Quantity]]*ReviewCalcs[[#This Row],[Proposed Fixture Watts]]/1000*(ReviewCalcs[[#This Row],[Existing PAF]]-ReviewCalcs[[#This Row],[Proposed PAF]])*ReviewCalcs[[#This Row],[AOH]]*ReviewCalcs[[#This Row],[IEFE]],0)</f>
        <v>0</v>
      </c>
      <c r="BS57" s="118">
        <f>ReviewCalcs[[#This Row],[Incentive Fixture Demand Savings (kW)]]+ReviewCalcs[[#This Row],[Incentive Control Demand Savings (kW)]]</f>
        <v>0</v>
      </c>
      <c r="BT57" s="118">
        <f>ReviewCalcs[[#This Row],[Incentive Fixture Energy Savings (kWh)]]+ReviewCalcs[[#This Row],[Incentive Control Energy Savings (kWh)]]</f>
        <v>0</v>
      </c>
      <c r="BU57" s="73"/>
    </row>
    <row r="58" spans="1:73" ht="30" customHeight="1">
      <c r="A58" s="68">
        <v>55</v>
      </c>
      <c r="B58" s="96">
        <f>VLOOKUP(ReviewCalcs[[#This Row],[Project Index]], ProjectInput[], D$1, FALSE)</f>
        <v>0</v>
      </c>
      <c r="C58" s="97">
        <f>VLOOKUP(ReviewCalcs[[#This Row],[Project Index]], ProjectInput[], E$1, FALSE)</f>
        <v>0</v>
      </c>
      <c r="D58" s="97">
        <f>VLOOKUP(ReviewCalcs[[#This Row],[Project Index]], ProjectInput[], F$1, FALSE)</f>
        <v>0</v>
      </c>
      <c r="E58" s="97">
        <f>VLOOKUP(ReviewCalcs[[#This Row],[Project Index]], ProjectInput[], G$1, FALSE)</f>
        <v>0</v>
      </c>
      <c r="F58" s="97">
        <f>VLOOKUP(ReviewCalcs[[#This Row],[Project Index]], ProjectInput[], H$1, FALSE)</f>
        <v>0</v>
      </c>
      <c r="G58" s="98" t="str">
        <f>VLOOKUP(ReviewCalcs[[#This Row],[Project Index]], ProjectInput[], I$1, FALSE)</f>
        <v/>
      </c>
      <c r="H58" s="96">
        <f>VLOOKUP(ReviewCalcs[[#This Row],[Project Index]], ProjectInput[], J$1, FALSE)</f>
        <v>0</v>
      </c>
      <c r="I58" s="97">
        <f>VLOOKUP(ReviewCalcs[[#This Row],[Project Index]], ProjectInput[], K$1, FALSE)</f>
        <v>0</v>
      </c>
      <c r="J58" s="97">
        <f>VLOOKUP(ReviewCalcs[[#This Row],[Project Index]], ProjectInput[], L$1, FALSE)</f>
        <v>0</v>
      </c>
      <c r="K58" s="97">
        <f>VLOOKUP(ReviewCalcs[[#This Row],[Project Index]], ProjectInput[], M$1, FALSE)</f>
        <v>0</v>
      </c>
      <c r="L58" s="97">
        <f>VLOOKUP(ReviewCalcs[[#This Row],[Project Index]], ProjectInput[], N$1, FALSE)</f>
        <v>0</v>
      </c>
      <c r="M58" s="98" t="str">
        <f>VLOOKUP(ReviewCalcs[[#This Row],[Project Index]], ProjectInput[], O$1, FALSE)</f>
        <v/>
      </c>
      <c r="N58" s="96">
        <f>VLOOKUP(ReviewCalcs[[#This Row],[Project Index]], ProjectInput[], P$1, FALSE)</f>
        <v>0</v>
      </c>
      <c r="O58" s="97">
        <f>VLOOKUP(ReviewCalcs[[#This Row],[Project Index]], ProjectInput[], Q$1, FALSE)</f>
        <v>0</v>
      </c>
      <c r="P58" s="97">
        <f>VLOOKUP(ReviewCalcs[[#This Row],[Project Index]], ProjectInput[], R$1, FALSE)</f>
        <v>0</v>
      </c>
      <c r="Q58" s="97">
        <f>VLOOKUP(ReviewCalcs[[#This Row],[Project Index]], ProjectInput[], S$1, FALSE)</f>
        <v>0</v>
      </c>
      <c r="R58" s="97">
        <f>VLOOKUP(ReviewCalcs[[#This Row],[Project Index]], ProjectInput[], T$1, FALSE)</f>
        <v>0</v>
      </c>
      <c r="S58" s="97">
        <f>VLOOKUP(ReviewCalcs[[#This Row],[Project Index]], ProjectInput[], U$1, FALSE)</f>
        <v>0</v>
      </c>
      <c r="T58" s="97">
        <f>VLOOKUP(ReviewCalcs[[#This Row],[Project Index]], ProjectInput[], V$1, FALSE)</f>
        <v>0</v>
      </c>
      <c r="U58" s="97">
        <f>VLOOKUP(ReviewCalcs[[#This Row],[Project Index]], ProjectInput[], W$1, FALSE)</f>
        <v>0</v>
      </c>
      <c r="V58" s="98" t="str">
        <f>VLOOKUP(ReviewCalcs[[#This Row],[Project Index]], ProjectInput[], X$1, FALSE)</f>
        <v/>
      </c>
      <c r="W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8" s="75" t="e">
        <f>IF(VLOOKUP(ReviewCalcs[[#This Row],[Proposed Fixture Code]], Table7[[FIXTURE CODE]:[Baseline Fixture Code]], 8, FALSE)="N", "ERROR", "PASS")</f>
        <v>#N/A</v>
      </c>
      <c r="Y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8" s="75" t="e">
        <f>IF(OR(ReviewCalcs[[#This Row],[Baseline Fixture Watts]]&gt;=ReviewCalcs[[#This Row],[Proposed Fixture Watts]],ReviewCalcs[[#This Row],[Existing Fixture Watts]]&gt;=ReviewCalcs[[#This Row],[Proposed Fixture Watts]] ), "PASS", "ERROR")</f>
        <v>#N/A</v>
      </c>
      <c r="AA58" s="69" t="e">
        <f>VLOOKUP(ReviewCalcs[[#This Row],[Space Conditions]], Table_365[], 5, FALSE)</f>
        <v>#N/A</v>
      </c>
      <c r="AB58" s="68" t="str">
        <f>ReviewCalcs[[#This Row],[Annual Hours]]</f>
        <v/>
      </c>
      <c r="AC58" s="68" t="e">
        <f>VLOOKUP(ReviewCalcs[[#This Row],[Space Conditions]], Table_365[], 6, FALSE)</f>
        <v>#N/A</v>
      </c>
      <c r="AD58" s="68">
        <f>IF(ReviewCalcs[[#This Row],[Existing Control(s)]]='Tables &amp; Ranges'!$A$25, VLOOKUP(ReviewCalcs[[#This Row],[Building/Space Type]], Table_364[], 3, FALSE), CF_Contols)</f>
        <v>0.26</v>
      </c>
      <c r="AE58" s="68" t="e">
        <f>VLOOKUP(ReviewCalcs[[#This Row],[Existing Control(s)]], Table_358[], 2, FALSE)</f>
        <v>#N/A</v>
      </c>
      <c r="AF58" s="68">
        <f>IF(ReviewCalcs[[#This Row],[Proposed Control(s)]]='Tables &amp; Ranges'!$A$25, VLOOKUP(ReviewCalcs[[#This Row],[Building/Space Type]], Table_364[], 3, FALSE), CF_Contols)</f>
        <v>0.26</v>
      </c>
      <c r="AG58" s="68" t="e">
        <f>VLOOKUP(ReviewCalcs[[#This Row],[Proposed Control(s)]], Table_358[], 2, FALSE)</f>
        <v>#N/A</v>
      </c>
      <c r="AH58" s="68">
        <f>IFERROR((ReviewCalcs[[#This Row],[Existing Fixture Quantity]]*ReviewCalcs[[#This Row],[Existing Fixture Watts]]/1000)*ReviewCalcs[[#This Row],[Existing CF]]*ReviewCalcs[[#This Row],[IEFD]], 0)</f>
        <v>0</v>
      </c>
      <c r="AI58" s="68">
        <f>IFERROR((ReviewCalcs[[#This Row],[Proposed Fixture Quantity]]*ReviewCalcs[[#This Row],[Proposed Fixture Watts]]/1000)*ReviewCalcs[[#This Row],[Existing CF]]*ReviewCalcs[[#This Row],[IEFD]], 0)</f>
        <v>0</v>
      </c>
      <c r="AJ58" s="118">
        <f>IFERROR((ReviewCalcs[[#This Row],[Existing Fixture Quantity]]*ReviewCalcs[[#This Row],[Existing Fixture Watts]]/1000-ReviewCalcs[[#This Row],[Proposed Fixture Quantity]]*ReviewCalcs[[#This Row],[Proposed Fixture Watts]]/1000)*ReviewCalcs[[#This Row],[Existing CF]]*ReviewCalcs[[#This Row],[IEFD]], 0)</f>
        <v>0</v>
      </c>
      <c r="AK58" s="118">
        <f>IFERROR((ReviewCalcs[[#This Row],[Existing Fixture Quantity]]*ReviewCalcs[[#This Row],[Existing Fixture Watts]]/1000)*ReviewCalcs[[#This Row],[AOH]]*ReviewCalcs[[#This Row],[IEFE]]*ReviewCalcs[[#This Row],[Existing PAF]], 0)</f>
        <v>0</v>
      </c>
      <c r="AL58" s="118">
        <f>IFERROR((ReviewCalcs[[#This Row],[Proposed Fixture Quantity]]*ReviewCalcs[[#This Row],[Proposed Fixture Watts]]/1000)*ReviewCalcs[[#This Row],[AOH]]*ReviewCalcs[[#This Row],[IEFE]]*ReviewCalcs[[#This Row],[Existing PAF]], 0)</f>
        <v>0</v>
      </c>
      <c r="AM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8" s="118">
        <f>ReviewCalcs[[#This Row],[Fixture Existing Energy (kWh)]]*Avg_KWh_Rate</f>
        <v>0</v>
      </c>
      <c r="AO58" s="118">
        <f>ReviewCalcs[[#This Row],[Fixture Proposed Energy (kWh)]]*Avg_KWh_Rate</f>
        <v>0</v>
      </c>
      <c r="AP58" s="70">
        <f>ReviewCalcs[[#This Row],[Fixture Energy Savings]]*Avg_KWh_Rate</f>
        <v>0</v>
      </c>
      <c r="AQ58" s="129" t="e">
        <f>ReviewCalcs[[#This Row],[Existing Fixture Quantity]]*ReviewCalcs[[#This Row],[Existing Fixture Watts]]/1000*ReviewCalcs[[#This Row],[Existing CF]]*ReviewCalcs[[#This Row],[IEFD]]</f>
        <v>#VALUE!</v>
      </c>
      <c r="AR58" s="129" t="e">
        <f>ReviewCalcs[[#This Row],[Proposed Fixture Quantity]]*ReviewCalcs[[#This Row],[Proposed Fixture Watts]]/1000*ReviewCalcs[[#This Row],[Proposed CF]]*ReviewCalcs[[#This Row],[IEFD]]</f>
        <v>#VALUE!</v>
      </c>
      <c r="AS58" s="118">
        <f>IF(ReviewCalcs[[#This Row],[Existing CF]]=ReviewCalcs[[#This Row],[Proposed CF]], 0, ReviewCalcs[[#This Row],[Proposed Fixture Quantity]]*ReviewCalcs[[#This Row],[Proposed Fixture Watts]]/1000*ReviewCalcs[[#This Row],[Proposed CF]]*ReviewCalcs[[#This Row],[IEFD]])</f>
        <v>0</v>
      </c>
      <c r="AT58" s="118">
        <f>IFERROR(ReviewCalcs[[#This Row],[Existing Fixture Quantity]]*ReviewCalcs[[#This Row],[Existing Fixture Watts]]/1000*ReviewCalcs[[#This Row],[Existing PAF]]*ReviewCalcs[[#This Row],[AOH]]*ReviewCalcs[[#This Row],[IEFE]], 0)</f>
        <v>0</v>
      </c>
      <c r="AU58" s="118">
        <f>IFERROR(ReviewCalcs[[#This Row],[Proposed Fixture Quantity]]*ReviewCalcs[[#This Row],[Proposed Fixture Watts]]/1000*ReviewCalcs[[#This Row],[Proposed PAF]]*ReviewCalcs[[#This Row],[AOH]]*ReviewCalcs[[#This Row],[IEFE]], 0)</f>
        <v>0</v>
      </c>
      <c r="AV58" s="118">
        <f>IFERROR(ReviewCalcs[[#This Row],[Proposed Fixture Quantity]]*ReviewCalcs[[#This Row],[Proposed Fixture Watts]]/1000*(ReviewCalcs[[#This Row],[Existing PAF]]-ReviewCalcs[[#This Row],[Proposed PAF]])*ReviewCalcs[[#This Row],[AOH]]*ReviewCalcs[[#This Row],[IEFE]], 0)</f>
        <v>0</v>
      </c>
      <c r="AW58" s="118">
        <f>ReviewCalcs[[#This Row],[Control Existing Energy (kWh)]]*kWh_Incentive_Rate</f>
        <v>0</v>
      </c>
      <c r="AX58" s="118">
        <f>ReviewCalcs[[#This Row],[Control Proposed Energy (kWh)]]*kWh_Incentive_Rate</f>
        <v>0</v>
      </c>
      <c r="AY58" s="70">
        <f>ReviewCalcs[[#This Row],[Control Energy Savings (kWh)]]*kWh_Incentive_Rate</f>
        <v>0</v>
      </c>
      <c r="AZ58" s="70" t="e">
        <f>ReviewCalcs[[#This Row],[Fixture Existing Demand (kW)]]+ReviewCalcs[[#This Row],[Control Existing Demand (kW)]]</f>
        <v>#VALUE!</v>
      </c>
      <c r="BA58" s="70" t="e">
        <f>ReviewCalcs[[#This Row],[Fixture Proposed Demand (kW)]]+ReviewCalcs[[#This Row],[Control Proposed Demand (kW)]]</f>
        <v>#VALUE!</v>
      </c>
      <c r="BB58" s="118">
        <f>ReviewCalcs[[#This Row],[Fixture Demand Savings (kW)]]+ReviewCalcs[[#This Row],[Control Demand Savings (kW)]]</f>
        <v>0</v>
      </c>
      <c r="BC58" s="118">
        <f>ReviewCalcs[[#This Row],[Fixture Existing Energy (kWh)]]+ReviewCalcs[[#This Row],[Control Existing Energy (kWh)]]</f>
        <v>0</v>
      </c>
      <c r="BD58" s="118">
        <f>ReviewCalcs[[#This Row],[Fixture Proposed Energy (kWh)]]+ReviewCalcs[[#This Row],[Control Proposed Energy (kWh)]]</f>
        <v>0</v>
      </c>
      <c r="BE58" s="118">
        <f>ReviewCalcs[[#This Row],[Fixture Energy Savings]]+ReviewCalcs[[#This Row],[Control Energy Savings (kWh)]]</f>
        <v>0</v>
      </c>
      <c r="BF58" s="118">
        <f>ReviewCalcs[[#This Row],[Fixture Existing Cost ($)]]+ReviewCalcs[[#This Row],[Control Existing Cost ($)]]</f>
        <v>0</v>
      </c>
      <c r="BG58" s="118">
        <f>ReviewCalcs[[#This Row],[Fixture Proposed Cost ($)]]+ReviewCalcs[[#This Row],[Controls Proposed Cost ($)]]</f>
        <v>0</v>
      </c>
      <c r="BH58" s="70">
        <f>ReviewCalcs[[#This Row],[Total Energy Savings (kWh)]]*Avg_KWh_Rate</f>
        <v>0</v>
      </c>
      <c r="BI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8" s="70">
        <f>ReviewCalcs[[#This Row],[Retrofit Cost]]</f>
        <v>0</v>
      </c>
      <c r="BK58" s="70">
        <f>ReviewCalcs[[#This Row],[Retrofit Cost]]-ReviewCalcs[[#This Row],[Incentive ($)]]</f>
        <v>0</v>
      </c>
      <c r="BL58" s="118" t="e">
        <f>IFERROR(ReviewCalcs[[#This Row],[Net Project Cost ($)]]/ReviewCalcs[[#This Row],[Fixture Energy Cost Savings ($)]], #N/A)</f>
        <v>#N/A</v>
      </c>
      <c r="BM58" s="118" t="e">
        <f>IF(VLOOKUP(ReviewCalcs[[#This Row],[Existing Fixture Code]], Table7[[FIXTURE CODE]:[Baseline Fixture Code]], 8, FALSE)="N", VLOOKUP(ReviewCalcs[[#This Row],[Existing Fixture Code]], Table7[[FIXTURE CODE]:[Baseline Fixture Code]], 9, FALSE), ReviewCalcs[[#This Row],[Existing Fixture Code]])</f>
        <v>#N/A</v>
      </c>
      <c r="BN58" s="118" t="e">
        <f>INDEX(Table7[WATT/ FIXT], MATCH(ReviewCalcs[Baseline Fixture Code], Table7[FIXTURE CODE], 0))</f>
        <v>#N/A</v>
      </c>
      <c r="BO58" s="118">
        <f>IFERROR((ReviewCalcs[[#This Row],[Existing Fixture Quantity]]*ReviewCalcs[[#This Row],[Baseline Fixture Watts]]/1000-ReviewCalcs[[#This Row],[Proposed Fixture Quantity]]*ReviewCalcs[[#This Row],[Proposed Fixture Watts]]/1000)*ReviewCalcs[[#This Row],[Existing CF]]*ReviewCalcs[[#This Row],[IEFD]], 0)</f>
        <v>0</v>
      </c>
      <c r="BP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8" s="118">
        <f>IF(ReviewCalcs[[#This Row],[Existing CF]]=ReviewCalcs[[#This Row],[Proposed CF]], 0, ReviewCalcs[[#This Row],[Proposed Fixture Quantity]]*ReviewCalcs[[#This Row],[Proposed Fixture Watts]]/1000*ReviewCalcs[[#This Row],[Proposed CF]]*ReviewCalcs[[#This Row],[IEFD]])</f>
        <v>0</v>
      </c>
      <c r="BR58" s="118">
        <f>IFERROR(ReviewCalcs[[#This Row],[Proposed Fixture Quantity]]*ReviewCalcs[[#This Row],[Proposed Fixture Watts]]/1000*(ReviewCalcs[[#This Row],[Existing PAF]]-ReviewCalcs[[#This Row],[Proposed PAF]])*ReviewCalcs[[#This Row],[AOH]]*ReviewCalcs[[#This Row],[IEFE]],0)</f>
        <v>0</v>
      </c>
      <c r="BS58" s="118">
        <f>ReviewCalcs[[#This Row],[Incentive Fixture Demand Savings (kW)]]+ReviewCalcs[[#This Row],[Incentive Control Demand Savings (kW)]]</f>
        <v>0</v>
      </c>
      <c r="BT58" s="118">
        <f>ReviewCalcs[[#This Row],[Incentive Fixture Energy Savings (kWh)]]+ReviewCalcs[[#This Row],[Incentive Control Energy Savings (kWh)]]</f>
        <v>0</v>
      </c>
      <c r="BU58" s="73"/>
    </row>
    <row r="59" spans="1:73" ht="30" customHeight="1">
      <c r="A59" s="68">
        <v>56</v>
      </c>
      <c r="B59" s="96">
        <f>VLOOKUP(ReviewCalcs[[#This Row],[Project Index]], ProjectInput[], D$1, FALSE)</f>
        <v>0</v>
      </c>
      <c r="C59" s="97">
        <f>VLOOKUP(ReviewCalcs[[#This Row],[Project Index]], ProjectInput[], E$1, FALSE)</f>
        <v>0</v>
      </c>
      <c r="D59" s="97">
        <f>VLOOKUP(ReviewCalcs[[#This Row],[Project Index]], ProjectInput[], F$1, FALSE)</f>
        <v>0</v>
      </c>
      <c r="E59" s="97">
        <f>VLOOKUP(ReviewCalcs[[#This Row],[Project Index]], ProjectInput[], G$1, FALSE)</f>
        <v>0</v>
      </c>
      <c r="F59" s="97">
        <f>VLOOKUP(ReviewCalcs[[#This Row],[Project Index]], ProjectInput[], H$1, FALSE)</f>
        <v>0</v>
      </c>
      <c r="G59" s="98" t="str">
        <f>VLOOKUP(ReviewCalcs[[#This Row],[Project Index]], ProjectInput[], I$1, FALSE)</f>
        <v/>
      </c>
      <c r="H59" s="96">
        <f>VLOOKUP(ReviewCalcs[[#This Row],[Project Index]], ProjectInput[], J$1, FALSE)</f>
        <v>0</v>
      </c>
      <c r="I59" s="97">
        <f>VLOOKUP(ReviewCalcs[[#This Row],[Project Index]], ProjectInput[], K$1, FALSE)</f>
        <v>0</v>
      </c>
      <c r="J59" s="97">
        <f>VLOOKUP(ReviewCalcs[[#This Row],[Project Index]], ProjectInput[], L$1, FALSE)</f>
        <v>0</v>
      </c>
      <c r="K59" s="97">
        <f>VLOOKUP(ReviewCalcs[[#This Row],[Project Index]], ProjectInput[], M$1, FALSE)</f>
        <v>0</v>
      </c>
      <c r="L59" s="97">
        <f>VLOOKUP(ReviewCalcs[[#This Row],[Project Index]], ProjectInput[], N$1, FALSE)</f>
        <v>0</v>
      </c>
      <c r="M59" s="98" t="str">
        <f>VLOOKUP(ReviewCalcs[[#This Row],[Project Index]], ProjectInput[], O$1, FALSE)</f>
        <v/>
      </c>
      <c r="N59" s="96">
        <f>VLOOKUP(ReviewCalcs[[#This Row],[Project Index]], ProjectInput[], P$1, FALSE)</f>
        <v>0</v>
      </c>
      <c r="O59" s="97">
        <f>VLOOKUP(ReviewCalcs[[#This Row],[Project Index]], ProjectInput[], Q$1, FALSE)</f>
        <v>0</v>
      </c>
      <c r="P59" s="97">
        <f>VLOOKUP(ReviewCalcs[[#This Row],[Project Index]], ProjectInput[], R$1, FALSE)</f>
        <v>0</v>
      </c>
      <c r="Q59" s="97">
        <f>VLOOKUP(ReviewCalcs[[#This Row],[Project Index]], ProjectInput[], S$1, FALSE)</f>
        <v>0</v>
      </c>
      <c r="R59" s="97">
        <f>VLOOKUP(ReviewCalcs[[#This Row],[Project Index]], ProjectInput[], T$1, FALSE)</f>
        <v>0</v>
      </c>
      <c r="S59" s="97">
        <f>VLOOKUP(ReviewCalcs[[#This Row],[Project Index]], ProjectInput[], U$1, FALSE)</f>
        <v>0</v>
      </c>
      <c r="T59" s="97">
        <f>VLOOKUP(ReviewCalcs[[#This Row],[Project Index]], ProjectInput[], V$1, FALSE)</f>
        <v>0</v>
      </c>
      <c r="U59" s="97">
        <f>VLOOKUP(ReviewCalcs[[#This Row],[Project Index]], ProjectInput[], W$1, FALSE)</f>
        <v>0</v>
      </c>
      <c r="V59" s="98" t="str">
        <f>VLOOKUP(ReviewCalcs[[#This Row],[Project Index]], ProjectInput[], X$1, FALSE)</f>
        <v/>
      </c>
      <c r="W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59" s="75" t="e">
        <f>IF(VLOOKUP(ReviewCalcs[[#This Row],[Proposed Fixture Code]], Table7[[FIXTURE CODE]:[Baseline Fixture Code]], 8, FALSE)="N", "ERROR", "PASS")</f>
        <v>#N/A</v>
      </c>
      <c r="Y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59" s="75" t="e">
        <f>IF(OR(ReviewCalcs[[#This Row],[Baseline Fixture Watts]]&gt;=ReviewCalcs[[#This Row],[Proposed Fixture Watts]],ReviewCalcs[[#This Row],[Existing Fixture Watts]]&gt;=ReviewCalcs[[#This Row],[Proposed Fixture Watts]] ), "PASS", "ERROR")</f>
        <v>#N/A</v>
      </c>
      <c r="AA59" s="69" t="e">
        <f>VLOOKUP(ReviewCalcs[[#This Row],[Space Conditions]], Table_365[], 5, FALSE)</f>
        <v>#N/A</v>
      </c>
      <c r="AB59" s="68" t="str">
        <f>ReviewCalcs[[#This Row],[Annual Hours]]</f>
        <v/>
      </c>
      <c r="AC59" s="68" t="e">
        <f>VLOOKUP(ReviewCalcs[[#This Row],[Space Conditions]], Table_365[], 6, FALSE)</f>
        <v>#N/A</v>
      </c>
      <c r="AD59" s="68">
        <f>IF(ReviewCalcs[[#This Row],[Existing Control(s)]]='Tables &amp; Ranges'!$A$25, VLOOKUP(ReviewCalcs[[#This Row],[Building/Space Type]], Table_364[], 3, FALSE), CF_Contols)</f>
        <v>0.26</v>
      </c>
      <c r="AE59" s="68" t="e">
        <f>VLOOKUP(ReviewCalcs[[#This Row],[Existing Control(s)]], Table_358[], 2, FALSE)</f>
        <v>#N/A</v>
      </c>
      <c r="AF59" s="68">
        <f>IF(ReviewCalcs[[#This Row],[Proposed Control(s)]]='Tables &amp; Ranges'!$A$25, VLOOKUP(ReviewCalcs[[#This Row],[Building/Space Type]], Table_364[], 3, FALSE), CF_Contols)</f>
        <v>0.26</v>
      </c>
      <c r="AG59" s="68" t="e">
        <f>VLOOKUP(ReviewCalcs[[#This Row],[Proposed Control(s)]], Table_358[], 2, FALSE)</f>
        <v>#N/A</v>
      </c>
      <c r="AH59" s="68">
        <f>IFERROR((ReviewCalcs[[#This Row],[Existing Fixture Quantity]]*ReviewCalcs[[#This Row],[Existing Fixture Watts]]/1000)*ReviewCalcs[[#This Row],[Existing CF]]*ReviewCalcs[[#This Row],[IEFD]], 0)</f>
        <v>0</v>
      </c>
      <c r="AI59" s="68">
        <f>IFERROR((ReviewCalcs[[#This Row],[Proposed Fixture Quantity]]*ReviewCalcs[[#This Row],[Proposed Fixture Watts]]/1000)*ReviewCalcs[[#This Row],[Existing CF]]*ReviewCalcs[[#This Row],[IEFD]], 0)</f>
        <v>0</v>
      </c>
      <c r="AJ59" s="118">
        <f>IFERROR((ReviewCalcs[[#This Row],[Existing Fixture Quantity]]*ReviewCalcs[[#This Row],[Existing Fixture Watts]]/1000-ReviewCalcs[[#This Row],[Proposed Fixture Quantity]]*ReviewCalcs[[#This Row],[Proposed Fixture Watts]]/1000)*ReviewCalcs[[#This Row],[Existing CF]]*ReviewCalcs[[#This Row],[IEFD]], 0)</f>
        <v>0</v>
      </c>
      <c r="AK59" s="118">
        <f>IFERROR((ReviewCalcs[[#This Row],[Existing Fixture Quantity]]*ReviewCalcs[[#This Row],[Existing Fixture Watts]]/1000)*ReviewCalcs[[#This Row],[AOH]]*ReviewCalcs[[#This Row],[IEFE]]*ReviewCalcs[[#This Row],[Existing PAF]], 0)</f>
        <v>0</v>
      </c>
      <c r="AL59" s="118">
        <f>IFERROR((ReviewCalcs[[#This Row],[Proposed Fixture Quantity]]*ReviewCalcs[[#This Row],[Proposed Fixture Watts]]/1000)*ReviewCalcs[[#This Row],[AOH]]*ReviewCalcs[[#This Row],[IEFE]]*ReviewCalcs[[#This Row],[Existing PAF]], 0)</f>
        <v>0</v>
      </c>
      <c r="AM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59" s="118">
        <f>ReviewCalcs[[#This Row],[Fixture Existing Energy (kWh)]]*Avg_KWh_Rate</f>
        <v>0</v>
      </c>
      <c r="AO59" s="118">
        <f>ReviewCalcs[[#This Row],[Fixture Proposed Energy (kWh)]]*Avg_KWh_Rate</f>
        <v>0</v>
      </c>
      <c r="AP59" s="70">
        <f>ReviewCalcs[[#This Row],[Fixture Energy Savings]]*Avg_KWh_Rate</f>
        <v>0</v>
      </c>
      <c r="AQ59" s="129" t="e">
        <f>ReviewCalcs[[#This Row],[Existing Fixture Quantity]]*ReviewCalcs[[#This Row],[Existing Fixture Watts]]/1000*ReviewCalcs[[#This Row],[Existing CF]]*ReviewCalcs[[#This Row],[IEFD]]</f>
        <v>#VALUE!</v>
      </c>
      <c r="AR59" s="129" t="e">
        <f>ReviewCalcs[[#This Row],[Proposed Fixture Quantity]]*ReviewCalcs[[#This Row],[Proposed Fixture Watts]]/1000*ReviewCalcs[[#This Row],[Proposed CF]]*ReviewCalcs[[#This Row],[IEFD]]</f>
        <v>#VALUE!</v>
      </c>
      <c r="AS59" s="118">
        <f>IF(ReviewCalcs[[#This Row],[Existing CF]]=ReviewCalcs[[#This Row],[Proposed CF]], 0, ReviewCalcs[[#This Row],[Proposed Fixture Quantity]]*ReviewCalcs[[#This Row],[Proposed Fixture Watts]]/1000*ReviewCalcs[[#This Row],[Proposed CF]]*ReviewCalcs[[#This Row],[IEFD]])</f>
        <v>0</v>
      </c>
      <c r="AT59" s="118">
        <f>IFERROR(ReviewCalcs[[#This Row],[Existing Fixture Quantity]]*ReviewCalcs[[#This Row],[Existing Fixture Watts]]/1000*ReviewCalcs[[#This Row],[Existing PAF]]*ReviewCalcs[[#This Row],[AOH]]*ReviewCalcs[[#This Row],[IEFE]], 0)</f>
        <v>0</v>
      </c>
      <c r="AU59" s="118">
        <f>IFERROR(ReviewCalcs[[#This Row],[Proposed Fixture Quantity]]*ReviewCalcs[[#This Row],[Proposed Fixture Watts]]/1000*ReviewCalcs[[#This Row],[Proposed PAF]]*ReviewCalcs[[#This Row],[AOH]]*ReviewCalcs[[#This Row],[IEFE]], 0)</f>
        <v>0</v>
      </c>
      <c r="AV59" s="118">
        <f>IFERROR(ReviewCalcs[[#This Row],[Proposed Fixture Quantity]]*ReviewCalcs[[#This Row],[Proposed Fixture Watts]]/1000*(ReviewCalcs[[#This Row],[Existing PAF]]-ReviewCalcs[[#This Row],[Proposed PAF]])*ReviewCalcs[[#This Row],[AOH]]*ReviewCalcs[[#This Row],[IEFE]], 0)</f>
        <v>0</v>
      </c>
      <c r="AW59" s="118">
        <f>ReviewCalcs[[#This Row],[Control Existing Energy (kWh)]]*kWh_Incentive_Rate</f>
        <v>0</v>
      </c>
      <c r="AX59" s="118">
        <f>ReviewCalcs[[#This Row],[Control Proposed Energy (kWh)]]*kWh_Incentive_Rate</f>
        <v>0</v>
      </c>
      <c r="AY59" s="70">
        <f>ReviewCalcs[[#This Row],[Control Energy Savings (kWh)]]*kWh_Incentive_Rate</f>
        <v>0</v>
      </c>
      <c r="AZ59" s="70" t="e">
        <f>ReviewCalcs[[#This Row],[Fixture Existing Demand (kW)]]+ReviewCalcs[[#This Row],[Control Existing Demand (kW)]]</f>
        <v>#VALUE!</v>
      </c>
      <c r="BA59" s="70" t="e">
        <f>ReviewCalcs[[#This Row],[Fixture Proposed Demand (kW)]]+ReviewCalcs[[#This Row],[Control Proposed Demand (kW)]]</f>
        <v>#VALUE!</v>
      </c>
      <c r="BB59" s="118">
        <f>ReviewCalcs[[#This Row],[Fixture Demand Savings (kW)]]+ReviewCalcs[[#This Row],[Control Demand Savings (kW)]]</f>
        <v>0</v>
      </c>
      <c r="BC59" s="118">
        <f>ReviewCalcs[[#This Row],[Fixture Existing Energy (kWh)]]+ReviewCalcs[[#This Row],[Control Existing Energy (kWh)]]</f>
        <v>0</v>
      </c>
      <c r="BD59" s="118">
        <f>ReviewCalcs[[#This Row],[Fixture Proposed Energy (kWh)]]+ReviewCalcs[[#This Row],[Control Proposed Energy (kWh)]]</f>
        <v>0</v>
      </c>
      <c r="BE59" s="118">
        <f>ReviewCalcs[[#This Row],[Fixture Energy Savings]]+ReviewCalcs[[#This Row],[Control Energy Savings (kWh)]]</f>
        <v>0</v>
      </c>
      <c r="BF59" s="118">
        <f>ReviewCalcs[[#This Row],[Fixture Existing Cost ($)]]+ReviewCalcs[[#This Row],[Control Existing Cost ($)]]</f>
        <v>0</v>
      </c>
      <c r="BG59" s="118">
        <f>ReviewCalcs[[#This Row],[Fixture Proposed Cost ($)]]+ReviewCalcs[[#This Row],[Controls Proposed Cost ($)]]</f>
        <v>0</v>
      </c>
      <c r="BH59" s="70">
        <f>ReviewCalcs[[#This Row],[Total Energy Savings (kWh)]]*Avg_KWh_Rate</f>
        <v>0</v>
      </c>
      <c r="BI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59" s="70">
        <f>ReviewCalcs[[#This Row],[Retrofit Cost]]</f>
        <v>0</v>
      </c>
      <c r="BK59" s="70">
        <f>ReviewCalcs[[#This Row],[Retrofit Cost]]-ReviewCalcs[[#This Row],[Incentive ($)]]</f>
        <v>0</v>
      </c>
      <c r="BL59" s="118" t="e">
        <f>IFERROR(ReviewCalcs[[#This Row],[Net Project Cost ($)]]/ReviewCalcs[[#This Row],[Fixture Energy Cost Savings ($)]], #N/A)</f>
        <v>#N/A</v>
      </c>
      <c r="BM59" s="118" t="e">
        <f>IF(VLOOKUP(ReviewCalcs[[#This Row],[Existing Fixture Code]], Table7[[FIXTURE CODE]:[Baseline Fixture Code]], 8, FALSE)="N", VLOOKUP(ReviewCalcs[[#This Row],[Existing Fixture Code]], Table7[[FIXTURE CODE]:[Baseline Fixture Code]], 9, FALSE), ReviewCalcs[[#This Row],[Existing Fixture Code]])</f>
        <v>#N/A</v>
      </c>
      <c r="BN59" s="118" t="e">
        <f>INDEX(Table7[WATT/ FIXT], MATCH(ReviewCalcs[Baseline Fixture Code], Table7[FIXTURE CODE], 0))</f>
        <v>#N/A</v>
      </c>
      <c r="BO59" s="118">
        <f>IFERROR((ReviewCalcs[[#This Row],[Existing Fixture Quantity]]*ReviewCalcs[[#This Row],[Baseline Fixture Watts]]/1000-ReviewCalcs[[#This Row],[Proposed Fixture Quantity]]*ReviewCalcs[[#This Row],[Proposed Fixture Watts]]/1000)*ReviewCalcs[[#This Row],[Existing CF]]*ReviewCalcs[[#This Row],[IEFD]], 0)</f>
        <v>0</v>
      </c>
      <c r="BP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59" s="118">
        <f>IF(ReviewCalcs[[#This Row],[Existing CF]]=ReviewCalcs[[#This Row],[Proposed CF]], 0, ReviewCalcs[[#This Row],[Proposed Fixture Quantity]]*ReviewCalcs[[#This Row],[Proposed Fixture Watts]]/1000*ReviewCalcs[[#This Row],[Proposed CF]]*ReviewCalcs[[#This Row],[IEFD]])</f>
        <v>0</v>
      </c>
      <c r="BR59" s="118">
        <f>IFERROR(ReviewCalcs[[#This Row],[Proposed Fixture Quantity]]*ReviewCalcs[[#This Row],[Proposed Fixture Watts]]/1000*(ReviewCalcs[[#This Row],[Existing PAF]]-ReviewCalcs[[#This Row],[Proposed PAF]])*ReviewCalcs[[#This Row],[AOH]]*ReviewCalcs[[#This Row],[IEFE]],0)</f>
        <v>0</v>
      </c>
      <c r="BS59" s="118">
        <f>ReviewCalcs[[#This Row],[Incentive Fixture Demand Savings (kW)]]+ReviewCalcs[[#This Row],[Incentive Control Demand Savings (kW)]]</f>
        <v>0</v>
      </c>
      <c r="BT59" s="118">
        <f>ReviewCalcs[[#This Row],[Incentive Fixture Energy Savings (kWh)]]+ReviewCalcs[[#This Row],[Incentive Control Energy Savings (kWh)]]</f>
        <v>0</v>
      </c>
      <c r="BU59" s="73"/>
    </row>
    <row r="60" spans="1:73" ht="30" customHeight="1">
      <c r="A60" s="68">
        <v>57</v>
      </c>
      <c r="B60" s="96">
        <f>VLOOKUP(ReviewCalcs[[#This Row],[Project Index]], ProjectInput[], D$1, FALSE)</f>
        <v>0</v>
      </c>
      <c r="C60" s="97">
        <f>VLOOKUP(ReviewCalcs[[#This Row],[Project Index]], ProjectInput[], E$1, FALSE)</f>
        <v>0</v>
      </c>
      <c r="D60" s="97">
        <f>VLOOKUP(ReviewCalcs[[#This Row],[Project Index]], ProjectInput[], F$1, FALSE)</f>
        <v>0</v>
      </c>
      <c r="E60" s="97">
        <f>VLOOKUP(ReviewCalcs[[#This Row],[Project Index]], ProjectInput[], G$1, FALSE)</f>
        <v>0</v>
      </c>
      <c r="F60" s="97">
        <f>VLOOKUP(ReviewCalcs[[#This Row],[Project Index]], ProjectInput[], H$1, FALSE)</f>
        <v>0</v>
      </c>
      <c r="G60" s="98" t="str">
        <f>VLOOKUP(ReviewCalcs[[#This Row],[Project Index]], ProjectInput[], I$1, FALSE)</f>
        <v/>
      </c>
      <c r="H60" s="96">
        <f>VLOOKUP(ReviewCalcs[[#This Row],[Project Index]], ProjectInput[], J$1, FALSE)</f>
        <v>0</v>
      </c>
      <c r="I60" s="97">
        <f>VLOOKUP(ReviewCalcs[[#This Row],[Project Index]], ProjectInput[], K$1, FALSE)</f>
        <v>0</v>
      </c>
      <c r="J60" s="97">
        <f>VLOOKUP(ReviewCalcs[[#This Row],[Project Index]], ProjectInput[], L$1, FALSE)</f>
        <v>0</v>
      </c>
      <c r="K60" s="97">
        <f>VLOOKUP(ReviewCalcs[[#This Row],[Project Index]], ProjectInput[], M$1, FALSE)</f>
        <v>0</v>
      </c>
      <c r="L60" s="97">
        <f>VLOOKUP(ReviewCalcs[[#This Row],[Project Index]], ProjectInput[], N$1, FALSE)</f>
        <v>0</v>
      </c>
      <c r="M60" s="98" t="str">
        <f>VLOOKUP(ReviewCalcs[[#This Row],[Project Index]], ProjectInput[], O$1, FALSE)</f>
        <v/>
      </c>
      <c r="N60" s="96">
        <f>VLOOKUP(ReviewCalcs[[#This Row],[Project Index]], ProjectInput[], P$1, FALSE)</f>
        <v>0</v>
      </c>
      <c r="O60" s="97">
        <f>VLOOKUP(ReviewCalcs[[#This Row],[Project Index]], ProjectInput[], Q$1, FALSE)</f>
        <v>0</v>
      </c>
      <c r="P60" s="97">
        <f>VLOOKUP(ReviewCalcs[[#This Row],[Project Index]], ProjectInput[], R$1, FALSE)</f>
        <v>0</v>
      </c>
      <c r="Q60" s="97">
        <f>VLOOKUP(ReviewCalcs[[#This Row],[Project Index]], ProjectInput[], S$1, FALSE)</f>
        <v>0</v>
      </c>
      <c r="R60" s="97">
        <f>VLOOKUP(ReviewCalcs[[#This Row],[Project Index]], ProjectInput[], T$1, FALSE)</f>
        <v>0</v>
      </c>
      <c r="S60" s="97">
        <f>VLOOKUP(ReviewCalcs[[#This Row],[Project Index]], ProjectInput[], U$1, FALSE)</f>
        <v>0</v>
      </c>
      <c r="T60" s="97">
        <f>VLOOKUP(ReviewCalcs[[#This Row],[Project Index]], ProjectInput[], V$1, FALSE)</f>
        <v>0</v>
      </c>
      <c r="U60" s="97">
        <f>VLOOKUP(ReviewCalcs[[#This Row],[Project Index]], ProjectInput[], W$1, FALSE)</f>
        <v>0</v>
      </c>
      <c r="V60" s="98" t="str">
        <f>VLOOKUP(ReviewCalcs[[#This Row],[Project Index]], ProjectInput[], X$1, FALSE)</f>
        <v/>
      </c>
      <c r="W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0" s="75" t="e">
        <f>IF(VLOOKUP(ReviewCalcs[[#This Row],[Proposed Fixture Code]], Table7[[FIXTURE CODE]:[Baseline Fixture Code]], 8, FALSE)="N", "ERROR", "PASS")</f>
        <v>#N/A</v>
      </c>
      <c r="Y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0" s="75" t="e">
        <f>IF(OR(ReviewCalcs[[#This Row],[Baseline Fixture Watts]]&gt;=ReviewCalcs[[#This Row],[Proposed Fixture Watts]],ReviewCalcs[[#This Row],[Existing Fixture Watts]]&gt;=ReviewCalcs[[#This Row],[Proposed Fixture Watts]] ), "PASS", "ERROR")</f>
        <v>#N/A</v>
      </c>
      <c r="AA60" s="69" t="e">
        <f>VLOOKUP(ReviewCalcs[[#This Row],[Space Conditions]], Table_365[], 5, FALSE)</f>
        <v>#N/A</v>
      </c>
      <c r="AB60" s="68" t="str">
        <f>ReviewCalcs[[#This Row],[Annual Hours]]</f>
        <v/>
      </c>
      <c r="AC60" s="68" t="e">
        <f>VLOOKUP(ReviewCalcs[[#This Row],[Space Conditions]], Table_365[], 6, FALSE)</f>
        <v>#N/A</v>
      </c>
      <c r="AD60" s="68">
        <f>IF(ReviewCalcs[[#This Row],[Existing Control(s)]]='Tables &amp; Ranges'!$A$25, VLOOKUP(ReviewCalcs[[#This Row],[Building/Space Type]], Table_364[], 3, FALSE), CF_Contols)</f>
        <v>0.26</v>
      </c>
      <c r="AE60" s="68" t="e">
        <f>VLOOKUP(ReviewCalcs[[#This Row],[Existing Control(s)]], Table_358[], 2, FALSE)</f>
        <v>#N/A</v>
      </c>
      <c r="AF60" s="68">
        <f>IF(ReviewCalcs[[#This Row],[Proposed Control(s)]]='Tables &amp; Ranges'!$A$25, VLOOKUP(ReviewCalcs[[#This Row],[Building/Space Type]], Table_364[], 3, FALSE), CF_Contols)</f>
        <v>0.26</v>
      </c>
      <c r="AG60" s="68" t="e">
        <f>VLOOKUP(ReviewCalcs[[#This Row],[Proposed Control(s)]], Table_358[], 2, FALSE)</f>
        <v>#N/A</v>
      </c>
      <c r="AH60" s="68">
        <f>IFERROR((ReviewCalcs[[#This Row],[Existing Fixture Quantity]]*ReviewCalcs[[#This Row],[Existing Fixture Watts]]/1000)*ReviewCalcs[[#This Row],[Existing CF]]*ReviewCalcs[[#This Row],[IEFD]], 0)</f>
        <v>0</v>
      </c>
      <c r="AI60" s="68">
        <f>IFERROR((ReviewCalcs[[#This Row],[Proposed Fixture Quantity]]*ReviewCalcs[[#This Row],[Proposed Fixture Watts]]/1000)*ReviewCalcs[[#This Row],[Existing CF]]*ReviewCalcs[[#This Row],[IEFD]], 0)</f>
        <v>0</v>
      </c>
      <c r="AJ60" s="118">
        <f>IFERROR((ReviewCalcs[[#This Row],[Existing Fixture Quantity]]*ReviewCalcs[[#This Row],[Existing Fixture Watts]]/1000-ReviewCalcs[[#This Row],[Proposed Fixture Quantity]]*ReviewCalcs[[#This Row],[Proposed Fixture Watts]]/1000)*ReviewCalcs[[#This Row],[Existing CF]]*ReviewCalcs[[#This Row],[IEFD]], 0)</f>
        <v>0</v>
      </c>
      <c r="AK60" s="118">
        <f>IFERROR((ReviewCalcs[[#This Row],[Existing Fixture Quantity]]*ReviewCalcs[[#This Row],[Existing Fixture Watts]]/1000)*ReviewCalcs[[#This Row],[AOH]]*ReviewCalcs[[#This Row],[IEFE]]*ReviewCalcs[[#This Row],[Existing PAF]], 0)</f>
        <v>0</v>
      </c>
      <c r="AL60" s="118">
        <f>IFERROR((ReviewCalcs[[#This Row],[Proposed Fixture Quantity]]*ReviewCalcs[[#This Row],[Proposed Fixture Watts]]/1000)*ReviewCalcs[[#This Row],[AOH]]*ReviewCalcs[[#This Row],[IEFE]]*ReviewCalcs[[#This Row],[Existing PAF]], 0)</f>
        <v>0</v>
      </c>
      <c r="AM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0" s="118">
        <f>ReviewCalcs[[#This Row],[Fixture Existing Energy (kWh)]]*Avg_KWh_Rate</f>
        <v>0</v>
      </c>
      <c r="AO60" s="118">
        <f>ReviewCalcs[[#This Row],[Fixture Proposed Energy (kWh)]]*Avg_KWh_Rate</f>
        <v>0</v>
      </c>
      <c r="AP60" s="70">
        <f>ReviewCalcs[[#This Row],[Fixture Energy Savings]]*Avg_KWh_Rate</f>
        <v>0</v>
      </c>
      <c r="AQ60" s="129" t="e">
        <f>ReviewCalcs[[#This Row],[Existing Fixture Quantity]]*ReviewCalcs[[#This Row],[Existing Fixture Watts]]/1000*ReviewCalcs[[#This Row],[Existing CF]]*ReviewCalcs[[#This Row],[IEFD]]</f>
        <v>#VALUE!</v>
      </c>
      <c r="AR60" s="129" t="e">
        <f>ReviewCalcs[[#This Row],[Proposed Fixture Quantity]]*ReviewCalcs[[#This Row],[Proposed Fixture Watts]]/1000*ReviewCalcs[[#This Row],[Proposed CF]]*ReviewCalcs[[#This Row],[IEFD]]</f>
        <v>#VALUE!</v>
      </c>
      <c r="AS60" s="118">
        <f>IF(ReviewCalcs[[#This Row],[Existing CF]]=ReviewCalcs[[#This Row],[Proposed CF]], 0, ReviewCalcs[[#This Row],[Proposed Fixture Quantity]]*ReviewCalcs[[#This Row],[Proposed Fixture Watts]]/1000*ReviewCalcs[[#This Row],[Proposed CF]]*ReviewCalcs[[#This Row],[IEFD]])</f>
        <v>0</v>
      </c>
      <c r="AT60" s="118">
        <f>IFERROR(ReviewCalcs[[#This Row],[Existing Fixture Quantity]]*ReviewCalcs[[#This Row],[Existing Fixture Watts]]/1000*ReviewCalcs[[#This Row],[Existing PAF]]*ReviewCalcs[[#This Row],[AOH]]*ReviewCalcs[[#This Row],[IEFE]], 0)</f>
        <v>0</v>
      </c>
      <c r="AU60" s="118">
        <f>IFERROR(ReviewCalcs[[#This Row],[Proposed Fixture Quantity]]*ReviewCalcs[[#This Row],[Proposed Fixture Watts]]/1000*ReviewCalcs[[#This Row],[Proposed PAF]]*ReviewCalcs[[#This Row],[AOH]]*ReviewCalcs[[#This Row],[IEFE]], 0)</f>
        <v>0</v>
      </c>
      <c r="AV60" s="118">
        <f>IFERROR(ReviewCalcs[[#This Row],[Proposed Fixture Quantity]]*ReviewCalcs[[#This Row],[Proposed Fixture Watts]]/1000*(ReviewCalcs[[#This Row],[Existing PAF]]-ReviewCalcs[[#This Row],[Proposed PAF]])*ReviewCalcs[[#This Row],[AOH]]*ReviewCalcs[[#This Row],[IEFE]], 0)</f>
        <v>0</v>
      </c>
      <c r="AW60" s="118">
        <f>ReviewCalcs[[#This Row],[Control Existing Energy (kWh)]]*kWh_Incentive_Rate</f>
        <v>0</v>
      </c>
      <c r="AX60" s="118">
        <f>ReviewCalcs[[#This Row],[Control Proposed Energy (kWh)]]*kWh_Incentive_Rate</f>
        <v>0</v>
      </c>
      <c r="AY60" s="70">
        <f>ReviewCalcs[[#This Row],[Control Energy Savings (kWh)]]*kWh_Incentive_Rate</f>
        <v>0</v>
      </c>
      <c r="AZ60" s="70" t="e">
        <f>ReviewCalcs[[#This Row],[Fixture Existing Demand (kW)]]+ReviewCalcs[[#This Row],[Control Existing Demand (kW)]]</f>
        <v>#VALUE!</v>
      </c>
      <c r="BA60" s="70" t="e">
        <f>ReviewCalcs[[#This Row],[Fixture Proposed Demand (kW)]]+ReviewCalcs[[#This Row],[Control Proposed Demand (kW)]]</f>
        <v>#VALUE!</v>
      </c>
      <c r="BB60" s="118">
        <f>ReviewCalcs[[#This Row],[Fixture Demand Savings (kW)]]+ReviewCalcs[[#This Row],[Control Demand Savings (kW)]]</f>
        <v>0</v>
      </c>
      <c r="BC60" s="118">
        <f>ReviewCalcs[[#This Row],[Fixture Existing Energy (kWh)]]+ReviewCalcs[[#This Row],[Control Existing Energy (kWh)]]</f>
        <v>0</v>
      </c>
      <c r="BD60" s="118">
        <f>ReviewCalcs[[#This Row],[Fixture Proposed Energy (kWh)]]+ReviewCalcs[[#This Row],[Control Proposed Energy (kWh)]]</f>
        <v>0</v>
      </c>
      <c r="BE60" s="118">
        <f>ReviewCalcs[[#This Row],[Fixture Energy Savings]]+ReviewCalcs[[#This Row],[Control Energy Savings (kWh)]]</f>
        <v>0</v>
      </c>
      <c r="BF60" s="118">
        <f>ReviewCalcs[[#This Row],[Fixture Existing Cost ($)]]+ReviewCalcs[[#This Row],[Control Existing Cost ($)]]</f>
        <v>0</v>
      </c>
      <c r="BG60" s="118">
        <f>ReviewCalcs[[#This Row],[Fixture Proposed Cost ($)]]+ReviewCalcs[[#This Row],[Controls Proposed Cost ($)]]</f>
        <v>0</v>
      </c>
      <c r="BH60" s="70">
        <f>ReviewCalcs[[#This Row],[Total Energy Savings (kWh)]]*Avg_KWh_Rate</f>
        <v>0</v>
      </c>
      <c r="BI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0" s="70">
        <f>ReviewCalcs[[#This Row],[Retrofit Cost]]</f>
        <v>0</v>
      </c>
      <c r="BK60" s="70">
        <f>ReviewCalcs[[#This Row],[Retrofit Cost]]-ReviewCalcs[[#This Row],[Incentive ($)]]</f>
        <v>0</v>
      </c>
      <c r="BL60" s="118" t="e">
        <f>IFERROR(ReviewCalcs[[#This Row],[Net Project Cost ($)]]/ReviewCalcs[[#This Row],[Fixture Energy Cost Savings ($)]], #N/A)</f>
        <v>#N/A</v>
      </c>
      <c r="BM60" s="118" t="e">
        <f>IF(VLOOKUP(ReviewCalcs[[#This Row],[Existing Fixture Code]], Table7[[FIXTURE CODE]:[Baseline Fixture Code]], 8, FALSE)="N", VLOOKUP(ReviewCalcs[[#This Row],[Existing Fixture Code]], Table7[[FIXTURE CODE]:[Baseline Fixture Code]], 9, FALSE), ReviewCalcs[[#This Row],[Existing Fixture Code]])</f>
        <v>#N/A</v>
      </c>
      <c r="BN60" s="118" t="e">
        <f>INDEX(Table7[WATT/ FIXT], MATCH(ReviewCalcs[Baseline Fixture Code], Table7[FIXTURE CODE], 0))</f>
        <v>#N/A</v>
      </c>
      <c r="BO60" s="118">
        <f>IFERROR((ReviewCalcs[[#This Row],[Existing Fixture Quantity]]*ReviewCalcs[[#This Row],[Baseline Fixture Watts]]/1000-ReviewCalcs[[#This Row],[Proposed Fixture Quantity]]*ReviewCalcs[[#This Row],[Proposed Fixture Watts]]/1000)*ReviewCalcs[[#This Row],[Existing CF]]*ReviewCalcs[[#This Row],[IEFD]], 0)</f>
        <v>0</v>
      </c>
      <c r="BP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0" s="118">
        <f>IF(ReviewCalcs[[#This Row],[Existing CF]]=ReviewCalcs[[#This Row],[Proposed CF]], 0, ReviewCalcs[[#This Row],[Proposed Fixture Quantity]]*ReviewCalcs[[#This Row],[Proposed Fixture Watts]]/1000*ReviewCalcs[[#This Row],[Proposed CF]]*ReviewCalcs[[#This Row],[IEFD]])</f>
        <v>0</v>
      </c>
      <c r="BR60" s="118">
        <f>IFERROR(ReviewCalcs[[#This Row],[Proposed Fixture Quantity]]*ReviewCalcs[[#This Row],[Proposed Fixture Watts]]/1000*(ReviewCalcs[[#This Row],[Existing PAF]]-ReviewCalcs[[#This Row],[Proposed PAF]])*ReviewCalcs[[#This Row],[AOH]]*ReviewCalcs[[#This Row],[IEFE]],0)</f>
        <v>0</v>
      </c>
      <c r="BS60" s="118">
        <f>ReviewCalcs[[#This Row],[Incentive Fixture Demand Savings (kW)]]+ReviewCalcs[[#This Row],[Incentive Control Demand Savings (kW)]]</f>
        <v>0</v>
      </c>
      <c r="BT60" s="118">
        <f>ReviewCalcs[[#This Row],[Incentive Fixture Energy Savings (kWh)]]+ReviewCalcs[[#This Row],[Incentive Control Energy Savings (kWh)]]</f>
        <v>0</v>
      </c>
      <c r="BU60" s="73"/>
    </row>
    <row r="61" spans="1:73" ht="30" customHeight="1">
      <c r="A61" s="68">
        <v>58</v>
      </c>
      <c r="B61" s="96">
        <f>VLOOKUP(ReviewCalcs[[#This Row],[Project Index]], ProjectInput[], D$1, FALSE)</f>
        <v>0</v>
      </c>
      <c r="C61" s="97">
        <f>VLOOKUP(ReviewCalcs[[#This Row],[Project Index]], ProjectInput[], E$1, FALSE)</f>
        <v>0</v>
      </c>
      <c r="D61" s="97">
        <f>VLOOKUP(ReviewCalcs[[#This Row],[Project Index]], ProjectInput[], F$1, FALSE)</f>
        <v>0</v>
      </c>
      <c r="E61" s="97">
        <f>VLOOKUP(ReviewCalcs[[#This Row],[Project Index]], ProjectInput[], G$1, FALSE)</f>
        <v>0</v>
      </c>
      <c r="F61" s="97">
        <f>VLOOKUP(ReviewCalcs[[#This Row],[Project Index]], ProjectInput[], H$1, FALSE)</f>
        <v>0</v>
      </c>
      <c r="G61" s="98" t="str">
        <f>VLOOKUP(ReviewCalcs[[#This Row],[Project Index]], ProjectInput[], I$1, FALSE)</f>
        <v/>
      </c>
      <c r="H61" s="96">
        <f>VLOOKUP(ReviewCalcs[[#This Row],[Project Index]], ProjectInput[], J$1, FALSE)</f>
        <v>0</v>
      </c>
      <c r="I61" s="97">
        <f>VLOOKUP(ReviewCalcs[[#This Row],[Project Index]], ProjectInput[], K$1, FALSE)</f>
        <v>0</v>
      </c>
      <c r="J61" s="97">
        <f>VLOOKUP(ReviewCalcs[[#This Row],[Project Index]], ProjectInput[], L$1, FALSE)</f>
        <v>0</v>
      </c>
      <c r="K61" s="97">
        <f>VLOOKUP(ReviewCalcs[[#This Row],[Project Index]], ProjectInput[], M$1, FALSE)</f>
        <v>0</v>
      </c>
      <c r="L61" s="97">
        <f>VLOOKUP(ReviewCalcs[[#This Row],[Project Index]], ProjectInput[], N$1, FALSE)</f>
        <v>0</v>
      </c>
      <c r="M61" s="98" t="str">
        <f>VLOOKUP(ReviewCalcs[[#This Row],[Project Index]], ProjectInput[], O$1, FALSE)</f>
        <v/>
      </c>
      <c r="N61" s="96">
        <f>VLOOKUP(ReviewCalcs[[#This Row],[Project Index]], ProjectInput[], P$1, FALSE)</f>
        <v>0</v>
      </c>
      <c r="O61" s="97">
        <f>VLOOKUP(ReviewCalcs[[#This Row],[Project Index]], ProjectInput[], Q$1, FALSE)</f>
        <v>0</v>
      </c>
      <c r="P61" s="97">
        <f>VLOOKUP(ReviewCalcs[[#This Row],[Project Index]], ProjectInput[], R$1, FALSE)</f>
        <v>0</v>
      </c>
      <c r="Q61" s="97">
        <f>VLOOKUP(ReviewCalcs[[#This Row],[Project Index]], ProjectInput[], S$1, FALSE)</f>
        <v>0</v>
      </c>
      <c r="R61" s="97">
        <f>VLOOKUP(ReviewCalcs[[#This Row],[Project Index]], ProjectInput[], T$1, FALSE)</f>
        <v>0</v>
      </c>
      <c r="S61" s="97">
        <f>VLOOKUP(ReviewCalcs[[#This Row],[Project Index]], ProjectInput[], U$1, FALSE)</f>
        <v>0</v>
      </c>
      <c r="T61" s="97">
        <f>VLOOKUP(ReviewCalcs[[#This Row],[Project Index]], ProjectInput[], V$1, FALSE)</f>
        <v>0</v>
      </c>
      <c r="U61" s="97">
        <f>VLOOKUP(ReviewCalcs[[#This Row],[Project Index]], ProjectInput[], W$1, FALSE)</f>
        <v>0</v>
      </c>
      <c r="V61" s="98" t="str">
        <f>VLOOKUP(ReviewCalcs[[#This Row],[Project Index]], ProjectInput[], X$1, FALSE)</f>
        <v/>
      </c>
      <c r="W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1" s="75" t="e">
        <f>IF(VLOOKUP(ReviewCalcs[[#This Row],[Proposed Fixture Code]], Table7[[FIXTURE CODE]:[Baseline Fixture Code]], 8, FALSE)="N", "ERROR", "PASS")</f>
        <v>#N/A</v>
      </c>
      <c r="Y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1" s="75" t="e">
        <f>IF(OR(ReviewCalcs[[#This Row],[Baseline Fixture Watts]]&gt;=ReviewCalcs[[#This Row],[Proposed Fixture Watts]],ReviewCalcs[[#This Row],[Existing Fixture Watts]]&gt;=ReviewCalcs[[#This Row],[Proposed Fixture Watts]] ), "PASS", "ERROR")</f>
        <v>#N/A</v>
      </c>
      <c r="AA61" s="69" t="e">
        <f>VLOOKUP(ReviewCalcs[[#This Row],[Space Conditions]], Table_365[], 5, FALSE)</f>
        <v>#N/A</v>
      </c>
      <c r="AB61" s="68" t="str">
        <f>ReviewCalcs[[#This Row],[Annual Hours]]</f>
        <v/>
      </c>
      <c r="AC61" s="68" t="e">
        <f>VLOOKUP(ReviewCalcs[[#This Row],[Space Conditions]], Table_365[], 6, FALSE)</f>
        <v>#N/A</v>
      </c>
      <c r="AD61" s="68">
        <f>IF(ReviewCalcs[[#This Row],[Existing Control(s)]]='Tables &amp; Ranges'!$A$25, VLOOKUP(ReviewCalcs[[#This Row],[Building/Space Type]], Table_364[], 3, FALSE), CF_Contols)</f>
        <v>0.26</v>
      </c>
      <c r="AE61" s="68" t="e">
        <f>VLOOKUP(ReviewCalcs[[#This Row],[Existing Control(s)]], Table_358[], 2, FALSE)</f>
        <v>#N/A</v>
      </c>
      <c r="AF61" s="68">
        <f>IF(ReviewCalcs[[#This Row],[Proposed Control(s)]]='Tables &amp; Ranges'!$A$25, VLOOKUP(ReviewCalcs[[#This Row],[Building/Space Type]], Table_364[], 3, FALSE), CF_Contols)</f>
        <v>0.26</v>
      </c>
      <c r="AG61" s="68" t="e">
        <f>VLOOKUP(ReviewCalcs[[#This Row],[Proposed Control(s)]], Table_358[], 2, FALSE)</f>
        <v>#N/A</v>
      </c>
      <c r="AH61" s="68">
        <f>IFERROR((ReviewCalcs[[#This Row],[Existing Fixture Quantity]]*ReviewCalcs[[#This Row],[Existing Fixture Watts]]/1000)*ReviewCalcs[[#This Row],[Existing CF]]*ReviewCalcs[[#This Row],[IEFD]], 0)</f>
        <v>0</v>
      </c>
      <c r="AI61" s="68">
        <f>IFERROR((ReviewCalcs[[#This Row],[Proposed Fixture Quantity]]*ReviewCalcs[[#This Row],[Proposed Fixture Watts]]/1000)*ReviewCalcs[[#This Row],[Existing CF]]*ReviewCalcs[[#This Row],[IEFD]], 0)</f>
        <v>0</v>
      </c>
      <c r="AJ61" s="118">
        <f>IFERROR((ReviewCalcs[[#This Row],[Existing Fixture Quantity]]*ReviewCalcs[[#This Row],[Existing Fixture Watts]]/1000-ReviewCalcs[[#This Row],[Proposed Fixture Quantity]]*ReviewCalcs[[#This Row],[Proposed Fixture Watts]]/1000)*ReviewCalcs[[#This Row],[Existing CF]]*ReviewCalcs[[#This Row],[IEFD]], 0)</f>
        <v>0</v>
      </c>
      <c r="AK61" s="118">
        <f>IFERROR((ReviewCalcs[[#This Row],[Existing Fixture Quantity]]*ReviewCalcs[[#This Row],[Existing Fixture Watts]]/1000)*ReviewCalcs[[#This Row],[AOH]]*ReviewCalcs[[#This Row],[IEFE]]*ReviewCalcs[[#This Row],[Existing PAF]], 0)</f>
        <v>0</v>
      </c>
      <c r="AL61" s="118">
        <f>IFERROR((ReviewCalcs[[#This Row],[Proposed Fixture Quantity]]*ReviewCalcs[[#This Row],[Proposed Fixture Watts]]/1000)*ReviewCalcs[[#This Row],[AOH]]*ReviewCalcs[[#This Row],[IEFE]]*ReviewCalcs[[#This Row],[Existing PAF]], 0)</f>
        <v>0</v>
      </c>
      <c r="AM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1" s="118">
        <f>ReviewCalcs[[#This Row],[Fixture Existing Energy (kWh)]]*Avg_KWh_Rate</f>
        <v>0</v>
      </c>
      <c r="AO61" s="118">
        <f>ReviewCalcs[[#This Row],[Fixture Proposed Energy (kWh)]]*Avg_KWh_Rate</f>
        <v>0</v>
      </c>
      <c r="AP61" s="70">
        <f>ReviewCalcs[[#This Row],[Fixture Energy Savings]]*Avg_KWh_Rate</f>
        <v>0</v>
      </c>
      <c r="AQ61" s="129" t="e">
        <f>ReviewCalcs[[#This Row],[Existing Fixture Quantity]]*ReviewCalcs[[#This Row],[Existing Fixture Watts]]/1000*ReviewCalcs[[#This Row],[Existing CF]]*ReviewCalcs[[#This Row],[IEFD]]</f>
        <v>#VALUE!</v>
      </c>
      <c r="AR61" s="129" t="e">
        <f>ReviewCalcs[[#This Row],[Proposed Fixture Quantity]]*ReviewCalcs[[#This Row],[Proposed Fixture Watts]]/1000*ReviewCalcs[[#This Row],[Proposed CF]]*ReviewCalcs[[#This Row],[IEFD]]</f>
        <v>#VALUE!</v>
      </c>
      <c r="AS61" s="118">
        <f>IF(ReviewCalcs[[#This Row],[Existing CF]]=ReviewCalcs[[#This Row],[Proposed CF]], 0, ReviewCalcs[[#This Row],[Proposed Fixture Quantity]]*ReviewCalcs[[#This Row],[Proposed Fixture Watts]]/1000*ReviewCalcs[[#This Row],[Proposed CF]]*ReviewCalcs[[#This Row],[IEFD]])</f>
        <v>0</v>
      </c>
      <c r="AT61" s="118">
        <f>IFERROR(ReviewCalcs[[#This Row],[Existing Fixture Quantity]]*ReviewCalcs[[#This Row],[Existing Fixture Watts]]/1000*ReviewCalcs[[#This Row],[Existing PAF]]*ReviewCalcs[[#This Row],[AOH]]*ReviewCalcs[[#This Row],[IEFE]], 0)</f>
        <v>0</v>
      </c>
      <c r="AU61" s="118">
        <f>IFERROR(ReviewCalcs[[#This Row],[Proposed Fixture Quantity]]*ReviewCalcs[[#This Row],[Proposed Fixture Watts]]/1000*ReviewCalcs[[#This Row],[Proposed PAF]]*ReviewCalcs[[#This Row],[AOH]]*ReviewCalcs[[#This Row],[IEFE]], 0)</f>
        <v>0</v>
      </c>
      <c r="AV61" s="118">
        <f>IFERROR(ReviewCalcs[[#This Row],[Proposed Fixture Quantity]]*ReviewCalcs[[#This Row],[Proposed Fixture Watts]]/1000*(ReviewCalcs[[#This Row],[Existing PAF]]-ReviewCalcs[[#This Row],[Proposed PAF]])*ReviewCalcs[[#This Row],[AOH]]*ReviewCalcs[[#This Row],[IEFE]], 0)</f>
        <v>0</v>
      </c>
      <c r="AW61" s="118">
        <f>ReviewCalcs[[#This Row],[Control Existing Energy (kWh)]]*kWh_Incentive_Rate</f>
        <v>0</v>
      </c>
      <c r="AX61" s="118">
        <f>ReviewCalcs[[#This Row],[Control Proposed Energy (kWh)]]*kWh_Incentive_Rate</f>
        <v>0</v>
      </c>
      <c r="AY61" s="70">
        <f>ReviewCalcs[[#This Row],[Control Energy Savings (kWh)]]*kWh_Incentive_Rate</f>
        <v>0</v>
      </c>
      <c r="AZ61" s="70" t="e">
        <f>ReviewCalcs[[#This Row],[Fixture Existing Demand (kW)]]+ReviewCalcs[[#This Row],[Control Existing Demand (kW)]]</f>
        <v>#VALUE!</v>
      </c>
      <c r="BA61" s="70" t="e">
        <f>ReviewCalcs[[#This Row],[Fixture Proposed Demand (kW)]]+ReviewCalcs[[#This Row],[Control Proposed Demand (kW)]]</f>
        <v>#VALUE!</v>
      </c>
      <c r="BB61" s="118">
        <f>ReviewCalcs[[#This Row],[Fixture Demand Savings (kW)]]+ReviewCalcs[[#This Row],[Control Demand Savings (kW)]]</f>
        <v>0</v>
      </c>
      <c r="BC61" s="118">
        <f>ReviewCalcs[[#This Row],[Fixture Existing Energy (kWh)]]+ReviewCalcs[[#This Row],[Control Existing Energy (kWh)]]</f>
        <v>0</v>
      </c>
      <c r="BD61" s="118">
        <f>ReviewCalcs[[#This Row],[Fixture Proposed Energy (kWh)]]+ReviewCalcs[[#This Row],[Control Proposed Energy (kWh)]]</f>
        <v>0</v>
      </c>
      <c r="BE61" s="118">
        <f>ReviewCalcs[[#This Row],[Fixture Energy Savings]]+ReviewCalcs[[#This Row],[Control Energy Savings (kWh)]]</f>
        <v>0</v>
      </c>
      <c r="BF61" s="118">
        <f>ReviewCalcs[[#This Row],[Fixture Existing Cost ($)]]+ReviewCalcs[[#This Row],[Control Existing Cost ($)]]</f>
        <v>0</v>
      </c>
      <c r="BG61" s="118">
        <f>ReviewCalcs[[#This Row],[Fixture Proposed Cost ($)]]+ReviewCalcs[[#This Row],[Controls Proposed Cost ($)]]</f>
        <v>0</v>
      </c>
      <c r="BH61" s="70">
        <f>ReviewCalcs[[#This Row],[Total Energy Savings (kWh)]]*Avg_KWh_Rate</f>
        <v>0</v>
      </c>
      <c r="BI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1" s="70">
        <f>ReviewCalcs[[#This Row],[Retrofit Cost]]</f>
        <v>0</v>
      </c>
      <c r="BK61" s="70">
        <f>ReviewCalcs[[#This Row],[Retrofit Cost]]-ReviewCalcs[[#This Row],[Incentive ($)]]</f>
        <v>0</v>
      </c>
      <c r="BL61" s="118" t="e">
        <f>IFERROR(ReviewCalcs[[#This Row],[Net Project Cost ($)]]/ReviewCalcs[[#This Row],[Fixture Energy Cost Savings ($)]], #N/A)</f>
        <v>#N/A</v>
      </c>
      <c r="BM61" s="118" t="e">
        <f>IF(VLOOKUP(ReviewCalcs[[#This Row],[Existing Fixture Code]], Table7[[FIXTURE CODE]:[Baseline Fixture Code]], 8, FALSE)="N", VLOOKUP(ReviewCalcs[[#This Row],[Existing Fixture Code]], Table7[[FIXTURE CODE]:[Baseline Fixture Code]], 9, FALSE), ReviewCalcs[[#This Row],[Existing Fixture Code]])</f>
        <v>#N/A</v>
      </c>
      <c r="BN61" s="118" t="e">
        <f>INDEX(Table7[WATT/ FIXT], MATCH(ReviewCalcs[Baseline Fixture Code], Table7[FIXTURE CODE], 0))</f>
        <v>#N/A</v>
      </c>
      <c r="BO61" s="118">
        <f>IFERROR((ReviewCalcs[[#This Row],[Existing Fixture Quantity]]*ReviewCalcs[[#This Row],[Baseline Fixture Watts]]/1000-ReviewCalcs[[#This Row],[Proposed Fixture Quantity]]*ReviewCalcs[[#This Row],[Proposed Fixture Watts]]/1000)*ReviewCalcs[[#This Row],[Existing CF]]*ReviewCalcs[[#This Row],[IEFD]], 0)</f>
        <v>0</v>
      </c>
      <c r="BP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1" s="118">
        <f>IF(ReviewCalcs[[#This Row],[Existing CF]]=ReviewCalcs[[#This Row],[Proposed CF]], 0, ReviewCalcs[[#This Row],[Proposed Fixture Quantity]]*ReviewCalcs[[#This Row],[Proposed Fixture Watts]]/1000*ReviewCalcs[[#This Row],[Proposed CF]]*ReviewCalcs[[#This Row],[IEFD]])</f>
        <v>0</v>
      </c>
      <c r="BR61" s="118">
        <f>IFERROR(ReviewCalcs[[#This Row],[Proposed Fixture Quantity]]*ReviewCalcs[[#This Row],[Proposed Fixture Watts]]/1000*(ReviewCalcs[[#This Row],[Existing PAF]]-ReviewCalcs[[#This Row],[Proposed PAF]])*ReviewCalcs[[#This Row],[AOH]]*ReviewCalcs[[#This Row],[IEFE]],0)</f>
        <v>0</v>
      </c>
      <c r="BS61" s="118">
        <f>ReviewCalcs[[#This Row],[Incentive Fixture Demand Savings (kW)]]+ReviewCalcs[[#This Row],[Incentive Control Demand Savings (kW)]]</f>
        <v>0</v>
      </c>
      <c r="BT61" s="118">
        <f>ReviewCalcs[[#This Row],[Incentive Fixture Energy Savings (kWh)]]+ReviewCalcs[[#This Row],[Incentive Control Energy Savings (kWh)]]</f>
        <v>0</v>
      </c>
      <c r="BU61" s="73"/>
    </row>
    <row r="62" spans="1:73" ht="30" customHeight="1">
      <c r="A62" s="68">
        <v>59</v>
      </c>
      <c r="B62" s="96">
        <f>VLOOKUP(ReviewCalcs[[#This Row],[Project Index]], ProjectInput[], D$1, FALSE)</f>
        <v>0</v>
      </c>
      <c r="C62" s="97">
        <f>VLOOKUP(ReviewCalcs[[#This Row],[Project Index]], ProjectInput[], E$1, FALSE)</f>
        <v>0</v>
      </c>
      <c r="D62" s="97">
        <f>VLOOKUP(ReviewCalcs[[#This Row],[Project Index]], ProjectInput[], F$1, FALSE)</f>
        <v>0</v>
      </c>
      <c r="E62" s="97">
        <f>VLOOKUP(ReviewCalcs[[#This Row],[Project Index]], ProjectInput[], G$1, FALSE)</f>
        <v>0</v>
      </c>
      <c r="F62" s="97">
        <f>VLOOKUP(ReviewCalcs[[#This Row],[Project Index]], ProjectInput[], H$1, FALSE)</f>
        <v>0</v>
      </c>
      <c r="G62" s="98" t="str">
        <f>VLOOKUP(ReviewCalcs[[#This Row],[Project Index]], ProjectInput[], I$1, FALSE)</f>
        <v/>
      </c>
      <c r="H62" s="96">
        <f>VLOOKUP(ReviewCalcs[[#This Row],[Project Index]], ProjectInput[], J$1, FALSE)</f>
        <v>0</v>
      </c>
      <c r="I62" s="97">
        <f>VLOOKUP(ReviewCalcs[[#This Row],[Project Index]], ProjectInput[], K$1, FALSE)</f>
        <v>0</v>
      </c>
      <c r="J62" s="97">
        <f>VLOOKUP(ReviewCalcs[[#This Row],[Project Index]], ProjectInput[], L$1, FALSE)</f>
        <v>0</v>
      </c>
      <c r="K62" s="97">
        <f>VLOOKUP(ReviewCalcs[[#This Row],[Project Index]], ProjectInput[], M$1, FALSE)</f>
        <v>0</v>
      </c>
      <c r="L62" s="97">
        <f>VLOOKUP(ReviewCalcs[[#This Row],[Project Index]], ProjectInput[], N$1, FALSE)</f>
        <v>0</v>
      </c>
      <c r="M62" s="98" t="str">
        <f>VLOOKUP(ReviewCalcs[[#This Row],[Project Index]], ProjectInput[], O$1, FALSE)</f>
        <v/>
      </c>
      <c r="N62" s="96">
        <f>VLOOKUP(ReviewCalcs[[#This Row],[Project Index]], ProjectInput[], P$1, FALSE)</f>
        <v>0</v>
      </c>
      <c r="O62" s="97">
        <f>VLOOKUP(ReviewCalcs[[#This Row],[Project Index]], ProjectInput[], Q$1, FALSE)</f>
        <v>0</v>
      </c>
      <c r="P62" s="97">
        <f>VLOOKUP(ReviewCalcs[[#This Row],[Project Index]], ProjectInput[], R$1, FALSE)</f>
        <v>0</v>
      </c>
      <c r="Q62" s="97">
        <f>VLOOKUP(ReviewCalcs[[#This Row],[Project Index]], ProjectInput[], S$1, FALSE)</f>
        <v>0</v>
      </c>
      <c r="R62" s="97">
        <f>VLOOKUP(ReviewCalcs[[#This Row],[Project Index]], ProjectInput[], T$1, FALSE)</f>
        <v>0</v>
      </c>
      <c r="S62" s="97">
        <f>VLOOKUP(ReviewCalcs[[#This Row],[Project Index]], ProjectInput[], U$1, FALSE)</f>
        <v>0</v>
      </c>
      <c r="T62" s="97">
        <f>VLOOKUP(ReviewCalcs[[#This Row],[Project Index]], ProjectInput[], V$1, FALSE)</f>
        <v>0</v>
      </c>
      <c r="U62" s="97">
        <f>VLOOKUP(ReviewCalcs[[#This Row],[Project Index]], ProjectInput[], W$1, FALSE)</f>
        <v>0</v>
      </c>
      <c r="V62" s="98" t="str">
        <f>VLOOKUP(ReviewCalcs[[#This Row],[Project Index]], ProjectInput[], X$1, FALSE)</f>
        <v/>
      </c>
      <c r="W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2" s="75" t="e">
        <f>IF(VLOOKUP(ReviewCalcs[[#This Row],[Proposed Fixture Code]], Table7[[FIXTURE CODE]:[Baseline Fixture Code]], 8, FALSE)="N", "ERROR", "PASS")</f>
        <v>#N/A</v>
      </c>
      <c r="Y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2" s="75" t="e">
        <f>IF(OR(ReviewCalcs[[#This Row],[Baseline Fixture Watts]]&gt;=ReviewCalcs[[#This Row],[Proposed Fixture Watts]],ReviewCalcs[[#This Row],[Existing Fixture Watts]]&gt;=ReviewCalcs[[#This Row],[Proposed Fixture Watts]] ), "PASS", "ERROR")</f>
        <v>#N/A</v>
      </c>
      <c r="AA62" s="69" t="e">
        <f>VLOOKUP(ReviewCalcs[[#This Row],[Space Conditions]], Table_365[], 5, FALSE)</f>
        <v>#N/A</v>
      </c>
      <c r="AB62" s="68" t="str">
        <f>ReviewCalcs[[#This Row],[Annual Hours]]</f>
        <v/>
      </c>
      <c r="AC62" s="68" t="e">
        <f>VLOOKUP(ReviewCalcs[[#This Row],[Space Conditions]], Table_365[], 6, FALSE)</f>
        <v>#N/A</v>
      </c>
      <c r="AD62" s="68">
        <f>IF(ReviewCalcs[[#This Row],[Existing Control(s)]]='Tables &amp; Ranges'!$A$25, VLOOKUP(ReviewCalcs[[#This Row],[Building/Space Type]], Table_364[], 3, FALSE), CF_Contols)</f>
        <v>0.26</v>
      </c>
      <c r="AE62" s="68" t="e">
        <f>VLOOKUP(ReviewCalcs[[#This Row],[Existing Control(s)]], Table_358[], 2, FALSE)</f>
        <v>#N/A</v>
      </c>
      <c r="AF62" s="68">
        <f>IF(ReviewCalcs[[#This Row],[Proposed Control(s)]]='Tables &amp; Ranges'!$A$25, VLOOKUP(ReviewCalcs[[#This Row],[Building/Space Type]], Table_364[], 3, FALSE), CF_Contols)</f>
        <v>0.26</v>
      </c>
      <c r="AG62" s="68" t="e">
        <f>VLOOKUP(ReviewCalcs[[#This Row],[Proposed Control(s)]], Table_358[], 2, FALSE)</f>
        <v>#N/A</v>
      </c>
      <c r="AH62" s="68">
        <f>IFERROR((ReviewCalcs[[#This Row],[Existing Fixture Quantity]]*ReviewCalcs[[#This Row],[Existing Fixture Watts]]/1000)*ReviewCalcs[[#This Row],[Existing CF]]*ReviewCalcs[[#This Row],[IEFD]], 0)</f>
        <v>0</v>
      </c>
      <c r="AI62" s="68">
        <f>IFERROR((ReviewCalcs[[#This Row],[Proposed Fixture Quantity]]*ReviewCalcs[[#This Row],[Proposed Fixture Watts]]/1000)*ReviewCalcs[[#This Row],[Existing CF]]*ReviewCalcs[[#This Row],[IEFD]], 0)</f>
        <v>0</v>
      </c>
      <c r="AJ62" s="118">
        <f>IFERROR((ReviewCalcs[[#This Row],[Existing Fixture Quantity]]*ReviewCalcs[[#This Row],[Existing Fixture Watts]]/1000-ReviewCalcs[[#This Row],[Proposed Fixture Quantity]]*ReviewCalcs[[#This Row],[Proposed Fixture Watts]]/1000)*ReviewCalcs[[#This Row],[Existing CF]]*ReviewCalcs[[#This Row],[IEFD]], 0)</f>
        <v>0</v>
      </c>
      <c r="AK62" s="118">
        <f>IFERROR((ReviewCalcs[[#This Row],[Existing Fixture Quantity]]*ReviewCalcs[[#This Row],[Existing Fixture Watts]]/1000)*ReviewCalcs[[#This Row],[AOH]]*ReviewCalcs[[#This Row],[IEFE]]*ReviewCalcs[[#This Row],[Existing PAF]], 0)</f>
        <v>0</v>
      </c>
      <c r="AL62" s="118">
        <f>IFERROR((ReviewCalcs[[#This Row],[Proposed Fixture Quantity]]*ReviewCalcs[[#This Row],[Proposed Fixture Watts]]/1000)*ReviewCalcs[[#This Row],[AOH]]*ReviewCalcs[[#This Row],[IEFE]]*ReviewCalcs[[#This Row],[Existing PAF]], 0)</f>
        <v>0</v>
      </c>
      <c r="AM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2" s="118">
        <f>ReviewCalcs[[#This Row],[Fixture Existing Energy (kWh)]]*Avg_KWh_Rate</f>
        <v>0</v>
      </c>
      <c r="AO62" s="118">
        <f>ReviewCalcs[[#This Row],[Fixture Proposed Energy (kWh)]]*Avg_KWh_Rate</f>
        <v>0</v>
      </c>
      <c r="AP62" s="70">
        <f>ReviewCalcs[[#This Row],[Fixture Energy Savings]]*Avg_KWh_Rate</f>
        <v>0</v>
      </c>
      <c r="AQ62" s="129" t="e">
        <f>ReviewCalcs[[#This Row],[Existing Fixture Quantity]]*ReviewCalcs[[#This Row],[Existing Fixture Watts]]/1000*ReviewCalcs[[#This Row],[Existing CF]]*ReviewCalcs[[#This Row],[IEFD]]</f>
        <v>#VALUE!</v>
      </c>
      <c r="AR62" s="129" t="e">
        <f>ReviewCalcs[[#This Row],[Proposed Fixture Quantity]]*ReviewCalcs[[#This Row],[Proposed Fixture Watts]]/1000*ReviewCalcs[[#This Row],[Proposed CF]]*ReviewCalcs[[#This Row],[IEFD]]</f>
        <v>#VALUE!</v>
      </c>
      <c r="AS62" s="118">
        <f>IF(ReviewCalcs[[#This Row],[Existing CF]]=ReviewCalcs[[#This Row],[Proposed CF]], 0, ReviewCalcs[[#This Row],[Proposed Fixture Quantity]]*ReviewCalcs[[#This Row],[Proposed Fixture Watts]]/1000*ReviewCalcs[[#This Row],[Proposed CF]]*ReviewCalcs[[#This Row],[IEFD]])</f>
        <v>0</v>
      </c>
      <c r="AT62" s="118">
        <f>IFERROR(ReviewCalcs[[#This Row],[Existing Fixture Quantity]]*ReviewCalcs[[#This Row],[Existing Fixture Watts]]/1000*ReviewCalcs[[#This Row],[Existing PAF]]*ReviewCalcs[[#This Row],[AOH]]*ReviewCalcs[[#This Row],[IEFE]], 0)</f>
        <v>0</v>
      </c>
      <c r="AU62" s="118">
        <f>IFERROR(ReviewCalcs[[#This Row],[Proposed Fixture Quantity]]*ReviewCalcs[[#This Row],[Proposed Fixture Watts]]/1000*ReviewCalcs[[#This Row],[Proposed PAF]]*ReviewCalcs[[#This Row],[AOH]]*ReviewCalcs[[#This Row],[IEFE]], 0)</f>
        <v>0</v>
      </c>
      <c r="AV62" s="118">
        <f>IFERROR(ReviewCalcs[[#This Row],[Proposed Fixture Quantity]]*ReviewCalcs[[#This Row],[Proposed Fixture Watts]]/1000*(ReviewCalcs[[#This Row],[Existing PAF]]-ReviewCalcs[[#This Row],[Proposed PAF]])*ReviewCalcs[[#This Row],[AOH]]*ReviewCalcs[[#This Row],[IEFE]], 0)</f>
        <v>0</v>
      </c>
      <c r="AW62" s="118">
        <f>ReviewCalcs[[#This Row],[Control Existing Energy (kWh)]]*kWh_Incentive_Rate</f>
        <v>0</v>
      </c>
      <c r="AX62" s="118">
        <f>ReviewCalcs[[#This Row],[Control Proposed Energy (kWh)]]*kWh_Incentive_Rate</f>
        <v>0</v>
      </c>
      <c r="AY62" s="70">
        <f>ReviewCalcs[[#This Row],[Control Energy Savings (kWh)]]*kWh_Incentive_Rate</f>
        <v>0</v>
      </c>
      <c r="AZ62" s="70" t="e">
        <f>ReviewCalcs[[#This Row],[Fixture Existing Demand (kW)]]+ReviewCalcs[[#This Row],[Control Existing Demand (kW)]]</f>
        <v>#VALUE!</v>
      </c>
      <c r="BA62" s="70" t="e">
        <f>ReviewCalcs[[#This Row],[Fixture Proposed Demand (kW)]]+ReviewCalcs[[#This Row],[Control Proposed Demand (kW)]]</f>
        <v>#VALUE!</v>
      </c>
      <c r="BB62" s="118">
        <f>ReviewCalcs[[#This Row],[Fixture Demand Savings (kW)]]+ReviewCalcs[[#This Row],[Control Demand Savings (kW)]]</f>
        <v>0</v>
      </c>
      <c r="BC62" s="118">
        <f>ReviewCalcs[[#This Row],[Fixture Existing Energy (kWh)]]+ReviewCalcs[[#This Row],[Control Existing Energy (kWh)]]</f>
        <v>0</v>
      </c>
      <c r="BD62" s="118">
        <f>ReviewCalcs[[#This Row],[Fixture Proposed Energy (kWh)]]+ReviewCalcs[[#This Row],[Control Proposed Energy (kWh)]]</f>
        <v>0</v>
      </c>
      <c r="BE62" s="118">
        <f>ReviewCalcs[[#This Row],[Fixture Energy Savings]]+ReviewCalcs[[#This Row],[Control Energy Savings (kWh)]]</f>
        <v>0</v>
      </c>
      <c r="BF62" s="118">
        <f>ReviewCalcs[[#This Row],[Fixture Existing Cost ($)]]+ReviewCalcs[[#This Row],[Control Existing Cost ($)]]</f>
        <v>0</v>
      </c>
      <c r="BG62" s="118">
        <f>ReviewCalcs[[#This Row],[Fixture Proposed Cost ($)]]+ReviewCalcs[[#This Row],[Controls Proposed Cost ($)]]</f>
        <v>0</v>
      </c>
      <c r="BH62" s="70">
        <f>ReviewCalcs[[#This Row],[Total Energy Savings (kWh)]]*Avg_KWh_Rate</f>
        <v>0</v>
      </c>
      <c r="BI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2" s="70">
        <f>ReviewCalcs[[#This Row],[Retrofit Cost]]</f>
        <v>0</v>
      </c>
      <c r="BK62" s="70">
        <f>ReviewCalcs[[#This Row],[Retrofit Cost]]-ReviewCalcs[[#This Row],[Incentive ($)]]</f>
        <v>0</v>
      </c>
      <c r="BL62" s="118" t="e">
        <f>IFERROR(ReviewCalcs[[#This Row],[Net Project Cost ($)]]/ReviewCalcs[[#This Row],[Fixture Energy Cost Savings ($)]], #N/A)</f>
        <v>#N/A</v>
      </c>
      <c r="BM62" s="118" t="e">
        <f>IF(VLOOKUP(ReviewCalcs[[#This Row],[Existing Fixture Code]], Table7[[FIXTURE CODE]:[Baseline Fixture Code]], 8, FALSE)="N", VLOOKUP(ReviewCalcs[[#This Row],[Existing Fixture Code]], Table7[[FIXTURE CODE]:[Baseline Fixture Code]], 9, FALSE), ReviewCalcs[[#This Row],[Existing Fixture Code]])</f>
        <v>#N/A</v>
      </c>
      <c r="BN62" s="118" t="e">
        <f>INDEX(Table7[WATT/ FIXT], MATCH(ReviewCalcs[Baseline Fixture Code], Table7[FIXTURE CODE], 0))</f>
        <v>#N/A</v>
      </c>
      <c r="BO62" s="118">
        <f>IFERROR((ReviewCalcs[[#This Row],[Existing Fixture Quantity]]*ReviewCalcs[[#This Row],[Baseline Fixture Watts]]/1000-ReviewCalcs[[#This Row],[Proposed Fixture Quantity]]*ReviewCalcs[[#This Row],[Proposed Fixture Watts]]/1000)*ReviewCalcs[[#This Row],[Existing CF]]*ReviewCalcs[[#This Row],[IEFD]], 0)</f>
        <v>0</v>
      </c>
      <c r="BP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2" s="118">
        <f>IF(ReviewCalcs[[#This Row],[Existing CF]]=ReviewCalcs[[#This Row],[Proposed CF]], 0, ReviewCalcs[[#This Row],[Proposed Fixture Quantity]]*ReviewCalcs[[#This Row],[Proposed Fixture Watts]]/1000*ReviewCalcs[[#This Row],[Proposed CF]]*ReviewCalcs[[#This Row],[IEFD]])</f>
        <v>0</v>
      </c>
      <c r="BR62" s="118">
        <f>IFERROR(ReviewCalcs[[#This Row],[Proposed Fixture Quantity]]*ReviewCalcs[[#This Row],[Proposed Fixture Watts]]/1000*(ReviewCalcs[[#This Row],[Existing PAF]]-ReviewCalcs[[#This Row],[Proposed PAF]])*ReviewCalcs[[#This Row],[AOH]]*ReviewCalcs[[#This Row],[IEFE]],0)</f>
        <v>0</v>
      </c>
      <c r="BS62" s="118">
        <f>ReviewCalcs[[#This Row],[Incentive Fixture Demand Savings (kW)]]+ReviewCalcs[[#This Row],[Incentive Control Demand Savings (kW)]]</f>
        <v>0</v>
      </c>
      <c r="BT62" s="118">
        <f>ReviewCalcs[[#This Row],[Incentive Fixture Energy Savings (kWh)]]+ReviewCalcs[[#This Row],[Incentive Control Energy Savings (kWh)]]</f>
        <v>0</v>
      </c>
      <c r="BU62" s="73"/>
    </row>
    <row r="63" spans="1:73" ht="30" customHeight="1">
      <c r="A63" s="68">
        <v>60</v>
      </c>
      <c r="B63" s="96">
        <f>VLOOKUP(ReviewCalcs[[#This Row],[Project Index]], ProjectInput[], D$1, FALSE)</f>
        <v>0</v>
      </c>
      <c r="C63" s="97">
        <f>VLOOKUP(ReviewCalcs[[#This Row],[Project Index]], ProjectInput[], E$1, FALSE)</f>
        <v>0</v>
      </c>
      <c r="D63" s="97">
        <f>VLOOKUP(ReviewCalcs[[#This Row],[Project Index]], ProjectInput[], F$1, FALSE)</f>
        <v>0</v>
      </c>
      <c r="E63" s="97">
        <f>VLOOKUP(ReviewCalcs[[#This Row],[Project Index]], ProjectInput[], G$1, FALSE)</f>
        <v>0</v>
      </c>
      <c r="F63" s="97">
        <f>VLOOKUP(ReviewCalcs[[#This Row],[Project Index]], ProjectInput[], H$1, FALSE)</f>
        <v>0</v>
      </c>
      <c r="G63" s="98" t="str">
        <f>VLOOKUP(ReviewCalcs[[#This Row],[Project Index]], ProjectInput[], I$1, FALSE)</f>
        <v/>
      </c>
      <c r="H63" s="96">
        <f>VLOOKUP(ReviewCalcs[[#This Row],[Project Index]], ProjectInput[], J$1, FALSE)</f>
        <v>0</v>
      </c>
      <c r="I63" s="97">
        <f>VLOOKUP(ReviewCalcs[[#This Row],[Project Index]], ProjectInput[], K$1, FALSE)</f>
        <v>0</v>
      </c>
      <c r="J63" s="97">
        <f>VLOOKUP(ReviewCalcs[[#This Row],[Project Index]], ProjectInput[], L$1, FALSE)</f>
        <v>0</v>
      </c>
      <c r="K63" s="97">
        <f>VLOOKUP(ReviewCalcs[[#This Row],[Project Index]], ProjectInput[], M$1, FALSE)</f>
        <v>0</v>
      </c>
      <c r="L63" s="97">
        <f>VLOOKUP(ReviewCalcs[[#This Row],[Project Index]], ProjectInput[], N$1, FALSE)</f>
        <v>0</v>
      </c>
      <c r="M63" s="98" t="str">
        <f>VLOOKUP(ReviewCalcs[[#This Row],[Project Index]], ProjectInput[], O$1, FALSE)</f>
        <v/>
      </c>
      <c r="N63" s="96">
        <f>VLOOKUP(ReviewCalcs[[#This Row],[Project Index]], ProjectInput[], P$1, FALSE)</f>
        <v>0</v>
      </c>
      <c r="O63" s="97">
        <f>VLOOKUP(ReviewCalcs[[#This Row],[Project Index]], ProjectInput[], Q$1, FALSE)</f>
        <v>0</v>
      </c>
      <c r="P63" s="97">
        <f>VLOOKUP(ReviewCalcs[[#This Row],[Project Index]], ProjectInput[], R$1, FALSE)</f>
        <v>0</v>
      </c>
      <c r="Q63" s="97">
        <f>VLOOKUP(ReviewCalcs[[#This Row],[Project Index]], ProjectInput[], S$1, FALSE)</f>
        <v>0</v>
      </c>
      <c r="R63" s="97">
        <f>VLOOKUP(ReviewCalcs[[#This Row],[Project Index]], ProjectInput[], T$1, FALSE)</f>
        <v>0</v>
      </c>
      <c r="S63" s="97">
        <f>VLOOKUP(ReviewCalcs[[#This Row],[Project Index]], ProjectInput[], U$1, FALSE)</f>
        <v>0</v>
      </c>
      <c r="T63" s="97">
        <f>VLOOKUP(ReviewCalcs[[#This Row],[Project Index]], ProjectInput[], V$1, FALSE)</f>
        <v>0</v>
      </c>
      <c r="U63" s="97">
        <f>VLOOKUP(ReviewCalcs[[#This Row],[Project Index]], ProjectInput[], W$1, FALSE)</f>
        <v>0</v>
      </c>
      <c r="V63" s="98" t="str">
        <f>VLOOKUP(ReviewCalcs[[#This Row],[Project Index]], ProjectInput[], X$1, FALSE)</f>
        <v/>
      </c>
      <c r="W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3" s="75" t="e">
        <f>IF(VLOOKUP(ReviewCalcs[[#This Row],[Proposed Fixture Code]], Table7[[FIXTURE CODE]:[Baseline Fixture Code]], 8, FALSE)="N", "ERROR", "PASS")</f>
        <v>#N/A</v>
      </c>
      <c r="Y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3" s="75" t="e">
        <f>IF(OR(ReviewCalcs[[#This Row],[Baseline Fixture Watts]]&gt;=ReviewCalcs[[#This Row],[Proposed Fixture Watts]],ReviewCalcs[[#This Row],[Existing Fixture Watts]]&gt;=ReviewCalcs[[#This Row],[Proposed Fixture Watts]] ), "PASS", "ERROR")</f>
        <v>#N/A</v>
      </c>
      <c r="AA63" s="69" t="e">
        <f>VLOOKUP(ReviewCalcs[[#This Row],[Space Conditions]], Table_365[], 5, FALSE)</f>
        <v>#N/A</v>
      </c>
      <c r="AB63" s="68" t="str">
        <f>ReviewCalcs[[#This Row],[Annual Hours]]</f>
        <v/>
      </c>
      <c r="AC63" s="68" t="e">
        <f>VLOOKUP(ReviewCalcs[[#This Row],[Space Conditions]], Table_365[], 6, FALSE)</f>
        <v>#N/A</v>
      </c>
      <c r="AD63" s="68">
        <f>IF(ReviewCalcs[[#This Row],[Existing Control(s)]]='Tables &amp; Ranges'!$A$25, VLOOKUP(ReviewCalcs[[#This Row],[Building/Space Type]], Table_364[], 3, FALSE), CF_Contols)</f>
        <v>0.26</v>
      </c>
      <c r="AE63" s="68" t="e">
        <f>VLOOKUP(ReviewCalcs[[#This Row],[Existing Control(s)]], Table_358[], 2, FALSE)</f>
        <v>#N/A</v>
      </c>
      <c r="AF63" s="68">
        <f>IF(ReviewCalcs[[#This Row],[Proposed Control(s)]]='Tables &amp; Ranges'!$A$25, VLOOKUP(ReviewCalcs[[#This Row],[Building/Space Type]], Table_364[], 3, FALSE), CF_Contols)</f>
        <v>0.26</v>
      </c>
      <c r="AG63" s="68" t="e">
        <f>VLOOKUP(ReviewCalcs[[#This Row],[Proposed Control(s)]], Table_358[], 2, FALSE)</f>
        <v>#N/A</v>
      </c>
      <c r="AH63" s="68">
        <f>IFERROR((ReviewCalcs[[#This Row],[Existing Fixture Quantity]]*ReviewCalcs[[#This Row],[Existing Fixture Watts]]/1000)*ReviewCalcs[[#This Row],[Existing CF]]*ReviewCalcs[[#This Row],[IEFD]], 0)</f>
        <v>0</v>
      </c>
      <c r="AI63" s="68">
        <f>IFERROR((ReviewCalcs[[#This Row],[Proposed Fixture Quantity]]*ReviewCalcs[[#This Row],[Proposed Fixture Watts]]/1000)*ReviewCalcs[[#This Row],[Existing CF]]*ReviewCalcs[[#This Row],[IEFD]], 0)</f>
        <v>0</v>
      </c>
      <c r="AJ63" s="118">
        <f>IFERROR((ReviewCalcs[[#This Row],[Existing Fixture Quantity]]*ReviewCalcs[[#This Row],[Existing Fixture Watts]]/1000-ReviewCalcs[[#This Row],[Proposed Fixture Quantity]]*ReviewCalcs[[#This Row],[Proposed Fixture Watts]]/1000)*ReviewCalcs[[#This Row],[Existing CF]]*ReviewCalcs[[#This Row],[IEFD]], 0)</f>
        <v>0</v>
      </c>
      <c r="AK63" s="118">
        <f>IFERROR((ReviewCalcs[[#This Row],[Existing Fixture Quantity]]*ReviewCalcs[[#This Row],[Existing Fixture Watts]]/1000)*ReviewCalcs[[#This Row],[AOH]]*ReviewCalcs[[#This Row],[IEFE]]*ReviewCalcs[[#This Row],[Existing PAF]], 0)</f>
        <v>0</v>
      </c>
      <c r="AL63" s="118">
        <f>IFERROR((ReviewCalcs[[#This Row],[Proposed Fixture Quantity]]*ReviewCalcs[[#This Row],[Proposed Fixture Watts]]/1000)*ReviewCalcs[[#This Row],[AOH]]*ReviewCalcs[[#This Row],[IEFE]]*ReviewCalcs[[#This Row],[Existing PAF]], 0)</f>
        <v>0</v>
      </c>
      <c r="AM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3" s="118">
        <f>ReviewCalcs[[#This Row],[Fixture Existing Energy (kWh)]]*Avg_KWh_Rate</f>
        <v>0</v>
      </c>
      <c r="AO63" s="118">
        <f>ReviewCalcs[[#This Row],[Fixture Proposed Energy (kWh)]]*Avg_KWh_Rate</f>
        <v>0</v>
      </c>
      <c r="AP63" s="70">
        <f>ReviewCalcs[[#This Row],[Fixture Energy Savings]]*Avg_KWh_Rate</f>
        <v>0</v>
      </c>
      <c r="AQ63" s="129" t="e">
        <f>ReviewCalcs[[#This Row],[Existing Fixture Quantity]]*ReviewCalcs[[#This Row],[Existing Fixture Watts]]/1000*ReviewCalcs[[#This Row],[Existing CF]]*ReviewCalcs[[#This Row],[IEFD]]</f>
        <v>#VALUE!</v>
      </c>
      <c r="AR63" s="129" t="e">
        <f>ReviewCalcs[[#This Row],[Proposed Fixture Quantity]]*ReviewCalcs[[#This Row],[Proposed Fixture Watts]]/1000*ReviewCalcs[[#This Row],[Proposed CF]]*ReviewCalcs[[#This Row],[IEFD]]</f>
        <v>#VALUE!</v>
      </c>
      <c r="AS63" s="118">
        <f>IF(ReviewCalcs[[#This Row],[Existing CF]]=ReviewCalcs[[#This Row],[Proposed CF]], 0, ReviewCalcs[[#This Row],[Proposed Fixture Quantity]]*ReviewCalcs[[#This Row],[Proposed Fixture Watts]]/1000*ReviewCalcs[[#This Row],[Proposed CF]]*ReviewCalcs[[#This Row],[IEFD]])</f>
        <v>0</v>
      </c>
      <c r="AT63" s="118">
        <f>IFERROR(ReviewCalcs[[#This Row],[Existing Fixture Quantity]]*ReviewCalcs[[#This Row],[Existing Fixture Watts]]/1000*ReviewCalcs[[#This Row],[Existing PAF]]*ReviewCalcs[[#This Row],[AOH]]*ReviewCalcs[[#This Row],[IEFE]], 0)</f>
        <v>0</v>
      </c>
      <c r="AU63" s="118">
        <f>IFERROR(ReviewCalcs[[#This Row],[Proposed Fixture Quantity]]*ReviewCalcs[[#This Row],[Proposed Fixture Watts]]/1000*ReviewCalcs[[#This Row],[Proposed PAF]]*ReviewCalcs[[#This Row],[AOH]]*ReviewCalcs[[#This Row],[IEFE]], 0)</f>
        <v>0</v>
      </c>
      <c r="AV63" s="118">
        <f>IFERROR(ReviewCalcs[[#This Row],[Proposed Fixture Quantity]]*ReviewCalcs[[#This Row],[Proposed Fixture Watts]]/1000*(ReviewCalcs[[#This Row],[Existing PAF]]-ReviewCalcs[[#This Row],[Proposed PAF]])*ReviewCalcs[[#This Row],[AOH]]*ReviewCalcs[[#This Row],[IEFE]], 0)</f>
        <v>0</v>
      </c>
      <c r="AW63" s="118">
        <f>ReviewCalcs[[#This Row],[Control Existing Energy (kWh)]]*kWh_Incentive_Rate</f>
        <v>0</v>
      </c>
      <c r="AX63" s="118">
        <f>ReviewCalcs[[#This Row],[Control Proposed Energy (kWh)]]*kWh_Incentive_Rate</f>
        <v>0</v>
      </c>
      <c r="AY63" s="70">
        <f>ReviewCalcs[[#This Row],[Control Energy Savings (kWh)]]*kWh_Incentive_Rate</f>
        <v>0</v>
      </c>
      <c r="AZ63" s="70" t="e">
        <f>ReviewCalcs[[#This Row],[Fixture Existing Demand (kW)]]+ReviewCalcs[[#This Row],[Control Existing Demand (kW)]]</f>
        <v>#VALUE!</v>
      </c>
      <c r="BA63" s="70" t="e">
        <f>ReviewCalcs[[#This Row],[Fixture Proposed Demand (kW)]]+ReviewCalcs[[#This Row],[Control Proposed Demand (kW)]]</f>
        <v>#VALUE!</v>
      </c>
      <c r="BB63" s="118">
        <f>ReviewCalcs[[#This Row],[Fixture Demand Savings (kW)]]+ReviewCalcs[[#This Row],[Control Demand Savings (kW)]]</f>
        <v>0</v>
      </c>
      <c r="BC63" s="118">
        <f>ReviewCalcs[[#This Row],[Fixture Existing Energy (kWh)]]+ReviewCalcs[[#This Row],[Control Existing Energy (kWh)]]</f>
        <v>0</v>
      </c>
      <c r="BD63" s="118">
        <f>ReviewCalcs[[#This Row],[Fixture Proposed Energy (kWh)]]+ReviewCalcs[[#This Row],[Control Proposed Energy (kWh)]]</f>
        <v>0</v>
      </c>
      <c r="BE63" s="118">
        <f>ReviewCalcs[[#This Row],[Fixture Energy Savings]]+ReviewCalcs[[#This Row],[Control Energy Savings (kWh)]]</f>
        <v>0</v>
      </c>
      <c r="BF63" s="118">
        <f>ReviewCalcs[[#This Row],[Fixture Existing Cost ($)]]+ReviewCalcs[[#This Row],[Control Existing Cost ($)]]</f>
        <v>0</v>
      </c>
      <c r="BG63" s="118">
        <f>ReviewCalcs[[#This Row],[Fixture Proposed Cost ($)]]+ReviewCalcs[[#This Row],[Controls Proposed Cost ($)]]</f>
        <v>0</v>
      </c>
      <c r="BH63" s="70">
        <f>ReviewCalcs[[#This Row],[Total Energy Savings (kWh)]]*Avg_KWh_Rate</f>
        <v>0</v>
      </c>
      <c r="BI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3" s="70">
        <f>ReviewCalcs[[#This Row],[Retrofit Cost]]</f>
        <v>0</v>
      </c>
      <c r="BK63" s="70">
        <f>ReviewCalcs[[#This Row],[Retrofit Cost]]-ReviewCalcs[[#This Row],[Incentive ($)]]</f>
        <v>0</v>
      </c>
      <c r="BL63" s="118" t="e">
        <f>IFERROR(ReviewCalcs[[#This Row],[Net Project Cost ($)]]/ReviewCalcs[[#This Row],[Fixture Energy Cost Savings ($)]], #N/A)</f>
        <v>#N/A</v>
      </c>
      <c r="BM63" s="118" t="e">
        <f>IF(VLOOKUP(ReviewCalcs[[#This Row],[Existing Fixture Code]], Table7[[FIXTURE CODE]:[Baseline Fixture Code]], 8, FALSE)="N", VLOOKUP(ReviewCalcs[[#This Row],[Existing Fixture Code]], Table7[[FIXTURE CODE]:[Baseline Fixture Code]], 9, FALSE), ReviewCalcs[[#This Row],[Existing Fixture Code]])</f>
        <v>#N/A</v>
      </c>
      <c r="BN63" s="118" t="e">
        <f>INDEX(Table7[WATT/ FIXT], MATCH(ReviewCalcs[Baseline Fixture Code], Table7[FIXTURE CODE], 0))</f>
        <v>#N/A</v>
      </c>
      <c r="BO63" s="118">
        <f>IFERROR((ReviewCalcs[[#This Row],[Existing Fixture Quantity]]*ReviewCalcs[[#This Row],[Baseline Fixture Watts]]/1000-ReviewCalcs[[#This Row],[Proposed Fixture Quantity]]*ReviewCalcs[[#This Row],[Proposed Fixture Watts]]/1000)*ReviewCalcs[[#This Row],[Existing CF]]*ReviewCalcs[[#This Row],[IEFD]], 0)</f>
        <v>0</v>
      </c>
      <c r="BP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3" s="118">
        <f>IF(ReviewCalcs[[#This Row],[Existing CF]]=ReviewCalcs[[#This Row],[Proposed CF]], 0, ReviewCalcs[[#This Row],[Proposed Fixture Quantity]]*ReviewCalcs[[#This Row],[Proposed Fixture Watts]]/1000*ReviewCalcs[[#This Row],[Proposed CF]]*ReviewCalcs[[#This Row],[IEFD]])</f>
        <v>0</v>
      </c>
      <c r="BR63" s="118">
        <f>IFERROR(ReviewCalcs[[#This Row],[Proposed Fixture Quantity]]*ReviewCalcs[[#This Row],[Proposed Fixture Watts]]/1000*(ReviewCalcs[[#This Row],[Existing PAF]]-ReviewCalcs[[#This Row],[Proposed PAF]])*ReviewCalcs[[#This Row],[AOH]]*ReviewCalcs[[#This Row],[IEFE]],0)</f>
        <v>0</v>
      </c>
      <c r="BS63" s="118">
        <f>ReviewCalcs[[#This Row],[Incentive Fixture Demand Savings (kW)]]+ReviewCalcs[[#This Row],[Incentive Control Demand Savings (kW)]]</f>
        <v>0</v>
      </c>
      <c r="BT63" s="118">
        <f>ReviewCalcs[[#This Row],[Incentive Fixture Energy Savings (kWh)]]+ReviewCalcs[[#This Row],[Incentive Control Energy Savings (kWh)]]</f>
        <v>0</v>
      </c>
      <c r="BU63" s="73"/>
    </row>
    <row r="64" spans="1:73" ht="30" customHeight="1">
      <c r="A64" s="68">
        <v>61</v>
      </c>
      <c r="B64" s="96">
        <f>VLOOKUP(ReviewCalcs[[#This Row],[Project Index]], ProjectInput[], D$1, FALSE)</f>
        <v>0</v>
      </c>
      <c r="C64" s="97">
        <f>VLOOKUP(ReviewCalcs[[#This Row],[Project Index]], ProjectInput[], E$1, FALSE)</f>
        <v>0</v>
      </c>
      <c r="D64" s="97">
        <f>VLOOKUP(ReviewCalcs[[#This Row],[Project Index]], ProjectInput[], F$1, FALSE)</f>
        <v>0</v>
      </c>
      <c r="E64" s="97">
        <f>VLOOKUP(ReviewCalcs[[#This Row],[Project Index]], ProjectInput[], G$1, FALSE)</f>
        <v>0</v>
      </c>
      <c r="F64" s="97">
        <f>VLOOKUP(ReviewCalcs[[#This Row],[Project Index]], ProjectInput[], H$1, FALSE)</f>
        <v>0</v>
      </c>
      <c r="G64" s="98" t="str">
        <f>VLOOKUP(ReviewCalcs[[#This Row],[Project Index]], ProjectInput[], I$1, FALSE)</f>
        <v/>
      </c>
      <c r="H64" s="96">
        <f>VLOOKUP(ReviewCalcs[[#This Row],[Project Index]], ProjectInput[], J$1, FALSE)</f>
        <v>0</v>
      </c>
      <c r="I64" s="97">
        <f>VLOOKUP(ReviewCalcs[[#This Row],[Project Index]], ProjectInput[], K$1, FALSE)</f>
        <v>0</v>
      </c>
      <c r="J64" s="97">
        <f>VLOOKUP(ReviewCalcs[[#This Row],[Project Index]], ProjectInput[], L$1, FALSE)</f>
        <v>0</v>
      </c>
      <c r="K64" s="97">
        <f>VLOOKUP(ReviewCalcs[[#This Row],[Project Index]], ProjectInput[], M$1, FALSE)</f>
        <v>0</v>
      </c>
      <c r="L64" s="97">
        <f>VLOOKUP(ReviewCalcs[[#This Row],[Project Index]], ProjectInput[], N$1, FALSE)</f>
        <v>0</v>
      </c>
      <c r="M64" s="98" t="str">
        <f>VLOOKUP(ReviewCalcs[[#This Row],[Project Index]], ProjectInput[], O$1, FALSE)</f>
        <v/>
      </c>
      <c r="N64" s="96">
        <f>VLOOKUP(ReviewCalcs[[#This Row],[Project Index]], ProjectInput[], P$1, FALSE)</f>
        <v>0</v>
      </c>
      <c r="O64" s="97">
        <f>VLOOKUP(ReviewCalcs[[#This Row],[Project Index]], ProjectInput[], Q$1, FALSE)</f>
        <v>0</v>
      </c>
      <c r="P64" s="97">
        <f>VLOOKUP(ReviewCalcs[[#This Row],[Project Index]], ProjectInput[], R$1, FALSE)</f>
        <v>0</v>
      </c>
      <c r="Q64" s="97">
        <f>VLOOKUP(ReviewCalcs[[#This Row],[Project Index]], ProjectInput[], S$1, FALSE)</f>
        <v>0</v>
      </c>
      <c r="R64" s="97">
        <f>VLOOKUP(ReviewCalcs[[#This Row],[Project Index]], ProjectInput[], T$1, FALSE)</f>
        <v>0</v>
      </c>
      <c r="S64" s="97">
        <f>VLOOKUP(ReviewCalcs[[#This Row],[Project Index]], ProjectInput[], U$1, FALSE)</f>
        <v>0</v>
      </c>
      <c r="T64" s="97">
        <f>VLOOKUP(ReviewCalcs[[#This Row],[Project Index]], ProjectInput[], V$1, FALSE)</f>
        <v>0</v>
      </c>
      <c r="U64" s="97">
        <f>VLOOKUP(ReviewCalcs[[#This Row],[Project Index]], ProjectInput[], W$1, FALSE)</f>
        <v>0</v>
      </c>
      <c r="V64" s="98" t="str">
        <f>VLOOKUP(ReviewCalcs[[#This Row],[Project Index]], ProjectInput[], X$1, FALSE)</f>
        <v/>
      </c>
      <c r="W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4" s="75" t="e">
        <f>IF(VLOOKUP(ReviewCalcs[[#This Row],[Proposed Fixture Code]], Table7[[FIXTURE CODE]:[Baseline Fixture Code]], 8, FALSE)="N", "ERROR", "PASS")</f>
        <v>#N/A</v>
      </c>
      <c r="Y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4" s="75" t="e">
        <f>IF(OR(ReviewCalcs[[#This Row],[Baseline Fixture Watts]]&gt;=ReviewCalcs[[#This Row],[Proposed Fixture Watts]],ReviewCalcs[[#This Row],[Existing Fixture Watts]]&gt;=ReviewCalcs[[#This Row],[Proposed Fixture Watts]] ), "PASS", "ERROR")</f>
        <v>#N/A</v>
      </c>
      <c r="AA64" s="69" t="e">
        <f>VLOOKUP(ReviewCalcs[[#This Row],[Space Conditions]], Table_365[], 5, FALSE)</f>
        <v>#N/A</v>
      </c>
      <c r="AB64" s="68" t="str">
        <f>ReviewCalcs[[#This Row],[Annual Hours]]</f>
        <v/>
      </c>
      <c r="AC64" s="68" t="e">
        <f>VLOOKUP(ReviewCalcs[[#This Row],[Space Conditions]], Table_365[], 6, FALSE)</f>
        <v>#N/A</v>
      </c>
      <c r="AD64" s="68">
        <f>IF(ReviewCalcs[[#This Row],[Existing Control(s)]]='Tables &amp; Ranges'!$A$25, VLOOKUP(ReviewCalcs[[#This Row],[Building/Space Type]], Table_364[], 3, FALSE), CF_Contols)</f>
        <v>0.26</v>
      </c>
      <c r="AE64" s="68" t="e">
        <f>VLOOKUP(ReviewCalcs[[#This Row],[Existing Control(s)]], Table_358[], 2, FALSE)</f>
        <v>#N/A</v>
      </c>
      <c r="AF64" s="68">
        <f>IF(ReviewCalcs[[#This Row],[Proposed Control(s)]]='Tables &amp; Ranges'!$A$25, VLOOKUP(ReviewCalcs[[#This Row],[Building/Space Type]], Table_364[], 3, FALSE), CF_Contols)</f>
        <v>0.26</v>
      </c>
      <c r="AG64" s="68" t="e">
        <f>VLOOKUP(ReviewCalcs[[#This Row],[Proposed Control(s)]], Table_358[], 2, FALSE)</f>
        <v>#N/A</v>
      </c>
      <c r="AH64" s="68">
        <f>IFERROR((ReviewCalcs[[#This Row],[Existing Fixture Quantity]]*ReviewCalcs[[#This Row],[Existing Fixture Watts]]/1000)*ReviewCalcs[[#This Row],[Existing CF]]*ReviewCalcs[[#This Row],[IEFD]], 0)</f>
        <v>0</v>
      </c>
      <c r="AI64" s="68">
        <f>IFERROR((ReviewCalcs[[#This Row],[Proposed Fixture Quantity]]*ReviewCalcs[[#This Row],[Proposed Fixture Watts]]/1000)*ReviewCalcs[[#This Row],[Existing CF]]*ReviewCalcs[[#This Row],[IEFD]], 0)</f>
        <v>0</v>
      </c>
      <c r="AJ64" s="118">
        <f>IFERROR((ReviewCalcs[[#This Row],[Existing Fixture Quantity]]*ReviewCalcs[[#This Row],[Existing Fixture Watts]]/1000-ReviewCalcs[[#This Row],[Proposed Fixture Quantity]]*ReviewCalcs[[#This Row],[Proposed Fixture Watts]]/1000)*ReviewCalcs[[#This Row],[Existing CF]]*ReviewCalcs[[#This Row],[IEFD]], 0)</f>
        <v>0</v>
      </c>
      <c r="AK64" s="118">
        <f>IFERROR((ReviewCalcs[[#This Row],[Existing Fixture Quantity]]*ReviewCalcs[[#This Row],[Existing Fixture Watts]]/1000)*ReviewCalcs[[#This Row],[AOH]]*ReviewCalcs[[#This Row],[IEFE]]*ReviewCalcs[[#This Row],[Existing PAF]], 0)</f>
        <v>0</v>
      </c>
      <c r="AL64" s="118">
        <f>IFERROR((ReviewCalcs[[#This Row],[Proposed Fixture Quantity]]*ReviewCalcs[[#This Row],[Proposed Fixture Watts]]/1000)*ReviewCalcs[[#This Row],[AOH]]*ReviewCalcs[[#This Row],[IEFE]]*ReviewCalcs[[#This Row],[Existing PAF]], 0)</f>
        <v>0</v>
      </c>
      <c r="AM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4" s="118">
        <f>ReviewCalcs[[#This Row],[Fixture Existing Energy (kWh)]]*Avg_KWh_Rate</f>
        <v>0</v>
      </c>
      <c r="AO64" s="118">
        <f>ReviewCalcs[[#This Row],[Fixture Proposed Energy (kWh)]]*Avg_KWh_Rate</f>
        <v>0</v>
      </c>
      <c r="AP64" s="70">
        <f>ReviewCalcs[[#This Row],[Fixture Energy Savings]]*Avg_KWh_Rate</f>
        <v>0</v>
      </c>
      <c r="AQ64" s="129" t="e">
        <f>ReviewCalcs[[#This Row],[Existing Fixture Quantity]]*ReviewCalcs[[#This Row],[Existing Fixture Watts]]/1000*ReviewCalcs[[#This Row],[Existing CF]]*ReviewCalcs[[#This Row],[IEFD]]</f>
        <v>#VALUE!</v>
      </c>
      <c r="AR64" s="129" t="e">
        <f>ReviewCalcs[[#This Row],[Proposed Fixture Quantity]]*ReviewCalcs[[#This Row],[Proposed Fixture Watts]]/1000*ReviewCalcs[[#This Row],[Proposed CF]]*ReviewCalcs[[#This Row],[IEFD]]</f>
        <v>#VALUE!</v>
      </c>
      <c r="AS64" s="118">
        <f>IF(ReviewCalcs[[#This Row],[Existing CF]]=ReviewCalcs[[#This Row],[Proposed CF]], 0, ReviewCalcs[[#This Row],[Proposed Fixture Quantity]]*ReviewCalcs[[#This Row],[Proposed Fixture Watts]]/1000*ReviewCalcs[[#This Row],[Proposed CF]]*ReviewCalcs[[#This Row],[IEFD]])</f>
        <v>0</v>
      </c>
      <c r="AT64" s="118">
        <f>IFERROR(ReviewCalcs[[#This Row],[Existing Fixture Quantity]]*ReviewCalcs[[#This Row],[Existing Fixture Watts]]/1000*ReviewCalcs[[#This Row],[Existing PAF]]*ReviewCalcs[[#This Row],[AOH]]*ReviewCalcs[[#This Row],[IEFE]], 0)</f>
        <v>0</v>
      </c>
      <c r="AU64" s="118">
        <f>IFERROR(ReviewCalcs[[#This Row],[Proposed Fixture Quantity]]*ReviewCalcs[[#This Row],[Proposed Fixture Watts]]/1000*ReviewCalcs[[#This Row],[Proposed PAF]]*ReviewCalcs[[#This Row],[AOH]]*ReviewCalcs[[#This Row],[IEFE]], 0)</f>
        <v>0</v>
      </c>
      <c r="AV64" s="118">
        <f>IFERROR(ReviewCalcs[[#This Row],[Proposed Fixture Quantity]]*ReviewCalcs[[#This Row],[Proposed Fixture Watts]]/1000*(ReviewCalcs[[#This Row],[Existing PAF]]-ReviewCalcs[[#This Row],[Proposed PAF]])*ReviewCalcs[[#This Row],[AOH]]*ReviewCalcs[[#This Row],[IEFE]], 0)</f>
        <v>0</v>
      </c>
      <c r="AW64" s="118">
        <f>ReviewCalcs[[#This Row],[Control Existing Energy (kWh)]]*kWh_Incentive_Rate</f>
        <v>0</v>
      </c>
      <c r="AX64" s="118">
        <f>ReviewCalcs[[#This Row],[Control Proposed Energy (kWh)]]*kWh_Incentive_Rate</f>
        <v>0</v>
      </c>
      <c r="AY64" s="70">
        <f>ReviewCalcs[[#This Row],[Control Energy Savings (kWh)]]*kWh_Incentive_Rate</f>
        <v>0</v>
      </c>
      <c r="AZ64" s="70" t="e">
        <f>ReviewCalcs[[#This Row],[Fixture Existing Demand (kW)]]+ReviewCalcs[[#This Row],[Control Existing Demand (kW)]]</f>
        <v>#VALUE!</v>
      </c>
      <c r="BA64" s="70" t="e">
        <f>ReviewCalcs[[#This Row],[Fixture Proposed Demand (kW)]]+ReviewCalcs[[#This Row],[Control Proposed Demand (kW)]]</f>
        <v>#VALUE!</v>
      </c>
      <c r="BB64" s="118">
        <f>ReviewCalcs[[#This Row],[Fixture Demand Savings (kW)]]+ReviewCalcs[[#This Row],[Control Demand Savings (kW)]]</f>
        <v>0</v>
      </c>
      <c r="BC64" s="118">
        <f>ReviewCalcs[[#This Row],[Fixture Existing Energy (kWh)]]+ReviewCalcs[[#This Row],[Control Existing Energy (kWh)]]</f>
        <v>0</v>
      </c>
      <c r="BD64" s="118">
        <f>ReviewCalcs[[#This Row],[Fixture Proposed Energy (kWh)]]+ReviewCalcs[[#This Row],[Control Proposed Energy (kWh)]]</f>
        <v>0</v>
      </c>
      <c r="BE64" s="118">
        <f>ReviewCalcs[[#This Row],[Fixture Energy Savings]]+ReviewCalcs[[#This Row],[Control Energy Savings (kWh)]]</f>
        <v>0</v>
      </c>
      <c r="BF64" s="118">
        <f>ReviewCalcs[[#This Row],[Fixture Existing Cost ($)]]+ReviewCalcs[[#This Row],[Control Existing Cost ($)]]</f>
        <v>0</v>
      </c>
      <c r="BG64" s="118">
        <f>ReviewCalcs[[#This Row],[Fixture Proposed Cost ($)]]+ReviewCalcs[[#This Row],[Controls Proposed Cost ($)]]</f>
        <v>0</v>
      </c>
      <c r="BH64" s="70">
        <f>ReviewCalcs[[#This Row],[Total Energy Savings (kWh)]]*Avg_KWh_Rate</f>
        <v>0</v>
      </c>
      <c r="BI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4" s="70">
        <f>ReviewCalcs[[#This Row],[Retrofit Cost]]</f>
        <v>0</v>
      </c>
      <c r="BK64" s="70">
        <f>ReviewCalcs[[#This Row],[Retrofit Cost]]-ReviewCalcs[[#This Row],[Incentive ($)]]</f>
        <v>0</v>
      </c>
      <c r="BL64" s="118" t="e">
        <f>IFERROR(ReviewCalcs[[#This Row],[Net Project Cost ($)]]/ReviewCalcs[[#This Row],[Fixture Energy Cost Savings ($)]], #N/A)</f>
        <v>#N/A</v>
      </c>
      <c r="BM64" s="118" t="e">
        <f>IF(VLOOKUP(ReviewCalcs[[#This Row],[Existing Fixture Code]], Table7[[FIXTURE CODE]:[Baseline Fixture Code]], 8, FALSE)="N", VLOOKUP(ReviewCalcs[[#This Row],[Existing Fixture Code]], Table7[[FIXTURE CODE]:[Baseline Fixture Code]], 9, FALSE), ReviewCalcs[[#This Row],[Existing Fixture Code]])</f>
        <v>#N/A</v>
      </c>
      <c r="BN64" s="118" t="e">
        <f>INDEX(Table7[WATT/ FIXT], MATCH(ReviewCalcs[Baseline Fixture Code], Table7[FIXTURE CODE], 0))</f>
        <v>#N/A</v>
      </c>
      <c r="BO64" s="118">
        <f>IFERROR((ReviewCalcs[[#This Row],[Existing Fixture Quantity]]*ReviewCalcs[[#This Row],[Baseline Fixture Watts]]/1000-ReviewCalcs[[#This Row],[Proposed Fixture Quantity]]*ReviewCalcs[[#This Row],[Proposed Fixture Watts]]/1000)*ReviewCalcs[[#This Row],[Existing CF]]*ReviewCalcs[[#This Row],[IEFD]], 0)</f>
        <v>0</v>
      </c>
      <c r="BP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4" s="118">
        <f>IF(ReviewCalcs[[#This Row],[Existing CF]]=ReviewCalcs[[#This Row],[Proposed CF]], 0, ReviewCalcs[[#This Row],[Proposed Fixture Quantity]]*ReviewCalcs[[#This Row],[Proposed Fixture Watts]]/1000*ReviewCalcs[[#This Row],[Proposed CF]]*ReviewCalcs[[#This Row],[IEFD]])</f>
        <v>0</v>
      </c>
      <c r="BR64" s="118">
        <f>IFERROR(ReviewCalcs[[#This Row],[Proposed Fixture Quantity]]*ReviewCalcs[[#This Row],[Proposed Fixture Watts]]/1000*(ReviewCalcs[[#This Row],[Existing PAF]]-ReviewCalcs[[#This Row],[Proposed PAF]])*ReviewCalcs[[#This Row],[AOH]]*ReviewCalcs[[#This Row],[IEFE]],0)</f>
        <v>0</v>
      </c>
      <c r="BS64" s="118">
        <f>ReviewCalcs[[#This Row],[Incentive Fixture Demand Savings (kW)]]+ReviewCalcs[[#This Row],[Incentive Control Demand Savings (kW)]]</f>
        <v>0</v>
      </c>
      <c r="BT64" s="118">
        <f>ReviewCalcs[[#This Row],[Incentive Fixture Energy Savings (kWh)]]+ReviewCalcs[[#This Row],[Incentive Control Energy Savings (kWh)]]</f>
        <v>0</v>
      </c>
      <c r="BU64" s="73"/>
    </row>
    <row r="65" spans="1:73" ht="30" customHeight="1">
      <c r="A65" s="68">
        <v>62</v>
      </c>
      <c r="B65" s="96">
        <f>VLOOKUP(ReviewCalcs[[#This Row],[Project Index]], ProjectInput[], D$1, FALSE)</f>
        <v>0</v>
      </c>
      <c r="C65" s="97">
        <f>VLOOKUP(ReviewCalcs[[#This Row],[Project Index]], ProjectInput[], E$1, FALSE)</f>
        <v>0</v>
      </c>
      <c r="D65" s="97">
        <f>VLOOKUP(ReviewCalcs[[#This Row],[Project Index]], ProjectInput[], F$1, FALSE)</f>
        <v>0</v>
      </c>
      <c r="E65" s="97">
        <f>VLOOKUP(ReviewCalcs[[#This Row],[Project Index]], ProjectInput[], G$1, FALSE)</f>
        <v>0</v>
      </c>
      <c r="F65" s="97">
        <f>VLOOKUP(ReviewCalcs[[#This Row],[Project Index]], ProjectInput[], H$1, FALSE)</f>
        <v>0</v>
      </c>
      <c r="G65" s="98" t="str">
        <f>VLOOKUP(ReviewCalcs[[#This Row],[Project Index]], ProjectInput[], I$1, FALSE)</f>
        <v/>
      </c>
      <c r="H65" s="96">
        <f>VLOOKUP(ReviewCalcs[[#This Row],[Project Index]], ProjectInput[], J$1, FALSE)</f>
        <v>0</v>
      </c>
      <c r="I65" s="97">
        <f>VLOOKUP(ReviewCalcs[[#This Row],[Project Index]], ProjectInput[], K$1, FALSE)</f>
        <v>0</v>
      </c>
      <c r="J65" s="97">
        <f>VLOOKUP(ReviewCalcs[[#This Row],[Project Index]], ProjectInput[], L$1, FALSE)</f>
        <v>0</v>
      </c>
      <c r="K65" s="97">
        <f>VLOOKUP(ReviewCalcs[[#This Row],[Project Index]], ProjectInput[], M$1, FALSE)</f>
        <v>0</v>
      </c>
      <c r="L65" s="97">
        <f>VLOOKUP(ReviewCalcs[[#This Row],[Project Index]], ProjectInput[], N$1, FALSE)</f>
        <v>0</v>
      </c>
      <c r="M65" s="98" t="str">
        <f>VLOOKUP(ReviewCalcs[[#This Row],[Project Index]], ProjectInput[], O$1, FALSE)</f>
        <v/>
      </c>
      <c r="N65" s="96">
        <f>VLOOKUP(ReviewCalcs[[#This Row],[Project Index]], ProjectInput[], P$1, FALSE)</f>
        <v>0</v>
      </c>
      <c r="O65" s="97">
        <f>VLOOKUP(ReviewCalcs[[#This Row],[Project Index]], ProjectInput[], Q$1, FALSE)</f>
        <v>0</v>
      </c>
      <c r="P65" s="97">
        <f>VLOOKUP(ReviewCalcs[[#This Row],[Project Index]], ProjectInput[], R$1, FALSE)</f>
        <v>0</v>
      </c>
      <c r="Q65" s="97">
        <f>VLOOKUP(ReviewCalcs[[#This Row],[Project Index]], ProjectInput[], S$1, FALSE)</f>
        <v>0</v>
      </c>
      <c r="R65" s="97">
        <f>VLOOKUP(ReviewCalcs[[#This Row],[Project Index]], ProjectInput[], T$1, FALSE)</f>
        <v>0</v>
      </c>
      <c r="S65" s="97">
        <f>VLOOKUP(ReviewCalcs[[#This Row],[Project Index]], ProjectInput[], U$1, FALSE)</f>
        <v>0</v>
      </c>
      <c r="T65" s="97">
        <f>VLOOKUP(ReviewCalcs[[#This Row],[Project Index]], ProjectInput[], V$1, FALSE)</f>
        <v>0</v>
      </c>
      <c r="U65" s="97">
        <f>VLOOKUP(ReviewCalcs[[#This Row],[Project Index]], ProjectInput[], W$1, FALSE)</f>
        <v>0</v>
      </c>
      <c r="V65" s="98" t="str">
        <f>VLOOKUP(ReviewCalcs[[#This Row],[Project Index]], ProjectInput[], X$1, FALSE)</f>
        <v/>
      </c>
      <c r="W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5" s="75" t="e">
        <f>IF(VLOOKUP(ReviewCalcs[[#This Row],[Proposed Fixture Code]], Table7[[FIXTURE CODE]:[Baseline Fixture Code]], 8, FALSE)="N", "ERROR", "PASS")</f>
        <v>#N/A</v>
      </c>
      <c r="Y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5" s="75" t="e">
        <f>IF(OR(ReviewCalcs[[#This Row],[Baseline Fixture Watts]]&gt;=ReviewCalcs[[#This Row],[Proposed Fixture Watts]],ReviewCalcs[[#This Row],[Existing Fixture Watts]]&gt;=ReviewCalcs[[#This Row],[Proposed Fixture Watts]] ), "PASS", "ERROR")</f>
        <v>#N/A</v>
      </c>
      <c r="AA65" s="69" t="e">
        <f>VLOOKUP(ReviewCalcs[[#This Row],[Space Conditions]], Table_365[], 5, FALSE)</f>
        <v>#N/A</v>
      </c>
      <c r="AB65" s="68" t="str">
        <f>ReviewCalcs[[#This Row],[Annual Hours]]</f>
        <v/>
      </c>
      <c r="AC65" s="68" t="e">
        <f>VLOOKUP(ReviewCalcs[[#This Row],[Space Conditions]], Table_365[], 6, FALSE)</f>
        <v>#N/A</v>
      </c>
      <c r="AD65" s="68">
        <f>IF(ReviewCalcs[[#This Row],[Existing Control(s)]]='Tables &amp; Ranges'!$A$25, VLOOKUP(ReviewCalcs[[#This Row],[Building/Space Type]], Table_364[], 3, FALSE), CF_Contols)</f>
        <v>0.26</v>
      </c>
      <c r="AE65" s="68" t="e">
        <f>VLOOKUP(ReviewCalcs[[#This Row],[Existing Control(s)]], Table_358[], 2, FALSE)</f>
        <v>#N/A</v>
      </c>
      <c r="AF65" s="68">
        <f>IF(ReviewCalcs[[#This Row],[Proposed Control(s)]]='Tables &amp; Ranges'!$A$25, VLOOKUP(ReviewCalcs[[#This Row],[Building/Space Type]], Table_364[], 3, FALSE), CF_Contols)</f>
        <v>0.26</v>
      </c>
      <c r="AG65" s="68" t="e">
        <f>VLOOKUP(ReviewCalcs[[#This Row],[Proposed Control(s)]], Table_358[], 2, FALSE)</f>
        <v>#N/A</v>
      </c>
      <c r="AH65" s="68">
        <f>IFERROR((ReviewCalcs[[#This Row],[Existing Fixture Quantity]]*ReviewCalcs[[#This Row],[Existing Fixture Watts]]/1000)*ReviewCalcs[[#This Row],[Existing CF]]*ReviewCalcs[[#This Row],[IEFD]], 0)</f>
        <v>0</v>
      </c>
      <c r="AI65" s="68">
        <f>IFERROR((ReviewCalcs[[#This Row],[Proposed Fixture Quantity]]*ReviewCalcs[[#This Row],[Proposed Fixture Watts]]/1000)*ReviewCalcs[[#This Row],[Existing CF]]*ReviewCalcs[[#This Row],[IEFD]], 0)</f>
        <v>0</v>
      </c>
      <c r="AJ65" s="118">
        <f>IFERROR((ReviewCalcs[[#This Row],[Existing Fixture Quantity]]*ReviewCalcs[[#This Row],[Existing Fixture Watts]]/1000-ReviewCalcs[[#This Row],[Proposed Fixture Quantity]]*ReviewCalcs[[#This Row],[Proposed Fixture Watts]]/1000)*ReviewCalcs[[#This Row],[Existing CF]]*ReviewCalcs[[#This Row],[IEFD]], 0)</f>
        <v>0</v>
      </c>
      <c r="AK65" s="118">
        <f>IFERROR((ReviewCalcs[[#This Row],[Existing Fixture Quantity]]*ReviewCalcs[[#This Row],[Existing Fixture Watts]]/1000)*ReviewCalcs[[#This Row],[AOH]]*ReviewCalcs[[#This Row],[IEFE]]*ReviewCalcs[[#This Row],[Existing PAF]], 0)</f>
        <v>0</v>
      </c>
      <c r="AL65" s="118">
        <f>IFERROR((ReviewCalcs[[#This Row],[Proposed Fixture Quantity]]*ReviewCalcs[[#This Row],[Proposed Fixture Watts]]/1000)*ReviewCalcs[[#This Row],[AOH]]*ReviewCalcs[[#This Row],[IEFE]]*ReviewCalcs[[#This Row],[Existing PAF]], 0)</f>
        <v>0</v>
      </c>
      <c r="AM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5" s="118">
        <f>ReviewCalcs[[#This Row],[Fixture Existing Energy (kWh)]]*Avg_KWh_Rate</f>
        <v>0</v>
      </c>
      <c r="AO65" s="118">
        <f>ReviewCalcs[[#This Row],[Fixture Proposed Energy (kWh)]]*Avg_KWh_Rate</f>
        <v>0</v>
      </c>
      <c r="AP65" s="70">
        <f>ReviewCalcs[[#This Row],[Fixture Energy Savings]]*Avg_KWh_Rate</f>
        <v>0</v>
      </c>
      <c r="AQ65" s="129" t="e">
        <f>ReviewCalcs[[#This Row],[Existing Fixture Quantity]]*ReviewCalcs[[#This Row],[Existing Fixture Watts]]/1000*ReviewCalcs[[#This Row],[Existing CF]]*ReviewCalcs[[#This Row],[IEFD]]</f>
        <v>#VALUE!</v>
      </c>
      <c r="AR65" s="129" t="e">
        <f>ReviewCalcs[[#This Row],[Proposed Fixture Quantity]]*ReviewCalcs[[#This Row],[Proposed Fixture Watts]]/1000*ReviewCalcs[[#This Row],[Proposed CF]]*ReviewCalcs[[#This Row],[IEFD]]</f>
        <v>#VALUE!</v>
      </c>
      <c r="AS65" s="118">
        <f>IF(ReviewCalcs[[#This Row],[Existing CF]]=ReviewCalcs[[#This Row],[Proposed CF]], 0, ReviewCalcs[[#This Row],[Proposed Fixture Quantity]]*ReviewCalcs[[#This Row],[Proposed Fixture Watts]]/1000*ReviewCalcs[[#This Row],[Proposed CF]]*ReviewCalcs[[#This Row],[IEFD]])</f>
        <v>0</v>
      </c>
      <c r="AT65" s="118">
        <f>IFERROR(ReviewCalcs[[#This Row],[Existing Fixture Quantity]]*ReviewCalcs[[#This Row],[Existing Fixture Watts]]/1000*ReviewCalcs[[#This Row],[Existing PAF]]*ReviewCalcs[[#This Row],[AOH]]*ReviewCalcs[[#This Row],[IEFE]], 0)</f>
        <v>0</v>
      </c>
      <c r="AU65" s="118">
        <f>IFERROR(ReviewCalcs[[#This Row],[Proposed Fixture Quantity]]*ReviewCalcs[[#This Row],[Proposed Fixture Watts]]/1000*ReviewCalcs[[#This Row],[Proposed PAF]]*ReviewCalcs[[#This Row],[AOH]]*ReviewCalcs[[#This Row],[IEFE]], 0)</f>
        <v>0</v>
      </c>
      <c r="AV65" s="118">
        <f>IFERROR(ReviewCalcs[[#This Row],[Proposed Fixture Quantity]]*ReviewCalcs[[#This Row],[Proposed Fixture Watts]]/1000*(ReviewCalcs[[#This Row],[Existing PAF]]-ReviewCalcs[[#This Row],[Proposed PAF]])*ReviewCalcs[[#This Row],[AOH]]*ReviewCalcs[[#This Row],[IEFE]], 0)</f>
        <v>0</v>
      </c>
      <c r="AW65" s="118">
        <f>ReviewCalcs[[#This Row],[Control Existing Energy (kWh)]]*kWh_Incentive_Rate</f>
        <v>0</v>
      </c>
      <c r="AX65" s="118">
        <f>ReviewCalcs[[#This Row],[Control Proposed Energy (kWh)]]*kWh_Incentive_Rate</f>
        <v>0</v>
      </c>
      <c r="AY65" s="70">
        <f>ReviewCalcs[[#This Row],[Control Energy Savings (kWh)]]*kWh_Incentive_Rate</f>
        <v>0</v>
      </c>
      <c r="AZ65" s="70" t="e">
        <f>ReviewCalcs[[#This Row],[Fixture Existing Demand (kW)]]+ReviewCalcs[[#This Row],[Control Existing Demand (kW)]]</f>
        <v>#VALUE!</v>
      </c>
      <c r="BA65" s="70" t="e">
        <f>ReviewCalcs[[#This Row],[Fixture Proposed Demand (kW)]]+ReviewCalcs[[#This Row],[Control Proposed Demand (kW)]]</f>
        <v>#VALUE!</v>
      </c>
      <c r="BB65" s="118">
        <f>ReviewCalcs[[#This Row],[Fixture Demand Savings (kW)]]+ReviewCalcs[[#This Row],[Control Demand Savings (kW)]]</f>
        <v>0</v>
      </c>
      <c r="BC65" s="118">
        <f>ReviewCalcs[[#This Row],[Fixture Existing Energy (kWh)]]+ReviewCalcs[[#This Row],[Control Existing Energy (kWh)]]</f>
        <v>0</v>
      </c>
      <c r="BD65" s="118">
        <f>ReviewCalcs[[#This Row],[Fixture Proposed Energy (kWh)]]+ReviewCalcs[[#This Row],[Control Proposed Energy (kWh)]]</f>
        <v>0</v>
      </c>
      <c r="BE65" s="118">
        <f>ReviewCalcs[[#This Row],[Fixture Energy Savings]]+ReviewCalcs[[#This Row],[Control Energy Savings (kWh)]]</f>
        <v>0</v>
      </c>
      <c r="BF65" s="118">
        <f>ReviewCalcs[[#This Row],[Fixture Existing Cost ($)]]+ReviewCalcs[[#This Row],[Control Existing Cost ($)]]</f>
        <v>0</v>
      </c>
      <c r="BG65" s="118">
        <f>ReviewCalcs[[#This Row],[Fixture Proposed Cost ($)]]+ReviewCalcs[[#This Row],[Controls Proposed Cost ($)]]</f>
        <v>0</v>
      </c>
      <c r="BH65" s="70">
        <f>ReviewCalcs[[#This Row],[Total Energy Savings (kWh)]]*Avg_KWh_Rate</f>
        <v>0</v>
      </c>
      <c r="BI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5" s="70">
        <f>ReviewCalcs[[#This Row],[Retrofit Cost]]</f>
        <v>0</v>
      </c>
      <c r="BK65" s="70">
        <f>ReviewCalcs[[#This Row],[Retrofit Cost]]-ReviewCalcs[[#This Row],[Incentive ($)]]</f>
        <v>0</v>
      </c>
      <c r="BL65" s="118" t="e">
        <f>IFERROR(ReviewCalcs[[#This Row],[Net Project Cost ($)]]/ReviewCalcs[[#This Row],[Fixture Energy Cost Savings ($)]], #N/A)</f>
        <v>#N/A</v>
      </c>
      <c r="BM65" s="118" t="e">
        <f>IF(VLOOKUP(ReviewCalcs[[#This Row],[Existing Fixture Code]], Table7[[FIXTURE CODE]:[Baseline Fixture Code]], 8, FALSE)="N", VLOOKUP(ReviewCalcs[[#This Row],[Existing Fixture Code]], Table7[[FIXTURE CODE]:[Baseline Fixture Code]], 9, FALSE), ReviewCalcs[[#This Row],[Existing Fixture Code]])</f>
        <v>#N/A</v>
      </c>
      <c r="BN65" s="118" t="e">
        <f>INDEX(Table7[WATT/ FIXT], MATCH(ReviewCalcs[Baseline Fixture Code], Table7[FIXTURE CODE], 0))</f>
        <v>#N/A</v>
      </c>
      <c r="BO65" s="118">
        <f>IFERROR((ReviewCalcs[[#This Row],[Existing Fixture Quantity]]*ReviewCalcs[[#This Row],[Baseline Fixture Watts]]/1000-ReviewCalcs[[#This Row],[Proposed Fixture Quantity]]*ReviewCalcs[[#This Row],[Proposed Fixture Watts]]/1000)*ReviewCalcs[[#This Row],[Existing CF]]*ReviewCalcs[[#This Row],[IEFD]], 0)</f>
        <v>0</v>
      </c>
      <c r="BP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5" s="118">
        <f>IF(ReviewCalcs[[#This Row],[Existing CF]]=ReviewCalcs[[#This Row],[Proposed CF]], 0, ReviewCalcs[[#This Row],[Proposed Fixture Quantity]]*ReviewCalcs[[#This Row],[Proposed Fixture Watts]]/1000*ReviewCalcs[[#This Row],[Proposed CF]]*ReviewCalcs[[#This Row],[IEFD]])</f>
        <v>0</v>
      </c>
      <c r="BR65" s="118">
        <f>IFERROR(ReviewCalcs[[#This Row],[Proposed Fixture Quantity]]*ReviewCalcs[[#This Row],[Proposed Fixture Watts]]/1000*(ReviewCalcs[[#This Row],[Existing PAF]]-ReviewCalcs[[#This Row],[Proposed PAF]])*ReviewCalcs[[#This Row],[AOH]]*ReviewCalcs[[#This Row],[IEFE]],0)</f>
        <v>0</v>
      </c>
      <c r="BS65" s="118">
        <f>ReviewCalcs[[#This Row],[Incentive Fixture Demand Savings (kW)]]+ReviewCalcs[[#This Row],[Incentive Control Demand Savings (kW)]]</f>
        <v>0</v>
      </c>
      <c r="BT65" s="118">
        <f>ReviewCalcs[[#This Row],[Incentive Fixture Energy Savings (kWh)]]+ReviewCalcs[[#This Row],[Incentive Control Energy Savings (kWh)]]</f>
        <v>0</v>
      </c>
      <c r="BU65" s="73"/>
    </row>
    <row r="66" spans="1:73" ht="30" customHeight="1">
      <c r="A66" s="68">
        <v>63</v>
      </c>
      <c r="B66" s="96">
        <f>VLOOKUP(ReviewCalcs[[#This Row],[Project Index]], ProjectInput[], D$1, FALSE)</f>
        <v>0</v>
      </c>
      <c r="C66" s="97">
        <f>VLOOKUP(ReviewCalcs[[#This Row],[Project Index]], ProjectInput[], E$1, FALSE)</f>
        <v>0</v>
      </c>
      <c r="D66" s="97">
        <f>VLOOKUP(ReviewCalcs[[#This Row],[Project Index]], ProjectInput[], F$1, FALSE)</f>
        <v>0</v>
      </c>
      <c r="E66" s="97">
        <f>VLOOKUP(ReviewCalcs[[#This Row],[Project Index]], ProjectInput[], G$1, FALSE)</f>
        <v>0</v>
      </c>
      <c r="F66" s="97">
        <f>VLOOKUP(ReviewCalcs[[#This Row],[Project Index]], ProjectInput[], H$1, FALSE)</f>
        <v>0</v>
      </c>
      <c r="G66" s="98" t="str">
        <f>VLOOKUP(ReviewCalcs[[#This Row],[Project Index]], ProjectInput[], I$1, FALSE)</f>
        <v/>
      </c>
      <c r="H66" s="96">
        <f>VLOOKUP(ReviewCalcs[[#This Row],[Project Index]], ProjectInput[], J$1, FALSE)</f>
        <v>0</v>
      </c>
      <c r="I66" s="97">
        <f>VLOOKUP(ReviewCalcs[[#This Row],[Project Index]], ProjectInput[], K$1, FALSE)</f>
        <v>0</v>
      </c>
      <c r="J66" s="97">
        <f>VLOOKUP(ReviewCalcs[[#This Row],[Project Index]], ProjectInput[], L$1, FALSE)</f>
        <v>0</v>
      </c>
      <c r="K66" s="97">
        <f>VLOOKUP(ReviewCalcs[[#This Row],[Project Index]], ProjectInput[], M$1, FALSE)</f>
        <v>0</v>
      </c>
      <c r="L66" s="97">
        <f>VLOOKUP(ReviewCalcs[[#This Row],[Project Index]], ProjectInput[], N$1, FALSE)</f>
        <v>0</v>
      </c>
      <c r="M66" s="98" t="str">
        <f>VLOOKUP(ReviewCalcs[[#This Row],[Project Index]], ProjectInput[], O$1, FALSE)</f>
        <v/>
      </c>
      <c r="N66" s="96">
        <f>VLOOKUP(ReviewCalcs[[#This Row],[Project Index]], ProjectInput[], P$1, FALSE)</f>
        <v>0</v>
      </c>
      <c r="O66" s="97">
        <f>VLOOKUP(ReviewCalcs[[#This Row],[Project Index]], ProjectInput[], Q$1, FALSE)</f>
        <v>0</v>
      </c>
      <c r="P66" s="97">
        <f>VLOOKUP(ReviewCalcs[[#This Row],[Project Index]], ProjectInput[], R$1, FALSE)</f>
        <v>0</v>
      </c>
      <c r="Q66" s="97">
        <f>VLOOKUP(ReviewCalcs[[#This Row],[Project Index]], ProjectInput[], S$1, FALSE)</f>
        <v>0</v>
      </c>
      <c r="R66" s="97">
        <f>VLOOKUP(ReviewCalcs[[#This Row],[Project Index]], ProjectInput[], T$1, FALSE)</f>
        <v>0</v>
      </c>
      <c r="S66" s="97">
        <f>VLOOKUP(ReviewCalcs[[#This Row],[Project Index]], ProjectInput[], U$1, FALSE)</f>
        <v>0</v>
      </c>
      <c r="T66" s="97">
        <f>VLOOKUP(ReviewCalcs[[#This Row],[Project Index]], ProjectInput[], V$1, FALSE)</f>
        <v>0</v>
      </c>
      <c r="U66" s="97">
        <f>VLOOKUP(ReviewCalcs[[#This Row],[Project Index]], ProjectInput[], W$1, FALSE)</f>
        <v>0</v>
      </c>
      <c r="V66" s="98" t="str">
        <f>VLOOKUP(ReviewCalcs[[#This Row],[Project Index]], ProjectInput[], X$1, FALSE)</f>
        <v/>
      </c>
      <c r="W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6" s="75" t="e">
        <f>IF(VLOOKUP(ReviewCalcs[[#This Row],[Proposed Fixture Code]], Table7[[FIXTURE CODE]:[Baseline Fixture Code]], 8, FALSE)="N", "ERROR", "PASS")</f>
        <v>#N/A</v>
      </c>
      <c r="Y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6" s="75" t="e">
        <f>IF(OR(ReviewCalcs[[#This Row],[Baseline Fixture Watts]]&gt;=ReviewCalcs[[#This Row],[Proposed Fixture Watts]],ReviewCalcs[[#This Row],[Existing Fixture Watts]]&gt;=ReviewCalcs[[#This Row],[Proposed Fixture Watts]] ), "PASS", "ERROR")</f>
        <v>#N/A</v>
      </c>
      <c r="AA66" s="69" t="e">
        <f>VLOOKUP(ReviewCalcs[[#This Row],[Space Conditions]], Table_365[], 5, FALSE)</f>
        <v>#N/A</v>
      </c>
      <c r="AB66" s="68" t="str">
        <f>ReviewCalcs[[#This Row],[Annual Hours]]</f>
        <v/>
      </c>
      <c r="AC66" s="68" t="e">
        <f>VLOOKUP(ReviewCalcs[[#This Row],[Space Conditions]], Table_365[], 6, FALSE)</f>
        <v>#N/A</v>
      </c>
      <c r="AD66" s="68">
        <f>IF(ReviewCalcs[[#This Row],[Existing Control(s)]]='Tables &amp; Ranges'!$A$25, VLOOKUP(ReviewCalcs[[#This Row],[Building/Space Type]], Table_364[], 3, FALSE), CF_Contols)</f>
        <v>0.26</v>
      </c>
      <c r="AE66" s="68" t="e">
        <f>VLOOKUP(ReviewCalcs[[#This Row],[Existing Control(s)]], Table_358[], 2, FALSE)</f>
        <v>#N/A</v>
      </c>
      <c r="AF66" s="68">
        <f>IF(ReviewCalcs[[#This Row],[Proposed Control(s)]]='Tables &amp; Ranges'!$A$25, VLOOKUP(ReviewCalcs[[#This Row],[Building/Space Type]], Table_364[], 3, FALSE), CF_Contols)</f>
        <v>0.26</v>
      </c>
      <c r="AG66" s="68" t="e">
        <f>VLOOKUP(ReviewCalcs[[#This Row],[Proposed Control(s)]], Table_358[], 2, FALSE)</f>
        <v>#N/A</v>
      </c>
      <c r="AH66" s="68">
        <f>IFERROR((ReviewCalcs[[#This Row],[Existing Fixture Quantity]]*ReviewCalcs[[#This Row],[Existing Fixture Watts]]/1000)*ReviewCalcs[[#This Row],[Existing CF]]*ReviewCalcs[[#This Row],[IEFD]], 0)</f>
        <v>0</v>
      </c>
      <c r="AI66" s="68">
        <f>IFERROR((ReviewCalcs[[#This Row],[Proposed Fixture Quantity]]*ReviewCalcs[[#This Row],[Proposed Fixture Watts]]/1000)*ReviewCalcs[[#This Row],[Existing CF]]*ReviewCalcs[[#This Row],[IEFD]], 0)</f>
        <v>0</v>
      </c>
      <c r="AJ66" s="118">
        <f>IFERROR((ReviewCalcs[[#This Row],[Existing Fixture Quantity]]*ReviewCalcs[[#This Row],[Existing Fixture Watts]]/1000-ReviewCalcs[[#This Row],[Proposed Fixture Quantity]]*ReviewCalcs[[#This Row],[Proposed Fixture Watts]]/1000)*ReviewCalcs[[#This Row],[Existing CF]]*ReviewCalcs[[#This Row],[IEFD]], 0)</f>
        <v>0</v>
      </c>
      <c r="AK66" s="118">
        <f>IFERROR((ReviewCalcs[[#This Row],[Existing Fixture Quantity]]*ReviewCalcs[[#This Row],[Existing Fixture Watts]]/1000)*ReviewCalcs[[#This Row],[AOH]]*ReviewCalcs[[#This Row],[IEFE]]*ReviewCalcs[[#This Row],[Existing PAF]], 0)</f>
        <v>0</v>
      </c>
      <c r="AL66" s="118">
        <f>IFERROR((ReviewCalcs[[#This Row],[Proposed Fixture Quantity]]*ReviewCalcs[[#This Row],[Proposed Fixture Watts]]/1000)*ReviewCalcs[[#This Row],[AOH]]*ReviewCalcs[[#This Row],[IEFE]]*ReviewCalcs[[#This Row],[Existing PAF]], 0)</f>
        <v>0</v>
      </c>
      <c r="AM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6" s="118">
        <f>ReviewCalcs[[#This Row],[Fixture Existing Energy (kWh)]]*Avg_KWh_Rate</f>
        <v>0</v>
      </c>
      <c r="AO66" s="118">
        <f>ReviewCalcs[[#This Row],[Fixture Proposed Energy (kWh)]]*Avg_KWh_Rate</f>
        <v>0</v>
      </c>
      <c r="AP66" s="70">
        <f>ReviewCalcs[[#This Row],[Fixture Energy Savings]]*Avg_KWh_Rate</f>
        <v>0</v>
      </c>
      <c r="AQ66" s="129" t="e">
        <f>ReviewCalcs[[#This Row],[Existing Fixture Quantity]]*ReviewCalcs[[#This Row],[Existing Fixture Watts]]/1000*ReviewCalcs[[#This Row],[Existing CF]]*ReviewCalcs[[#This Row],[IEFD]]</f>
        <v>#VALUE!</v>
      </c>
      <c r="AR66" s="129" t="e">
        <f>ReviewCalcs[[#This Row],[Proposed Fixture Quantity]]*ReviewCalcs[[#This Row],[Proposed Fixture Watts]]/1000*ReviewCalcs[[#This Row],[Proposed CF]]*ReviewCalcs[[#This Row],[IEFD]]</f>
        <v>#VALUE!</v>
      </c>
      <c r="AS66" s="118">
        <f>IF(ReviewCalcs[[#This Row],[Existing CF]]=ReviewCalcs[[#This Row],[Proposed CF]], 0, ReviewCalcs[[#This Row],[Proposed Fixture Quantity]]*ReviewCalcs[[#This Row],[Proposed Fixture Watts]]/1000*ReviewCalcs[[#This Row],[Proposed CF]]*ReviewCalcs[[#This Row],[IEFD]])</f>
        <v>0</v>
      </c>
      <c r="AT66" s="118">
        <f>IFERROR(ReviewCalcs[[#This Row],[Existing Fixture Quantity]]*ReviewCalcs[[#This Row],[Existing Fixture Watts]]/1000*ReviewCalcs[[#This Row],[Existing PAF]]*ReviewCalcs[[#This Row],[AOH]]*ReviewCalcs[[#This Row],[IEFE]], 0)</f>
        <v>0</v>
      </c>
      <c r="AU66" s="118">
        <f>IFERROR(ReviewCalcs[[#This Row],[Proposed Fixture Quantity]]*ReviewCalcs[[#This Row],[Proposed Fixture Watts]]/1000*ReviewCalcs[[#This Row],[Proposed PAF]]*ReviewCalcs[[#This Row],[AOH]]*ReviewCalcs[[#This Row],[IEFE]], 0)</f>
        <v>0</v>
      </c>
      <c r="AV66" s="118">
        <f>IFERROR(ReviewCalcs[[#This Row],[Proposed Fixture Quantity]]*ReviewCalcs[[#This Row],[Proposed Fixture Watts]]/1000*(ReviewCalcs[[#This Row],[Existing PAF]]-ReviewCalcs[[#This Row],[Proposed PAF]])*ReviewCalcs[[#This Row],[AOH]]*ReviewCalcs[[#This Row],[IEFE]], 0)</f>
        <v>0</v>
      </c>
      <c r="AW66" s="118">
        <f>ReviewCalcs[[#This Row],[Control Existing Energy (kWh)]]*kWh_Incentive_Rate</f>
        <v>0</v>
      </c>
      <c r="AX66" s="118">
        <f>ReviewCalcs[[#This Row],[Control Proposed Energy (kWh)]]*kWh_Incentive_Rate</f>
        <v>0</v>
      </c>
      <c r="AY66" s="70">
        <f>ReviewCalcs[[#This Row],[Control Energy Savings (kWh)]]*kWh_Incentive_Rate</f>
        <v>0</v>
      </c>
      <c r="AZ66" s="70" t="e">
        <f>ReviewCalcs[[#This Row],[Fixture Existing Demand (kW)]]+ReviewCalcs[[#This Row],[Control Existing Demand (kW)]]</f>
        <v>#VALUE!</v>
      </c>
      <c r="BA66" s="70" t="e">
        <f>ReviewCalcs[[#This Row],[Fixture Proposed Demand (kW)]]+ReviewCalcs[[#This Row],[Control Proposed Demand (kW)]]</f>
        <v>#VALUE!</v>
      </c>
      <c r="BB66" s="118">
        <f>ReviewCalcs[[#This Row],[Fixture Demand Savings (kW)]]+ReviewCalcs[[#This Row],[Control Demand Savings (kW)]]</f>
        <v>0</v>
      </c>
      <c r="BC66" s="118">
        <f>ReviewCalcs[[#This Row],[Fixture Existing Energy (kWh)]]+ReviewCalcs[[#This Row],[Control Existing Energy (kWh)]]</f>
        <v>0</v>
      </c>
      <c r="BD66" s="118">
        <f>ReviewCalcs[[#This Row],[Fixture Proposed Energy (kWh)]]+ReviewCalcs[[#This Row],[Control Proposed Energy (kWh)]]</f>
        <v>0</v>
      </c>
      <c r="BE66" s="118">
        <f>ReviewCalcs[[#This Row],[Fixture Energy Savings]]+ReviewCalcs[[#This Row],[Control Energy Savings (kWh)]]</f>
        <v>0</v>
      </c>
      <c r="BF66" s="118">
        <f>ReviewCalcs[[#This Row],[Fixture Existing Cost ($)]]+ReviewCalcs[[#This Row],[Control Existing Cost ($)]]</f>
        <v>0</v>
      </c>
      <c r="BG66" s="118">
        <f>ReviewCalcs[[#This Row],[Fixture Proposed Cost ($)]]+ReviewCalcs[[#This Row],[Controls Proposed Cost ($)]]</f>
        <v>0</v>
      </c>
      <c r="BH66" s="70">
        <f>ReviewCalcs[[#This Row],[Total Energy Savings (kWh)]]*Avg_KWh_Rate</f>
        <v>0</v>
      </c>
      <c r="BI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6" s="70">
        <f>ReviewCalcs[[#This Row],[Retrofit Cost]]</f>
        <v>0</v>
      </c>
      <c r="BK66" s="70">
        <f>ReviewCalcs[[#This Row],[Retrofit Cost]]-ReviewCalcs[[#This Row],[Incentive ($)]]</f>
        <v>0</v>
      </c>
      <c r="BL66" s="118" t="e">
        <f>IFERROR(ReviewCalcs[[#This Row],[Net Project Cost ($)]]/ReviewCalcs[[#This Row],[Fixture Energy Cost Savings ($)]], #N/A)</f>
        <v>#N/A</v>
      </c>
      <c r="BM66" s="118" t="e">
        <f>IF(VLOOKUP(ReviewCalcs[[#This Row],[Existing Fixture Code]], Table7[[FIXTURE CODE]:[Baseline Fixture Code]], 8, FALSE)="N", VLOOKUP(ReviewCalcs[[#This Row],[Existing Fixture Code]], Table7[[FIXTURE CODE]:[Baseline Fixture Code]], 9, FALSE), ReviewCalcs[[#This Row],[Existing Fixture Code]])</f>
        <v>#N/A</v>
      </c>
      <c r="BN66" s="118" t="e">
        <f>INDEX(Table7[WATT/ FIXT], MATCH(ReviewCalcs[Baseline Fixture Code], Table7[FIXTURE CODE], 0))</f>
        <v>#N/A</v>
      </c>
      <c r="BO66" s="118">
        <f>IFERROR((ReviewCalcs[[#This Row],[Existing Fixture Quantity]]*ReviewCalcs[[#This Row],[Baseline Fixture Watts]]/1000-ReviewCalcs[[#This Row],[Proposed Fixture Quantity]]*ReviewCalcs[[#This Row],[Proposed Fixture Watts]]/1000)*ReviewCalcs[[#This Row],[Existing CF]]*ReviewCalcs[[#This Row],[IEFD]], 0)</f>
        <v>0</v>
      </c>
      <c r="BP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6" s="118">
        <f>IF(ReviewCalcs[[#This Row],[Existing CF]]=ReviewCalcs[[#This Row],[Proposed CF]], 0, ReviewCalcs[[#This Row],[Proposed Fixture Quantity]]*ReviewCalcs[[#This Row],[Proposed Fixture Watts]]/1000*ReviewCalcs[[#This Row],[Proposed CF]]*ReviewCalcs[[#This Row],[IEFD]])</f>
        <v>0</v>
      </c>
      <c r="BR66" s="118">
        <f>IFERROR(ReviewCalcs[[#This Row],[Proposed Fixture Quantity]]*ReviewCalcs[[#This Row],[Proposed Fixture Watts]]/1000*(ReviewCalcs[[#This Row],[Existing PAF]]-ReviewCalcs[[#This Row],[Proposed PAF]])*ReviewCalcs[[#This Row],[AOH]]*ReviewCalcs[[#This Row],[IEFE]],0)</f>
        <v>0</v>
      </c>
      <c r="BS66" s="118">
        <f>ReviewCalcs[[#This Row],[Incentive Fixture Demand Savings (kW)]]+ReviewCalcs[[#This Row],[Incentive Control Demand Savings (kW)]]</f>
        <v>0</v>
      </c>
      <c r="BT66" s="118">
        <f>ReviewCalcs[[#This Row],[Incentive Fixture Energy Savings (kWh)]]+ReviewCalcs[[#This Row],[Incentive Control Energy Savings (kWh)]]</f>
        <v>0</v>
      </c>
      <c r="BU66" s="73"/>
    </row>
    <row r="67" spans="1:73" ht="30" customHeight="1">
      <c r="A67" s="68">
        <v>64</v>
      </c>
      <c r="B67" s="96">
        <f>VLOOKUP(ReviewCalcs[[#This Row],[Project Index]], ProjectInput[], D$1, FALSE)</f>
        <v>0</v>
      </c>
      <c r="C67" s="97">
        <f>VLOOKUP(ReviewCalcs[[#This Row],[Project Index]], ProjectInput[], E$1, FALSE)</f>
        <v>0</v>
      </c>
      <c r="D67" s="97">
        <f>VLOOKUP(ReviewCalcs[[#This Row],[Project Index]], ProjectInput[], F$1, FALSE)</f>
        <v>0</v>
      </c>
      <c r="E67" s="97">
        <f>VLOOKUP(ReviewCalcs[[#This Row],[Project Index]], ProjectInput[], G$1, FALSE)</f>
        <v>0</v>
      </c>
      <c r="F67" s="97">
        <f>VLOOKUP(ReviewCalcs[[#This Row],[Project Index]], ProjectInput[], H$1, FALSE)</f>
        <v>0</v>
      </c>
      <c r="G67" s="98" t="str">
        <f>VLOOKUP(ReviewCalcs[[#This Row],[Project Index]], ProjectInput[], I$1, FALSE)</f>
        <v/>
      </c>
      <c r="H67" s="96">
        <f>VLOOKUP(ReviewCalcs[[#This Row],[Project Index]], ProjectInput[], J$1, FALSE)</f>
        <v>0</v>
      </c>
      <c r="I67" s="97">
        <f>VLOOKUP(ReviewCalcs[[#This Row],[Project Index]], ProjectInput[], K$1, FALSE)</f>
        <v>0</v>
      </c>
      <c r="J67" s="97">
        <f>VLOOKUP(ReviewCalcs[[#This Row],[Project Index]], ProjectInput[], L$1, FALSE)</f>
        <v>0</v>
      </c>
      <c r="K67" s="97">
        <f>VLOOKUP(ReviewCalcs[[#This Row],[Project Index]], ProjectInput[], M$1, FALSE)</f>
        <v>0</v>
      </c>
      <c r="L67" s="97">
        <f>VLOOKUP(ReviewCalcs[[#This Row],[Project Index]], ProjectInput[], N$1, FALSE)</f>
        <v>0</v>
      </c>
      <c r="M67" s="98" t="str">
        <f>VLOOKUP(ReviewCalcs[[#This Row],[Project Index]], ProjectInput[], O$1, FALSE)</f>
        <v/>
      </c>
      <c r="N67" s="96">
        <f>VLOOKUP(ReviewCalcs[[#This Row],[Project Index]], ProjectInput[], P$1, FALSE)</f>
        <v>0</v>
      </c>
      <c r="O67" s="97">
        <f>VLOOKUP(ReviewCalcs[[#This Row],[Project Index]], ProjectInput[], Q$1, FALSE)</f>
        <v>0</v>
      </c>
      <c r="P67" s="97">
        <f>VLOOKUP(ReviewCalcs[[#This Row],[Project Index]], ProjectInput[], R$1, FALSE)</f>
        <v>0</v>
      </c>
      <c r="Q67" s="97">
        <f>VLOOKUP(ReviewCalcs[[#This Row],[Project Index]], ProjectInput[], S$1, FALSE)</f>
        <v>0</v>
      </c>
      <c r="R67" s="97">
        <f>VLOOKUP(ReviewCalcs[[#This Row],[Project Index]], ProjectInput[], T$1, FALSE)</f>
        <v>0</v>
      </c>
      <c r="S67" s="97">
        <f>VLOOKUP(ReviewCalcs[[#This Row],[Project Index]], ProjectInput[], U$1, FALSE)</f>
        <v>0</v>
      </c>
      <c r="T67" s="97">
        <f>VLOOKUP(ReviewCalcs[[#This Row],[Project Index]], ProjectInput[], V$1, FALSE)</f>
        <v>0</v>
      </c>
      <c r="U67" s="97">
        <f>VLOOKUP(ReviewCalcs[[#This Row],[Project Index]], ProjectInput[], W$1, FALSE)</f>
        <v>0</v>
      </c>
      <c r="V67" s="98" t="str">
        <f>VLOOKUP(ReviewCalcs[[#This Row],[Project Index]], ProjectInput[], X$1, FALSE)</f>
        <v/>
      </c>
      <c r="W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7" s="75" t="e">
        <f>IF(VLOOKUP(ReviewCalcs[[#This Row],[Proposed Fixture Code]], Table7[[FIXTURE CODE]:[Baseline Fixture Code]], 8, FALSE)="N", "ERROR", "PASS")</f>
        <v>#N/A</v>
      </c>
      <c r="Y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7" s="75" t="e">
        <f>IF(OR(ReviewCalcs[[#This Row],[Baseline Fixture Watts]]&gt;=ReviewCalcs[[#This Row],[Proposed Fixture Watts]],ReviewCalcs[[#This Row],[Existing Fixture Watts]]&gt;=ReviewCalcs[[#This Row],[Proposed Fixture Watts]] ), "PASS", "ERROR")</f>
        <v>#N/A</v>
      </c>
      <c r="AA67" s="69" t="e">
        <f>VLOOKUP(ReviewCalcs[[#This Row],[Space Conditions]], Table_365[], 5, FALSE)</f>
        <v>#N/A</v>
      </c>
      <c r="AB67" s="68" t="str">
        <f>ReviewCalcs[[#This Row],[Annual Hours]]</f>
        <v/>
      </c>
      <c r="AC67" s="68" t="e">
        <f>VLOOKUP(ReviewCalcs[[#This Row],[Space Conditions]], Table_365[], 6, FALSE)</f>
        <v>#N/A</v>
      </c>
      <c r="AD67" s="68">
        <f>IF(ReviewCalcs[[#This Row],[Existing Control(s)]]='Tables &amp; Ranges'!$A$25, VLOOKUP(ReviewCalcs[[#This Row],[Building/Space Type]], Table_364[], 3, FALSE), CF_Contols)</f>
        <v>0.26</v>
      </c>
      <c r="AE67" s="68" t="e">
        <f>VLOOKUP(ReviewCalcs[[#This Row],[Existing Control(s)]], Table_358[], 2, FALSE)</f>
        <v>#N/A</v>
      </c>
      <c r="AF67" s="68">
        <f>IF(ReviewCalcs[[#This Row],[Proposed Control(s)]]='Tables &amp; Ranges'!$A$25, VLOOKUP(ReviewCalcs[[#This Row],[Building/Space Type]], Table_364[], 3, FALSE), CF_Contols)</f>
        <v>0.26</v>
      </c>
      <c r="AG67" s="68" t="e">
        <f>VLOOKUP(ReviewCalcs[[#This Row],[Proposed Control(s)]], Table_358[], 2, FALSE)</f>
        <v>#N/A</v>
      </c>
      <c r="AH67" s="68">
        <f>IFERROR((ReviewCalcs[[#This Row],[Existing Fixture Quantity]]*ReviewCalcs[[#This Row],[Existing Fixture Watts]]/1000)*ReviewCalcs[[#This Row],[Existing CF]]*ReviewCalcs[[#This Row],[IEFD]], 0)</f>
        <v>0</v>
      </c>
      <c r="AI67" s="68">
        <f>IFERROR((ReviewCalcs[[#This Row],[Proposed Fixture Quantity]]*ReviewCalcs[[#This Row],[Proposed Fixture Watts]]/1000)*ReviewCalcs[[#This Row],[Existing CF]]*ReviewCalcs[[#This Row],[IEFD]], 0)</f>
        <v>0</v>
      </c>
      <c r="AJ67" s="118">
        <f>IFERROR((ReviewCalcs[[#This Row],[Existing Fixture Quantity]]*ReviewCalcs[[#This Row],[Existing Fixture Watts]]/1000-ReviewCalcs[[#This Row],[Proposed Fixture Quantity]]*ReviewCalcs[[#This Row],[Proposed Fixture Watts]]/1000)*ReviewCalcs[[#This Row],[Existing CF]]*ReviewCalcs[[#This Row],[IEFD]], 0)</f>
        <v>0</v>
      </c>
      <c r="AK67" s="118">
        <f>IFERROR((ReviewCalcs[[#This Row],[Existing Fixture Quantity]]*ReviewCalcs[[#This Row],[Existing Fixture Watts]]/1000)*ReviewCalcs[[#This Row],[AOH]]*ReviewCalcs[[#This Row],[IEFE]]*ReviewCalcs[[#This Row],[Existing PAF]], 0)</f>
        <v>0</v>
      </c>
      <c r="AL67" s="118">
        <f>IFERROR((ReviewCalcs[[#This Row],[Proposed Fixture Quantity]]*ReviewCalcs[[#This Row],[Proposed Fixture Watts]]/1000)*ReviewCalcs[[#This Row],[AOH]]*ReviewCalcs[[#This Row],[IEFE]]*ReviewCalcs[[#This Row],[Existing PAF]], 0)</f>
        <v>0</v>
      </c>
      <c r="AM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7" s="118">
        <f>ReviewCalcs[[#This Row],[Fixture Existing Energy (kWh)]]*Avg_KWh_Rate</f>
        <v>0</v>
      </c>
      <c r="AO67" s="118">
        <f>ReviewCalcs[[#This Row],[Fixture Proposed Energy (kWh)]]*Avg_KWh_Rate</f>
        <v>0</v>
      </c>
      <c r="AP67" s="70">
        <f>ReviewCalcs[[#This Row],[Fixture Energy Savings]]*Avg_KWh_Rate</f>
        <v>0</v>
      </c>
      <c r="AQ67" s="129" t="e">
        <f>ReviewCalcs[[#This Row],[Existing Fixture Quantity]]*ReviewCalcs[[#This Row],[Existing Fixture Watts]]/1000*ReviewCalcs[[#This Row],[Existing CF]]*ReviewCalcs[[#This Row],[IEFD]]</f>
        <v>#VALUE!</v>
      </c>
      <c r="AR67" s="129" t="e">
        <f>ReviewCalcs[[#This Row],[Proposed Fixture Quantity]]*ReviewCalcs[[#This Row],[Proposed Fixture Watts]]/1000*ReviewCalcs[[#This Row],[Proposed CF]]*ReviewCalcs[[#This Row],[IEFD]]</f>
        <v>#VALUE!</v>
      </c>
      <c r="AS67" s="118">
        <f>IF(ReviewCalcs[[#This Row],[Existing CF]]=ReviewCalcs[[#This Row],[Proposed CF]], 0, ReviewCalcs[[#This Row],[Proposed Fixture Quantity]]*ReviewCalcs[[#This Row],[Proposed Fixture Watts]]/1000*ReviewCalcs[[#This Row],[Proposed CF]]*ReviewCalcs[[#This Row],[IEFD]])</f>
        <v>0</v>
      </c>
      <c r="AT67" s="118">
        <f>IFERROR(ReviewCalcs[[#This Row],[Existing Fixture Quantity]]*ReviewCalcs[[#This Row],[Existing Fixture Watts]]/1000*ReviewCalcs[[#This Row],[Existing PAF]]*ReviewCalcs[[#This Row],[AOH]]*ReviewCalcs[[#This Row],[IEFE]], 0)</f>
        <v>0</v>
      </c>
      <c r="AU67" s="118">
        <f>IFERROR(ReviewCalcs[[#This Row],[Proposed Fixture Quantity]]*ReviewCalcs[[#This Row],[Proposed Fixture Watts]]/1000*ReviewCalcs[[#This Row],[Proposed PAF]]*ReviewCalcs[[#This Row],[AOH]]*ReviewCalcs[[#This Row],[IEFE]], 0)</f>
        <v>0</v>
      </c>
      <c r="AV67" s="118">
        <f>IFERROR(ReviewCalcs[[#This Row],[Proposed Fixture Quantity]]*ReviewCalcs[[#This Row],[Proposed Fixture Watts]]/1000*(ReviewCalcs[[#This Row],[Existing PAF]]-ReviewCalcs[[#This Row],[Proposed PAF]])*ReviewCalcs[[#This Row],[AOH]]*ReviewCalcs[[#This Row],[IEFE]], 0)</f>
        <v>0</v>
      </c>
      <c r="AW67" s="118">
        <f>ReviewCalcs[[#This Row],[Control Existing Energy (kWh)]]*kWh_Incentive_Rate</f>
        <v>0</v>
      </c>
      <c r="AX67" s="118">
        <f>ReviewCalcs[[#This Row],[Control Proposed Energy (kWh)]]*kWh_Incentive_Rate</f>
        <v>0</v>
      </c>
      <c r="AY67" s="70">
        <f>ReviewCalcs[[#This Row],[Control Energy Savings (kWh)]]*kWh_Incentive_Rate</f>
        <v>0</v>
      </c>
      <c r="AZ67" s="70" t="e">
        <f>ReviewCalcs[[#This Row],[Fixture Existing Demand (kW)]]+ReviewCalcs[[#This Row],[Control Existing Demand (kW)]]</f>
        <v>#VALUE!</v>
      </c>
      <c r="BA67" s="70" t="e">
        <f>ReviewCalcs[[#This Row],[Fixture Proposed Demand (kW)]]+ReviewCalcs[[#This Row],[Control Proposed Demand (kW)]]</f>
        <v>#VALUE!</v>
      </c>
      <c r="BB67" s="118">
        <f>ReviewCalcs[[#This Row],[Fixture Demand Savings (kW)]]+ReviewCalcs[[#This Row],[Control Demand Savings (kW)]]</f>
        <v>0</v>
      </c>
      <c r="BC67" s="118">
        <f>ReviewCalcs[[#This Row],[Fixture Existing Energy (kWh)]]+ReviewCalcs[[#This Row],[Control Existing Energy (kWh)]]</f>
        <v>0</v>
      </c>
      <c r="BD67" s="118">
        <f>ReviewCalcs[[#This Row],[Fixture Proposed Energy (kWh)]]+ReviewCalcs[[#This Row],[Control Proposed Energy (kWh)]]</f>
        <v>0</v>
      </c>
      <c r="BE67" s="118">
        <f>ReviewCalcs[[#This Row],[Fixture Energy Savings]]+ReviewCalcs[[#This Row],[Control Energy Savings (kWh)]]</f>
        <v>0</v>
      </c>
      <c r="BF67" s="118">
        <f>ReviewCalcs[[#This Row],[Fixture Existing Cost ($)]]+ReviewCalcs[[#This Row],[Control Existing Cost ($)]]</f>
        <v>0</v>
      </c>
      <c r="BG67" s="118">
        <f>ReviewCalcs[[#This Row],[Fixture Proposed Cost ($)]]+ReviewCalcs[[#This Row],[Controls Proposed Cost ($)]]</f>
        <v>0</v>
      </c>
      <c r="BH67" s="70">
        <f>ReviewCalcs[[#This Row],[Total Energy Savings (kWh)]]*Avg_KWh_Rate</f>
        <v>0</v>
      </c>
      <c r="BI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7" s="70">
        <f>ReviewCalcs[[#This Row],[Retrofit Cost]]</f>
        <v>0</v>
      </c>
      <c r="BK67" s="70">
        <f>ReviewCalcs[[#This Row],[Retrofit Cost]]-ReviewCalcs[[#This Row],[Incentive ($)]]</f>
        <v>0</v>
      </c>
      <c r="BL67" s="118" t="e">
        <f>IFERROR(ReviewCalcs[[#This Row],[Net Project Cost ($)]]/ReviewCalcs[[#This Row],[Fixture Energy Cost Savings ($)]], #N/A)</f>
        <v>#N/A</v>
      </c>
      <c r="BM67" s="118" t="e">
        <f>IF(VLOOKUP(ReviewCalcs[[#This Row],[Existing Fixture Code]], Table7[[FIXTURE CODE]:[Baseline Fixture Code]], 8, FALSE)="N", VLOOKUP(ReviewCalcs[[#This Row],[Existing Fixture Code]], Table7[[FIXTURE CODE]:[Baseline Fixture Code]], 9, FALSE), ReviewCalcs[[#This Row],[Existing Fixture Code]])</f>
        <v>#N/A</v>
      </c>
      <c r="BN67" s="118" t="e">
        <f>INDEX(Table7[WATT/ FIXT], MATCH(ReviewCalcs[Baseline Fixture Code], Table7[FIXTURE CODE], 0))</f>
        <v>#N/A</v>
      </c>
      <c r="BO67" s="118">
        <f>IFERROR((ReviewCalcs[[#This Row],[Existing Fixture Quantity]]*ReviewCalcs[[#This Row],[Baseline Fixture Watts]]/1000-ReviewCalcs[[#This Row],[Proposed Fixture Quantity]]*ReviewCalcs[[#This Row],[Proposed Fixture Watts]]/1000)*ReviewCalcs[[#This Row],[Existing CF]]*ReviewCalcs[[#This Row],[IEFD]], 0)</f>
        <v>0</v>
      </c>
      <c r="BP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7" s="118">
        <f>IF(ReviewCalcs[[#This Row],[Existing CF]]=ReviewCalcs[[#This Row],[Proposed CF]], 0, ReviewCalcs[[#This Row],[Proposed Fixture Quantity]]*ReviewCalcs[[#This Row],[Proposed Fixture Watts]]/1000*ReviewCalcs[[#This Row],[Proposed CF]]*ReviewCalcs[[#This Row],[IEFD]])</f>
        <v>0</v>
      </c>
      <c r="BR67" s="118">
        <f>IFERROR(ReviewCalcs[[#This Row],[Proposed Fixture Quantity]]*ReviewCalcs[[#This Row],[Proposed Fixture Watts]]/1000*(ReviewCalcs[[#This Row],[Existing PAF]]-ReviewCalcs[[#This Row],[Proposed PAF]])*ReviewCalcs[[#This Row],[AOH]]*ReviewCalcs[[#This Row],[IEFE]],0)</f>
        <v>0</v>
      </c>
      <c r="BS67" s="118">
        <f>ReviewCalcs[[#This Row],[Incentive Fixture Demand Savings (kW)]]+ReviewCalcs[[#This Row],[Incentive Control Demand Savings (kW)]]</f>
        <v>0</v>
      </c>
      <c r="BT67" s="118">
        <f>ReviewCalcs[[#This Row],[Incentive Fixture Energy Savings (kWh)]]+ReviewCalcs[[#This Row],[Incentive Control Energy Savings (kWh)]]</f>
        <v>0</v>
      </c>
      <c r="BU67" s="73"/>
    </row>
    <row r="68" spans="1:73" ht="30" customHeight="1">
      <c r="A68" s="68">
        <v>65</v>
      </c>
      <c r="B68" s="96">
        <f>VLOOKUP(ReviewCalcs[[#This Row],[Project Index]], ProjectInput[], D$1, FALSE)</f>
        <v>0</v>
      </c>
      <c r="C68" s="97">
        <f>VLOOKUP(ReviewCalcs[[#This Row],[Project Index]], ProjectInput[], E$1, FALSE)</f>
        <v>0</v>
      </c>
      <c r="D68" s="97">
        <f>VLOOKUP(ReviewCalcs[[#This Row],[Project Index]], ProjectInput[], F$1, FALSE)</f>
        <v>0</v>
      </c>
      <c r="E68" s="97">
        <f>VLOOKUP(ReviewCalcs[[#This Row],[Project Index]], ProjectInput[], G$1, FALSE)</f>
        <v>0</v>
      </c>
      <c r="F68" s="97">
        <f>VLOOKUP(ReviewCalcs[[#This Row],[Project Index]], ProjectInput[], H$1, FALSE)</f>
        <v>0</v>
      </c>
      <c r="G68" s="98" t="str">
        <f>VLOOKUP(ReviewCalcs[[#This Row],[Project Index]], ProjectInput[], I$1, FALSE)</f>
        <v/>
      </c>
      <c r="H68" s="96">
        <f>VLOOKUP(ReviewCalcs[[#This Row],[Project Index]], ProjectInput[], J$1, FALSE)</f>
        <v>0</v>
      </c>
      <c r="I68" s="97">
        <f>VLOOKUP(ReviewCalcs[[#This Row],[Project Index]], ProjectInput[], K$1, FALSE)</f>
        <v>0</v>
      </c>
      <c r="J68" s="97">
        <f>VLOOKUP(ReviewCalcs[[#This Row],[Project Index]], ProjectInput[], L$1, FALSE)</f>
        <v>0</v>
      </c>
      <c r="K68" s="97">
        <f>VLOOKUP(ReviewCalcs[[#This Row],[Project Index]], ProjectInput[], M$1, FALSE)</f>
        <v>0</v>
      </c>
      <c r="L68" s="97">
        <f>VLOOKUP(ReviewCalcs[[#This Row],[Project Index]], ProjectInput[], N$1, FALSE)</f>
        <v>0</v>
      </c>
      <c r="M68" s="98" t="str">
        <f>VLOOKUP(ReviewCalcs[[#This Row],[Project Index]], ProjectInput[], O$1, FALSE)</f>
        <v/>
      </c>
      <c r="N68" s="96">
        <f>VLOOKUP(ReviewCalcs[[#This Row],[Project Index]], ProjectInput[], P$1, FALSE)</f>
        <v>0</v>
      </c>
      <c r="O68" s="97">
        <f>VLOOKUP(ReviewCalcs[[#This Row],[Project Index]], ProjectInput[], Q$1, FALSE)</f>
        <v>0</v>
      </c>
      <c r="P68" s="97">
        <f>VLOOKUP(ReviewCalcs[[#This Row],[Project Index]], ProjectInput[], R$1, FALSE)</f>
        <v>0</v>
      </c>
      <c r="Q68" s="97">
        <f>VLOOKUP(ReviewCalcs[[#This Row],[Project Index]], ProjectInput[], S$1, FALSE)</f>
        <v>0</v>
      </c>
      <c r="R68" s="97">
        <f>VLOOKUP(ReviewCalcs[[#This Row],[Project Index]], ProjectInput[], T$1, FALSE)</f>
        <v>0</v>
      </c>
      <c r="S68" s="97">
        <f>VLOOKUP(ReviewCalcs[[#This Row],[Project Index]], ProjectInput[], U$1, FALSE)</f>
        <v>0</v>
      </c>
      <c r="T68" s="97">
        <f>VLOOKUP(ReviewCalcs[[#This Row],[Project Index]], ProjectInput[], V$1, FALSE)</f>
        <v>0</v>
      </c>
      <c r="U68" s="97">
        <f>VLOOKUP(ReviewCalcs[[#This Row],[Project Index]], ProjectInput[], W$1, FALSE)</f>
        <v>0</v>
      </c>
      <c r="V68" s="98" t="str">
        <f>VLOOKUP(ReviewCalcs[[#This Row],[Project Index]], ProjectInput[], X$1, FALSE)</f>
        <v/>
      </c>
      <c r="W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8" s="75" t="e">
        <f>IF(VLOOKUP(ReviewCalcs[[#This Row],[Proposed Fixture Code]], Table7[[FIXTURE CODE]:[Baseline Fixture Code]], 8, FALSE)="N", "ERROR", "PASS")</f>
        <v>#N/A</v>
      </c>
      <c r="Y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8" s="75" t="e">
        <f>IF(OR(ReviewCalcs[[#This Row],[Baseline Fixture Watts]]&gt;=ReviewCalcs[[#This Row],[Proposed Fixture Watts]],ReviewCalcs[[#This Row],[Existing Fixture Watts]]&gt;=ReviewCalcs[[#This Row],[Proposed Fixture Watts]] ), "PASS", "ERROR")</f>
        <v>#N/A</v>
      </c>
      <c r="AA68" s="69" t="e">
        <f>VLOOKUP(ReviewCalcs[[#This Row],[Space Conditions]], Table_365[], 5, FALSE)</f>
        <v>#N/A</v>
      </c>
      <c r="AB68" s="68" t="str">
        <f>ReviewCalcs[[#This Row],[Annual Hours]]</f>
        <v/>
      </c>
      <c r="AC68" s="68" t="e">
        <f>VLOOKUP(ReviewCalcs[[#This Row],[Space Conditions]], Table_365[], 6, FALSE)</f>
        <v>#N/A</v>
      </c>
      <c r="AD68" s="68">
        <f>IF(ReviewCalcs[[#This Row],[Existing Control(s)]]='Tables &amp; Ranges'!$A$25, VLOOKUP(ReviewCalcs[[#This Row],[Building/Space Type]], Table_364[], 3, FALSE), CF_Contols)</f>
        <v>0.26</v>
      </c>
      <c r="AE68" s="68" t="e">
        <f>VLOOKUP(ReviewCalcs[[#This Row],[Existing Control(s)]], Table_358[], 2, FALSE)</f>
        <v>#N/A</v>
      </c>
      <c r="AF68" s="68">
        <f>IF(ReviewCalcs[[#This Row],[Proposed Control(s)]]='Tables &amp; Ranges'!$A$25, VLOOKUP(ReviewCalcs[[#This Row],[Building/Space Type]], Table_364[], 3, FALSE), CF_Contols)</f>
        <v>0.26</v>
      </c>
      <c r="AG68" s="68" t="e">
        <f>VLOOKUP(ReviewCalcs[[#This Row],[Proposed Control(s)]], Table_358[], 2, FALSE)</f>
        <v>#N/A</v>
      </c>
      <c r="AH68" s="68">
        <f>IFERROR((ReviewCalcs[[#This Row],[Existing Fixture Quantity]]*ReviewCalcs[[#This Row],[Existing Fixture Watts]]/1000)*ReviewCalcs[[#This Row],[Existing CF]]*ReviewCalcs[[#This Row],[IEFD]], 0)</f>
        <v>0</v>
      </c>
      <c r="AI68" s="68">
        <f>IFERROR((ReviewCalcs[[#This Row],[Proposed Fixture Quantity]]*ReviewCalcs[[#This Row],[Proposed Fixture Watts]]/1000)*ReviewCalcs[[#This Row],[Existing CF]]*ReviewCalcs[[#This Row],[IEFD]], 0)</f>
        <v>0</v>
      </c>
      <c r="AJ68" s="118">
        <f>IFERROR((ReviewCalcs[[#This Row],[Existing Fixture Quantity]]*ReviewCalcs[[#This Row],[Existing Fixture Watts]]/1000-ReviewCalcs[[#This Row],[Proposed Fixture Quantity]]*ReviewCalcs[[#This Row],[Proposed Fixture Watts]]/1000)*ReviewCalcs[[#This Row],[Existing CF]]*ReviewCalcs[[#This Row],[IEFD]], 0)</f>
        <v>0</v>
      </c>
      <c r="AK68" s="118">
        <f>IFERROR((ReviewCalcs[[#This Row],[Existing Fixture Quantity]]*ReviewCalcs[[#This Row],[Existing Fixture Watts]]/1000)*ReviewCalcs[[#This Row],[AOH]]*ReviewCalcs[[#This Row],[IEFE]]*ReviewCalcs[[#This Row],[Existing PAF]], 0)</f>
        <v>0</v>
      </c>
      <c r="AL68" s="118">
        <f>IFERROR((ReviewCalcs[[#This Row],[Proposed Fixture Quantity]]*ReviewCalcs[[#This Row],[Proposed Fixture Watts]]/1000)*ReviewCalcs[[#This Row],[AOH]]*ReviewCalcs[[#This Row],[IEFE]]*ReviewCalcs[[#This Row],[Existing PAF]], 0)</f>
        <v>0</v>
      </c>
      <c r="AM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8" s="118">
        <f>ReviewCalcs[[#This Row],[Fixture Existing Energy (kWh)]]*Avg_KWh_Rate</f>
        <v>0</v>
      </c>
      <c r="AO68" s="118">
        <f>ReviewCalcs[[#This Row],[Fixture Proposed Energy (kWh)]]*Avg_KWh_Rate</f>
        <v>0</v>
      </c>
      <c r="AP68" s="70">
        <f>ReviewCalcs[[#This Row],[Fixture Energy Savings]]*Avg_KWh_Rate</f>
        <v>0</v>
      </c>
      <c r="AQ68" s="129" t="e">
        <f>ReviewCalcs[[#This Row],[Existing Fixture Quantity]]*ReviewCalcs[[#This Row],[Existing Fixture Watts]]/1000*ReviewCalcs[[#This Row],[Existing CF]]*ReviewCalcs[[#This Row],[IEFD]]</f>
        <v>#VALUE!</v>
      </c>
      <c r="AR68" s="129" t="e">
        <f>ReviewCalcs[[#This Row],[Proposed Fixture Quantity]]*ReviewCalcs[[#This Row],[Proposed Fixture Watts]]/1000*ReviewCalcs[[#This Row],[Proposed CF]]*ReviewCalcs[[#This Row],[IEFD]]</f>
        <v>#VALUE!</v>
      </c>
      <c r="AS68" s="118">
        <f>IF(ReviewCalcs[[#This Row],[Existing CF]]=ReviewCalcs[[#This Row],[Proposed CF]], 0, ReviewCalcs[[#This Row],[Proposed Fixture Quantity]]*ReviewCalcs[[#This Row],[Proposed Fixture Watts]]/1000*ReviewCalcs[[#This Row],[Proposed CF]]*ReviewCalcs[[#This Row],[IEFD]])</f>
        <v>0</v>
      </c>
      <c r="AT68" s="118">
        <f>IFERROR(ReviewCalcs[[#This Row],[Existing Fixture Quantity]]*ReviewCalcs[[#This Row],[Existing Fixture Watts]]/1000*ReviewCalcs[[#This Row],[Existing PAF]]*ReviewCalcs[[#This Row],[AOH]]*ReviewCalcs[[#This Row],[IEFE]], 0)</f>
        <v>0</v>
      </c>
      <c r="AU68" s="118">
        <f>IFERROR(ReviewCalcs[[#This Row],[Proposed Fixture Quantity]]*ReviewCalcs[[#This Row],[Proposed Fixture Watts]]/1000*ReviewCalcs[[#This Row],[Proposed PAF]]*ReviewCalcs[[#This Row],[AOH]]*ReviewCalcs[[#This Row],[IEFE]], 0)</f>
        <v>0</v>
      </c>
      <c r="AV68" s="118">
        <f>IFERROR(ReviewCalcs[[#This Row],[Proposed Fixture Quantity]]*ReviewCalcs[[#This Row],[Proposed Fixture Watts]]/1000*(ReviewCalcs[[#This Row],[Existing PAF]]-ReviewCalcs[[#This Row],[Proposed PAF]])*ReviewCalcs[[#This Row],[AOH]]*ReviewCalcs[[#This Row],[IEFE]], 0)</f>
        <v>0</v>
      </c>
      <c r="AW68" s="118">
        <f>ReviewCalcs[[#This Row],[Control Existing Energy (kWh)]]*kWh_Incentive_Rate</f>
        <v>0</v>
      </c>
      <c r="AX68" s="118">
        <f>ReviewCalcs[[#This Row],[Control Proposed Energy (kWh)]]*kWh_Incentive_Rate</f>
        <v>0</v>
      </c>
      <c r="AY68" s="70">
        <f>ReviewCalcs[[#This Row],[Control Energy Savings (kWh)]]*kWh_Incentive_Rate</f>
        <v>0</v>
      </c>
      <c r="AZ68" s="70" t="e">
        <f>ReviewCalcs[[#This Row],[Fixture Existing Demand (kW)]]+ReviewCalcs[[#This Row],[Control Existing Demand (kW)]]</f>
        <v>#VALUE!</v>
      </c>
      <c r="BA68" s="70" t="e">
        <f>ReviewCalcs[[#This Row],[Fixture Proposed Demand (kW)]]+ReviewCalcs[[#This Row],[Control Proposed Demand (kW)]]</f>
        <v>#VALUE!</v>
      </c>
      <c r="BB68" s="118">
        <f>ReviewCalcs[[#This Row],[Fixture Demand Savings (kW)]]+ReviewCalcs[[#This Row],[Control Demand Savings (kW)]]</f>
        <v>0</v>
      </c>
      <c r="BC68" s="118">
        <f>ReviewCalcs[[#This Row],[Fixture Existing Energy (kWh)]]+ReviewCalcs[[#This Row],[Control Existing Energy (kWh)]]</f>
        <v>0</v>
      </c>
      <c r="BD68" s="118">
        <f>ReviewCalcs[[#This Row],[Fixture Proposed Energy (kWh)]]+ReviewCalcs[[#This Row],[Control Proposed Energy (kWh)]]</f>
        <v>0</v>
      </c>
      <c r="BE68" s="118">
        <f>ReviewCalcs[[#This Row],[Fixture Energy Savings]]+ReviewCalcs[[#This Row],[Control Energy Savings (kWh)]]</f>
        <v>0</v>
      </c>
      <c r="BF68" s="118">
        <f>ReviewCalcs[[#This Row],[Fixture Existing Cost ($)]]+ReviewCalcs[[#This Row],[Control Existing Cost ($)]]</f>
        <v>0</v>
      </c>
      <c r="BG68" s="118">
        <f>ReviewCalcs[[#This Row],[Fixture Proposed Cost ($)]]+ReviewCalcs[[#This Row],[Controls Proposed Cost ($)]]</f>
        <v>0</v>
      </c>
      <c r="BH68" s="70">
        <f>ReviewCalcs[[#This Row],[Total Energy Savings (kWh)]]*Avg_KWh_Rate</f>
        <v>0</v>
      </c>
      <c r="BI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8" s="70">
        <f>ReviewCalcs[[#This Row],[Retrofit Cost]]</f>
        <v>0</v>
      </c>
      <c r="BK68" s="70">
        <f>ReviewCalcs[[#This Row],[Retrofit Cost]]-ReviewCalcs[[#This Row],[Incentive ($)]]</f>
        <v>0</v>
      </c>
      <c r="BL68" s="118" t="e">
        <f>IFERROR(ReviewCalcs[[#This Row],[Net Project Cost ($)]]/ReviewCalcs[[#This Row],[Fixture Energy Cost Savings ($)]], #N/A)</f>
        <v>#N/A</v>
      </c>
      <c r="BM68" s="118" t="e">
        <f>IF(VLOOKUP(ReviewCalcs[[#This Row],[Existing Fixture Code]], Table7[[FIXTURE CODE]:[Baseline Fixture Code]], 8, FALSE)="N", VLOOKUP(ReviewCalcs[[#This Row],[Existing Fixture Code]], Table7[[FIXTURE CODE]:[Baseline Fixture Code]], 9, FALSE), ReviewCalcs[[#This Row],[Existing Fixture Code]])</f>
        <v>#N/A</v>
      </c>
      <c r="BN68" s="118" t="e">
        <f>INDEX(Table7[WATT/ FIXT], MATCH(ReviewCalcs[Baseline Fixture Code], Table7[FIXTURE CODE], 0))</f>
        <v>#N/A</v>
      </c>
      <c r="BO68" s="118">
        <f>IFERROR((ReviewCalcs[[#This Row],[Existing Fixture Quantity]]*ReviewCalcs[[#This Row],[Baseline Fixture Watts]]/1000-ReviewCalcs[[#This Row],[Proposed Fixture Quantity]]*ReviewCalcs[[#This Row],[Proposed Fixture Watts]]/1000)*ReviewCalcs[[#This Row],[Existing CF]]*ReviewCalcs[[#This Row],[IEFD]], 0)</f>
        <v>0</v>
      </c>
      <c r="BP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8" s="118">
        <f>IF(ReviewCalcs[[#This Row],[Existing CF]]=ReviewCalcs[[#This Row],[Proposed CF]], 0, ReviewCalcs[[#This Row],[Proposed Fixture Quantity]]*ReviewCalcs[[#This Row],[Proposed Fixture Watts]]/1000*ReviewCalcs[[#This Row],[Proposed CF]]*ReviewCalcs[[#This Row],[IEFD]])</f>
        <v>0</v>
      </c>
      <c r="BR68" s="118">
        <f>IFERROR(ReviewCalcs[[#This Row],[Proposed Fixture Quantity]]*ReviewCalcs[[#This Row],[Proposed Fixture Watts]]/1000*(ReviewCalcs[[#This Row],[Existing PAF]]-ReviewCalcs[[#This Row],[Proposed PAF]])*ReviewCalcs[[#This Row],[AOH]]*ReviewCalcs[[#This Row],[IEFE]],0)</f>
        <v>0</v>
      </c>
      <c r="BS68" s="118">
        <f>ReviewCalcs[[#This Row],[Incentive Fixture Demand Savings (kW)]]+ReviewCalcs[[#This Row],[Incentive Control Demand Savings (kW)]]</f>
        <v>0</v>
      </c>
      <c r="BT68" s="118">
        <f>ReviewCalcs[[#This Row],[Incentive Fixture Energy Savings (kWh)]]+ReviewCalcs[[#This Row],[Incentive Control Energy Savings (kWh)]]</f>
        <v>0</v>
      </c>
      <c r="BU68" s="73"/>
    </row>
    <row r="69" spans="1:73" ht="30" customHeight="1">
      <c r="A69" s="68">
        <v>66</v>
      </c>
      <c r="B69" s="96">
        <f>VLOOKUP(ReviewCalcs[[#This Row],[Project Index]], ProjectInput[], D$1, FALSE)</f>
        <v>0</v>
      </c>
      <c r="C69" s="97">
        <f>VLOOKUP(ReviewCalcs[[#This Row],[Project Index]], ProjectInput[], E$1, FALSE)</f>
        <v>0</v>
      </c>
      <c r="D69" s="97">
        <f>VLOOKUP(ReviewCalcs[[#This Row],[Project Index]], ProjectInput[], F$1, FALSE)</f>
        <v>0</v>
      </c>
      <c r="E69" s="97">
        <f>VLOOKUP(ReviewCalcs[[#This Row],[Project Index]], ProjectInput[], G$1, FALSE)</f>
        <v>0</v>
      </c>
      <c r="F69" s="97">
        <f>VLOOKUP(ReviewCalcs[[#This Row],[Project Index]], ProjectInput[], H$1, FALSE)</f>
        <v>0</v>
      </c>
      <c r="G69" s="98" t="str">
        <f>VLOOKUP(ReviewCalcs[[#This Row],[Project Index]], ProjectInput[], I$1, FALSE)</f>
        <v/>
      </c>
      <c r="H69" s="96">
        <f>VLOOKUP(ReviewCalcs[[#This Row],[Project Index]], ProjectInput[], J$1, FALSE)</f>
        <v>0</v>
      </c>
      <c r="I69" s="97">
        <f>VLOOKUP(ReviewCalcs[[#This Row],[Project Index]], ProjectInput[], K$1, FALSE)</f>
        <v>0</v>
      </c>
      <c r="J69" s="97">
        <f>VLOOKUP(ReviewCalcs[[#This Row],[Project Index]], ProjectInput[], L$1, FALSE)</f>
        <v>0</v>
      </c>
      <c r="K69" s="97">
        <f>VLOOKUP(ReviewCalcs[[#This Row],[Project Index]], ProjectInput[], M$1, FALSE)</f>
        <v>0</v>
      </c>
      <c r="L69" s="97">
        <f>VLOOKUP(ReviewCalcs[[#This Row],[Project Index]], ProjectInput[], N$1, FALSE)</f>
        <v>0</v>
      </c>
      <c r="M69" s="98" t="str">
        <f>VLOOKUP(ReviewCalcs[[#This Row],[Project Index]], ProjectInput[], O$1, FALSE)</f>
        <v/>
      </c>
      <c r="N69" s="96">
        <f>VLOOKUP(ReviewCalcs[[#This Row],[Project Index]], ProjectInput[], P$1, FALSE)</f>
        <v>0</v>
      </c>
      <c r="O69" s="97">
        <f>VLOOKUP(ReviewCalcs[[#This Row],[Project Index]], ProjectInput[], Q$1, FALSE)</f>
        <v>0</v>
      </c>
      <c r="P69" s="97">
        <f>VLOOKUP(ReviewCalcs[[#This Row],[Project Index]], ProjectInput[], R$1, FALSE)</f>
        <v>0</v>
      </c>
      <c r="Q69" s="97">
        <f>VLOOKUP(ReviewCalcs[[#This Row],[Project Index]], ProjectInput[], S$1, FALSE)</f>
        <v>0</v>
      </c>
      <c r="R69" s="97">
        <f>VLOOKUP(ReviewCalcs[[#This Row],[Project Index]], ProjectInput[], T$1, FALSE)</f>
        <v>0</v>
      </c>
      <c r="S69" s="97">
        <f>VLOOKUP(ReviewCalcs[[#This Row],[Project Index]], ProjectInput[], U$1, FALSE)</f>
        <v>0</v>
      </c>
      <c r="T69" s="97">
        <f>VLOOKUP(ReviewCalcs[[#This Row],[Project Index]], ProjectInput[], V$1, FALSE)</f>
        <v>0</v>
      </c>
      <c r="U69" s="97">
        <f>VLOOKUP(ReviewCalcs[[#This Row],[Project Index]], ProjectInput[], W$1, FALSE)</f>
        <v>0</v>
      </c>
      <c r="V69" s="98" t="str">
        <f>VLOOKUP(ReviewCalcs[[#This Row],[Project Index]], ProjectInput[], X$1, FALSE)</f>
        <v/>
      </c>
      <c r="W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69" s="75" t="e">
        <f>IF(VLOOKUP(ReviewCalcs[[#This Row],[Proposed Fixture Code]], Table7[[FIXTURE CODE]:[Baseline Fixture Code]], 8, FALSE)="N", "ERROR", "PASS")</f>
        <v>#N/A</v>
      </c>
      <c r="Y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69" s="75" t="e">
        <f>IF(OR(ReviewCalcs[[#This Row],[Baseline Fixture Watts]]&gt;=ReviewCalcs[[#This Row],[Proposed Fixture Watts]],ReviewCalcs[[#This Row],[Existing Fixture Watts]]&gt;=ReviewCalcs[[#This Row],[Proposed Fixture Watts]] ), "PASS", "ERROR")</f>
        <v>#N/A</v>
      </c>
      <c r="AA69" s="69" t="e">
        <f>VLOOKUP(ReviewCalcs[[#This Row],[Space Conditions]], Table_365[], 5, FALSE)</f>
        <v>#N/A</v>
      </c>
      <c r="AB69" s="68" t="str">
        <f>ReviewCalcs[[#This Row],[Annual Hours]]</f>
        <v/>
      </c>
      <c r="AC69" s="68" t="e">
        <f>VLOOKUP(ReviewCalcs[[#This Row],[Space Conditions]], Table_365[], 6, FALSE)</f>
        <v>#N/A</v>
      </c>
      <c r="AD69" s="68">
        <f>IF(ReviewCalcs[[#This Row],[Existing Control(s)]]='Tables &amp; Ranges'!$A$25, VLOOKUP(ReviewCalcs[[#This Row],[Building/Space Type]], Table_364[], 3, FALSE), CF_Contols)</f>
        <v>0.26</v>
      </c>
      <c r="AE69" s="68" t="e">
        <f>VLOOKUP(ReviewCalcs[[#This Row],[Existing Control(s)]], Table_358[], 2, FALSE)</f>
        <v>#N/A</v>
      </c>
      <c r="AF69" s="68">
        <f>IF(ReviewCalcs[[#This Row],[Proposed Control(s)]]='Tables &amp; Ranges'!$A$25, VLOOKUP(ReviewCalcs[[#This Row],[Building/Space Type]], Table_364[], 3, FALSE), CF_Contols)</f>
        <v>0.26</v>
      </c>
      <c r="AG69" s="68" t="e">
        <f>VLOOKUP(ReviewCalcs[[#This Row],[Proposed Control(s)]], Table_358[], 2, FALSE)</f>
        <v>#N/A</v>
      </c>
      <c r="AH69" s="68">
        <f>IFERROR((ReviewCalcs[[#This Row],[Existing Fixture Quantity]]*ReviewCalcs[[#This Row],[Existing Fixture Watts]]/1000)*ReviewCalcs[[#This Row],[Existing CF]]*ReviewCalcs[[#This Row],[IEFD]], 0)</f>
        <v>0</v>
      </c>
      <c r="AI69" s="68">
        <f>IFERROR((ReviewCalcs[[#This Row],[Proposed Fixture Quantity]]*ReviewCalcs[[#This Row],[Proposed Fixture Watts]]/1000)*ReviewCalcs[[#This Row],[Existing CF]]*ReviewCalcs[[#This Row],[IEFD]], 0)</f>
        <v>0</v>
      </c>
      <c r="AJ69" s="118">
        <f>IFERROR((ReviewCalcs[[#This Row],[Existing Fixture Quantity]]*ReviewCalcs[[#This Row],[Existing Fixture Watts]]/1000-ReviewCalcs[[#This Row],[Proposed Fixture Quantity]]*ReviewCalcs[[#This Row],[Proposed Fixture Watts]]/1000)*ReviewCalcs[[#This Row],[Existing CF]]*ReviewCalcs[[#This Row],[IEFD]], 0)</f>
        <v>0</v>
      </c>
      <c r="AK69" s="118">
        <f>IFERROR((ReviewCalcs[[#This Row],[Existing Fixture Quantity]]*ReviewCalcs[[#This Row],[Existing Fixture Watts]]/1000)*ReviewCalcs[[#This Row],[AOH]]*ReviewCalcs[[#This Row],[IEFE]]*ReviewCalcs[[#This Row],[Existing PAF]], 0)</f>
        <v>0</v>
      </c>
      <c r="AL69" s="118">
        <f>IFERROR((ReviewCalcs[[#This Row],[Proposed Fixture Quantity]]*ReviewCalcs[[#This Row],[Proposed Fixture Watts]]/1000)*ReviewCalcs[[#This Row],[AOH]]*ReviewCalcs[[#This Row],[IEFE]]*ReviewCalcs[[#This Row],[Existing PAF]], 0)</f>
        <v>0</v>
      </c>
      <c r="AM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69" s="118">
        <f>ReviewCalcs[[#This Row],[Fixture Existing Energy (kWh)]]*Avg_KWh_Rate</f>
        <v>0</v>
      </c>
      <c r="AO69" s="118">
        <f>ReviewCalcs[[#This Row],[Fixture Proposed Energy (kWh)]]*Avg_KWh_Rate</f>
        <v>0</v>
      </c>
      <c r="AP69" s="70">
        <f>ReviewCalcs[[#This Row],[Fixture Energy Savings]]*Avg_KWh_Rate</f>
        <v>0</v>
      </c>
      <c r="AQ69" s="129" t="e">
        <f>ReviewCalcs[[#This Row],[Existing Fixture Quantity]]*ReviewCalcs[[#This Row],[Existing Fixture Watts]]/1000*ReviewCalcs[[#This Row],[Existing CF]]*ReviewCalcs[[#This Row],[IEFD]]</f>
        <v>#VALUE!</v>
      </c>
      <c r="AR69" s="129" t="e">
        <f>ReviewCalcs[[#This Row],[Proposed Fixture Quantity]]*ReviewCalcs[[#This Row],[Proposed Fixture Watts]]/1000*ReviewCalcs[[#This Row],[Proposed CF]]*ReviewCalcs[[#This Row],[IEFD]]</f>
        <v>#VALUE!</v>
      </c>
      <c r="AS69" s="118">
        <f>IF(ReviewCalcs[[#This Row],[Existing CF]]=ReviewCalcs[[#This Row],[Proposed CF]], 0, ReviewCalcs[[#This Row],[Proposed Fixture Quantity]]*ReviewCalcs[[#This Row],[Proposed Fixture Watts]]/1000*ReviewCalcs[[#This Row],[Proposed CF]]*ReviewCalcs[[#This Row],[IEFD]])</f>
        <v>0</v>
      </c>
      <c r="AT69" s="118">
        <f>IFERROR(ReviewCalcs[[#This Row],[Existing Fixture Quantity]]*ReviewCalcs[[#This Row],[Existing Fixture Watts]]/1000*ReviewCalcs[[#This Row],[Existing PAF]]*ReviewCalcs[[#This Row],[AOH]]*ReviewCalcs[[#This Row],[IEFE]], 0)</f>
        <v>0</v>
      </c>
      <c r="AU69" s="118">
        <f>IFERROR(ReviewCalcs[[#This Row],[Proposed Fixture Quantity]]*ReviewCalcs[[#This Row],[Proposed Fixture Watts]]/1000*ReviewCalcs[[#This Row],[Proposed PAF]]*ReviewCalcs[[#This Row],[AOH]]*ReviewCalcs[[#This Row],[IEFE]], 0)</f>
        <v>0</v>
      </c>
      <c r="AV69" s="118">
        <f>IFERROR(ReviewCalcs[[#This Row],[Proposed Fixture Quantity]]*ReviewCalcs[[#This Row],[Proposed Fixture Watts]]/1000*(ReviewCalcs[[#This Row],[Existing PAF]]-ReviewCalcs[[#This Row],[Proposed PAF]])*ReviewCalcs[[#This Row],[AOH]]*ReviewCalcs[[#This Row],[IEFE]], 0)</f>
        <v>0</v>
      </c>
      <c r="AW69" s="118">
        <f>ReviewCalcs[[#This Row],[Control Existing Energy (kWh)]]*kWh_Incentive_Rate</f>
        <v>0</v>
      </c>
      <c r="AX69" s="118">
        <f>ReviewCalcs[[#This Row],[Control Proposed Energy (kWh)]]*kWh_Incentive_Rate</f>
        <v>0</v>
      </c>
      <c r="AY69" s="70">
        <f>ReviewCalcs[[#This Row],[Control Energy Savings (kWh)]]*kWh_Incentive_Rate</f>
        <v>0</v>
      </c>
      <c r="AZ69" s="70" t="e">
        <f>ReviewCalcs[[#This Row],[Fixture Existing Demand (kW)]]+ReviewCalcs[[#This Row],[Control Existing Demand (kW)]]</f>
        <v>#VALUE!</v>
      </c>
      <c r="BA69" s="70" t="e">
        <f>ReviewCalcs[[#This Row],[Fixture Proposed Demand (kW)]]+ReviewCalcs[[#This Row],[Control Proposed Demand (kW)]]</f>
        <v>#VALUE!</v>
      </c>
      <c r="BB69" s="118">
        <f>ReviewCalcs[[#This Row],[Fixture Demand Savings (kW)]]+ReviewCalcs[[#This Row],[Control Demand Savings (kW)]]</f>
        <v>0</v>
      </c>
      <c r="BC69" s="118">
        <f>ReviewCalcs[[#This Row],[Fixture Existing Energy (kWh)]]+ReviewCalcs[[#This Row],[Control Existing Energy (kWh)]]</f>
        <v>0</v>
      </c>
      <c r="BD69" s="118">
        <f>ReviewCalcs[[#This Row],[Fixture Proposed Energy (kWh)]]+ReviewCalcs[[#This Row],[Control Proposed Energy (kWh)]]</f>
        <v>0</v>
      </c>
      <c r="BE69" s="118">
        <f>ReviewCalcs[[#This Row],[Fixture Energy Savings]]+ReviewCalcs[[#This Row],[Control Energy Savings (kWh)]]</f>
        <v>0</v>
      </c>
      <c r="BF69" s="118">
        <f>ReviewCalcs[[#This Row],[Fixture Existing Cost ($)]]+ReviewCalcs[[#This Row],[Control Existing Cost ($)]]</f>
        <v>0</v>
      </c>
      <c r="BG69" s="118">
        <f>ReviewCalcs[[#This Row],[Fixture Proposed Cost ($)]]+ReviewCalcs[[#This Row],[Controls Proposed Cost ($)]]</f>
        <v>0</v>
      </c>
      <c r="BH69" s="70">
        <f>ReviewCalcs[[#This Row],[Total Energy Savings (kWh)]]*Avg_KWh_Rate</f>
        <v>0</v>
      </c>
      <c r="BI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69" s="70">
        <f>ReviewCalcs[[#This Row],[Retrofit Cost]]</f>
        <v>0</v>
      </c>
      <c r="BK69" s="70">
        <f>ReviewCalcs[[#This Row],[Retrofit Cost]]-ReviewCalcs[[#This Row],[Incentive ($)]]</f>
        <v>0</v>
      </c>
      <c r="BL69" s="118" t="e">
        <f>IFERROR(ReviewCalcs[[#This Row],[Net Project Cost ($)]]/ReviewCalcs[[#This Row],[Fixture Energy Cost Savings ($)]], #N/A)</f>
        <v>#N/A</v>
      </c>
      <c r="BM69" s="118" t="e">
        <f>IF(VLOOKUP(ReviewCalcs[[#This Row],[Existing Fixture Code]], Table7[[FIXTURE CODE]:[Baseline Fixture Code]], 8, FALSE)="N", VLOOKUP(ReviewCalcs[[#This Row],[Existing Fixture Code]], Table7[[FIXTURE CODE]:[Baseline Fixture Code]], 9, FALSE), ReviewCalcs[[#This Row],[Existing Fixture Code]])</f>
        <v>#N/A</v>
      </c>
      <c r="BN69" s="118" t="e">
        <f>INDEX(Table7[WATT/ FIXT], MATCH(ReviewCalcs[Baseline Fixture Code], Table7[FIXTURE CODE], 0))</f>
        <v>#N/A</v>
      </c>
      <c r="BO69" s="118">
        <f>IFERROR((ReviewCalcs[[#This Row],[Existing Fixture Quantity]]*ReviewCalcs[[#This Row],[Baseline Fixture Watts]]/1000-ReviewCalcs[[#This Row],[Proposed Fixture Quantity]]*ReviewCalcs[[#This Row],[Proposed Fixture Watts]]/1000)*ReviewCalcs[[#This Row],[Existing CF]]*ReviewCalcs[[#This Row],[IEFD]], 0)</f>
        <v>0</v>
      </c>
      <c r="BP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69" s="118">
        <f>IF(ReviewCalcs[[#This Row],[Existing CF]]=ReviewCalcs[[#This Row],[Proposed CF]], 0, ReviewCalcs[[#This Row],[Proposed Fixture Quantity]]*ReviewCalcs[[#This Row],[Proposed Fixture Watts]]/1000*ReviewCalcs[[#This Row],[Proposed CF]]*ReviewCalcs[[#This Row],[IEFD]])</f>
        <v>0</v>
      </c>
      <c r="BR69" s="118">
        <f>IFERROR(ReviewCalcs[[#This Row],[Proposed Fixture Quantity]]*ReviewCalcs[[#This Row],[Proposed Fixture Watts]]/1000*(ReviewCalcs[[#This Row],[Existing PAF]]-ReviewCalcs[[#This Row],[Proposed PAF]])*ReviewCalcs[[#This Row],[AOH]]*ReviewCalcs[[#This Row],[IEFE]],0)</f>
        <v>0</v>
      </c>
      <c r="BS69" s="118">
        <f>ReviewCalcs[[#This Row],[Incentive Fixture Demand Savings (kW)]]+ReviewCalcs[[#This Row],[Incentive Control Demand Savings (kW)]]</f>
        <v>0</v>
      </c>
      <c r="BT69" s="118">
        <f>ReviewCalcs[[#This Row],[Incentive Fixture Energy Savings (kWh)]]+ReviewCalcs[[#This Row],[Incentive Control Energy Savings (kWh)]]</f>
        <v>0</v>
      </c>
      <c r="BU69" s="73"/>
    </row>
    <row r="70" spans="1:73" ht="30" customHeight="1">
      <c r="A70" s="68">
        <v>67</v>
      </c>
      <c r="B70" s="96">
        <f>VLOOKUP(ReviewCalcs[[#This Row],[Project Index]], ProjectInput[], D$1, FALSE)</f>
        <v>0</v>
      </c>
      <c r="C70" s="97">
        <f>VLOOKUP(ReviewCalcs[[#This Row],[Project Index]], ProjectInput[], E$1, FALSE)</f>
        <v>0</v>
      </c>
      <c r="D70" s="97">
        <f>VLOOKUP(ReviewCalcs[[#This Row],[Project Index]], ProjectInput[], F$1, FALSE)</f>
        <v>0</v>
      </c>
      <c r="E70" s="97">
        <f>VLOOKUP(ReviewCalcs[[#This Row],[Project Index]], ProjectInput[], G$1, FALSE)</f>
        <v>0</v>
      </c>
      <c r="F70" s="97">
        <f>VLOOKUP(ReviewCalcs[[#This Row],[Project Index]], ProjectInput[], H$1, FALSE)</f>
        <v>0</v>
      </c>
      <c r="G70" s="98" t="str">
        <f>VLOOKUP(ReviewCalcs[[#This Row],[Project Index]], ProjectInput[], I$1, FALSE)</f>
        <v/>
      </c>
      <c r="H70" s="96">
        <f>VLOOKUP(ReviewCalcs[[#This Row],[Project Index]], ProjectInput[], J$1, FALSE)</f>
        <v>0</v>
      </c>
      <c r="I70" s="97">
        <f>VLOOKUP(ReviewCalcs[[#This Row],[Project Index]], ProjectInput[], K$1, FALSE)</f>
        <v>0</v>
      </c>
      <c r="J70" s="97">
        <f>VLOOKUP(ReviewCalcs[[#This Row],[Project Index]], ProjectInput[], L$1, FALSE)</f>
        <v>0</v>
      </c>
      <c r="K70" s="97">
        <f>VLOOKUP(ReviewCalcs[[#This Row],[Project Index]], ProjectInput[], M$1, FALSE)</f>
        <v>0</v>
      </c>
      <c r="L70" s="97">
        <f>VLOOKUP(ReviewCalcs[[#This Row],[Project Index]], ProjectInput[], N$1, FALSE)</f>
        <v>0</v>
      </c>
      <c r="M70" s="98" t="str">
        <f>VLOOKUP(ReviewCalcs[[#This Row],[Project Index]], ProjectInput[], O$1, FALSE)</f>
        <v/>
      </c>
      <c r="N70" s="96">
        <f>VLOOKUP(ReviewCalcs[[#This Row],[Project Index]], ProjectInput[], P$1, FALSE)</f>
        <v>0</v>
      </c>
      <c r="O70" s="97">
        <f>VLOOKUP(ReviewCalcs[[#This Row],[Project Index]], ProjectInput[], Q$1, FALSE)</f>
        <v>0</v>
      </c>
      <c r="P70" s="97">
        <f>VLOOKUP(ReviewCalcs[[#This Row],[Project Index]], ProjectInput[], R$1, FALSE)</f>
        <v>0</v>
      </c>
      <c r="Q70" s="97">
        <f>VLOOKUP(ReviewCalcs[[#This Row],[Project Index]], ProjectInput[], S$1, FALSE)</f>
        <v>0</v>
      </c>
      <c r="R70" s="97">
        <f>VLOOKUP(ReviewCalcs[[#This Row],[Project Index]], ProjectInput[], T$1, FALSE)</f>
        <v>0</v>
      </c>
      <c r="S70" s="97">
        <f>VLOOKUP(ReviewCalcs[[#This Row],[Project Index]], ProjectInput[], U$1, FALSE)</f>
        <v>0</v>
      </c>
      <c r="T70" s="97">
        <f>VLOOKUP(ReviewCalcs[[#This Row],[Project Index]], ProjectInput[], V$1, FALSE)</f>
        <v>0</v>
      </c>
      <c r="U70" s="97">
        <f>VLOOKUP(ReviewCalcs[[#This Row],[Project Index]], ProjectInput[], W$1, FALSE)</f>
        <v>0</v>
      </c>
      <c r="V70" s="98" t="str">
        <f>VLOOKUP(ReviewCalcs[[#This Row],[Project Index]], ProjectInput[], X$1, FALSE)</f>
        <v/>
      </c>
      <c r="W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0" s="75" t="e">
        <f>IF(VLOOKUP(ReviewCalcs[[#This Row],[Proposed Fixture Code]], Table7[[FIXTURE CODE]:[Baseline Fixture Code]], 8, FALSE)="N", "ERROR", "PASS")</f>
        <v>#N/A</v>
      </c>
      <c r="Y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0" s="75" t="e">
        <f>IF(OR(ReviewCalcs[[#This Row],[Baseline Fixture Watts]]&gt;=ReviewCalcs[[#This Row],[Proposed Fixture Watts]],ReviewCalcs[[#This Row],[Existing Fixture Watts]]&gt;=ReviewCalcs[[#This Row],[Proposed Fixture Watts]] ), "PASS", "ERROR")</f>
        <v>#N/A</v>
      </c>
      <c r="AA70" s="69" t="e">
        <f>VLOOKUP(ReviewCalcs[[#This Row],[Space Conditions]], Table_365[], 5, FALSE)</f>
        <v>#N/A</v>
      </c>
      <c r="AB70" s="68" t="str">
        <f>ReviewCalcs[[#This Row],[Annual Hours]]</f>
        <v/>
      </c>
      <c r="AC70" s="68" t="e">
        <f>VLOOKUP(ReviewCalcs[[#This Row],[Space Conditions]], Table_365[], 6, FALSE)</f>
        <v>#N/A</v>
      </c>
      <c r="AD70" s="68">
        <f>IF(ReviewCalcs[[#This Row],[Existing Control(s)]]='Tables &amp; Ranges'!$A$25, VLOOKUP(ReviewCalcs[[#This Row],[Building/Space Type]], Table_364[], 3, FALSE), CF_Contols)</f>
        <v>0.26</v>
      </c>
      <c r="AE70" s="68" t="e">
        <f>VLOOKUP(ReviewCalcs[[#This Row],[Existing Control(s)]], Table_358[], 2, FALSE)</f>
        <v>#N/A</v>
      </c>
      <c r="AF70" s="68">
        <f>IF(ReviewCalcs[[#This Row],[Proposed Control(s)]]='Tables &amp; Ranges'!$A$25, VLOOKUP(ReviewCalcs[[#This Row],[Building/Space Type]], Table_364[], 3, FALSE), CF_Contols)</f>
        <v>0.26</v>
      </c>
      <c r="AG70" s="68" t="e">
        <f>VLOOKUP(ReviewCalcs[[#This Row],[Proposed Control(s)]], Table_358[], 2, FALSE)</f>
        <v>#N/A</v>
      </c>
      <c r="AH70" s="68">
        <f>IFERROR((ReviewCalcs[[#This Row],[Existing Fixture Quantity]]*ReviewCalcs[[#This Row],[Existing Fixture Watts]]/1000)*ReviewCalcs[[#This Row],[Existing CF]]*ReviewCalcs[[#This Row],[IEFD]], 0)</f>
        <v>0</v>
      </c>
      <c r="AI70" s="68">
        <f>IFERROR((ReviewCalcs[[#This Row],[Proposed Fixture Quantity]]*ReviewCalcs[[#This Row],[Proposed Fixture Watts]]/1000)*ReviewCalcs[[#This Row],[Existing CF]]*ReviewCalcs[[#This Row],[IEFD]], 0)</f>
        <v>0</v>
      </c>
      <c r="AJ70" s="118">
        <f>IFERROR((ReviewCalcs[[#This Row],[Existing Fixture Quantity]]*ReviewCalcs[[#This Row],[Existing Fixture Watts]]/1000-ReviewCalcs[[#This Row],[Proposed Fixture Quantity]]*ReviewCalcs[[#This Row],[Proposed Fixture Watts]]/1000)*ReviewCalcs[[#This Row],[Existing CF]]*ReviewCalcs[[#This Row],[IEFD]], 0)</f>
        <v>0</v>
      </c>
      <c r="AK70" s="118">
        <f>IFERROR((ReviewCalcs[[#This Row],[Existing Fixture Quantity]]*ReviewCalcs[[#This Row],[Existing Fixture Watts]]/1000)*ReviewCalcs[[#This Row],[AOH]]*ReviewCalcs[[#This Row],[IEFE]]*ReviewCalcs[[#This Row],[Existing PAF]], 0)</f>
        <v>0</v>
      </c>
      <c r="AL70" s="118">
        <f>IFERROR((ReviewCalcs[[#This Row],[Proposed Fixture Quantity]]*ReviewCalcs[[#This Row],[Proposed Fixture Watts]]/1000)*ReviewCalcs[[#This Row],[AOH]]*ReviewCalcs[[#This Row],[IEFE]]*ReviewCalcs[[#This Row],[Existing PAF]], 0)</f>
        <v>0</v>
      </c>
      <c r="AM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0" s="118">
        <f>ReviewCalcs[[#This Row],[Fixture Existing Energy (kWh)]]*Avg_KWh_Rate</f>
        <v>0</v>
      </c>
      <c r="AO70" s="118">
        <f>ReviewCalcs[[#This Row],[Fixture Proposed Energy (kWh)]]*Avg_KWh_Rate</f>
        <v>0</v>
      </c>
      <c r="AP70" s="70">
        <f>ReviewCalcs[[#This Row],[Fixture Energy Savings]]*Avg_KWh_Rate</f>
        <v>0</v>
      </c>
      <c r="AQ70" s="129" t="e">
        <f>ReviewCalcs[[#This Row],[Existing Fixture Quantity]]*ReviewCalcs[[#This Row],[Existing Fixture Watts]]/1000*ReviewCalcs[[#This Row],[Existing CF]]*ReviewCalcs[[#This Row],[IEFD]]</f>
        <v>#VALUE!</v>
      </c>
      <c r="AR70" s="129" t="e">
        <f>ReviewCalcs[[#This Row],[Proposed Fixture Quantity]]*ReviewCalcs[[#This Row],[Proposed Fixture Watts]]/1000*ReviewCalcs[[#This Row],[Proposed CF]]*ReviewCalcs[[#This Row],[IEFD]]</f>
        <v>#VALUE!</v>
      </c>
      <c r="AS70" s="118">
        <f>IF(ReviewCalcs[[#This Row],[Existing CF]]=ReviewCalcs[[#This Row],[Proposed CF]], 0, ReviewCalcs[[#This Row],[Proposed Fixture Quantity]]*ReviewCalcs[[#This Row],[Proposed Fixture Watts]]/1000*ReviewCalcs[[#This Row],[Proposed CF]]*ReviewCalcs[[#This Row],[IEFD]])</f>
        <v>0</v>
      </c>
      <c r="AT70" s="118">
        <f>IFERROR(ReviewCalcs[[#This Row],[Existing Fixture Quantity]]*ReviewCalcs[[#This Row],[Existing Fixture Watts]]/1000*ReviewCalcs[[#This Row],[Existing PAF]]*ReviewCalcs[[#This Row],[AOH]]*ReviewCalcs[[#This Row],[IEFE]], 0)</f>
        <v>0</v>
      </c>
      <c r="AU70" s="118">
        <f>IFERROR(ReviewCalcs[[#This Row],[Proposed Fixture Quantity]]*ReviewCalcs[[#This Row],[Proposed Fixture Watts]]/1000*ReviewCalcs[[#This Row],[Proposed PAF]]*ReviewCalcs[[#This Row],[AOH]]*ReviewCalcs[[#This Row],[IEFE]], 0)</f>
        <v>0</v>
      </c>
      <c r="AV70" s="118">
        <f>IFERROR(ReviewCalcs[[#This Row],[Proposed Fixture Quantity]]*ReviewCalcs[[#This Row],[Proposed Fixture Watts]]/1000*(ReviewCalcs[[#This Row],[Existing PAF]]-ReviewCalcs[[#This Row],[Proposed PAF]])*ReviewCalcs[[#This Row],[AOH]]*ReviewCalcs[[#This Row],[IEFE]], 0)</f>
        <v>0</v>
      </c>
      <c r="AW70" s="118">
        <f>ReviewCalcs[[#This Row],[Control Existing Energy (kWh)]]*kWh_Incentive_Rate</f>
        <v>0</v>
      </c>
      <c r="AX70" s="118">
        <f>ReviewCalcs[[#This Row],[Control Proposed Energy (kWh)]]*kWh_Incentive_Rate</f>
        <v>0</v>
      </c>
      <c r="AY70" s="70">
        <f>ReviewCalcs[[#This Row],[Control Energy Savings (kWh)]]*kWh_Incentive_Rate</f>
        <v>0</v>
      </c>
      <c r="AZ70" s="70" t="e">
        <f>ReviewCalcs[[#This Row],[Fixture Existing Demand (kW)]]+ReviewCalcs[[#This Row],[Control Existing Demand (kW)]]</f>
        <v>#VALUE!</v>
      </c>
      <c r="BA70" s="70" t="e">
        <f>ReviewCalcs[[#This Row],[Fixture Proposed Demand (kW)]]+ReviewCalcs[[#This Row],[Control Proposed Demand (kW)]]</f>
        <v>#VALUE!</v>
      </c>
      <c r="BB70" s="118">
        <f>ReviewCalcs[[#This Row],[Fixture Demand Savings (kW)]]+ReviewCalcs[[#This Row],[Control Demand Savings (kW)]]</f>
        <v>0</v>
      </c>
      <c r="BC70" s="118">
        <f>ReviewCalcs[[#This Row],[Fixture Existing Energy (kWh)]]+ReviewCalcs[[#This Row],[Control Existing Energy (kWh)]]</f>
        <v>0</v>
      </c>
      <c r="BD70" s="118">
        <f>ReviewCalcs[[#This Row],[Fixture Proposed Energy (kWh)]]+ReviewCalcs[[#This Row],[Control Proposed Energy (kWh)]]</f>
        <v>0</v>
      </c>
      <c r="BE70" s="118">
        <f>ReviewCalcs[[#This Row],[Fixture Energy Savings]]+ReviewCalcs[[#This Row],[Control Energy Savings (kWh)]]</f>
        <v>0</v>
      </c>
      <c r="BF70" s="118">
        <f>ReviewCalcs[[#This Row],[Fixture Existing Cost ($)]]+ReviewCalcs[[#This Row],[Control Existing Cost ($)]]</f>
        <v>0</v>
      </c>
      <c r="BG70" s="118">
        <f>ReviewCalcs[[#This Row],[Fixture Proposed Cost ($)]]+ReviewCalcs[[#This Row],[Controls Proposed Cost ($)]]</f>
        <v>0</v>
      </c>
      <c r="BH70" s="70">
        <f>ReviewCalcs[[#This Row],[Total Energy Savings (kWh)]]*Avg_KWh_Rate</f>
        <v>0</v>
      </c>
      <c r="BI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0" s="70">
        <f>ReviewCalcs[[#This Row],[Retrofit Cost]]</f>
        <v>0</v>
      </c>
      <c r="BK70" s="70">
        <f>ReviewCalcs[[#This Row],[Retrofit Cost]]-ReviewCalcs[[#This Row],[Incentive ($)]]</f>
        <v>0</v>
      </c>
      <c r="BL70" s="118" t="e">
        <f>IFERROR(ReviewCalcs[[#This Row],[Net Project Cost ($)]]/ReviewCalcs[[#This Row],[Fixture Energy Cost Savings ($)]], #N/A)</f>
        <v>#N/A</v>
      </c>
      <c r="BM70" s="118" t="e">
        <f>IF(VLOOKUP(ReviewCalcs[[#This Row],[Existing Fixture Code]], Table7[[FIXTURE CODE]:[Baseline Fixture Code]], 8, FALSE)="N", VLOOKUP(ReviewCalcs[[#This Row],[Existing Fixture Code]], Table7[[FIXTURE CODE]:[Baseline Fixture Code]], 9, FALSE), ReviewCalcs[[#This Row],[Existing Fixture Code]])</f>
        <v>#N/A</v>
      </c>
      <c r="BN70" s="118" t="e">
        <f>INDEX(Table7[WATT/ FIXT], MATCH(ReviewCalcs[Baseline Fixture Code], Table7[FIXTURE CODE], 0))</f>
        <v>#N/A</v>
      </c>
      <c r="BO70" s="118">
        <f>IFERROR((ReviewCalcs[[#This Row],[Existing Fixture Quantity]]*ReviewCalcs[[#This Row],[Baseline Fixture Watts]]/1000-ReviewCalcs[[#This Row],[Proposed Fixture Quantity]]*ReviewCalcs[[#This Row],[Proposed Fixture Watts]]/1000)*ReviewCalcs[[#This Row],[Existing CF]]*ReviewCalcs[[#This Row],[IEFD]], 0)</f>
        <v>0</v>
      </c>
      <c r="BP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0" s="118">
        <f>IF(ReviewCalcs[[#This Row],[Existing CF]]=ReviewCalcs[[#This Row],[Proposed CF]], 0, ReviewCalcs[[#This Row],[Proposed Fixture Quantity]]*ReviewCalcs[[#This Row],[Proposed Fixture Watts]]/1000*ReviewCalcs[[#This Row],[Proposed CF]]*ReviewCalcs[[#This Row],[IEFD]])</f>
        <v>0</v>
      </c>
      <c r="BR70" s="118">
        <f>IFERROR(ReviewCalcs[[#This Row],[Proposed Fixture Quantity]]*ReviewCalcs[[#This Row],[Proposed Fixture Watts]]/1000*(ReviewCalcs[[#This Row],[Existing PAF]]-ReviewCalcs[[#This Row],[Proposed PAF]])*ReviewCalcs[[#This Row],[AOH]]*ReviewCalcs[[#This Row],[IEFE]],0)</f>
        <v>0</v>
      </c>
      <c r="BS70" s="118">
        <f>ReviewCalcs[[#This Row],[Incentive Fixture Demand Savings (kW)]]+ReviewCalcs[[#This Row],[Incentive Control Demand Savings (kW)]]</f>
        <v>0</v>
      </c>
      <c r="BT70" s="118">
        <f>ReviewCalcs[[#This Row],[Incentive Fixture Energy Savings (kWh)]]+ReviewCalcs[[#This Row],[Incentive Control Energy Savings (kWh)]]</f>
        <v>0</v>
      </c>
      <c r="BU70" s="73"/>
    </row>
    <row r="71" spans="1:73" ht="30" customHeight="1">
      <c r="A71" s="68">
        <v>68</v>
      </c>
      <c r="B71" s="96">
        <f>VLOOKUP(ReviewCalcs[[#This Row],[Project Index]], ProjectInput[], D$1, FALSE)</f>
        <v>0</v>
      </c>
      <c r="C71" s="97">
        <f>VLOOKUP(ReviewCalcs[[#This Row],[Project Index]], ProjectInput[], E$1, FALSE)</f>
        <v>0</v>
      </c>
      <c r="D71" s="97">
        <f>VLOOKUP(ReviewCalcs[[#This Row],[Project Index]], ProjectInput[], F$1, FALSE)</f>
        <v>0</v>
      </c>
      <c r="E71" s="97">
        <f>VLOOKUP(ReviewCalcs[[#This Row],[Project Index]], ProjectInput[], G$1, FALSE)</f>
        <v>0</v>
      </c>
      <c r="F71" s="97">
        <f>VLOOKUP(ReviewCalcs[[#This Row],[Project Index]], ProjectInput[], H$1, FALSE)</f>
        <v>0</v>
      </c>
      <c r="G71" s="98" t="str">
        <f>VLOOKUP(ReviewCalcs[[#This Row],[Project Index]], ProjectInput[], I$1, FALSE)</f>
        <v/>
      </c>
      <c r="H71" s="96">
        <f>VLOOKUP(ReviewCalcs[[#This Row],[Project Index]], ProjectInput[], J$1, FALSE)</f>
        <v>0</v>
      </c>
      <c r="I71" s="97">
        <f>VLOOKUP(ReviewCalcs[[#This Row],[Project Index]], ProjectInput[], K$1, FALSE)</f>
        <v>0</v>
      </c>
      <c r="J71" s="97">
        <f>VLOOKUP(ReviewCalcs[[#This Row],[Project Index]], ProjectInput[], L$1, FALSE)</f>
        <v>0</v>
      </c>
      <c r="K71" s="97">
        <f>VLOOKUP(ReviewCalcs[[#This Row],[Project Index]], ProjectInput[], M$1, FALSE)</f>
        <v>0</v>
      </c>
      <c r="L71" s="97">
        <f>VLOOKUP(ReviewCalcs[[#This Row],[Project Index]], ProjectInput[], N$1, FALSE)</f>
        <v>0</v>
      </c>
      <c r="M71" s="98" t="str">
        <f>VLOOKUP(ReviewCalcs[[#This Row],[Project Index]], ProjectInput[], O$1, FALSE)</f>
        <v/>
      </c>
      <c r="N71" s="96">
        <f>VLOOKUP(ReviewCalcs[[#This Row],[Project Index]], ProjectInput[], P$1, FALSE)</f>
        <v>0</v>
      </c>
      <c r="O71" s="97">
        <f>VLOOKUP(ReviewCalcs[[#This Row],[Project Index]], ProjectInput[], Q$1, FALSE)</f>
        <v>0</v>
      </c>
      <c r="P71" s="97">
        <f>VLOOKUP(ReviewCalcs[[#This Row],[Project Index]], ProjectInput[], R$1, FALSE)</f>
        <v>0</v>
      </c>
      <c r="Q71" s="97">
        <f>VLOOKUP(ReviewCalcs[[#This Row],[Project Index]], ProjectInput[], S$1, FALSE)</f>
        <v>0</v>
      </c>
      <c r="R71" s="97">
        <f>VLOOKUP(ReviewCalcs[[#This Row],[Project Index]], ProjectInput[], T$1, FALSE)</f>
        <v>0</v>
      </c>
      <c r="S71" s="97">
        <f>VLOOKUP(ReviewCalcs[[#This Row],[Project Index]], ProjectInput[], U$1, FALSE)</f>
        <v>0</v>
      </c>
      <c r="T71" s="97">
        <f>VLOOKUP(ReviewCalcs[[#This Row],[Project Index]], ProjectInput[], V$1, FALSE)</f>
        <v>0</v>
      </c>
      <c r="U71" s="97">
        <f>VLOOKUP(ReviewCalcs[[#This Row],[Project Index]], ProjectInput[], W$1, FALSE)</f>
        <v>0</v>
      </c>
      <c r="V71" s="98" t="str">
        <f>VLOOKUP(ReviewCalcs[[#This Row],[Project Index]], ProjectInput[], X$1, FALSE)</f>
        <v/>
      </c>
      <c r="W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1" s="75" t="e">
        <f>IF(VLOOKUP(ReviewCalcs[[#This Row],[Proposed Fixture Code]], Table7[[FIXTURE CODE]:[Baseline Fixture Code]], 8, FALSE)="N", "ERROR", "PASS")</f>
        <v>#N/A</v>
      </c>
      <c r="Y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1" s="75" t="e">
        <f>IF(OR(ReviewCalcs[[#This Row],[Baseline Fixture Watts]]&gt;=ReviewCalcs[[#This Row],[Proposed Fixture Watts]],ReviewCalcs[[#This Row],[Existing Fixture Watts]]&gt;=ReviewCalcs[[#This Row],[Proposed Fixture Watts]] ), "PASS", "ERROR")</f>
        <v>#N/A</v>
      </c>
      <c r="AA71" s="69" t="e">
        <f>VLOOKUP(ReviewCalcs[[#This Row],[Space Conditions]], Table_365[], 5, FALSE)</f>
        <v>#N/A</v>
      </c>
      <c r="AB71" s="68" t="str">
        <f>ReviewCalcs[[#This Row],[Annual Hours]]</f>
        <v/>
      </c>
      <c r="AC71" s="68" t="e">
        <f>VLOOKUP(ReviewCalcs[[#This Row],[Space Conditions]], Table_365[], 6, FALSE)</f>
        <v>#N/A</v>
      </c>
      <c r="AD71" s="68">
        <f>IF(ReviewCalcs[[#This Row],[Existing Control(s)]]='Tables &amp; Ranges'!$A$25, VLOOKUP(ReviewCalcs[[#This Row],[Building/Space Type]], Table_364[], 3, FALSE), CF_Contols)</f>
        <v>0.26</v>
      </c>
      <c r="AE71" s="68" t="e">
        <f>VLOOKUP(ReviewCalcs[[#This Row],[Existing Control(s)]], Table_358[], 2, FALSE)</f>
        <v>#N/A</v>
      </c>
      <c r="AF71" s="68">
        <f>IF(ReviewCalcs[[#This Row],[Proposed Control(s)]]='Tables &amp; Ranges'!$A$25, VLOOKUP(ReviewCalcs[[#This Row],[Building/Space Type]], Table_364[], 3, FALSE), CF_Contols)</f>
        <v>0.26</v>
      </c>
      <c r="AG71" s="68" t="e">
        <f>VLOOKUP(ReviewCalcs[[#This Row],[Proposed Control(s)]], Table_358[], 2, FALSE)</f>
        <v>#N/A</v>
      </c>
      <c r="AH71" s="68">
        <f>IFERROR((ReviewCalcs[[#This Row],[Existing Fixture Quantity]]*ReviewCalcs[[#This Row],[Existing Fixture Watts]]/1000)*ReviewCalcs[[#This Row],[Existing CF]]*ReviewCalcs[[#This Row],[IEFD]], 0)</f>
        <v>0</v>
      </c>
      <c r="AI71" s="68">
        <f>IFERROR((ReviewCalcs[[#This Row],[Proposed Fixture Quantity]]*ReviewCalcs[[#This Row],[Proposed Fixture Watts]]/1000)*ReviewCalcs[[#This Row],[Existing CF]]*ReviewCalcs[[#This Row],[IEFD]], 0)</f>
        <v>0</v>
      </c>
      <c r="AJ71" s="118">
        <f>IFERROR((ReviewCalcs[[#This Row],[Existing Fixture Quantity]]*ReviewCalcs[[#This Row],[Existing Fixture Watts]]/1000-ReviewCalcs[[#This Row],[Proposed Fixture Quantity]]*ReviewCalcs[[#This Row],[Proposed Fixture Watts]]/1000)*ReviewCalcs[[#This Row],[Existing CF]]*ReviewCalcs[[#This Row],[IEFD]], 0)</f>
        <v>0</v>
      </c>
      <c r="AK71" s="118">
        <f>IFERROR((ReviewCalcs[[#This Row],[Existing Fixture Quantity]]*ReviewCalcs[[#This Row],[Existing Fixture Watts]]/1000)*ReviewCalcs[[#This Row],[AOH]]*ReviewCalcs[[#This Row],[IEFE]]*ReviewCalcs[[#This Row],[Existing PAF]], 0)</f>
        <v>0</v>
      </c>
      <c r="AL71" s="118">
        <f>IFERROR((ReviewCalcs[[#This Row],[Proposed Fixture Quantity]]*ReviewCalcs[[#This Row],[Proposed Fixture Watts]]/1000)*ReviewCalcs[[#This Row],[AOH]]*ReviewCalcs[[#This Row],[IEFE]]*ReviewCalcs[[#This Row],[Existing PAF]], 0)</f>
        <v>0</v>
      </c>
      <c r="AM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1" s="118">
        <f>ReviewCalcs[[#This Row],[Fixture Existing Energy (kWh)]]*Avg_KWh_Rate</f>
        <v>0</v>
      </c>
      <c r="AO71" s="118">
        <f>ReviewCalcs[[#This Row],[Fixture Proposed Energy (kWh)]]*Avg_KWh_Rate</f>
        <v>0</v>
      </c>
      <c r="AP71" s="70">
        <f>ReviewCalcs[[#This Row],[Fixture Energy Savings]]*Avg_KWh_Rate</f>
        <v>0</v>
      </c>
      <c r="AQ71" s="129" t="e">
        <f>ReviewCalcs[[#This Row],[Existing Fixture Quantity]]*ReviewCalcs[[#This Row],[Existing Fixture Watts]]/1000*ReviewCalcs[[#This Row],[Existing CF]]*ReviewCalcs[[#This Row],[IEFD]]</f>
        <v>#VALUE!</v>
      </c>
      <c r="AR71" s="129" t="e">
        <f>ReviewCalcs[[#This Row],[Proposed Fixture Quantity]]*ReviewCalcs[[#This Row],[Proposed Fixture Watts]]/1000*ReviewCalcs[[#This Row],[Proposed CF]]*ReviewCalcs[[#This Row],[IEFD]]</f>
        <v>#VALUE!</v>
      </c>
      <c r="AS71" s="118">
        <f>IF(ReviewCalcs[[#This Row],[Existing CF]]=ReviewCalcs[[#This Row],[Proposed CF]], 0, ReviewCalcs[[#This Row],[Proposed Fixture Quantity]]*ReviewCalcs[[#This Row],[Proposed Fixture Watts]]/1000*ReviewCalcs[[#This Row],[Proposed CF]]*ReviewCalcs[[#This Row],[IEFD]])</f>
        <v>0</v>
      </c>
      <c r="AT71" s="118">
        <f>IFERROR(ReviewCalcs[[#This Row],[Existing Fixture Quantity]]*ReviewCalcs[[#This Row],[Existing Fixture Watts]]/1000*ReviewCalcs[[#This Row],[Existing PAF]]*ReviewCalcs[[#This Row],[AOH]]*ReviewCalcs[[#This Row],[IEFE]], 0)</f>
        <v>0</v>
      </c>
      <c r="AU71" s="118">
        <f>IFERROR(ReviewCalcs[[#This Row],[Proposed Fixture Quantity]]*ReviewCalcs[[#This Row],[Proposed Fixture Watts]]/1000*ReviewCalcs[[#This Row],[Proposed PAF]]*ReviewCalcs[[#This Row],[AOH]]*ReviewCalcs[[#This Row],[IEFE]], 0)</f>
        <v>0</v>
      </c>
      <c r="AV71" s="118">
        <f>IFERROR(ReviewCalcs[[#This Row],[Proposed Fixture Quantity]]*ReviewCalcs[[#This Row],[Proposed Fixture Watts]]/1000*(ReviewCalcs[[#This Row],[Existing PAF]]-ReviewCalcs[[#This Row],[Proposed PAF]])*ReviewCalcs[[#This Row],[AOH]]*ReviewCalcs[[#This Row],[IEFE]], 0)</f>
        <v>0</v>
      </c>
      <c r="AW71" s="118">
        <f>ReviewCalcs[[#This Row],[Control Existing Energy (kWh)]]*kWh_Incentive_Rate</f>
        <v>0</v>
      </c>
      <c r="AX71" s="118">
        <f>ReviewCalcs[[#This Row],[Control Proposed Energy (kWh)]]*kWh_Incentive_Rate</f>
        <v>0</v>
      </c>
      <c r="AY71" s="70">
        <f>ReviewCalcs[[#This Row],[Control Energy Savings (kWh)]]*kWh_Incentive_Rate</f>
        <v>0</v>
      </c>
      <c r="AZ71" s="70" t="e">
        <f>ReviewCalcs[[#This Row],[Fixture Existing Demand (kW)]]+ReviewCalcs[[#This Row],[Control Existing Demand (kW)]]</f>
        <v>#VALUE!</v>
      </c>
      <c r="BA71" s="70" t="e">
        <f>ReviewCalcs[[#This Row],[Fixture Proposed Demand (kW)]]+ReviewCalcs[[#This Row],[Control Proposed Demand (kW)]]</f>
        <v>#VALUE!</v>
      </c>
      <c r="BB71" s="118">
        <f>ReviewCalcs[[#This Row],[Fixture Demand Savings (kW)]]+ReviewCalcs[[#This Row],[Control Demand Savings (kW)]]</f>
        <v>0</v>
      </c>
      <c r="BC71" s="118">
        <f>ReviewCalcs[[#This Row],[Fixture Existing Energy (kWh)]]+ReviewCalcs[[#This Row],[Control Existing Energy (kWh)]]</f>
        <v>0</v>
      </c>
      <c r="BD71" s="118">
        <f>ReviewCalcs[[#This Row],[Fixture Proposed Energy (kWh)]]+ReviewCalcs[[#This Row],[Control Proposed Energy (kWh)]]</f>
        <v>0</v>
      </c>
      <c r="BE71" s="118">
        <f>ReviewCalcs[[#This Row],[Fixture Energy Savings]]+ReviewCalcs[[#This Row],[Control Energy Savings (kWh)]]</f>
        <v>0</v>
      </c>
      <c r="BF71" s="118">
        <f>ReviewCalcs[[#This Row],[Fixture Existing Cost ($)]]+ReviewCalcs[[#This Row],[Control Existing Cost ($)]]</f>
        <v>0</v>
      </c>
      <c r="BG71" s="118">
        <f>ReviewCalcs[[#This Row],[Fixture Proposed Cost ($)]]+ReviewCalcs[[#This Row],[Controls Proposed Cost ($)]]</f>
        <v>0</v>
      </c>
      <c r="BH71" s="70">
        <f>ReviewCalcs[[#This Row],[Total Energy Savings (kWh)]]*Avg_KWh_Rate</f>
        <v>0</v>
      </c>
      <c r="BI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1" s="70">
        <f>ReviewCalcs[[#This Row],[Retrofit Cost]]</f>
        <v>0</v>
      </c>
      <c r="BK71" s="70">
        <f>ReviewCalcs[[#This Row],[Retrofit Cost]]-ReviewCalcs[[#This Row],[Incentive ($)]]</f>
        <v>0</v>
      </c>
      <c r="BL71" s="118" t="e">
        <f>IFERROR(ReviewCalcs[[#This Row],[Net Project Cost ($)]]/ReviewCalcs[[#This Row],[Fixture Energy Cost Savings ($)]], #N/A)</f>
        <v>#N/A</v>
      </c>
      <c r="BM71" s="118" t="e">
        <f>IF(VLOOKUP(ReviewCalcs[[#This Row],[Existing Fixture Code]], Table7[[FIXTURE CODE]:[Baseline Fixture Code]], 8, FALSE)="N", VLOOKUP(ReviewCalcs[[#This Row],[Existing Fixture Code]], Table7[[FIXTURE CODE]:[Baseline Fixture Code]], 9, FALSE), ReviewCalcs[[#This Row],[Existing Fixture Code]])</f>
        <v>#N/A</v>
      </c>
      <c r="BN71" s="118" t="e">
        <f>INDEX(Table7[WATT/ FIXT], MATCH(ReviewCalcs[Baseline Fixture Code], Table7[FIXTURE CODE], 0))</f>
        <v>#N/A</v>
      </c>
      <c r="BO71" s="118">
        <f>IFERROR((ReviewCalcs[[#This Row],[Existing Fixture Quantity]]*ReviewCalcs[[#This Row],[Baseline Fixture Watts]]/1000-ReviewCalcs[[#This Row],[Proposed Fixture Quantity]]*ReviewCalcs[[#This Row],[Proposed Fixture Watts]]/1000)*ReviewCalcs[[#This Row],[Existing CF]]*ReviewCalcs[[#This Row],[IEFD]], 0)</f>
        <v>0</v>
      </c>
      <c r="BP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1" s="118">
        <f>IF(ReviewCalcs[[#This Row],[Existing CF]]=ReviewCalcs[[#This Row],[Proposed CF]], 0, ReviewCalcs[[#This Row],[Proposed Fixture Quantity]]*ReviewCalcs[[#This Row],[Proposed Fixture Watts]]/1000*ReviewCalcs[[#This Row],[Proposed CF]]*ReviewCalcs[[#This Row],[IEFD]])</f>
        <v>0</v>
      </c>
      <c r="BR71" s="118">
        <f>IFERROR(ReviewCalcs[[#This Row],[Proposed Fixture Quantity]]*ReviewCalcs[[#This Row],[Proposed Fixture Watts]]/1000*(ReviewCalcs[[#This Row],[Existing PAF]]-ReviewCalcs[[#This Row],[Proposed PAF]])*ReviewCalcs[[#This Row],[AOH]]*ReviewCalcs[[#This Row],[IEFE]],0)</f>
        <v>0</v>
      </c>
      <c r="BS71" s="118">
        <f>ReviewCalcs[[#This Row],[Incentive Fixture Demand Savings (kW)]]+ReviewCalcs[[#This Row],[Incentive Control Demand Savings (kW)]]</f>
        <v>0</v>
      </c>
      <c r="BT71" s="118">
        <f>ReviewCalcs[[#This Row],[Incentive Fixture Energy Savings (kWh)]]+ReviewCalcs[[#This Row],[Incentive Control Energy Savings (kWh)]]</f>
        <v>0</v>
      </c>
      <c r="BU71" s="73"/>
    </row>
    <row r="72" spans="1:73" ht="30" customHeight="1">
      <c r="A72" s="68">
        <v>69</v>
      </c>
      <c r="B72" s="96">
        <f>VLOOKUP(ReviewCalcs[[#This Row],[Project Index]], ProjectInput[], D$1, FALSE)</f>
        <v>0</v>
      </c>
      <c r="C72" s="97">
        <f>VLOOKUP(ReviewCalcs[[#This Row],[Project Index]], ProjectInput[], E$1, FALSE)</f>
        <v>0</v>
      </c>
      <c r="D72" s="97">
        <f>VLOOKUP(ReviewCalcs[[#This Row],[Project Index]], ProjectInput[], F$1, FALSE)</f>
        <v>0</v>
      </c>
      <c r="E72" s="97">
        <f>VLOOKUP(ReviewCalcs[[#This Row],[Project Index]], ProjectInput[], G$1, FALSE)</f>
        <v>0</v>
      </c>
      <c r="F72" s="97">
        <f>VLOOKUP(ReviewCalcs[[#This Row],[Project Index]], ProjectInput[], H$1, FALSE)</f>
        <v>0</v>
      </c>
      <c r="G72" s="98" t="str">
        <f>VLOOKUP(ReviewCalcs[[#This Row],[Project Index]], ProjectInput[], I$1, FALSE)</f>
        <v/>
      </c>
      <c r="H72" s="96">
        <f>VLOOKUP(ReviewCalcs[[#This Row],[Project Index]], ProjectInput[], J$1, FALSE)</f>
        <v>0</v>
      </c>
      <c r="I72" s="97">
        <f>VLOOKUP(ReviewCalcs[[#This Row],[Project Index]], ProjectInput[], K$1, FALSE)</f>
        <v>0</v>
      </c>
      <c r="J72" s="97">
        <f>VLOOKUP(ReviewCalcs[[#This Row],[Project Index]], ProjectInput[], L$1, FALSE)</f>
        <v>0</v>
      </c>
      <c r="K72" s="97">
        <f>VLOOKUP(ReviewCalcs[[#This Row],[Project Index]], ProjectInput[], M$1, FALSE)</f>
        <v>0</v>
      </c>
      <c r="L72" s="97">
        <f>VLOOKUP(ReviewCalcs[[#This Row],[Project Index]], ProjectInput[], N$1, FALSE)</f>
        <v>0</v>
      </c>
      <c r="M72" s="98" t="str">
        <f>VLOOKUP(ReviewCalcs[[#This Row],[Project Index]], ProjectInput[], O$1, FALSE)</f>
        <v/>
      </c>
      <c r="N72" s="96">
        <f>VLOOKUP(ReviewCalcs[[#This Row],[Project Index]], ProjectInput[], P$1, FALSE)</f>
        <v>0</v>
      </c>
      <c r="O72" s="97">
        <f>VLOOKUP(ReviewCalcs[[#This Row],[Project Index]], ProjectInput[], Q$1, FALSE)</f>
        <v>0</v>
      </c>
      <c r="P72" s="97">
        <f>VLOOKUP(ReviewCalcs[[#This Row],[Project Index]], ProjectInput[], R$1, FALSE)</f>
        <v>0</v>
      </c>
      <c r="Q72" s="97">
        <f>VLOOKUP(ReviewCalcs[[#This Row],[Project Index]], ProjectInput[], S$1, FALSE)</f>
        <v>0</v>
      </c>
      <c r="R72" s="97">
        <f>VLOOKUP(ReviewCalcs[[#This Row],[Project Index]], ProjectInput[], T$1, FALSE)</f>
        <v>0</v>
      </c>
      <c r="S72" s="97">
        <f>VLOOKUP(ReviewCalcs[[#This Row],[Project Index]], ProjectInput[], U$1, FALSE)</f>
        <v>0</v>
      </c>
      <c r="T72" s="97">
        <f>VLOOKUP(ReviewCalcs[[#This Row],[Project Index]], ProjectInput[], V$1, FALSE)</f>
        <v>0</v>
      </c>
      <c r="U72" s="97">
        <f>VLOOKUP(ReviewCalcs[[#This Row],[Project Index]], ProjectInput[], W$1, FALSE)</f>
        <v>0</v>
      </c>
      <c r="V72" s="98" t="str">
        <f>VLOOKUP(ReviewCalcs[[#This Row],[Project Index]], ProjectInput[], X$1, FALSE)</f>
        <v/>
      </c>
      <c r="W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2" s="75" t="e">
        <f>IF(VLOOKUP(ReviewCalcs[[#This Row],[Proposed Fixture Code]], Table7[[FIXTURE CODE]:[Baseline Fixture Code]], 8, FALSE)="N", "ERROR", "PASS")</f>
        <v>#N/A</v>
      </c>
      <c r="Y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2" s="75" t="e">
        <f>IF(OR(ReviewCalcs[[#This Row],[Baseline Fixture Watts]]&gt;=ReviewCalcs[[#This Row],[Proposed Fixture Watts]],ReviewCalcs[[#This Row],[Existing Fixture Watts]]&gt;=ReviewCalcs[[#This Row],[Proposed Fixture Watts]] ), "PASS", "ERROR")</f>
        <v>#N/A</v>
      </c>
      <c r="AA72" s="69" t="e">
        <f>VLOOKUP(ReviewCalcs[[#This Row],[Space Conditions]], Table_365[], 5, FALSE)</f>
        <v>#N/A</v>
      </c>
      <c r="AB72" s="68" t="str">
        <f>ReviewCalcs[[#This Row],[Annual Hours]]</f>
        <v/>
      </c>
      <c r="AC72" s="68" t="e">
        <f>VLOOKUP(ReviewCalcs[[#This Row],[Space Conditions]], Table_365[], 6, FALSE)</f>
        <v>#N/A</v>
      </c>
      <c r="AD72" s="68">
        <f>IF(ReviewCalcs[[#This Row],[Existing Control(s)]]='Tables &amp; Ranges'!$A$25, VLOOKUP(ReviewCalcs[[#This Row],[Building/Space Type]], Table_364[], 3, FALSE), CF_Contols)</f>
        <v>0.26</v>
      </c>
      <c r="AE72" s="68" t="e">
        <f>VLOOKUP(ReviewCalcs[[#This Row],[Existing Control(s)]], Table_358[], 2, FALSE)</f>
        <v>#N/A</v>
      </c>
      <c r="AF72" s="68">
        <f>IF(ReviewCalcs[[#This Row],[Proposed Control(s)]]='Tables &amp; Ranges'!$A$25, VLOOKUP(ReviewCalcs[[#This Row],[Building/Space Type]], Table_364[], 3, FALSE), CF_Contols)</f>
        <v>0.26</v>
      </c>
      <c r="AG72" s="68" t="e">
        <f>VLOOKUP(ReviewCalcs[[#This Row],[Proposed Control(s)]], Table_358[], 2, FALSE)</f>
        <v>#N/A</v>
      </c>
      <c r="AH72" s="68">
        <f>IFERROR((ReviewCalcs[[#This Row],[Existing Fixture Quantity]]*ReviewCalcs[[#This Row],[Existing Fixture Watts]]/1000)*ReviewCalcs[[#This Row],[Existing CF]]*ReviewCalcs[[#This Row],[IEFD]], 0)</f>
        <v>0</v>
      </c>
      <c r="AI72" s="68">
        <f>IFERROR((ReviewCalcs[[#This Row],[Proposed Fixture Quantity]]*ReviewCalcs[[#This Row],[Proposed Fixture Watts]]/1000)*ReviewCalcs[[#This Row],[Existing CF]]*ReviewCalcs[[#This Row],[IEFD]], 0)</f>
        <v>0</v>
      </c>
      <c r="AJ72" s="118">
        <f>IFERROR((ReviewCalcs[[#This Row],[Existing Fixture Quantity]]*ReviewCalcs[[#This Row],[Existing Fixture Watts]]/1000-ReviewCalcs[[#This Row],[Proposed Fixture Quantity]]*ReviewCalcs[[#This Row],[Proposed Fixture Watts]]/1000)*ReviewCalcs[[#This Row],[Existing CF]]*ReviewCalcs[[#This Row],[IEFD]], 0)</f>
        <v>0</v>
      </c>
      <c r="AK72" s="118">
        <f>IFERROR((ReviewCalcs[[#This Row],[Existing Fixture Quantity]]*ReviewCalcs[[#This Row],[Existing Fixture Watts]]/1000)*ReviewCalcs[[#This Row],[AOH]]*ReviewCalcs[[#This Row],[IEFE]]*ReviewCalcs[[#This Row],[Existing PAF]], 0)</f>
        <v>0</v>
      </c>
      <c r="AL72" s="118">
        <f>IFERROR((ReviewCalcs[[#This Row],[Proposed Fixture Quantity]]*ReviewCalcs[[#This Row],[Proposed Fixture Watts]]/1000)*ReviewCalcs[[#This Row],[AOH]]*ReviewCalcs[[#This Row],[IEFE]]*ReviewCalcs[[#This Row],[Existing PAF]], 0)</f>
        <v>0</v>
      </c>
      <c r="AM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2" s="118">
        <f>ReviewCalcs[[#This Row],[Fixture Existing Energy (kWh)]]*Avg_KWh_Rate</f>
        <v>0</v>
      </c>
      <c r="AO72" s="118">
        <f>ReviewCalcs[[#This Row],[Fixture Proposed Energy (kWh)]]*Avg_KWh_Rate</f>
        <v>0</v>
      </c>
      <c r="AP72" s="70">
        <f>ReviewCalcs[[#This Row],[Fixture Energy Savings]]*Avg_KWh_Rate</f>
        <v>0</v>
      </c>
      <c r="AQ72" s="129" t="e">
        <f>ReviewCalcs[[#This Row],[Existing Fixture Quantity]]*ReviewCalcs[[#This Row],[Existing Fixture Watts]]/1000*ReviewCalcs[[#This Row],[Existing CF]]*ReviewCalcs[[#This Row],[IEFD]]</f>
        <v>#VALUE!</v>
      </c>
      <c r="AR72" s="129" t="e">
        <f>ReviewCalcs[[#This Row],[Proposed Fixture Quantity]]*ReviewCalcs[[#This Row],[Proposed Fixture Watts]]/1000*ReviewCalcs[[#This Row],[Proposed CF]]*ReviewCalcs[[#This Row],[IEFD]]</f>
        <v>#VALUE!</v>
      </c>
      <c r="AS72" s="118">
        <f>IF(ReviewCalcs[[#This Row],[Existing CF]]=ReviewCalcs[[#This Row],[Proposed CF]], 0, ReviewCalcs[[#This Row],[Proposed Fixture Quantity]]*ReviewCalcs[[#This Row],[Proposed Fixture Watts]]/1000*ReviewCalcs[[#This Row],[Proposed CF]]*ReviewCalcs[[#This Row],[IEFD]])</f>
        <v>0</v>
      </c>
      <c r="AT72" s="118">
        <f>IFERROR(ReviewCalcs[[#This Row],[Existing Fixture Quantity]]*ReviewCalcs[[#This Row],[Existing Fixture Watts]]/1000*ReviewCalcs[[#This Row],[Existing PAF]]*ReviewCalcs[[#This Row],[AOH]]*ReviewCalcs[[#This Row],[IEFE]], 0)</f>
        <v>0</v>
      </c>
      <c r="AU72" s="118">
        <f>IFERROR(ReviewCalcs[[#This Row],[Proposed Fixture Quantity]]*ReviewCalcs[[#This Row],[Proposed Fixture Watts]]/1000*ReviewCalcs[[#This Row],[Proposed PAF]]*ReviewCalcs[[#This Row],[AOH]]*ReviewCalcs[[#This Row],[IEFE]], 0)</f>
        <v>0</v>
      </c>
      <c r="AV72" s="118">
        <f>IFERROR(ReviewCalcs[[#This Row],[Proposed Fixture Quantity]]*ReviewCalcs[[#This Row],[Proposed Fixture Watts]]/1000*(ReviewCalcs[[#This Row],[Existing PAF]]-ReviewCalcs[[#This Row],[Proposed PAF]])*ReviewCalcs[[#This Row],[AOH]]*ReviewCalcs[[#This Row],[IEFE]], 0)</f>
        <v>0</v>
      </c>
      <c r="AW72" s="118">
        <f>ReviewCalcs[[#This Row],[Control Existing Energy (kWh)]]*kWh_Incentive_Rate</f>
        <v>0</v>
      </c>
      <c r="AX72" s="118">
        <f>ReviewCalcs[[#This Row],[Control Proposed Energy (kWh)]]*kWh_Incentive_Rate</f>
        <v>0</v>
      </c>
      <c r="AY72" s="70">
        <f>ReviewCalcs[[#This Row],[Control Energy Savings (kWh)]]*kWh_Incentive_Rate</f>
        <v>0</v>
      </c>
      <c r="AZ72" s="70" t="e">
        <f>ReviewCalcs[[#This Row],[Fixture Existing Demand (kW)]]+ReviewCalcs[[#This Row],[Control Existing Demand (kW)]]</f>
        <v>#VALUE!</v>
      </c>
      <c r="BA72" s="70" t="e">
        <f>ReviewCalcs[[#This Row],[Fixture Proposed Demand (kW)]]+ReviewCalcs[[#This Row],[Control Proposed Demand (kW)]]</f>
        <v>#VALUE!</v>
      </c>
      <c r="BB72" s="118">
        <f>ReviewCalcs[[#This Row],[Fixture Demand Savings (kW)]]+ReviewCalcs[[#This Row],[Control Demand Savings (kW)]]</f>
        <v>0</v>
      </c>
      <c r="BC72" s="118">
        <f>ReviewCalcs[[#This Row],[Fixture Existing Energy (kWh)]]+ReviewCalcs[[#This Row],[Control Existing Energy (kWh)]]</f>
        <v>0</v>
      </c>
      <c r="BD72" s="118">
        <f>ReviewCalcs[[#This Row],[Fixture Proposed Energy (kWh)]]+ReviewCalcs[[#This Row],[Control Proposed Energy (kWh)]]</f>
        <v>0</v>
      </c>
      <c r="BE72" s="118">
        <f>ReviewCalcs[[#This Row],[Fixture Energy Savings]]+ReviewCalcs[[#This Row],[Control Energy Savings (kWh)]]</f>
        <v>0</v>
      </c>
      <c r="BF72" s="118">
        <f>ReviewCalcs[[#This Row],[Fixture Existing Cost ($)]]+ReviewCalcs[[#This Row],[Control Existing Cost ($)]]</f>
        <v>0</v>
      </c>
      <c r="BG72" s="118">
        <f>ReviewCalcs[[#This Row],[Fixture Proposed Cost ($)]]+ReviewCalcs[[#This Row],[Controls Proposed Cost ($)]]</f>
        <v>0</v>
      </c>
      <c r="BH72" s="70">
        <f>ReviewCalcs[[#This Row],[Total Energy Savings (kWh)]]*Avg_KWh_Rate</f>
        <v>0</v>
      </c>
      <c r="BI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2" s="70">
        <f>ReviewCalcs[[#This Row],[Retrofit Cost]]</f>
        <v>0</v>
      </c>
      <c r="BK72" s="70">
        <f>ReviewCalcs[[#This Row],[Retrofit Cost]]-ReviewCalcs[[#This Row],[Incentive ($)]]</f>
        <v>0</v>
      </c>
      <c r="BL72" s="118" t="e">
        <f>IFERROR(ReviewCalcs[[#This Row],[Net Project Cost ($)]]/ReviewCalcs[[#This Row],[Fixture Energy Cost Savings ($)]], #N/A)</f>
        <v>#N/A</v>
      </c>
      <c r="BM72" s="118" t="e">
        <f>IF(VLOOKUP(ReviewCalcs[[#This Row],[Existing Fixture Code]], Table7[[FIXTURE CODE]:[Baseline Fixture Code]], 8, FALSE)="N", VLOOKUP(ReviewCalcs[[#This Row],[Existing Fixture Code]], Table7[[FIXTURE CODE]:[Baseline Fixture Code]], 9, FALSE), ReviewCalcs[[#This Row],[Existing Fixture Code]])</f>
        <v>#N/A</v>
      </c>
      <c r="BN72" s="118" t="e">
        <f>INDEX(Table7[WATT/ FIXT], MATCH(ReviewCalcs[Baseline Fixture Code], Table7[FIXTURE CODE], 0))</f>
        <v>#N/A</v>
      </c>
      <c r="BO72" s="118">
        <f>IFERROR((ReviewCalcs[[#This Row],[Existing Fixture Quantity]]*ReviewCalcs[[#This Row],[Baseline Fixture Watts]]/1000-ReviewCalcs[[#This Row],[Proposed Fixture Quantity]]*ReviewCalcs[[#This Row],[Proposed Fixture Watts]]/1000)*ReviewCalcs[[#This Row],[Existing CF]]*ReviewCalcs[[#This Row],[IEFD]], 0)</f>
        <v>0</v>
      </c>
      <c r="BP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2" s="118">
        <f>IF(ReviewCalcs[[#This Row],[Existing CF]]=ReviewCalcs[[#This Row],[Proposed CF]], 0, ReviewCalcs[[#This Row],[Proposed Fixture Quantity]]*ReviewCalcs[[#This Row],[Proposed Fixture Watts]]/1000*ReviewCalcs[[#This Row],[Proposed CF]]*ReviewCalcs[[#This Row],[IEFD]])</f>
        <v>0</v>
      </c>
      <c r="BR72" s="118">
        <f>IFERROR(ReviewCalcs[[#This Row],[Proposed Fixture Quantity]]*ReviewCalcs[[#This Row],[Proposed Fixture Watts]]/1000*(ReviewCalcs[[#This Row],[Existing PAF]]-ReviewCalcs[[#This Row],[Proposed PAF]])*ReviewCalcs[[#This Row],[AOH]]*ReviewCalcs[[#This Row],[IEFE]],0)</f>
        <v>0</v>
      </c>
      <c r="BS72" s="118">
        <f>ReviewCalcs[[#This Row],[Incentive Fixture Demand Savings (kW)]]+ReviewCalcs[[#This Row],[Incentive Control Demand Savings (kW)]]</f>
        <v>0</v>
      </c>
      <c r="BT72" s="118">
        <f>ReviewCalcs[[#This Row],[Incentive Fixture Energy Savings (kWh)]]+ReviewCalcs[[#This Row],[Incentive Control Energy Savings (kWh)]]</f>
        <v>0</v>
      </c>
      <c r="BU72" s="73"/>
    </row>
    <row r="73" spans="1:73" ht="30" customHeight="1">
      <c r="A73" s="68">
        <v>70</v>
      </c>
      <c r="B73" s="96">
        <f>VLOOKUP(ReviewCalcs[[#This Row],[Project Index]], ProjectInput[], D$1, FALSE)</f>
        <v>0</v>
      </c>
      <c r="C73" s="97">
        <f>VLOOKUP(ReviewCalcs[[#This Row],[Project Index]], ProjectInput[], E$1, FALSE)</f>
        <v>0</v>
      </c>
      <c r="D73" s="97">
        <f>VLOOKUP(ReviewCalcs[[#This Row],[Project Index]], ProjectInput[], F$1, FALSE)</f>
        <v>0</v>
      </c>
      <c r="E73" s="97">
        <f>VLOOKUP(ReviewCalcs[[#This Row],[Project Index]], ProjectInput[], G$1, FALSE)</f>
        <v>0</v>
      </c>
      <c r="F73" s="97">
        <f>VLOOKUP(ReviewCalcs[[#This Row],[Project Index]], ProjectInput[], H$1, FALSE)</f>
        <v>0</v>
      </c>
      <c r="G73" s="98" t="str">
        <f>VLOOKUP(ReviewCalcs[[#This Row],[Project Index]], ProjectInput[], I$1, FALSE)</f>
        <v/>
      </c>
      <c r="H73" s="96">
        <f>VLOOKUP(ReviewCalcs[[#This Row],[Project Index]], ProjectInput[], J$1, FALSE)</f>
        <v>0</v>
      </c>
      <c r="I73" s="97">
        <f>VLOOKUP(ReviewCalcs[[#This Row],[Project Index]], ProjectInput[], K$1, FALSE)</f>
        <v>0</v>
      </c>
      <c r="J73" s="97">
        <f>VLOOKUP(ReviewCalcs[[#This Row],[Project Index]], ProjectInput[], L$1, FALSE)</f>
        <v>0</v>
      </c>
      <c r="K73" s="97">
        <f>VLOOKUP(ReviewCalcs[[#This Row],[Project Index]], ProjectInput[], M$1, FALSE)</f>
        <v>0</v>
      </c>
      <c r="L73" s="97">
        <f>VLOOKUP(ReviewCalcs[[#This Row],[Project Index]], ProjectInput[], N$1, FALSE)</f>
        <v>0</v>
      </c>
      <c r="M73" s="98" t="str">
        <f>VLOOKUP(ReviewCalcs[[#This Row],[Project Index]], ProjectInput[], O$1, FALSE)</f>
        <v/>
      </c>
      <c r="N73" s="96">
        <f>VLOOKUP(ReviewCalcs[[#This Row],[Project Index]], ProjectInput[], P$1, FALSE)</f>
        <v>0</v>
      </c>
      <c r="O73" s="97">
        <f>VLOOKUP(ReviewCalcs[[#This Row],[Project Index]], ProjectInput[], Q$1, FALSE)</f>
        <v>0</v>
      </c>
      <c r="P73" s="97">
        <f>VLOOKUP(ReviewCalcs[[#This Row],[Project Index]], ProjectInput[], R$1, FALSE)</f>
        <v>0</v>
      </c>
      <c r="Q73" s="97">
        <f>VLOOKUP(ReviewCalcs[[#This Row],[Project Index]], ProjectInput[], S$1, FALSE)</f>
        <v>0</v>
      </c>
      <c r="R73" s="97">
        <f>VLOOKUP(ReviewCalcs[[#This Row],[Project Index]], ProjectInput[], T$1, FALSE)</f>
        <v>0</v>
      </c>
      <c r="S73" s="97">
        <f>VLOOKUP(ReviewCalcs[[#This Row],[Project Index]], ProjectInput[], U$1, FALSE)</f>
        <v>0</v>
      </c>
      <c r="T73" s="97">
        <f>VLOOKUP(ReviewCalcs[[#This Row],[Project Index]], ProjectInput[], V$1, FALSE)</f>
        <v>0</v>
      </c>
      <c r="U73" s="97">
        <f>VLOOKUP(ReviewCalcs[[#This Row],[Project Index]], ProjectInput[], W$1, FALSE)</f>
        <v>0</v>
      </c>
      <c r="V73" s="98" t="str">
        <f>VLOOKUP(ReviewCalcs[[#This Row],[Project Index]], ProjectInput[], X$1, FALSE)</f>
        <v/>
      </c>
      <c r="W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3" s="75" t="e">
        <f>IF(VLOOKUP(ReviewCalcs[[#This Row],[Proposed Fixture Code]], Table7[[FIXTURE CODE]:[Baseline Fixture Code]], 8, FALSE)="N", "ERROR", "PASS")</f>
        <v>#N/A</v>
      </c>
      <c r="Y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3" s="75" t="e">
        <f>IF(OR(ReviewCalcs[[#This Row],[Baseline Fixture Watts]]&gt;=ReviewCalcs[[#This Row],[Proposed Fixture Watts]],ReviewCalcs[[#This Row],[Existing Fixture Watts]]&gt;=ReviewCalcs[[#This Row],[Proposed Fixture Watts]] ), "PASS", "ERROR")</f>
        <v>#N/A</v>
      </c>
      <c r="AA73" s="69" t="e">
        <f>VLOOKUP(ReviewCalcs[[#This Row],[Space Conditions]], Table_365[], 5, FALSE)</f>
        <v>#N/A</v>
      </c>
      <c r="AB73" s="68" t="str">
        <f>ReviewCalcs[[#This Row],[Annual Hours]]</f>
        <v/>
      </c>
      <c r="AC73" s="68" t="e">
        <f>VLOOKUP(ReviewCalcs[[#This Row],[Space Conditions]], Table_365[], 6, FALSE)</f>
        <v>#N/A</v>
      </c>
      <c r="AD73" s="68">
        <f>IF(ReviewCalcs[[#This Row],[Existing Control(s)]]='Tables &amp; Ranges'!$A$25, VLOOKUP(ReviewCalcs[[#This Row],[Building/Space Type]], Table_364[], 3, FALSE), CF_Contols)</f>
        <v>0.26</v>
      </c>
      <c r="AE73" s="68" t="e">
        <f>VLOOKUP(ReviewCalcs[[#This Row],[Existing Control(s)]], Table_358[], 2, FALSE)</f>
        <v>#N/A</v>
      </c>
      <c r="AF73" s="68">
        <f>IF(ReviewCalcs[[#This Row],[Proposed Control(s)]]='Tables &amp; Ranges'!$A$25, VLOOKUP(ReviewCalcs[[#This Row],[Building/Space Type]], Table_364[], 3, FALSE), CF_Contols)</f>
        <v>0.26</v>
      </c>
      <c r="AG73" s="68" t="e">
        <f>VLOOKUP(ReviewCalcs[[#This Row],[Proposed Control(s)]], Table_358[], 2, FALSE)</f>
        <v>#N/A</v>
      </c>
      <c r="AH73" s="68">
        <f>IFERROR((ReviewCalcs[[#This Row],[Existing Fixture Quantity]]*ReviewCalcs[[#This Row],[Existing Fixture Watts]]/1000)*ReviewCalcs[[#This Row],[Existing CF]]*ReviewCalcs[[#This Row],[IEFD]], 0)</f>
        <v>0</v>
      </c>
      <c r="AI73" s="68">
        <f>IFERROR((ReviewCalcs[[#This Row],[Proposed Fixture Quantity]]*ReviewCalcs[[#This Row],[Proposed Fixture Watts]]/1000)*ReviewCalcs[[#This Row],[Existing CF]]*ReviewCalcs[[#This Row],[IEFD]], 0)</f>
        <v>0</v>
      </c>
      <c r="AJ73" s="118">
        <f>IFERROR((ReviewCalcs[[#This Row],[Existing Fixture Quantity]]*ReviewCalcs[[#This Row],[Existing Fixture Watts]]/1000-ReviewCalcs[[#This Row],[Proposed Fixture Quantity]]*ReviewCalcs[[#This Row],[Proposed Fixture Watts]]/1000)*ReviewCalcs[[#This Row],[Existing CF]]*ReviewCalcs[[#This Row],[IEFD]], 0)</f>
        <v>0</v>
      </c>
      <c r="AK73" s="118">
        <f>IFERROR((ReviewCalcs[[#This Row],[Existing Fixture Quantity]]*ReviewCalcs[[#This Row],[Existing Fixture Watts]]/1000)*ReviewCalcs[[#This Row],[AOH]]*ReviewCalcs[[#This Row],[IEFE]]*ReviewCalcs[[#This Row],[Existing PAF]], 0)</f>
        <v>0</v>
      </c>
      <c r="AL73" s="118">
        <f>IFERROR((ReviewCalcs[[#This Row],[Proposed Fixture Quantity]]*ReviewCalcs[[#This Row],[Proposed Fixture Watts]]/1000)*ReviewCalcs[[#This Row],[AOH]]*ReviewCalcs[[#This Row],[IEFE]]*ReviewCalcs[[#This Row],[Existing PAF]], 0)</f>
        <v>0</v>
      </c>
      <c r="AM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3" s="118">
        <f>ReviewCalcs[[#This Row],[Fixture Existing Energy (kWh)]]*Avg_KWh_Rate</f>
        <v>0</v>
      </c>
      <c r="AO73" s="118">
        <f>ReviewCalcs[[#This Row],[Fixture Proposed Energy (kWh)]]*Avg_KWh_Rate</f>
        <v>0</v>
      </c>
      <c r="AP73" s="70">
        <f>ReviewCalcs[[#This Row],[Fixture Energy Savings]]*Avg_KWh_Rate</f>
        <v>0</v>
      </c>
      <c r="AQ73" s="129" t="e">
        <f>ReviewCalcs[[#This Row],[Existing Fixture Quantity]]*ReviewCalcs[[#This Row],[Existing Fixture Watts]]/1000*ReviewCalcs[[#This Row],[Existing CF]]*ReviewCalcs[[#This Row],[IEFD]]</f>
        <v>#VALUE!</v>
      </c>
      <c r="AR73" s="129" t="e">
        <f>ReviewCalcs[[#This Row],[Proposed Fixture Quantity]]*ReviewCalcs[[#This Row],[Proposed Fixture Watts]]/1000*ReviewCalcs[[#This Row],[Proposed CF]]*ReviewCalcs[[#This Row],[IEFD]]</f>
        <v>#VALUE!</v>
      </c>
      <c r="AS73" s="118">
        <f>IF(ReviewCalcs[[#This Row],[Existing CF]]=ReviewCalcs[[#This Row],[Proposed CF]], 0, ReviewCalcs[[#This Row],[Proposed Fixture Quantity]]*ReviewCalcs[[#This Row],[Proposed Fixture Watts]]/1000*ReviewCalcs[[#This Row],[Proposed CF]]*ReviewCalcs[[#This Row],[IEFD]])</f>
        <v>0</v>
      </c>
      <c r="AT73" s="118">
        <f>IFERROR(ReviewCalcs[[#This Row],[Existing Fixture Quantity]]*ReviewCalcs[[#This Row],[Existing Fixture Watts]]/1000*ReviewCalcs[[#This Row],[Existing PAF]]*ReviewCalcs[[#This Row],[AOH]]*ReviewCalcs[[#This Row],[IEFE]], 0)</f>
        <v>0</v>
      </c>
      <c r="AU73" s="118">
        <f>IFERROR(ReviewCalcs[[#This Row],[Proposed Fixture Quantity]]*ReviewCalcs[[#This Row],[Proposed Fixture Watts]]/1000*ReviewCalcs[[#This Row],[Proposed PAF]]*ReviewCalcs[[#This Row],[AOH]]*ReviewCalcs[[#This Row],[IEFE]], 0)</f>
        <v>0</v>
      </c>
      <c r="AV73" s="118">
        <f>IFERROR(ReviewCalcs[[#This Row],[Proposed Fixture Quantity]]*ReviewCalcs[[#This Row],[Proposed Fixture Watts]]/1000*(ReviewCalcs[[#This Row],[Existing PAF]]-ReviewCalcs[[#This Row],[Proposed PAF]])*ReviewCalcs[[#This Row],[AOH]]*ReviewCalcs[[#This Row],[IEFE]], 0)</f>
        <v>0</v>
      </c>
      <c r="AW73" s="118">
        <f>ReviewCalcs[[#This Row],[Control Existing Energy (kWh)]]*kWh_Incentive_Rate</f>
        <v>0</v>
      </c>
      <c r="AX73" s="118">
        <f>ReviewCalcs[[#This Row],[Control Proposed Energy (kWh)]]*kWh_Incentive_Rate</f>
        <v>0</v>
      </c>
      <c r="AY73" s="70">
        <f>ReviewCalcs[[#This Row],[Control Energy Savings (kWh)]]*kWh_Incentive_Rate</f>
        <v>0</v>
      </c>
      <c r="AZ73" s="70" t="e">
        <f>ReviewCalcs[[#This Row],[Fixture Existing Demand (kW)]]+ReviewCalcs[[#This Row],[Control Existing Demand (kW)]]</f>
        <v>#VALUE!</v>
      </c>
      <c r="BA73" s="70" t="e">
        <f>ReviewCalcs[[#This Row],[Fixture Proposed Demand (kW)]]+ReviewCalcs[[#This Row],[Control Proposed Demand (kW)]]</f>
        <v>#VALUE!</v>
      </c>
      <c r="BB73" s="118">
        <f>ReviewCalcs[[#This Row],[Fixture Demand Savings (kW)]]+ReviewCalcs[[#This Row],[Control Demand Savings (kW)]]</f>
        <v>0</v>
      </c>
      <c r="BC73" s="118">
        <f>ReviewCalcs[[#This Row],[Fixture Existing Energy (kWh)]]+ReviewCalcs[[#This Row],[Control Existing Energy (kWh)]]</f>
        <v>0</v>
      </c>
      <c r="BD73" s="118">
        <f>ReviewCalcs[[#This Row],[Fixture Proposed Energy (kWh)]]+ReviewCalcs[[#This Row],[Control Proposed Energy (kWh)]]</f>
        <v>0</v>
      </c>
      <c r="BE73" s="118">
        <f>ReviewCalcs[[#This Row],[Fixture Energy Savings]]+ReviewCalcs[[#This Row],[Control Energy Savings (kWh)]]</f>
        <v>0</v>
      </c>
      <c r="BF73" s="118">
        <f>ReviewCalcs[[#This Row],[Fixture Existing Cost ($)]]+ReviewCalcs[[#This Row],[Control Existing Cost ($)]]</f>
        <v>0</v>
      </c>
      <c r="BG73" s="118">
        <f>ReviewCalcs[[#This Row],[Fixture Proposed Cost ($)]]+ReviewCalcs[[#This Row],[Controls Proposed Cost ($)]]</f>
        <v>0</v>
      </c>
      <c r="BH73" s="70">
        <f>ReviewCalcs[[#This Row],[Total Energy Savings (kWh)]]*Avg_KWh_Rate</f>
        <v>0</v>
      </c>
      <c r="BI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3" s="70">
        <f>ReviewCalcs[[#This Row],[Retrofit Cost]]</f>
        <v>0</v>
      </c>
      <c r="BK73" s="70">
        <f>ReviewCalcs[[#This Row],[Retrofit Cost]]-ReviewCalcs[[#This Row],[Incentive ($)]]</f>
        <v>0</v>
      </c>
      <c r="BL73" s="118" t="e">
        <f>IFERROR(ReviewCalcs[[#This Row],[Net Project Cost ($)]]/ReviewCalcs[[#This Row],[Fixture Energy Cost Savings ($)]], #N/A)</f>
        <v>#N/A</v>
      </c>
      <c r="BM73" s="118" t="e">
        <f>IF(VLOOKUP(ReviewCalcs[[#This Row],[Existing Fixture Code]], Table7[[FIXTURE CODE]:[Baseline Fixture Code]], 8, FALSE)="N", VLOOKUP(ReviewCalcs[[#This Row],[Existing Fixture Code]], Table7[[FIXTURE CODE]:[Baseline Fixture Code]], 9, FALSE), ReviewCalcs[[#This Row],[Existing Fixture Code]])</f>
        <v>#N/A</v>
      </c>
      <c r="BN73" s="118" t="e">
        <f>INDEX(Table7[WATT/ FIXT], MATCH(ReviewCalcs[Baseline Fixture Code], Table7[FIXTURE CODE], 0))</f>
        <v>#N/A</v>
      </c>
      <c r="BO73" s="118">
        <f>IFERROR((ReviewCalcs[[#This Row],[Existing Fixture Quantity]]*ReviewCalcs[[#This Row],[Baseline Fixture Watts]]/1000-ReviewCalcs[[#This Row],[Proposed Fixture Quantity]]*ReviewCalcs[[#This Row],[Proposed Fixture Watts]]/1000)*ReviewCalcs[[#This Row],[Existing CF]]*ReviewCalcs[[#This Row],[IEFD]], 0)</f>
        <v>0</v>
      </c>
      <c r="BP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3" s="118">
        <f>IF(ReviewCalcs[[#This Row],[Existing CF]]=ReviewCalcs[[#This Row],[Proposed CF]], 0, ReviewCalcs[[#This Row],[Proposed Fixture Quantity]]*ReviewCalcs[[#This Row],[Proposed Fixture Watts]]/1000*ReviewCalcs[[#This Row],[Proposed CF]]*ReviewCalcs[[#This Row],[IEFD]])</f>
        <v>0</v>
      </c>
      <c r="BR73" s="118">
        <f>IFERROR(ReviewCalcs[[#This Row],[Proposed Fixture Quantity]]*ReviewCalcs[[#This Row],[Proposed Fixture Watts]]/1000*(ReviewCalcs[[#This Row],[Existing PAF]]-ReviewCalcs[[#This Row],[Proposed PAF]])*ReviewCalcs[[#This Row],[AOH]]*ReviewCalcs[[#This Row],[IEFE]],0)</f>
        <v>0</v>
      </c>
      <c r="BS73" s="118">
        <f>ReviewCalcs[[#This Row],[Incentive Fixture Demand Savings (kW)]]+ReviewCalcs[[#This Row],[Incentive Control Demand Savings (kW)]]</f>
        <v>0</v>
      </c>
      <c r="BT73" s="118">
        <f>ReviewCalcs[[#This Row],[Incentive Fixture Energy Savings (kWh)]]+ReviewCalcs[[#This Row],[Incentive Control Energy Savings (kWh)]]</f>
        <v>0</v>
      </c>
      <c r="BU73" s="73"/>
    </row>
    <row r="74" spans="1:73" ht="30" customHeight="1">
      <c r="A74" s="68">
        <v>71</v>
      </c>
      <c r="B74" s="96">
        <f>VLOOKUP(ReviewCalcs[[#This Row],[Project Index]], ProjectInput[], D$1, FALSE)</f>
        <v>0</v>
      </c>
      <c r="C74" s="97">
        <f>VLOOKUP(ReviewCalcs[[#This Row],[Project Index]], ProjectInput[], E$1, FALSE)</f>
        <v>0</v>
      </c>
      <c r="D74" s="97">
        <f>VLOOKUP(ReviewCalcs[[#This Row],[Project Index]], ProjectInput[], F$1, FALSE)</f>
        <v>0</v>
      </c>
      <c r="E74" s="97">
        <f>VLOOKUP(ReviewCalcs[[#This Row],[Project Index]], ProjectInput[], G$1, FALSE)</f>
        <v>0</v>
      </c>
      <c r="F74" s="97">
        <f>VLOOKUP(ReviewCalcs[[#This Row],[Project Index]], ProjectInput[], H$1, FALSE)</f>
        <v>0</v>
      </c>
      <c r="G74" s="98" t="str">
        <f>VLOOKUP(ReviewCalcs[[#This Row],[Project Index]], ProjectInput[], I$1, FALSE)</f>
        <v/>
      </c>
      <c r="H74" s="96">
        <f>VLOOKUP(ReviewCalcs[[#This Row],[Project Index]], ProjectInput[], J$1, FALSE)</f>
        <v>0</v>
      </c>
      <c r="I74" s="97">
        <f>VLOOKUP(ReviewCalcs[[#This Row],[Project Index]], ProjectInput[], K$1, FALSE)</f>
        <v>0</v>
      </c>
      <c r="J74" s="97">
        <f>VLOOKUP(ReviewCalcs[[#This Row],[Project Index]], ProjectInput[], L$1, FALSE)</f>
        <v>0</v>
      </c>
      <c r="K74" s="97">
        <f>VLOOKUP(ReviewCalcs[[#This Row],[Project Index]], ProjectInput[], M$1, FALSE)</f>
        <v>0</v>
      </c>
      <c r="L74" s="97">
        <f>VLOOKUP(ReviewCalcs[[#This Row],[Project Index]], ProjectInput[], N$1, FALSE)</f>
        <v>0</v>
      </c>
      <c r="M74" s="98" t="str">
        <f>VLOOKUP(ReviewCalcs[[#This Row],[Project Index]], ProjectInput[], O$1, FALSE)</f>
        <v/>
      </c>
      <c r="N74" s="96">
        <f>VLOOKUP(ReviewCalcs[[#This Row],[Project Index]], ProjectInput[], P$1, FALSE)</f>
        <v>0</v>
      </c>
      <c r="O74" s="97">
        <f>VLOOKUP(ReviewCalcs[[#This Row],[Project Index]], ProjectInput[], Q$1, FALSE)</f>
        <v>0</v>
      </c>
      <c r="P74" s="97">
        <f>VLOOKUP(ReviewCalcs[[#This Row],[Project Index]], ProjectInput[], R$1, FALSE)</f>
        <v>0</v>
      </c>
      <c r="Q74" s="97">
        <f>VLOOKUP(ReviewCalcs[[#This Row],[Project Index]], ProjectInput[], S$1, FALSE)</f>
        <v>0</v>
      </c>
      <c r="R74" s="97">
        <f>VLOOKUP(ReviewCalcs[[#This Row],[Project Index]], ProjectInput[], T$1, FALSE)</f>
        <v>0</v>
      </c>
      <c r="S74" s="97">
        <f>VLOOKUP(ReviewCalcs[[#This Row],[Project Index]], ProjectInput[], U$1, FALSE)</f>
        <v>0</v>
      </c>
      <c r="T74" s="97">
        <f>VLOOKUP(ReviewCalcs[[#This Row],[Project Index]], ProjectInput[], V$1, FALSE)</f>
        <v>0</v>
      </c>
      <c r="U74" s="97">
        <f>VLOOKUP(ReviewCalcs[[#This Row],[Project Index]], ProjectInput[], W$1, FALSE)</f>
        <v>0</v>
      </c>
      <c r="V74" s="98" t="str">
        <f>VLOOKUP(ReviewCalcs[[#This Row],[Project Index]], ProjectInput[], X$1, FALSE)</f>
        <v/>
      </c>
      <c r="W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4" s="75" t="e">
        <f>IF(VLOOKUP(ReviewCalcs[[#This Row],[Proposed Fixture Code]], Table7[[FIXTURE CODE]:[Baseline Fixture Code]], 8, FALSE)="N", "ERROR", "PASS")</f>
        <v>#N/A</v>
      </c>
      <c r="Y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4" s="75" t="e">
        <f>IF(OR(ReviewCalcs[[#This Row],[Baseline Fixture Watts]]&gt;=ReviewCalcs[[#This Row],[Proposed Fixture Watts]],ReviewCalcs[[#This Row],[Existing Fixture Watts]]&gt;=ReviewCalcs[[#This Row],[Proposed Fixture Watts]] ), "PASS", "ERROR")</f>
        <v>#N/A</v>
      </c>
      <c r="AA74" s="69" t="e">
        <f>VLOOKUP(ReviewCalcs[[#This Row],[Space Conditions]], Table_365[], 5, FALSE)</f>
        <v>#N/A</v>
      </c>
      <c r="AB74" s="68" t="str">
        <f>ReviewCalcs[[#This Row],[Annual Hours]]</f>
        <v/>
      </c>
      <c r="AC74" s="68" t="e">
        <f>VLOOKUP(ReviewCalcs[[#This Row],[Space Conditions]], Table_365[], 6, FALSE)</f>
        <v>#N/A</v>
      </c>
      <c r="AD74" s="68">
        <f>IF(ReviewCalcs[[#This Row],[Existing Control(s)]]='Tables &amp; Ranges'!$A$25, VLOOKUP(ReviewCalcs[[#This Row],[Building/Space Type]], Table_364[], 3, FALSE), CF_Contols)</f>
        <v>0.26</v>
      </c>
      <c r="AE74" s="68" t="e">
        <f>VLOOKUP(ReviewCalcs[[#This Row],[Existing Control(s)]], Table_358[], 2, FALSE)</f>
        <v>#N/A</v>
      </c>
      <c r="AF74" s="68">
        <f>IF(ReviewCalcs[[#This Row],[Proposed Control(s)]]='Tables &amp; Ranges'!$A$25, VLOOKUP(ReviewCalcs[[#This Row],[Building/Space Type]], Table_364[], 3, FALSE), CF_Contols)</f>
        <v>0.26</v>
      </c>
      <c r="AG74" s="68" t="e">
        <f>VLOOKUP(ReviewCalcs[[#This Row],[Proposed Control(s)]], Table_358[], 2, FALSE)</f>
        <v>#N/A</v>
      </c>
      <c r="AH74" s="68">
        <f>IFERROR((ReviewCalcs[[#This Row],[Existing Fixture Quantity]]*ReviewCalcs[[#This Row],[Existing Fixture Watts]]/1000)*ReviewCalcs[[#This Row],[Existing CF]]*ReviewCalcs[[#This Row],[IEFD]], 0)</f>
        <v>0</v>
      </c>
      <c r="AI74" s="68">
        <f>IFERROR((ReviewCalcs[[#This Row],[Proposed Fixture Quantity]]*ReviewCalcs[[#This Row],[Proposed Fixture Watts]]/1000)*ReviewCalcs[[#This Row],[Existing CF]]*ReviewCalcs[[#This Row],[IEFD]], 0)</f>
        <v>0</v>
      </c>
      <c r="AJ74" s="118">
        <f>IFERROR((ReviewCalcs[[#This Row],[Existing Fixture Quantity]]*ReviewCalcs[[#This Row],[Existing Fixture Watts]]/1000-ReviewCalcs[[#This Row],[Proposed Fixture Quantity]]*ReviewCalcs[[#This Row],[Proposed Fixture Watts]]/1000)*ReviewCalcs[[#This Row],[Existing CF]]*ReviewCalcs[[#This Row],[IEFD]], 0)</f>
        <v>0</v>
      </c>
      <c r="AK74" s="118">
        <f>IFERROR((ReviewCalcs[[#This Row],[Existing Fixture Quantity]]*ReviewCalcs[[#This Row],[Existing Fixture Watts]]/1000)*ReviewCalcs[[#This Row],[AOH]]*ReviewCalcs[[#This Row],[IEFE]]*ReviewCalcs[[#This Row],[Existing PAF]], 0)</f>
        <v>0</v>
      </c>
      <c r="AL74" s="118">
        <f>IFERROR((ReviewCalcs[[#This Row],[Proposed Fixture Quantity]]*ReviewCalcs[[#This Row],[Proposed Fixture Watts]]/1000)*ReviewCalcs[[#This Row],[AOH]]*ReviewCalcs[[#This Row],[IEFE]]*ReviewCalcs[[#This Row],[Existing PAF]], 0)</f>
        <v>0</v>
      </c>
      <c r="AM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4" s="118">
        <f>ReviewCalcs[[#This Row],[Fixture Existing Energy (kWh)]]*Avg_KWh_Rate</f>
        <v>0</v>
      </c>
      <c r="AO74" s="118">
        <f>ReviewCalcs[[#This Row],[Fixture Proposed Energy (kWh)]]*Avg_KWh_Rate</f>
        <v>0</v>
      </c>
      <c r="AP74" s="70">
        <f>ReviewCalcs[[#This Row],[Fixture Energy Savings]]*Avg_KWh_Rate</f>
        <v>0</v>
      </c>
      <c r="AQ74" s="129" t="e">
        <f>ReviewCalcs[[#This Row],[Existing Fixture Quantity]]*ReviewCalcs[[#This Row],[Existing Fixture Watts]]/1000*ReviewCalcs[[#This Row],[Existing CF]]*ReviewCalcs[[#This Row],[IEFD]]</f>
        <v>#VALUE!</v>
      </c>
      <c r="AR74" s="129" t="e">
        <f>ReviewCalcs[[#This Row],[Proposed Fixture Quantity]]*ReviewCalcs[[#This Row],[Proposed Fixture Watts]]/1000*ReviewCalcs[[#This Row],[Proposed CF]]*ReviewCalcs[[#This Row],[IEFD]]</f>
        <v>#VALUE!</v>
      </c>
      <c r="AS74" s="118">
        <f>IF(ReviewCalcs[[#This Row],[Existing CF]]=ReviewCalcs[[#This Row],[Proposed CF]], 0, ReviewCalcs[[#This Row],[Proposed Fixture Quantity]]*ReviewCalcs[[#This Row],[Proposed Fixture Watts]]/1000*ReviewCalcs[[#This Row],[Proposed CF]]*ReviewCalcs[[#This Row],[IEFD]])</f>
        <v>0</v>
      </c>
      <c r="AT74" s="118">
        <f>IFERROR(ReviewCalcs[[#This Row],[Existing Fixture Quantity]]*ReviewCalcs[[#This Row],[Existing Fixture Watts]]/1000*ReviewCalcs[[#This Row],[Existing PAF]]*ReviewCalcs[[#This Row],[AOH]]*ReviewCalcs[[#This Row],[IEFE]], 0)</f>
        <v>0</v>
      </c>
      <c r="AU74" s="118">
        <f>IFERROR(ReviewCalcs[[#This Row],[Proposed Fixture Quantity]]*ReviewCalcs[[#This Row],[Proposed Fixture Watts]]/1000*ReviewCalcs[[#This Row],[Proposed PAF]]*ReviewCalcs[[#This Row],[AOH]]*ReviewCalcs[[#This Row],[IEFE]], 0)</f>
        <v>0</v>
      </c>
      <c r="AV74" s="118">
        <f>IFERROR(ReviewCalcs[[#This Row],[Proposed Fixture Quantity]]*ReviewCalcs[[#This Row],[Proposed Fixture Watts]]/1000*(ReviewCalcs[[#This Row],[Existing PAF]]-ReviewCalcs[[#This Row],[Proposed PAF]])*ReviewCalcs[[#This Row],[AOH]]*ReviewCalcs[[#This Row],[IEFE]], 0)</f>
        <v>0</v>
      </c>
      <c r="AW74" s="118">
        <f>ReviewCalcs[[#This Row],[Control Existing Energy (kWh)]]*kWh_Incentive_Rate</f>
        <v>0</v>
      </c>
      <c r="AX74" s="118">
        <f>ReviewCalcs[[#This Row],[Control Proposed Energy (kWh)]]*kWh_Incentive_Rate</f>
        <v>0</v>
      </c>
      <c r="AY74" s="70">
        <f>ReviewCalcs[[#This Row],[Control Energy Savings (kWh)]]*kWh_Incentive_Rate</f>
        <v>0</v>
      </c>
      <c r="AZ74" s="70" t="e">
        <f>ReviewCalcs[[#This Row],[Fixture Existing Demand (kW)]]+ReviewCalcs[[#This Row],[Control Existing Demand (kW)]]</f>
        <v>#VALUE!</v>
      </c>
      <c r="BA74" s="70" t="e">
        <f>ReviewCalcs[[#This Row],[Fixture Proposed Demand (kW)]]+ReviewCalcs[[#This Row],[Control Proposed Demand (kW)]]</f>
        <v>#VALUE!</v>
      </c>
      <c r="BB74" s="118">
        <f>ReviewCalcs[[#This Row],[Fixture Demand Savings (kW)]]+ReviewCalcs[[#This Row],[Control Demand Savings (kW)]]</f>
        <v>0</v>
      </c>
      <c r="BC74" s="118">
        <f>ReviewCalcs[[#This Row],[Fixture Existing Energy (kWh)]]+ReviewCalcs[[#This Row],[Control Existing Energy (kWh)]]</f>
        <v>0</v>
      </c>
      <c r="BD74" s="118">
        <f>ReviewCalcs[[#This Row],[Fixture Proposed Energy (kWh)]]+ReviewCalcs[[#This Row],[Control Proposed Energy (kWh)]]</f>
        <v>0</v>
      </c>
      <c r="BE74" s="118">
        <f>ReviewCalcs[[#This Row],[Fixture Energy Savings]]+ReviewCalcs[[#This Row],[Control Energy Savings (kWh)]]</f>
        <v>0</v>
      </c>
      <c r="BF74" s="118">
        <f>ReviewCalcs[[#This Row],[Fixture Existing Cost ($)]]+ReviewCalcs[[#This Row],[Control Existing Cost ($)]]</f>
        <v>0</v>
      </c>
      <c r="BG74" s="118">
        <f>ReviewCalcs[[#This Row],[Fixture Proposed Cost ($)]]+ReviewCalcs[[#This Row],[Controls Proposed Cost ($)]]</f>
        <v>0</v>
      </c>
      <c r="BH74" s="70">
        <f>ReviewCalcs[[#This Row],[Total Energy Savings (kWh)]]*Avg_KWh_Rate</f>
        <v>0</v>
      </c>
      <c r="BI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4" s="70">
        <f>ReviewCalcs[[#This Row],[Retrofit Cost]]</f>
        <v>0</v>
      </c>
      <c r="BK74" s="70">
        <f>ReviewCalcs[[#This Row],[Retrofit Cost]]-ReviewCalcs[[#This Row],[Incentive ($)]]</f>
        <v>0</v>
      </c>
      <c r="BL74" s="118" t="e">
        <f>IFERROR(ReviewCalcs[[#This Row],[Net Project Cost ($)]]/ReviewCalcs[[#This Row],[Fixture Energy Cost Savings ($)]], #N/A)</f>
        <v>#N/A</v>
      </c>
      <c r="BM74" s="118" t="e">
        <f>IF(VLOOKUP(ReviewCalcs[[#This Row],[Existing Fixture Code]], Table7[[FIXTURE CODE]:[Baseline Fixture Code]], 8, FALSE)="N", VLOOKUP(ReviewCalcs[[#This Row],[Existing Fixture Code]], Table7[[FIXTURE CODE]:[Baseline Fixture Code]], 9, FALSE), ReviewCalcs[[#This Row],[Existing Fixture Code]])</f>
        <v>#N/A</v>
      </c>
      <c r="BN74" s="118" t="e">
        <f>INDEX(Table7[WATT/ FIXT], MATCH(ReviewCalcs[Baseline Fixture Code], Table7[FIXTURE CODE], 0))</f>
        <v>#N/A</v>
      </c>
      <c r="BO74" s="118">
        <f>IFERROR((ReviewCalcs[[#This Row],[Existing Fixture Quantity]]*ReviewCalcs[[#This Row],[Baseline Fixture Watts]]/1000-ReviewCalcs[[#This Row],[Proposed Fixture Quantity]]*ReviewCalcs[[#This Row],[Proposed Fixture Watts]]/1000)*ReviewCalcs[[#This Row],[Existing CF]]*ReviewCalcs[[#This Row],[IEFD]], 0)</f>
        <v>0</v>
      </c>
      <c r="BP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4" s="118">
        <f>IF(ReviewCalcs[[#This Row],[Existing CF]]=ReviewCalcs[[#This Row],[Proposed CF]], 0, ReviewCalcs[[#This Row],[Proposed Fixture Quantity]]*ReviewCalcs[[#This Row],[Proposed Fixture Watts]]/1000*ReviewCalcs[[#This Row],[Proposed CF]]*ReviewCalcs[[#This Row],[IEFD]])</f>
        <v>0</v>
      </c>
      <c r="BR74" s="118">
        <f>IFERROR(ReviewCalcs[[#This Row],[Proposed Fixture Quantity]]*ReviewCalcs[[#This Row],[Proposed Fixture Watts]]/1000*(ReviewCalcs[[#This Row],[Existing PAF]]-ReviewCalcs[[#This Row],[Proposed PAF]])*ReviewCalcs[[#This Row],[AOH]]*ReviewCalcs[[#This Row],[IEFE]],0)</f>
        <v>0</v>
      </c>
      <c r="BS74" s="118">
        <f>ReviewCalcs[[#This Row],[Incentive Fixture Demand Savings (kW)]]+ReviewCalcs[[#This Row],[Incentive Control Demand Savings (kW)]]</f>
        <v>0</v>
      </c>
      <c r="BT74" s="118">
        <f>ReviewCalcs[[#This Row],[Incentive Fixture Energy Savings (kWh)]]+ReviewCalcs[[#This Row],[Incentive Control Energy Savings (kWh)]]</f>
        <v>0</v>
      </c>
      <c r="BU74" s="73"/>
    </row>
    <row r="75" spans="1:73" ht="30" customHeight="1">
      <c r="A75" s="68">
        <v>72</v>
      </c>
      <c r="B75" s="96">
        <f>VLOOKUP(ReviewCalcs[[#This Row],[Project Index]], ProjectInput[], D$1, FALSE)</f>
        <v>0</v>
      </c>
      <c r="C75" s="97">
        <f>VLOOKUP(ReviewCalcs[[#This Row],[Project Index]], ProjectInput[], E$1, FALSE)</f>
        <v>0</v>
      </c>
      <c r="D75" s="97">
        <f>VLOOKUP(ReviewCalcs[[#This Row],[Project Index]], ProjectInput[], F$1, FALSE)</f>
        <v>0</v>
      </c>
      <c r="E75" s="97">
        <f>VLOOKUP(ReviewCalcs[[#This Row],[Project Index]], ProjectInput[], G$1, FALSE)</f>
        <v>0</v>
      </c>
      <c r="F75" s="97">
        <f>VLOOKUP(ReviewCalcs[[#This Row],[Project Index]], ProjectInput[], H$1, FALSE)</f>
        <v>0</v>
      </c>
      <c r="G75" s="98" t="str">
        <f>VLOOKUP(ReviewCalcs[[#This Row],[Project Index]], ProjectInput[], I$1, FALSE)</f>
        <v/>
      </c>
      <c r="H75" s="96">
        <f>VLOOKUP(ReviewCalcs[[#This Row],[Project Index]], ProjectInput[], J$1, FALSE)</f>
        <v>0</v>
      </c>
      <c r="I75" s="97">
        <f>VLOOKUP(ReviewCalcs[[#This Row],[Project Index]], ProjectInput[], K$1, FALSE)</f>
        <v>0</v>
      </c>
      <c r="J75" s="97">
        <f>VLOOKUP(ReviewCalcs[[#This Row],[Project Index]], ProjectInput[], L$1, FALSE)</f>
        <v>0</v>
      </c>
      <c r="K75" s="97">
        <f>VLOOKUP(ReviewCalcs[[#This Row],[Project Index]], ProjectInput[], M$1, FALSE)</f>
        <v>0</v>
      </c>
      <c r="L75" s="97">
        <f>VLOOKUP(ReviewCalcs[[#This Row],[Project Index]], ProjectInput[], N$1, FALSE)</f>
        <v>0</v>
      </c>
      <c r="M75" s="98" t="str">
        <f>VLOOKUP(ReviewCalcs[[#This Row],[Project Index]], ProjectInput[], O$1, FALSE)</f>
        <v/>
      </c>
      <c r="N75" s="96">
        <f>VLOOKUP(ReviewCalcs[[#This Row],[Project Index]], ProjectInput[], P$1, FALSE)</f>
        <v>0</v>
      </c>
      <c r="O75" s="97">
        <f>VLOOKUP(ReviewCalcs[[#This Row],[Project Index]], ProjectInput[], Q$1, FALSE)</f>
        <v>0</v>
      </c>
      <c r="P75" s="97">
        <f>VLOOKUP(ReviewCalcs[[#This Row],[Project Index]], ProjectInput[], R$1, FALSE)</f>
        <v>0</v>
      </c>
      <c r="Q75" s="97">
        <f>VLOOKUP(ReviewCalcs[[#This Row],[Project Index]], ProjectInput[], S$1, FALSE)</f>
        <v>0</v>
      </c>
      <c r="R75" s="97">
        <f>VLOOKUP(ReviewCalcs[[#This Row],[Project Index]], ProjectInput[], T$1, FALSE)</f>
        <v>0</v>
      </c>
      <c r="S75" s="97">
        <f>VLOOKUP(ReviewCalcs[[#This Row],[Project Index]], ProjectInput[], U$1, FALSE)</f>
        <v>0</v>
      </c>
      <c r="T75" s="97">
        <f>VLOOKUP(ReviewCalcs[[#This Row],[Project Index]], ProjectInput[], V$1, FALSE)</f>
        <v>0</v>
      </c>
      <c r="U75" s="97">
        <f>VLOOKUP(ReviewCalcs[[#This Row],[Project Index]], ProjectInput[], W$1, FALSE)</f>
        <v>0</v>
      </c>
      <c r="V75" s="98" t="str">
        <f>VLOOKUP(ReviewCalcs[[#This Row],[Project Index]], ProjectInput[], X$1, FALSE)</f>
        <v/>
      </c>
      <c r="W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5" s="75" t="e">
        <f>IF(VLOOKUP(ReviewCalcs[[#This Row],[Proposed Fixture Code]], Table7[[FIXTURE CODE]:[Baseline Fixture Code]], 8, FALSE)="N", "ERROR", "PASS")</f>
        <v>#N/A</v>
      </c>
      <c r="Y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5" s="75" t="e">
        <f>IF(OR(ReviewCalcs[[#This Row],[Baseline Fixture Watts]]&gt;=ReviewCalcs[[#This Row],[Proposed Fixture Watts]],ReviewCalcs[[#This Row],[Existing Fixture Watts]]&gt;=ReviewCalcs[[#This Row],[Proposed Fixture Watts]] ), "PASS", "ERROR")</f>
        <v>#N/A</v>
      </c>
      <c r="AA75" s="69" t="e">
        <f>VLOOKUP(ReviewCalcs[[#This Row],[Space Conditions]], Table_365[], 5, FALSE)</f>
        <v>#N/A</v>
      </c>
      <c r="AB75" s="68" t="str">
        <f>ReviewCalcs[[#This Row],[Annual Hours]]</f>
        <v/>
      </c>
      <c r="AC75" s="68" t="e">
        <f>VLOOKUP(ReviewCalcs[[#This Row],[Space Conditions]], Table_365[], 6, FALSE)</f>
        <v>#N/A</v>
      </c>
      <c r="AD75" s="68">
        <f>IF(ReviewCalcs[[#This Row],[Existing Control(s)]]='Tables &amp; Ranges'!$A$25, VLOOKUP(ReviewCalcs[[#This Row],[Building/Space Type]], Table_364[], 3, FALSE), CF_Contols)</f>
        <v>0.26</v>
      </c>
      <c r="AE75" s="68" t="e">
        <f>VLOOKUP(ReviewCalcs[[#This Row],[Existing Control(s)]], Table_358[], 2, FALSE)</f>
        <v>#N/A</v>
      </c>
      <c r="AF75" s="68">
        <f>IF(ReviewCalcs[[#This Row],[Proposed Control(s)]]='Tables &amp; Ranges'!$A$25, VLOOKUP(ReviewCalcs[[#This Row],[Building/Space Type]], Table_364[], 3, FALSE), CF_Contols)</f>
        <v>0.26</v>
      </c>
      <c r="AG75" s="68" t="e">
        <f>VLOOKUP(ReviewCalcs[[#This Row],[Proposed Control(s)]], Table_358[], 2, FALSE)</f>
        <v>#N/A</v>
      </c>
      <c r="AH75" s="68">
        <f>IFERROR((ReviewCalcs[[#This Row],[Existing Fixture Quantity]]*ReviewCalcs[[#This Row],[Existing Fixture Watts]]/1000)*ReviewCalcs[[#This Row],[Existing CF]]*ReviewCalcs[[#This Row],[IEFD]], 0)</f>
        <v>0</v>
      </c>
      <c r="AI75" s="68">
        <f>IFERROR((ReviewCalcs[[#This Row],[Proposed Fixture Quantity]]*ReviewCalcs[[#This Row],[Proposed Fixture Watts]]/1000)*ReviewCalcs[[#This Row],[Existing CF]]*ReviewCalcs[[#This Row],[IEFD]], 0)</f>
        <v>0</v>
      </c>
      <c r="AJ75" s="118">
        <f>IFERROR((ReviewCalcs[[#This Row],[Existing Fixture Quantity]]*ReviewCalcs[[#This Row],[Existing Fixture Watts]]/1000-ReviewCalcs[[#This Row],[Proposed Fixture Quantity]]*ReviewCalcs[[#This Row],[Proposed Fixture Watts]]/1000)*ReviewCalcs[[#This Row],[Existing CF]]*ReviewCalcs[[#This Row],[IEFD]], 0)</f>
        <v>0</v>
      </c>
      <c r="AK75" s="118">
        <f>IFERROR((ReviewCalcs[[#This Row],[Existing Fixture Quantity]]*ReviewCalcs[[#This Row],[Existing Fixture Watts]]/1000)*ReviewCalcs[[#This Row],[AOH]]*ReviewCalcs[[#This Row],[IEFE]]*ReviewCalcs[[#This Row],[Existing PAF]], 0)</f>
        <v>0</v>
      </c>
      <c r="AL75" s="118">
        <f>IFERROR((ReviewCalcs[[#This Row],[Proposed Fixture Quantity]]*ReviewCalcs[[#This Row],[Proposed Fixture Watts]]/1000)*ReviewCalcs[[#This Row],[AOH]]*ReviewCalcs[[#This Row],[IEFE]]*ReviewCalcs[[#This Row],[Existing PAF]], 0)</f>
        <v>0</v>
      </c>
      <c r="AM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5" s="118">
        <f>ReviewCalcs[[#This Row],[Fixture Existing Energy (kWh)]]*Avg_KWh_Rate</f>
        <v>0</v>
      </c>
      <c r="AO75" s="118">
        <f>ReviewCalcs[[#This Row],[Fixture Proposed Energy (kWh)]]*Avg_KWh_Rate</f>
        <v>0</v>
      </c>
      <c r="AP75" s="70">
        <f>ReviewCalcs[[#This Row],[Fixture Energy Savings]]*Avg_KWh_Rate</f>
        <v>0</v>
      </c>
      <c r="AQ75" s="129" t="e">
        <f>ReviewCalcs[[#This Row],[Existing Fixture Quantity]]*ReviewCalcs[[#This Row],[Existing Fixture Watts]]/1000*ReviewCalcs[[#This Row],[Existing CF]]*ReviewCalcs[[#This Row],[IEFD]]</f>
        <v>#VALUE!</v>
      </c>
      <c r="AR75" s="129" t="e">
        <f>ReviewCalcs[[#This Row],[Proposed Fixture Quantity]]*ReviewCalcs[[#This Row],[Proposed Fixture Watts]]/1000*ReviewCalcs[[#This Row],[Proposed CF]]*ReviewCalcs[[#This Row],[IEFD]]</f>
        <v>#VALUE!</v>
      </c>
      <c r="AS75" s="118">
        <f>IF(ReviewCalcs[[#This Row],[Existing CF]]=ReviewCalcs[[#This Row],[Proposed CF]], 0, ReviewCalcs[[#This Row],[Proposed Fixture Quantity]]*ReviewCalcs[[#This Row],[Proposed Fixture Watts]]/1000*ReviewCalcs[[#This Row],[Proposed CF]]*ReviewCalcs[[#This Row],[IEFD]])</f>
        <v>0</v>
      </c>
      <c r="AT75" s="118">
        <f>IFERROR(ReviewCalcs[[#This Row],[Existing Fixture Quantity]]*ReviewCalcs[[#This Row],[Existing Fixture Watts]]/1000*ReviewCalcs[[#This Row],[Existing PAF]]*ReviewCalcs[[#This Row],[AOH]]*ReviewCalcs[[#This Row],[IEFE]], 0)</f>
        <v>0</v>
      </c>
      <c r="AU75" s="118">
        <f>IFERROR(ReviewCalcs[[#This Row],[Proposed Fixture Quantity]]*ReviewCalcs[[#This Row],[Proposed Fixture Watts]]/1000*ReviewCalcs[[#This Row],[Proposed PAF]]*ReviewCalcs[[#This Row],[AOH]]*ReviewCalcs[[#This Row],[IEFE]], 0)</f>
        <v>0</v>
      </c>
      <c r="AV75" s="118">
        <f>IFERROR(ReviewCalcs[[#This Row],[Proposed Fixture Quantity]]*ReviewCalcs[[#This Row],[Proposed Fixture Watts]]/1000*(ReviewCalcs[[#This Row],[Existing PAF]]-ReviewCalcs[[#This Row],[Proposed PAF]])*ReviewCalcs[[#This Row],[AOH]]*ReviewCalcs[[#This Row],[IEFE]], 0)</f>
        <v>0</v>
      </c>
      <c r="AW75" s="118">
        <f>ReviewCalcs[[#This Row],[Control Existing Energy (kWh)]]*kWh_Incentive_Rate</f>
        <v>0</v>
      </c>
      <c r="AX75" s="118">
        <f>ReviewCalcs[[#This Row],[Control Proposed Energy (kWh)]]*kWh_Incentive_Rate</f>
        <v>0</v>
      </c>
      <c r="AY75" s="70">
        <f>ReviewCalcs[[#This Row],[Control Energy Savings (kWh)]]*kWh_Incentive_Rate</f>
        <v>0</v>
      </c>
      <c r="AZ75" s="70" t="e">
        <f>ReviewCalcs[[#This Row],[Fixture Existing Demand (kW)]]+ReviewCalcs[[#This Row],[Control Existing Demand (kW)]]</f>
        <v>#VALUE!</v>
      </c>
      <c r="BA75" s="70" t="e">
        <f>ReviewCalcs[[#This Row],[Fixture Proposed Demand (kW)]]+ReviewCalcs[[#This Row],[Control Proposed Demand (kW)]]</f>
        <v>#VALUE!</v>
      </c>
      <c r="BB75" s="118">
        <f>ReviewCalcs[[#This Row],[Fixture Demand Savings (kW)]]+ReviewCalcs[[#This Row],[Control Demand Savings (kW)]]</f>
        <v>0</v>
      </c>
      <c r="BC75" s="118">
        <f>ReviewCalcs[[#This Row],[Fixture Existing Energy (kWh)]]+ReviewCalcs[[#This Row],[Control Existing Energy (kWh)]]</f>
        <v>0</v>
      </c>
      <c r="BD75" s="118">
        <f>ReviewCalcs[[#This Row],[Fixture Proposed Energy (kWh)]]+ReviewCalcs[[#This Row],[Control Proposed Energy (kWh)]]</f>
        <v>0</v>
      </c>
      <c r="BE75" s="118">
        <f>ReviewCalcs[[#This Row],[Fixture Energy Savings]]+ReviewCalcs[[#This Row],[Control Energy Savings (kWh)]]</f>
        <v>0</v>
      </c>
      <c r="BF75" s="118">
        <f>ReviewCalcs[[#This Row],[Fixture Existing Cost ($)]]+ReviewCalcs[[#This Row],[Control Existing Cost ($)]]</f>
        <v>0</v>
      </c>
      <c r="BG75" s="118">
        <f>ReviewCalcs[[#This Row],[Fixture Proposed Cost ($)]]+ReviewCalcs[[#This Row],[Controls Proposed Cost ($)]]</f>
        <v>0</v>
      </c>
      <c r="BH75" s="70">
        <f>ReviewCalcs[[#This Row],[Total Energy Savings (kWh)]]*Avg_KWh_Rate</f>
        <v>0</v>
      </c>
      <c r="BI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5" s="70">
        <f>ReviewCalcs[[#This Row],[Retrofit Cost]]</f>
        <v>0</v>
      </c>
      <c r="BK75" s="70">
        <f>ReviewCalcs[[#This Row],[Retrofit Cost]]-ReviewCalcs[[#This Row],[Incentive ($)]]</f>
        <v>0</v>
      </c>
      <c r="BL75" s="118" t="e">
        <f>IFERROR(ReviewCalcs[[#This Row],[Net Project Cost ($)]]/ReviewCalcs[[#This Row],[Fixture Energy Cost Savings ($)]], #N/A)</f>
        <v>#N/A</v>
      </c>
      <c r="BM75" s="118" t="e">
        <f>IF(VLOOKUP(ReviewCalcs[[#This Row],[Existing Fixture Code]], Table7[[FIXTURE CODE]:[Baseline Fixture Code]], 8, FALSE)="N", VLOOKUP(ReviewCalcs[[#This Row],[Existing Fixture Code]], Table7[[FIXTURE CODE]:[Baseline Fixture Code]], 9, FALSE), ReviewCalcs[[#This Row],[Existing Fixture Code]])</f>
        <v>#N/A</v>
      </c>
      <c r="BN75" s="118" t="e">
        <f>INDEX(Table7[WATT/ FIXT], MATCH(ReviewCalcs[Baseline Fixture Code], Table7[FIXTURE CODE], 0))</f>
        <v>#N/A</v>
      </c>
      <c r="BO75" s="118">
        <f>IFERROR((ReviewCalcs[[#This Row],[Existing Fixture Quantity]]*ReviewCalcs[[#This Row],[Baseline Fixture Watts]]/1000-ReviewCalcs[[#This Row],[Proposed Fixture Quantity]]*ReviewCalcs[[#This Row],[Proposed Fixture Watts]]/1000)*ReviewCalcs[[#This Row],[Existing CF]]*ReviewCalcs[[#This Row],[IEFD]], 0)</f>
        <v>0</v>
      </c>
      <c r="BP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5" s="118">
        <f>IF(ReviewCalcs[[#This Row],[Existing CF]]=ReviewCalcs[[#This Row],[Proposed CF]], 0, ReviewCalcs[[#This Row],[Proposed Fixture Quantity]]*ReviewCalcs[[#This Row],[Proposed Fixture Watts]]/1000*ReviewCalcs[[#This Row],[Proposed CF]]*ReviewCalcs[[#This Row],[IEFD]])</f>
        <v>0</v>
      </c>
      <c r="BR75" s="118">
        <f>IFERROR(ReviewCalcs[[#This Row],[Proposed Fixture Quantity]]*ReviewCalcs[[#This Row],[Proposed Fixture Watts]]/1000*(ReviewCalcs[[#This Row],[Existing PAF]]-ReviewCalcs[[#This Row],[Proposed PAF]])*ReviewCalcs[[#This Row],[AOH]]*ReviewCalcs[[#This Row],[IEFE]],0)</f>
        <v>0</v>
      </c>
      <c r="BS75" s="118">
        <f>ReviewCalcs[[#This Row],[Incentive Fixture Demand Savings (kW)]]+ReviewCalcs[[#This Row],[Incentive Control Demand Savings (kW)]]</f>
        <v>0</v>
      </c>
      <c r="BT75" s="118">
        <f>ReviewCalcs[[#This Row],[Incentive Fixture Energy Savings (kWh)]]+ReviewCalcs[[#This Row],[Incentive Control Energy Savings (kWh)]]</f>
        <v>0</v>
      </c>
      <c r="BU75" s="73"/>
    </row>
    <row r="76" spans="1:73" ht="30" customHeight="1">
      <c r="A76" s="68">
        <v>73</v>
      </c>
      <c r="B76" s="96">
        <f>VLOOKUP(ReviewCalcs[[#This Row],[Project Index]], ProjectInput[], D$1, FALSE)</f>
        <v>0</v>
      </c>
      <c r="C76" s="97">
        <f>VLOOKUP(ReviewCalcs[[#This Row],[Project Index]], ProjectInput[], E$1, FALSE)</f>
        <v>0</v>
      </c>
      <c r="D76" s="97">
        <f>VLOOKUP(ReviewCalcs[[#This Row],[Project Index]], ProjectInput[], F$1, FALSE)</f>
        <v>0</v>
      </c>
      <c r="E76" s="97">
        <f>VLOOKUP(ReviewCalcs[[#This Row],[Project Index]], ProjectInput[], G$1, FALSE)</f>
        <v>0</v>
      </c>
      <c r="F76" s="97">
        <f>VLOOKUP(ReviewCalcs[[#This Row],[Project Index]], ProjectInput[], H$1, FALSE)</f>
        <v>0</v>
      </c>
      <c r="G76" s="98" t="str">
        <f>VLOOKUP(ReviewCalcs[[#This Row],[Project Index]], ProjectInput[], I$1, FALSE)</f>
        <v/>
      </c>
      <c r="H76" s="96">
        <f>VLOOKUP(ReviewCalcs[[#This Row],[Project Index]], ProjectInput[], J$1, FALSE)</f>
        <v>0</v>
      </c>
      <c r="I76" s="97">
        <f>VLOOKUP(ReviewCalcs[[#This Row],[Project Index]], ProjectInput[], K$1, FALSE)</f>
        <v>0</v>
      </c>
      <c r="J76" s="97">
        <f>VLOOKUP(ReviewCalcs[[#This Row],[Project Index]], ProjectInput[], L$1, FALSE)</f>
        <v>0</v>
      </c>
      <c r="K76" s="97">
        <f>VLOOKUP(ReviewCalcs[[#This Row],[Project Index]], ProjectInput[], M$1, FALSE)</f>
        <v>0</v>
      </c>
      <c r="L76" s="97">
        <f>VLOOKUP(ReviewCalcs[[#This Row],[Project Index]], ProjectInput[], N$1, FALSE)</f>
        <v>0</v>
      </c>
      <c r="M76" s="98" t="str">
        <f>VLOOKUP(ReviewCalcs[[#This Row],[Project Index]], ProjectInput[], O$1, FALSE)</f>
        <v/>
      </c>
      <c r="N76" s="96">
        <f>VLOOKUP(ReviewCalcs[[#This Row],[Project Index]], ProjectInput[], P$1, FALSE)</f>
        <v>0</v>
      </c>
      <c r="O76" s="97">
        <f>VLOOKUP(ReviewCalcs[[#This Row],[Project Index]], ProjectInput[], Q$1, FALSE)</f>
        <v>0</v>
      </c>
      <c r="P76" s="97">
        <f>VLOOKUP(ReviewCalcs[[#This Row],[Project Index]], ProjectInput[], R$1, FALSE)</f>
        <v>0</v>
      </c>
      <c r="Q76" s="97">
        <f>VLOOKUP(ReviewCalcs[[#This Row],[Project Index]], ProjectInput[], S$1, FALSE)</f>
        <v>0</v>
      </c>
      <c r="R76" s="97">
        <f>VLOOKUP(ReviewCalcs[[#This Row],[Project Index]], ProjectInput[], T$1, FALSE)</f>
        <v>0</v>
      </c>
      <c r="S76" s="97">
        <f>VLOOKUP(ReviewCalcs[[#This Row],[Project Index]], ProjectInput[], U$1, FALSE)</f>
        <v>0</v>
      </c>
      <c r="T76" s="97">
        <f>VLOOKUP(ReviewCalcs[[#This Row],[Project Index]], ProjectInput[], V$1, FALSE)</f>
        <v>0</v>
      </c>
      <c r="U76" s="97">
        <f>VLOOKUP(ReviewCalcs[[#This Row],[Project Index]], ProjectInput[], W$1, FALSE)</f>
        <v>0</v>
      </c>
      <c r="V76" s="98" t="str">
        <f>VLOOKUP(ReviewCalcs[[#This Row],[Project Index]], ProjectInput[], X$1, FALSE)</f>
        <v/>
      </c>
      <c r="W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6" s="75" t="e">
        <f>IF(VLOOKUP(ReviewCalcs[[#This Row],[Proposed Fixture Code]], Table7[[FIXTURE CODE]:[Baseline Fixture Code]], 8, FALSE)="N", "ERROR", "PASS")</f>
        <v>#N/A</v>
      </c>
      <c r="Y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6" s="75" t="e">
        <f>IF(OR(ReviewCalcs[[#This Row],[Baseline Fixture Watts]]&gt;=ReviewCalcs[[#This Row],[Proposed Fixture Watts]],ReviewCalcs[[#This Row],[Existing Fixture Watts]]&gt;=ReviewCalcs[[#This Row],[Proposed Fixture Watts]] ), "PASS", "ERROR")</f>
        <v>#N/A</v>
      </c>
      <c r="AA76" s="69" t="e">
        <f>VLOOKUP(ReviewCalcs[[#This Row],[Space Conditions]], Table_365[], 5, FALSE)</f>
        <v>#N/A</v>
      </c>
      <c r="AB76" s="68" t="str">
        <f>ReviewCalcs[[#This Row],[Annual Hours]]</f>
        <v/>
      </c>
      <c r="AC76" s="68" t="e">
        <f>VLOOKUP(ReviewCalcs[[#This Row],[Space Conditions]], Table_365[], 6, FALSE)</f>
        <v>#N/A</v>
      </c>
      <c r="AD76" s="68">
        <f>IF(ReviewCalcs[[#This Row],[Existing Control(s)]]='Tables &amp; Ranges'!$A$25, VLOOKUP(ReviewCalcs[[#This Row],[Building/Space Type]], Table_364[], 3, FALSE), CF_Contols)</f>
        <v>0.26</v>
      </c>
      <c r="AE76" s="68" t="e">
        <f>VLOOKUP(ReviewCalcs[[#This Row],[Existing Control(s)]], Table_358[], 2, FALSE)</f>
        <v>#N/A</v>
      </c>
      <c r="AF76" s="68">
        <f>IF(ReviewCalcs[[#This Row],[Proposed Control(s)]]='Tables &amp; Ranges'!$A$25, VLOOKUP(ReviewCalcs[[#This Row],[Building/Space Type]], Table_364[], 3, FALSE), CF_Contols)</f>
        <v>0.26</v>
      </c>
      <c r="AG76" s="68" t="e">
        <f>VLOOKUP(ReviewCalcs[[#This Row],[Proposed Control(s)]], Table_358[], 2, FALSE)</f>
        <v>#N/A</v>
      </c>
      <c r="AH76" s="68">
        <f>IFERROR((ReviewCalcs[[#This Row],[Existing Fixture Quantity]]*ReviewCalcs[[#This Row],[Existing Fixture Watts]]/1000)*ReviewCalcs[[#This Row],[Existing CF]]*ReviewCalcs[[#This Row],[IEFD]], 0)</f>
        <v>0</v>
      </c>
      <c r="AI76" s="68">
        <f>IFERROR((ReviewCalcs[[#This Row],[Proposed Fixture Quantity]]*ReviewCalcs[[#This Row],[Proposed Fixture Watts]]/1000)*ReviewCalcs[[#This Row],[Existing CF]]*ReviewCalcs[[#This Row],[IEFD]], 0)</f>
        <v>0</v>
      </c>
      <c r="AJ76" s="118">
        <f>IFERROR((ReviewCalcs[[#This Row],[Existing Fixture Quantity]]*ReviewCalcs[[#This Row],[Existing Fixture Watts]]/1000-ReviewCalcs[[#This Row],[Proposed Fixture Quantity]]*ReviewCalcs[[#This Row],[Proposed Fixture Watts]]/1000)*ReviewCalcs[[#This Row],[Existing CF]]*ReviewCalcs[[#This Row],[IEFD]], 0)</f>
        <v>0</v>
      </c>
      <c r="AK76" s="118">
        <f>IFERROR((ReviewCalcs[[#This Row],[Existing Fixture Quantity]]*ReviewCalcs[[#This Row],[Existing Fixture Watts]]/1000)*ReviewCalcs[[#This Row],[AOH]]*ReviewCalcs[[#This Row],[IEFE]]*ReviewCalcs[[#This Row],[Existing PAF]], 0)</f>
        <v>0</v>
      </c>
      <c r="AL76" s="118">
        <f>IFERROR((ReviewCalcs[[#This Row],[Proposed Fixture Quantity]]*ReviewCalcs[[#This Row],[Proposed Fixture Watts]]/1000)*ReviewCalcs[[#This Row],[AOH]]*ReviewCalcs[[#This Row],[IEFE]]*ReviewCalcs[[#This Row],[Existing PAF]], 0)</f>
        <v>0</v>
      </c>
      <c r="AM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6" s="118">
        <f>ReviewCalcs[[#This Row],[Fixture Existing Energy (kWh)]]*Avg_KWh_Rate</f>
        <v>0</v>
      </c>
      <c r="AO76" s="118">
        <f>ReviewCalcs[[#This Row],[Fixture Proposed Energy (kWh)]]*Avg_KWh_Rate</f>
        <v>0</v>
      </c>
      <c r="AP76" s="70">
        <f>ReviewCalcs[[#This Row],[Fixture Energy Savings]]*Avg_KWh_Rate</f>
        <v>0</v>
      </c>
      <c r="AQ76" s="129" t="e">
        <f>ReviewCalcs[[#This Row],[Existing Fixture Quantity]]*ReviewCalcs[[#This Row],[Existing Fixture Watts]]/1000*ReviewCalcs[[#This Row],[Existing CF]]*ReviewCalcs[[#This Row],[IEFD]]</f>
        <v>#VALUE!</v>
      </c>
      <c r="AR76" s="129" t="e">
        <f>ReviewCalcs[[#This Row],[Proposed Fixture Quantity]]*ReviewCalcs[[#This Row],[Proposed Fixture Watts]]/1000*ReviewCalcs[[#This Row],[Proposed CF]]*ReviewCalcs[[#This Row],[IEFD]]</f>
        <v>#VALUE!</v>
      </c>
      <c r="AS76" s="118">
        <f>IF(ReviewCalcs[[#This Row],[Existing CF]]=ReviewCalcs[[#This Row],[Proposed CF]], 0, ReviewCalcs[[#This Row],[Proposed Fixture Quantity]]*ReviewCalcs[[#This Row],[Proposed Fixture Watts]]/1000*ReviewCalcs[[#This Row],[Proposed CF]]*ReviewCalcs[[#This Row],[IEFD]])</f>
        <v>0</v>
      </c>
      <c r="AT76" s="118">
        <f>IFERROR(ReviewCalcs[[#This Row],[Existing Fixture Quantity]]*ReviewCalcs[[#This Row],[Existing Fixture Watts]]/1000*ReviewCalcs[[#This Row],[Existing PAF]]*ReviewCalcs[[#This Row],[AOH]]*ReviewCalcs[[#This Row],[IEFE]], 0)</f>
        <v>0</v>
      </c>
      <c r="AU76" s="118">
        <f>IFERROR(ReviewCalcs[[#This Row],[Proposed Fixture Quantity]]*ReviewCalcs[[#This Row],[Proposed Fixture Watts]]/1000*ReviewCalcs[[#This Row],[Proposed PAF]]*ReviewCalcs[[#This Row],[AOH]]*ReviewCalcs[[#This Row],[IEFE]], 0)</f>
        <v>0</v>
      </c>
      <c r="AV76" s="118">
        <f>IFERROR(ReviewCalcs[[#This Row],[Proposed Fixture Quantity]]*ReviewCalcs[[#This Row],[Proposed Fixture Watts]]/1000*(ReviewCalcs[[#This Row],[Existing PAF]]-ReviewCalcs[[#This Row],[Proposed PAF]])*ReviewCalcs[[#This Row],[AOH]]*ReviewCalcs[[#This Row],[IEFE]], 0)</f>
        <v>0</v>
      </c>
      <c r="AW76" s="118">
        <f>ReviewCalcs[[#This Row],[Control Existing Energy (kWh)]]*kWh_Incentive_Rate</f>
        <v>0</v>
      </c>
      <c r="AX76" s="118">
        <f>ReviewCalcs[[#This Row],[Control Proposed Energy (kWh)]]*kWh_Incentive_Rate</f>
        <v>0</v>
      </c>
      <c r="AY76" s="70">
        <f>ReviewCalcs[[#This Row],[Control Energy Savings (kWh)]]*kWh_Incentive_Rate</f>
        <v>0</v>
      </c>
      <c r="AZ76" s="70" t="e">
        <f>ReviewCalcs[[#This Row],[Fixture Existing Demand (kW)]]+ReviewCalcs[[#This Row],[Control Existing Demand (kW)]]</f>
        <v>#VALUE!</v>
      </c>
      <c r="BA76" s="70" t="e">
        <f>ReviewCalcs[[#This Row],[Fixture Proposed Demand (kW)]]+ReviewCalcs[[#This Row],[Control Proposed Demand (kW)]]</f>
        <v>#VALUE!</v>
      </c>
      <c r="BB76" s="118">
        <f>ReviewCalcs[[#This Row],[Fixture Demand Savings (kW)]]+ReviewCalcs[[#This Row],[Control Demand Savings (kW)]]</f>
        <v>0</v>
      </c>
      <c r="BC76" s="118">
        <f>ReviewCalcs[[#This Row],[Fixture Existing Energy (kWh)]]+ReviewCalcs[[#This Row],[Control Existing Energy (kWh)]]</f>
        <v>0</v>
      </c>
      <c r="BD76" s="118">
        <f>ReviewCalcs[[#This Row],[Fixture Proposed Energy (kWh)]]+ReviewCalcs[[#This Row],[Control Proposed Energy (kWh)]]</f>
        <v>0</v>
      </c>
      <c r="BE76" s="118">
        <f>ReviewCalcs[[#This Row],[Fixture Energy Savings]]+ReviewCalcs[[#This Row],[Control Energy Savings (kWh)]]</f>
        <v>0</v>
      </c>
      <c r="BF76" s="118">
        <f>ReviewCalcs[[#This Row],[Fixture Existing Cost ($)]]+ReviewCalcs[[#This Row],[Control Existing Cost ($)]]</f>
        <v>0</v>
      </c>
      <c r="BG76" s="118">
        <f>ReviewCalcs[[#This Row],[Fixture Proposed Cost ($)]]+ReviewCalcs[[#This Row],[Controls Proposed Cost ($)]]</f>
        <v>0</v>
      </c>
      <c r="BH76" s="70">
        <f>ReviewCalcs[[#This Row],[Total Energy Savings (kWh)]]*Avg_KWh_Rate</f>
        <v>0</v>
      </c>
      <c r="BI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6" s="70">
        <f>ReviewCalcs[[#This Row],[Retrofit Cost]]</f>
        <v>0</v>
      </c>
      <c r="BK76" s="70">
        <f>ReviewCalcs[[#This Row],[Retrofit Cost]]-ReviewCalcs[[#This Row],[Incentive ($)]]</f>
        <v>0</v>
      </c>
      <c r="BL76" s="118" t="e">
        <f>IFERROR(ReviewCalcs[[#This Row],[Net Project Cost ($)]]/ReviewCalcs[[#This Row],[Fixture Energy Cost Savings ($)]], #N/A)</f>
        <v>#N/A</v>
      </c>
      <c r="BM76" s="118" t="e">
        <f>IF(VLOOKUP(ReviewCalcs[[#This Row],[Existing Fixture Code]], Table7[[FIXTURE CODE]:[Baseline Fixture Code]], 8, FALSE)="N", VLOOKUP(ReviewCalcs[[#This Row],[Existing Fixture Code]], Table7[[FIXTURE CODE]:[Baseline Fixture Code]], 9, FALSE), ReviewCalcs[[#This Row],[Existing Fixture Code]])</f>
        <v>#N/A</v>
      </c>
      <c r="BN76" s="118" t="e">
        <f>INDEX(Table7[WATT/ FIXT], MATCH(ReviewCalcs[Baseline Fixture Code], Table7[FIXTURE CODE], 0))</f>
        <v>#N/A</v>
      </c>
      <c r="BO76" s="118">
        <f>IFERROR((ReviewCalcs[[#This Row],[Existing Fixture Quantity]]*ReviewCalcs[[#This Row],[Baseline Fixture Watts]]/1000-ReviewCalcs[[#This Row],[Proposed Fixture Quantity]]*ReviewCalcs[[#This Row],[Proposed Fixture Watts]]/1000)*ReviewCalcs[[#This Row],[Existing CF]]*ReviewCalcs[[#This Row],[IEFD]], 0)</f>
        <v>0</v>
      </c>
      <c r="BP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6" s="118">
        <f>IF(ReviewCalcs[[#This Row],[Existing CF]]=ReviewCalcs[[#This Row],[Proposed CF]], 0, ReviewCalcs[[#This Row],[Proposed Fixture Quantity]]*ReviewCalcs[[#This Row],[Proposed Fixture Watts]]/1000*ReviewCalcs[[#This Row],[Proposed CF]]*ReviewCalcs[[#This Row],[IEFD]])</f>
        <v>0</v>
      </c>
      <c r="BR76" s="118">
        <f>IFERROR(ReviewCalcs[[#This Row],[Proposed Fixture Quantity]]*ReviewCalcs[[#This Row],[Proposed Fixture Watts]]/1000*(ReviewCalcs[[#This Row],[Existing PAF]]-ReviewCalcs[[#This Row],[Proposed PAF]])*ReviewCalcs[[#This Row],[AOH]]*ReviewCalcs[[#This Row],[IEFE]],0)</f>
        <v>0</v>
      </c>
      <c r="BS76" s="118">
        <f>ReviewCalcs[[#This Row],[Incentive Fixture Demand Savings (kW)]]+ReviewCalcs[[#This Row],[Incentive Control Demand Savings (kW)]]</f>
        <v>0</v>
      </c>
      <c r="BT76" s="118">
        <f>ReviewCalcs[[#This Row],[Incentive Fixture Energy Savings (kWh)]]+ReviewCalcs[[#This Row],[Incentive Control Energy Savings (kWh)]]</f>
        <v>0</v>
      </c>
      <c r="BU76" s="73"/>
    </row>
    <row r="77" spans="1:73" ht="30" customHeight="1">
      <c r="A77" s="68">
        <v>74</v>
      </c>
      <c r="B77" s="96">
        <f>VLOOKUP(ReviewCalcs[[#This Row],[Project Index]], ProjectInput[], D$1, FALSE)</f>
        <v>0</v>
      </c>
      <c r="C77" s="97">
        <f>VLOOKUP(ReviewCalcs[[#This Row],[Project Index]], ProjectInput[], E$1, FALSE)</f>
        <v>0</v>
      </c>
      <c r="D77" s="97">
        <f>VLOOKUP(ReviewCalcs[[#This Row],[Project Index]], ProjectInput[], F$1, FALSE)</f>
        <v>0</v>
      </c>
      <c r="E77" s="97">
        <f>VLOOKUP(ReviewCalcs[[#This Row],[Project Index]], ProjectInput[], G$1, FALSE)</f>
        <v>0</v>
      </c>
      <c r="F77" s="97">
        <f>VLOOKUP(ReviewCalcs[[#This Row],[Project Index]], ProjectInput[], H$1, FALSE)</f>
        <v>0</v>
      </c>
      <c r="G77" s="98" t="str">
        <f>VLOOKUP(ReviewCalcs[[#This Row],[Project Index]], ProjectInput[], I$1, FALSE)</f>
        <v/>
      </c>
      <c r="H77" s="96">
        <f>VLOOKUP(ReviewCalcs[[#This Row],[Project Index]], ProjectInput[], J$1, FALSE)</f>
        <v>0</v>
      </c>
      <c r="I77" s="97">
        <f>VLOOKUP(ReviewCalcs[[#This Row],[Project Index]], ProjectInput[], K$1, FALSE)</f>
        <v>0</v>
      </c>
      <c r="J77" s="97">
        <f>VLOOKUP(ReviewCalcs[[#This Row],[Project Index]], ProjectInput[], L$1, FALSE)</f>
        <v>0</v>
      </c>
      <c r="K77" s="97">
        <f>VLOOKUP(ReviewCalcs[[#This Row],[Project Index]], ProjectInput[], M$1, FALSE)</f>
        <v>0</v>
      </c>
      <c r="L77" s="97">
        <f>VLOOKUP(ReviewCalcs[[#This Row],[Project Index]], ProjectInput[], N$1, FALSE)</f>
        <v>0</v>
      </c>
      <c r="M77" s="98" t="str">
        <f>VLOOKUP(ReviewCalcs[[#This Row],[Project Index]], ProjectInput[], O$1, FALSE)</f>
        <v/>
      </c>
      <c r="N77" s="96">
        <f>VLOOKUP(ReviewCalcs[[#This Row],[Project Index]], ProjectInput[], P$1, FALSE)</f>
        <v>0</v>
      </c>
      <c r="O77" s="97">
        <f>VLOOKUP(ReviewCalcs[[#This Row],[Project Index]], ProjectInput[], Q$1, FALSE)</f>
        <v>0</v>
      </c>
      <c r="P77" s="97">
        <f>VLOOKUP(ReviewCalcs[[#This Row],[Project Index]], ProjectInput[], R$1, FALSE)</f>
        <v>0</v>
      </c>
      <c r="Q77" s="97">
        <f>VLOOKUP(ReviewCalcs[[#This Row],[Project Index]], ProjectInput[], S$1, FALSE)</f>
        <v>0</v>
      </c>
      <c r="R77" s="97">
        <f>VLOOKUP(ReviewCalcs[[#This Row],[Project Index]], ProjectInput[], T$1, FALSE)</f>
        <v>0</v>
      </c>
      <c r="S77" s="97">
        <f>VLOOKUP(ReviewCalcs[[#This Row],[Project Index]], ProjectInput[], U$1, FALSE)</f>
        <v>0</v>
      </c>
      <c r="T77" s="97">
        <f>VLOOKUP(ReviewCalcs[[#This Row],[Project Index]], ProjectInput[], V$1, FALSE)</f>
        <v>0</v>
      </c>
      <c r="U77" s="97">
        <f>VLOOKUP(ReviewCalcs[[#This Row],[Project Index]], ProjectInput[], W$1, FALSE)</f>
        <v>0</v>
      </c>
      <c r="V77" s="98" t="str">
        <f>VLOOKUP(ReviewCalcs[[#This Row],[Project Index]], ProjectInput[], X$1, FALSE)</f>
        <v/>
      </c>
      <c r="W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7" s="75" t="e">
        <f>IF(VLOOKUP(ReviewCalcs[[#This Row],[Proposed Fixture Code]], Table7[[FIXTURE CODE]:[Baseline Fixture Code]], 8, FALSE)="N", "ERROR", "PASS")</f>
        <v>#N/A</v>
      </c>
      <c r="Y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7" s="75" t="e">
        <f>IF(OR(ReviewCalcs[[#This Row],[Baseline Fixture Watts]]&gt;=ReviewCalcs[[#This Row],[Proposed Fixture Watts]],ReviewCalcs[[#This Row],[Existing Fixture Watts]]&gt;=ReviewCalcs[[#This Row],[Proposed Fixture Watts]] ), "PASS", "ERROR")</f>
        <v>#N/A</v>
      </c>
      <c r="AA77" s="69" t="e">
        <f>VLOOKUP(ReviewCalcs[[#This Row],[Space Conditions]], Table_365[], 5, FALSE)</f>
        <v>#N/A</v>
      </c>
      <c r="AB77" s="68" t="str">
        <f>ReviewCalcs[[#This Row],[Annual Hours]]</f>
        <v/>
      </c>
      <c r="AC77" s="68" t="e">
        <f>VLOOKUP(ReviewCalcs[[#This Row],[Space Conditions]], Table_365[], 6, FALSE)</f>
        <v>#N/A</v>
      </c>
      <c r="AD77" s="68">
        <f>IF(ReviewCalcs[[#This Row],[Existing Control(s)]]='Tables &amp; Ranges'!$A$25, VLOOKUP(ReviewCalcs[[#This Row],[Building/Space Type]], Table_364[], 3, FALSE), CF_Contols)</f>
        <v>0.26</v>
      </c>
      <c r="AE77" s="68" t="e">
        <f>VLOOKUP(ReviewCalcs[[#This Row],[Existing Control(s)]], Table_358[], 2, FALSE)</f>
        <v>#N/A</v>
      </c>
      <c r="AF77" s="68">
        <f>IF(ReviewCalcs[[#This Row],[Proposed Control(s)]]='Tables &amp; Ranges'!$A$25, VLOOKUP(ReviewCalcs[[#This Row],[Building/Space Type]], Table_364[], 3, FALSE), CF_Contols)</f>
        <v>0.26</v>
      </c>
      <c r="AG77" s="68" t="e">
        <f>VLOOKUP(ReviewCalcs[[#This Row],[Proposed Control(s)]], Table_358[], 2, FALSE)</f>
        <v>#N/A</v>
      </c>
      <c r="AH77" s="68">
        <f>IFERROR((ReviewCalcs[[#This Row],[Existing Fixture Quantity]]*ReviewCalcs[[#This Row],[Existing Fixture Watts]]/1000)*ReviewCalcs[[#This Row],[Existing CF]]*ReviewCalcs[[#This Row],[IEFD]], 0)</f>
        <v>0</v>
      </c>
      <c r="AI77" s="68">
        <f>IFERROR((ReviewCalcs[[#This Row],[Proposed Fixture Quantity]]*ReviewCalcs[[#This Row],[Proposed Fixture Watts]]/1000)*ReviewCalcs[[#This Row],[Existing CF]]*ReviewCalcs[[#This Row],[IEFD]], 0)</f>
        <v>0</v>
      </c>
      <c r="AJ77" s="118">
        <f>IFERROR((ReviewCalcs[[#This Row],[Existing Fixture Quantity]]*ReviewCalcs[[#This Row],[Existing Fixture Watts]]/1000-ReviewCalcs[[#This Row],[Proposed Fixture Quantity]]*ReviewCalcs[[#This Row],[Proposed Fixture Watts]]/1000)*ReviewCalcs[[#This Row],[Existing CF]]*ReviewCalcs[[#This Row],[IEFD]], 0)</f>
        <v>0</v>
      </c>
      <c r="AK77" s="118">
        <f>IFERROR((ReviewCalcs[[#This Row],[Existing Fixture Quantity]]*ReviewCalcs[[#This Row],[Existing Fixture Watts]]/1000)*ReviewCalcs[[#This Row],[AOH]]*ReviewCalcs[[#This Row],[IEFE]]*ReviewCalcs[[#This Row],[Existing PAF]], 0)</f>
        <v>0</v>
      </c>
      <c r="AL77" s="118">
        <f>IFERROR((ReviewCalcs[[#This Row],[Proposed Fixture Quantity]]*ReviewCalcs[[#This Row],[Proposed Fixture Watts]]/1000)*ReviewCalcs[[#This Row],[AOH]]*ReviewCalcs[[#This Row],[IEFE]]*ReviewCalcs[[#This Row],[Existing PAF]], 0)</f>
        <v>0</v>
      </c>
      <c r="AM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7" s="118">
        <f>ReviewCalcs[[#This Row],[Fixture Existing Energy (kWh)]]*Avg_KWh_Rate</f>
        <v>0</v>
      </c>
      <c r="AO77" s="118">
        <f>ReviewCalcs[[#This Row],[Fixture Proposed Energy (kWh)]]*Avg_KWh_Rate</f>
        <v>0</v>
      </c>
      <c r="AP77" s="70">
        <f>ReviewCalcs[[#This Row],[Fixture Energy Savings]]*Avg_KWh_Rate</f>
        <v>0</v>
      </c>
      <c r="AQ77" s="129" t="e">
        <f>ReviewCalcs[[#This Row],[Existing Fixture Quantity]]*ReviewCalcs[[#This Row],[Existing Fixture Watts]]/1000*ReviewCalcs[[#This Row],[Existing CF]]*ReviewCalcs[[#This Row],[IEFD]]</f>
        <v>#VALUE!</v>
      </c>
      <c r="AR77" s="129" t="e">
        <f>ReviewCalcs[[#This Row],[Proposed Fixture Quantity]]*ReviewCalcs[[#This Row],[Proposed Fixture Watts]]/1000*ReviewCalcs[[#This Row],[Proposed CF]]*ReviewCalcs[[#This Row],[IEFD]]</f>
        <v>#VALUE!</v>
      </c>
      <c r="AS77" s="118">
        <f>IF(ReviewCalcs[[#This Row],[Existing CF]]=ReviewCalcs[[#This Row],[Proposed CF]], 0, ReviewCalcs[[#This Row],[Proposed Fixture Quantity]]*ReviewCalcs[[#This Row],[Proposed Fixture Watts]]/1000*ReviewCalcs[[#This Row],[Proposed CF]]*ReviewCalcs[[#This Row],[IEFD]])</f>
        <v>0</v>
      </c>
      <c r="AT77" s="118">
        <f>IFERROR(ReviewCalcs[[#This Row],[Existing Fixture Quantity]]*ReviewCalcs[[#This Row],[Existing Fixture Watts]]/1000*ReviewCalcs[[#This Row],[Existing PAF]]*ReviewCalcs[[#This Row],[AOH]]*ReviewCalcs[[#This Row],[IEFE]], 0)</f>
        <v>0</v>
      </c>
      <c r="AU77" s="118">
        <f>IFERROR(ReviewCalcs[[#This Row],[Proposed Fixture Quantity]]*ReviewCalcs[[#This Row],[Proposed Fixture Watts]]/1000*ReviewCalcs[[#This Row],[Proposed PAF]]*ReviewCalcs[[#This Row],[AOH]]*ReviewCalcs[[#This Row],[IEFE]], 0)</f>
        <v>0</v>
      </c>
      <c r="AV77" s="118">
        <f>IFERROR(ReviewCalcs[[#This Row],[Proposed Fixture Quantity]]*ReviewCalcs[[#This Row],[Proposed Fixture Watts]]/1000*(ReviewCalcs[[#This Row],[Existing PAF]]-ReviewCalcs[[#This Row],[Proposed PAF]])*ReviewCalcs[[#This Row],[AOH]]*ReviewCalcs[[#This Row],[IEFE]], 0)</f>
        <v>0</v>
      </c>
      <c r="AW77" s="118">
        <f>ReviewCalcs[[#This Row],[Control Existing Energy (kWh)]]*kWh_Incentive_Rate</f>
        <v>0</v>
      </c>
      <c r="AX77" s="118">
        <f>ReviewCalcs[[#This Row],[Control Proposed Energy (kWh)]]*kWh_Incentive_Rate</f>
        <v>0</v>
      </c>
      <c r="AY77" s="70">
        <f>ReviewCalcs[[#This Row],[Control Energy Savings (kWh)]]*kWh_Incentive_Rate</f>
        <v>0</v>
      </c>
      <c r="AZ77" s="70" t="e">
        <f>ReviewCalcs[[#This Row],[Fixture Existing Demand (kW)]]+ReviewCalcs[[#This Row],[Control Existing Demand (kW)]]</f>
        <v>#VALUE!</v>
      </c>
      <c r="BA77" s="70" t="e">
        <f>ReviewCalcs[[#This Row],[Fixture Proposed Demand (kW)]]+ReviewCalcs[[#This Row],[Control Proposed Demand (kW)]]</f>
        <v>#VALUE!</v>
      </c>
      <c r="BB77" s="118">
        <f>ReviewCalcs[[#This Row],[Fixture Demand Savings (kW)]]+ReviewCalcs[[#This Row],[Control Demand Savings (kW)]]</f>
        <v>0</v>
      </c>
      <c r="BC77" s="118">
        <f>ReviewCalcs[[#This Row],[Fixture Existing Energy (kWh)]]+ReviewCalcs[[#This Row],[Control Existing Energy (kWh)]]</f>
        <v>0</v>
      </c>
      <c r="BD77" s="118">
        <f>ReviewCalcs[[#This Row],[Fixture Proposed Energy (kWh)]]+ReviewCalcs[[#This Row],[Control Proposed Energy (kWh)]]</f>
        <v>0</v>
      </c>
      <c r="BE77" s="118">
        <f>ReviewCalcs[[#This Row],[Fixture Energy Savings]]+ReviewCalcs[[#This Row],[Control Energy Savings (kWh)]]</f>
        <v>0</v>
      </c>
      <c r="BF77" s="118">
        <f>ReviewCalcs[[#This Row],[Fixture Existing Cost ($)]]+ReviewCalcs[[#This Row],[Control Existing Cost ($)]]</f>
        <v>0</v>
      </c>
      <c r="BG77" s="118">
        <f>ReviewCalcs[[#This Row],[Fixture Proposed Cost ($)]]+ReviewCalcs[[#This Row],[Controls Proposed Cost ($)]]</f>
        <v>0</v>
      </c>
      <c r="BH77" s="70">
        <f>ReviewCalcs[[#This Row],[Total Energy Savings (kWh)]]*Avg_KWh_Rate</f>
        <v>0</v>
      </c>
      <c r="BI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7" s="70">
        <f>ReviewCalcs[[#This Row],[Retrofit Cost]]</f>
        <v>0</v>
      </c>
      <c r="BK77" s="70">
        <f>ReviewCalcs[[#This Row],[Retrofit Cost]]-ReviewCalcs[[#This Row],[Incentive ($)]]</f>
        <v>0</v>
      </c>
      <c r="BL77" s="118" t="e">
        <f>IFERROR(ReviewCalcs[[#This Row],[Net Project Cost ($)]]/ReviewCalcs[[#This Row],[Fixture Energy Cost Savings ($)]], #N/A)</f>
        <v>#N/A</v>
      </c>
      <c r="BM77" s="118" t="e">
        <f>IF(VLOOKUP(ReviewCalcs[[#This Row],[Existing Fixture Code]], Table7[[FIXTURE CODE]:[Baseline Fixture Code]], 8, FALSE)="N", VLOOKUP(ReviewCalcs[[#This Row],[Existing Fixture Code]], Table7[[FIXTURE CODE]:[Baseline Fixture Code]], 9, FALSE), ReviewCalcs[[#This Row],[Existing Fixture Code]])</f>
        <v>#N/A</v>
      </c>
      <c r="BN77" s="118" t="e">
        <f>INDEX(Table7[WATT/ FIXT], MATCH(ReviewCalcs[Baseline Fixture Code], Table7[FIXTURE CODE], 0))</f>
        <v>#N/A</v>
      </c>
      <c r="BO77" s="118">
        <f>IFERROR((ReviewCalcs[[#This Row],[Existing Fixture Quantity]]*ReviewCalcs[[#This Row],[Baseline Fixture Watts]]/1000-ReviewCalcs[[#This Row],[Proposed Fixture Quantity]]*ReviewCalcs[[#This Row],[Proposed Fixture Watts]]/1000)*ReviewCalcs[[#This Row],[Existing CF]]*ReviewCalcs[[#This Row],[IEFD]], 0)</f>
        <v>0</v>
      </c>
      <c r="BP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7" s="118">
        <f>IF(ReviewCalcs[[#This Row],[Existing CF]]=ReviewCalcs[[#This Row],[Proposed CF]], 0, ReviewCalcs[[#This Row],[Proposed Fixture Quantity]]*ReviewCalcs[[#This Row],[Proposed Fixture Watts]]/1000*ReviewCalcs[[#This Row],[Proposed CF]]*ReviewCalcs[[#This Row],[IEFD]])</f>
        <v>0</v>
      </c>
      <c r="BR77" s="118">
        <f>IFERROR(ReviewCalcs[[#This Row],[Proposed Fixture Quantity]]*ReviewCalcs[[#This Row],[Proposed Fixture Watts]]/1000*(ReviewCalcs[[#This Row],[Existing PAF]]-ReviewCalcs[[#This Row],[Proposed PAF]])*ReviewCalcs[[#This Row],[AOH]]*ReviewCalcs[[#This Row],[IEFE]],0)</f>
        <v>0</v>
      </c>
      <c r="BS77" s="118">
        <f>ReviewCalcs[[#This Row],[Incentive Fixture Demand Savings (kW)]]+ReviewCalcs[[#This Row],[Incentive Control Demand Savings (kW)]]</f>
        <v>0</v>
      </c>
      <c r="BT77" s="118">
        <f>ReviewCalcs[[#This Row],[Incentive Fixture Energy Savings (kWh)]]+ReviewCalcs[[#This Row],[Incentive Control Energy Savings (kWh)]]</f>
        <v>0</v>
      </c>
      <c r="BU77" s="73"/>
    </row>
    <row r="78" spans="1:73" ht="30" customHeight="1">
      <c r="A78" s="68">
        <v>75</v>
      </c>
      <c r="B78" s="96">
        <f>VLOOKUP(ReviewCalcs[[#This Row],[Project Index]], ProjectInput[], D$1, FALSE)</f>
        <v>0</v>
      </c>
      <c r="C78" s="97">
        <f>VLOOKUP(ReviewCalcs[[#This Row],[Project Index]], ProjectInput[], E$1, FALSE)</f>
        <v>0</v>
      </c>
      <c r="D78" s="97">
        <f>VLOOKUP(ReviewCalcs[[#This Row],[Project Index]], ProjectInput[], F$1, FALSE)</f>
        <v>0</v>
      </c>
      <c r="E78" s="97">
        <f>VLOOKUP(ReviewCalcs[[#This Row],[Project Index]], ProjectInput[], G$1, FALSE)</f>
        <v>0</v>
      </c>
      <c r="F78" s="97">
        <f>VLOOKUP(ReviewCalcs[[#This Row],[Project Index]], ProjectInput[], H$1, FALSE)</f>
        <v>0</v>
      </c>
      <c r="G78" s="98" t="str">
        <f>VLOOKUP(ReviewCalcs[[#This Row],[Project Index]], ProjectInput[], I$1, FALSE)</f>
        <v/>
      </c>
      <c r="H78" s="96">
        <f>VLOOKUP(ReviewCalcs[[#This Row],[Project Index]], ProjectInput[], J$1, FALSE)</f>
        <v>0</v>
      </c>
      <c r="I78" s="97">
        <f>VLOOKUP(ReviewCalcs[[#This Row],[Project Index]], ProjectInput[], K$1, FALSE)</f>
        <v>0</v>
      </c>
      <c r="J78" s="97">
        <f>VLOOKUP(ReviewCalcs[[#This Row],[Project Index]], ProjectInput[], L$1, FALSE)</f>
        <v>0</v>
      </c>
      <c r="K78" s="97">
        <f>VLOOKUP(ReviewCalcs[[#This Row],[Project Index]], ProjectInput[], M$1, FALSE)</f>
        <v>0</v>
      </c>
      <c r="L78" s="97">
        <f>VLOOKUP(ReviewCalcs[[#This Row],[Project Index]], ProjectInput[], N$1, FALSE)</f>
        <v>0</v>
      </c>
      <c r="M78" s="98" t="str">
        <f>VLOOKUP(ReviewCalcs[[#This Row],[Project Index]], ProjectInput[], O$1, FALSE)</f>
        <v/>
      </c>
      <c r="N78" s="96">
        <f>VLOOKUP(ReviewCalcs[[#This Row],[Project Index]], ProjectInput[], P$1, FALSE)</f>
        <v>0</v>
      </c>
      <c r="O78" s="97">
        <f>VLOOKUP(ReviewCalcs[[#This Row],[Project Index]], ProjectInput[], Q$1, FALSE)</f>
        <v>0</v>
      </c>
      <c r="P78" s="97">
        <f>VLOOKUP(ReviewCalcs[[#This Row],[Project Index]], ProjectInput[], R$1, FALSE)</f>
        <v>0</v>
      </c>
      <c r="Q78" s="97">
        <f>VLOOKUP(ReviewCalcs[[#This Row],[Project Index]], ProjectInput[], S$1, FALSE)</f>
        <v>0</v>
      </c>
      <c r="R78" s="97">
        <f>VLOOKUP(ReviewCalcs[[#This Row],[Project Index]], ProjectInput[], T$1, FALSE)</f>
        <v>0</v>
      </c>
      <c r="S78" s="97">
        <f>VLOOKUP(ReviewCalcs[[#This Row],[Project Index]], ProjectInput[], U$1, FALSE)</f>
        <v>0</v>
      </c>
      <c r="T78" s="97">
        <f>VLOOKUP(ReviewCalcs[[#This Row],[Project Index]], ProjectInput[], V$1, FALSE)</f>
        <v>0</v>
      </c>
      <c r="U78" s="97">
        <f>VLOOKUP(ReviewCalcs[[#This Row],[Project Index]], ProjectInput[], W$1, FALSE)</f>
        <v>0</v>
      </c>
      <c r="V78" s="98" t="str">
        <f>VLOOKUP(ReviewCalcs[[#This Row],[Project Index]], ProjectInput[], X$1, FALSE)</f>
        <v/>
      </c>
      <c r="W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8" s="75" t="e">
        <f>IF(VLOOKUP(ReviewCalcs[[#This Row],[Proposed Fixture Code]], Table7[[FIXTURE CODE]:[Baseline Fixture Code]], 8, FALSE)="N", "ERROR", "PASS")</f>
        <v>#N/A</v>
      </c>
      <c r="Y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8" s="75" t="e">
        <f>IF(OR(ReviewCalcs[[#This Row],[Baseline Fixture Watts]]&gt;=ReviewCalcs[[#This Row],[Proposed Fixture Watts]],ReviewCalcs[[#This Row],[Existing Fixture Watts]]&gt;=ReviewCalcs[[#This Row],[Proposed Fixture Watts]] ), "PASS", "ERROR")</f>
        <v>#N/A</v>
      </c>
      <c r="AA78" s="69" t="e">
        <f>VLOOKUP(ReviewCalcs[[#This Row],[Space Conditions]], Table_365[], 5, FALSE)</f>
        <v>#N/A</v>
      </c>
      <c r="AB78" s="68" t="str">
        <f>ReviewCalcs[[#This Row],[Annual Hours]]</f>
        <v/>
      </c>
      <c r="AC78" s="68" t="e">
        <f>VLOOKUP(ReviewCalcs[[#This Row],[Space Conditions]], Table_365[], 6, FALSE)</f>
        <v>#N/A</v>
      </c>
      <c r="AD78" s="68">
        <f>IF(ReviewCalcs[[#This Row],[Existing Control(s)]]='Tables &amp; Ranges'!$A$25, VLOOKUP(ReviewCalcs[[#This Row],[Building/Space Type]], Table_364[], 3, FALSE), CF_Contols)</f>
        <v>0.26</v>
      </c>
      <c r="AE78" s="68" t="e">
        <f>VLOOKUP(ReviewCalcs[[#This Row],[Existing Control(s)]], Table_358[], 2, FALSE)</f>
        <v>#N/A</v>
      </c>
      <c r="AF78" s="68">
        <f>IF(ReviewCalcs[[#This Row],[Proposed Control(s)]]='Tables &amp; Ranges'!$A$25, VLOOKUP(ReviewCalcs[[#This Row],[Building/Space Type]], Table_364[], 3, FALSE), CF_Contols)</f>
        <v>0.26</v>
      </c>
      <c r="AG78" s="68" t="e">
        <f>VLOOKUP(ReviewCalcs[[#This Row],[Proposed Control(s)]], Table_358[], 2, FALSE)</f>
        <v>#N/A</v>
      </c>
      <c r="AH78" s="68">
        <f>IFERROR((ReviewCalcs[[#This Row],[Existing Fixture Quantity]]*ReviewCalcs[[#This Row],[Existing Fixture Watts]]/1000)*ReviewCalcs[[#This Row],[Existing CF]]*ReviewCalcs[[#This Row],[IEFD]], 0)</f>
        <v>0</v>
      </c>
      <c r="AI78" s="68">
        <f>IFERROR((ReviewCalcs[[#This Row],[Proposed Fixture Quantity]]*ReviewCalcs[[#This Row],[Proposed Fixture Watts]]/1000)*ReviewCalcs[[#This Row],[Existing CF]]*ReviewCalcs[[#This Row],[IEFD]], 0)</f>
        <v>0</v>
      </c>
      <c r="AJ78" s="118">
        <f>IFERROR((ReviewCalcs[[#This Row],[Existing Fixture Quantity]]*ReviewCalcs[[#This Row],[Existing Fixture Watts]]/1000-ReviewCalcs[[#This Row],[Proposed Fixture Quantity]]*ReviewCalcs[[#This Row],[Proposed Fixture Watts]]/1000)*ReviewCalcs[[#This Row],[Existing CF]]*ReviewCalcs[[#This Row],[IEFD]], 0)</f>
        <v>0</v>
      </c>
      <c r="AK78" s="118">
        <f>IFERROR((ReviewCalcs[[#This Row],[Existing Fixture Quantity]]*ReviewCalcs[[#This Row],[Existing Fixture Watts]]/1000)*ReviewCalcs[[#This Row],[AOH]]*ReviewCalcs[[#This Row],[IEFE]]*ReviewCalcs[[#This Row],[Existing PAF]], 0)</f>
        <v>0</v>
      </c>
      <c r="AL78" s="118">
        <f>IFERROR((ReviewCalcs[[#This Row],[Proposed Fixture Quantity]]*ReviewCalcs[[#This Row],[Proposed Fixture Watts]]/1000)*ReviewCalcs[[#This Row],[AOH]]*ReviewCalcs[[#This Row],[IEFE]]*ReviewCalcs[[#This Row],[Existing PAF]], 0)</f>
        <v>0</v>
      </c>
      <c r="AM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8" s="118">
        <f>ReviewCalcs[[#This Row],[Fixture Existing Energy (kWh)]]*Avg_KWh_Rate</f>
        <v>0</v>
      </c>
      <c r="AO78" s="118">
        <f>ReviewCalcs[[#This Row],[Fixture Proposed Energy (kWh)]]*Avg_KWh_Rate</f>
        <v>0</v>
      </c>
      <c r="AP78" s="70">
        <f>ReviewCalcs[[#This Row],[Fixture Energy Savings]]*Avg_KWh_Rate</f>
        <v>0</v>
      </c>
      <c r="AQ78" s="129" t="e">
        <f>ReviewCalcs[[#This Row],[Existing Fixture Quantity]]*ReviewCalcs[[#This Row],[Existing Fixture Watts]]/1000*ReviewCalcs[[#This Row],[Existing CF]]*ReviewCalcs[[#This Row],[IEFD]]</f>
        <v>#VALUE!</v>
      </c>
      <c r="AR78" s="129" t="e">
        <f>ReviewCalcs[[#This Row],[Proposed Fixture Quantity]]*ReviewCalcs[[#This Row],[Proposed Fixture Watts]]/1000*ReviewCalcs[[#This Row],[Proposed CF]]*ReviewCalcs[[#This Row],[IEFD]]</f>
        <v>#VALUE!</v>
      </c>
      <c r="AS78" s="118">
        <f>IF(ReviewCalcs[[#This Row],[Existing CF]]=ReviewCalcs[[#This Row],[Proposed CF]], 0, ReviewCalcs[[#This Row],[Proposed Fixture Quantity]]*ReviewCalcs[[#This Row],[Proposed Fixture Watts]]/1000*ReviewCalcs[[#This Row],[Proposed CF]]*ReviewCalcs[[#This Row],[IEFD]])</f>
        <v>0</v>
      </c>
      <c r="AT78" s="118">
        <f>IFERROR(ReviewCalcs[[#This Row],[Existing Fixture Quantity]]*ReviewCalcs[[#This Row],[Existing Fixture Watts]]/1000*ReviewCalcs[[#This Row],[Existing PAF]]*ReviewCalcs[[#This Row],[AOH]]*ReviewCalcs[[#This Row],[IEFE]], 0)</f>
        <v>0</v>
      </c>
      <c r="AU78" s="118">
        <f>IFERROR(ReviewCalcs[[#This Row],[Proposed Fixture Quantity]]*ReviewCalcs[[#This Row],[Proposed Fixture Watts]]/1000*ReviewCalcs[[#This Row],[Proposed PAF]]*ReviewCalcs[[#This Row],[AOH]]*ReviewCalcs[[#This Row],[IEFE]], 0)</f>
        <v>0</v>
      </c>
      <c r="AV78" s="118">
        <f>IFERROR(ReviewCalcs[[#This Row],[Proposed Fixture Quantity]]*ReviewCalcs[[#This Row],[Proposed Fixture Watts]]/1000*(ReviewCalcs[[#This Row],[Existing PAF]]-ReviewCalcs[[#This Row],[Proposed PAF]])*ReviewCalcs[[#This Row],[AOH]]*ReviewCalcs[[#This Row],[IEFE]], 0)</f>
        <v>0</v>
      </c>
      <c r="AW78" s="118">
        <f>ReviewCalcs[[#This Row],[Control Existing Energy (kWh)]]*kWh_Incentive_Rate</f>
        <v>0</v>
      </c>
      <c r="AX78" s="118">
        <f>ReviewCalcs[[#This Row],[Control Proposed Energy (kWh)]]*kWh_Incentive_Rate</f>
        <v>0</v>
      </c>
      <c r="AY78" s="70">
        <f>ReviewCalcs[[#This Row],[Control Energy Savings (kWh)]]*kWh_Incentive_Rate</f>
        <v>0</v>
      </c>
      <c r="AZ78" s="70" t="e">
        <f>ReviewCalcs[[#This Row],[Fixture Existing Demand (kW)]]+ReviewCalcs[[#This Row],[Control Existing Demand (kW)]]</f>
        <v>#VALUE!</v>
      </c>
      <c r="BA78" s="70" t="e">
        <f>ReviewCalcs[[#This Row],[Fixture Proposed Demand (kW)]]+ReviewCalcs[[#This Row],[Control Proposed Demand (kW)]]</f>
        <v>#VALUE!</v>
      </c>
      <c r="BB78" s="118">
        <f>ReviewCalcs[[#This Row],[Fixture Demand Savings (kW)]]+ReviewCalcs[[#This Row],[Control Demand Savings (kW)]]</f>
        <v>0</v>
      </c>
      <c r="BC78" s="118">
        <f>ReviewCalcs[[#This Row],[Fixture Existing Energy (kWh)]]+ReviewCalcs[[#This Row],[Control Existing Energy (kWh)]]</f>
        <v>0</v>
      </c>
      <c r="BD78" s="118">
        <f>ReviewCalcs[[#This Row],[Fixture Proposed Energy (kWh)]]+ReviewCalcs[[#This Row],[Control Proposed Energy (kWh)]]</f>
        <v>0</v>
      </c>
      <c r="BE78" s="118">
        <f>ReviewCalcs[[#This Row],[Fixture Energy Savings]]+ReviewCalcs[[#This Row],[Control Energy Savings (kWh)]]</f>
        <v>0</v>
      </c>
      <c r="BF78" s="118">
        <f>ReviewCalcs[[#This Row],[Fixture Existing Cost ($)]]+ReviewCalcs[[#This Row],[Control Existing Cost ($)]]</f>
        <v>0</v>
      </c>
      <c r="BG78" s="118">
        <f>ReviewCalcs[[#This Row],[Fixture Proposed Cost ($)]]+ReviewCalcs[[#This Row],[Controls Proposed Cost ($)]]</f>
        <v>0</v>
      </c>
      <c r="BH78" s="70">
        <f>ReviewCalcs[[#This Row],[Total Energy Savings (kWh)]]*Avg_KWh_Rate</f>
        <v>0</v>
      </c>
      <c r="BI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8" s="70">
        <f>ReviewCalcs[[#This Row],[Retrofit Cost]]</f>
        <v>0</v>
      </c>
      <c r="BK78" s="70">
        <f>ReviewCalcs[[#This Row],[Retrofit Cost]]-ReviewCalcs[[#This Row],[Incentive ($)]]</f>
        <v>0</v>
      </c>
      <c r="BL78" s="118" t="e">
        <f>IFERROR(ReviewCalcs[[#This Row],[Net Project Cost ($)]]/ReviewCalcs[[#This Row],[Fixture Energy Cost Savings ($)]], #N/A)</f>
        <v>#N/A</v>
      </c>
      <c r="BM78" s="118" t="e">
        <f>IF(VLOOKUP(ReviewCalcs[[#This Row],[Existing Fixture Code]], Table7[[FIXTURE CODE]:[Baseline Fixture Code]], 8, FALSE)="N", VLOOKUP(ReviewCalcs[[#This Row],[Existing Fixture Code]], Table7[[FIXTURE CODE]:[Baseline Fixture Code]], 9, FALSE), ReviewCalcs[[#This Row],[Existing Fixture Code]])</f>
        <v>#N/A</v>
      </c>
      <c r="BN78" s="118" t="e">
        <f>INDEX(Table7[WATT/ FIXT], MATCH(ReviewCalcs[Baseline Fixture Code], Table7[FIXTURE CODE], 0))</f>
        <v>#N/A</v>
      </c>
      <c r="BO78" s="118">
        <f>IFERROR((ReviewCalcs[[#This Row],[Existing Fixture Quantity]]*ReviewCalcs[[#This Row],[Baseline Fixture Watts]]/1000-ReviewCalcs[[#This Row],[Proposed Fixture Quantity]]*ReviewCalcs[[#This Row],[Proposed Fixture Watts]]/1000)*ReviewCalcs[[#This Row],[Existing CF]]*ReviewCalcs[[#This Row],[IEFD]], 0)</f>
        <v>0</v>
      </c>
      <c r="BP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8" s="118">
        <f>IF(ReviewCalcs[[#This Row],[Existing CF]]=ReviewCalcs[[#This Row],[Proposed CF]], 0, ReviewCalcs[[#This Row],[Proposed Fixture Quantity]]*ReviewCalcs[[#This Row],[Proposed Fixture Watts]]/1000*ReviewCalcs[[#This Row],[Proposed CF]]*ReviewCalcs[[#This Row],[IEFD]])</f>
        <v>0</v>
      </c>
      <c r="BR78" s="118">
        <f>IFERROR(ReviewCalcs[[#This Row],[Proposed Fixture Quantity]]*ReviewCalcs[[#This Row],[Proposed Fixture Watts]]/1000*(ReviewCalcs[[#This Row],[Existing PAF]]-ReviewCalcs[[#This Row],[Proposed PAF]])*ReviewCalcs[[#This Row],[AOH]]*ReviewCalcs[[#This Row],[IEFE]],0)</f>
        <v>0</v>
      </c>
      <c r="BS78" s="118">
        <f>ReviewCalcs[[#This Row],[Incentive Fixture Demand Savings (kW)]]+ReviewCalcs[[#This Row],[Incentive Control Demand Savings (kW)]]</f>
        <v>0</v>
      </c>
      <c r="BT78" s="118">
        <f>ReviewCalcs[[#This Row],[Incentive Fixture Energy Savings (kWh)]]+ReviewCalcs[[#This Row],[Incentive Control Energy Savings (kWh)]]</f>
        <v>0</v>
      </c>
      <c r="BU78" s="73"/>
    </row>
    <row r="79" spans="1:73" ht="30" customHeight="1">
      <c r="A79" s="68">
        <v>76</v>
      </c>
      <c r="B79" s="96">
        <f>VLOOKUP(ReviewCalcs[[#This Row],[Project Index]], ProjectInput[], D$1, FALSE)</f>
        <v>0</v>
      </c>
      <c r="C79" s="97">
        <f>VLOOKUP(ReviewCalcs[[#This Row],[Project Index]], ProjectInput[], E$1, FALSE)</f>
        <v>0</v>
      </c>
      <c r="D79" s="97">
        <f>VLOOKUP(ReviewCalcs[[#This Row],[Project Index]], ProjectInput[], F$1, FALSE)</f>
        <v>0</v>
      </c>
      <c r="E79" s="97">
        <f>VLOOKUP(ReviewCalcs[[#This Row],[Project Index]], ProjectInput[], G$1, FALSE)</f>
        <v>0</v>
      </c>
      <c r="F79" s="97">
        <f>VLOOKUP(ReviewCalcs[[#This Row],[Project Index]], ProjectInput[], H$1, FALSE)</f>
        <v>0</v>
      </c>
      <c r="G79" s="98" t="str">
        <f>VLOOKUP(ReviewCalcs[[#This Row],[Project Index]], ProjectInput[], I$1, FALSE)</f>
        <v/>
      </c>
      <c r="H79" s="96">
        <f>VLOOKUP(ReviewCalcs[[#This Row],[Project Index]], ProjectInput[], J$1, FALSE)</f>
        <v>0</v>
      </c>
      <c r="I79" s="97">
        <f>VLOOKUP(ReviewCalcs[[#This Row],[Project Index]], ProjectInput[], K$1, FALSE)</f>
        <v>0</v>
      </c>
      <c r="J79" s="97">
        <f>VLOOKUP(ReviewCalcs[[#This Row],[Project Index]], ProjectInput[], L$1, FALSE)</f>
        <v>0</v>
      </c>
      <c r="K79" s="97">
        <f>VLOOKUP(ReviewCalcs[[#This Row],[Project Index]], ProjectInput[], M$1, FALSE)</f>
        <v>0</v>
      </c>
      <c r="L79" s="97">
        <f>VLOOKUP(ReviewCalcs[[#This Row],[Project Index]], ProjectInput[], N$1, FALSE)</f>
        <v>0</v>
      </c>
      <c r="M79" s="98" t="str">
        <f>VLOOKUP(ReviewCalcs[[#This Row],[Project Index]], ProjectInput[], O$1, FALSE)</f>
        <v/>
      </c>
      <c r="N79" s="96">
        <f>VLOOKUP(ReviewCalcs[[#This Row],[Project Index]], ProjectInput[], P$1, FALSE)</f>
        <v>0</v>
      </c>
      <c r="O79" s="97">
        <f>VLOOKUP(ReviewCalcs[[#This Row],[Project Index]], ProjectInput[], Q$1, FALSE)</f>
        <v>0</v>
      </c>
      <c r="P79" s="97">
        <f>VLOOKUP(ReviewCalcs[[#This Row],[Project Index]], ProjectInput[], R$1, FALSE)</f>
        <v>0</v>
      </c>
      <c r="Q79" s="97">
        <f>VLOOKUP(ReviewCalcs[[#This Row],[Project Index]], ProjectInput[], S$1, FALSE)</f>
        <v>0</v>
      </c>
      <c r="R79" s="97">
        <f>VLOOKUP(ReviewCalcs[[#This Row],[Project Index]], ProjectInput[], T$1, FALSE)</f>
        <v>0</v>
      </c>
      <c r="S79" s="97">
        <f>VLOOKUP(ReviewCalcs[[#This Row],[Project Index]], ProjectInput[], U$1, FALSE)</f>
        <v>0</v>
      </c>
      <c r="T79" s="97">
        <f>VLOOKUP(ReviewCalcs[[#This Row],[Project Index]], ProjectInput[], V$1, FALSE)</f>
        <v>0</v>
      </c>
      <c r="U79" s="97">
        <f>VLOOKUP(ReviewCalcs[[#This Row],[Project Index]], ProjectInput[], W$1, FALSE)</f>
        <v>0</v>
      </c>
      <c r="V79" s="98" t="str">
        <f>VLOOKUP(ReviewCalcs[[#This Row],[Project Index]], ProjectInput[], X$1, FALSE)</f>
        <v/>
      </c>
      <c r="W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79" s="75" t="e">
        <f>IF(VLOOKUP(ReviewCalcs[[#This Row],[Proposed Fixture Code]], Table7[[FIXTURE CODE]:[Baseline Fixture Code]], 8, FALSE)="N", "ERROR", "PASS")</f>
        <v>#N/A</v>
      </c>
      <c r="Y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79" s="75" t="e">
        <f>IF(OR(ReviewCalcs[[#This Row],[Baseline Fixture Watts]]&gt;=ReviewCalcs[[#This Row],[Proposed Fixture Watts]],ReviewCalcs[[#This Row],[Existing Fixture Watts]]&gt;=ReviewCalcs[[#This Row],[Proposed Fixture Watts]] ), "PASS", "ERROR")</f>
        <v>#N/A</v>
      </c>
      <c r="AA79" s="69" t="e">
        <f>VLOOKUP(ReviewCalcs[[#This Row],[Space Conditions]], Table_365[], 5, FALSE)</f>
        <v>#N/A</v>
      </c>
      <c r="AB79" s="68" t="str">
        <f>ReviewCalcs[[#This Row],[Annual Hours]]</f>
        <v/>
      </c>
      <c r="AC79" s="68" t="e">
        <f>VLOOKUP(ReviewCalcs[[#This Row],[Space Conditions]], Table_365[], 6, FALSE)</f>
        <v>#N/A</v>
      </c>
      <c r="AD79" s="68">
        <f>IF(ReviewCalcs[[#This Row],[Existing Control(s)]]='Tables &amp; Ranges'!$A$25, VLOOKUP(ReviewCalcs[[#This Row],[Building/Space Type]], Table_364[], 3, FALSE), CF_Contols)</f>
        <v>0.26</v>
      </c>
      <c r="AE79" s="68" t="e">
        <f>VLOOKUP(ReviewCalcs[[#This Row],[Existing Control(s)]], Table_358[], 2, FALSE)</f>
        <v>#N/A</v>
      </c>
      <c r="AF79" s="68">
        <f>IF(ReviewCalcs[[#This Row],[Proposed Control(s)]]='Tables &amp; Ranges'!$A$25, VLOOKUP(ReviewCalcs[[#This Row],[Building/Space Type]], Table_364[], 3, FALSE), CF_Contols)</f>
        <v>0.26</v>
      </c>
      <c r="AG79" s="68" t="e">
        <f>VLOOKUP(ReviewCalcs[[#This Row],[Proposed Control(s)]], Table_358[], 2, FALSE)</f>
        <v>#N/A</v>
      </c>
      <c r="AH79" s="68">
        <f>IFERROR((ReviewCalcs[[#This Row],[Existing Fixture Quantity]]*ReviewCalcs[[#This Row],[Existing Fixture Watts]]/1000)*ReviewCalcs[[#This Row],[Existing CF]]*ReviewCalcs[[#This Row],[IEFD]], 0)</f>
        <v>0</v>
      </c>
      <c r="AI79" s="68">
        <f>IFERROR((ReviewCalcs[[#This Row],[Proposed Fixture Quantity]]*ReviewCalcs[[#This Row],[Proposed Fixture Watts]]/1000)*ReviewCalcs[[#This Row],[Existing CF]]*ReviewCalcs[[#This Row],[IEFD]], 0)</f>
        <v>0</v>
      </c>
      <c r="AJ79" s="118">
        <f>IFERROR((ReviewCalcs[[#This Row],[Existing Fixture Quantity]]*ReviewCalcs[[#This Row],[Existing Fixture Watts]]/1000-ReviewCalcs[[#This Row],[Proposed Fixture Quantity]]*ReviewCalcs[[#This Row],[Proposed Fixture Watts]]/1000)*ReviewCalcs[[#This Row],[Existing CF]]*ReviewCalcs[[#This Row],[IEFD]], 0)</f>
        <v>0</v>
      </c>
      <c r="AK79" s="118">
        <f>IFERROR((ReviewCalcs[[#This Row],[Existing Fixture Quantity]]*ReviewCalcs[[#This Row],[Existing Fixture Watts]]/1000)*ReviewCalcs[[#This Row],[AOH]]*ReviewCalcs[[#This Row],[IEFE]]*ReviewCalcs[[#This Row],[Existing PAF]], 0)</f>
        <v>0</v>
      </c>
      <c r="AL79" s="118">
        <f>IFERROR((ReviewCalcs[[#This Row],[Proposed Fixture Quantity]]*ReviewCalcs[[#This Row],[Proposed Fixture Watts]]/1000)*ReviewCalcs[[#This Row],[AOH]]*ReviewCalcs[[#This Row],[IEFE]]*ReviewCalcs[[#This Row],[Existing PAF]], 0)</f>
        <v>0</v>
      </c>
      <c r="AM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79" s="118">
        <f>ReviewCalcs[[#This Row],[Fixture Existing Energy (kWh)]]*Avg_KWh_Rate</f>
        <v>0</v>
      </c>
      <c r="AO79" s="118">
        <f>ReviewCalcs[[#This Row],[Fixture Proposed Energy (kWh)]]*Avg_KWh_Rate</f>
        <v>0</v>
      </c>
      <c r="AP79" s="70">
        <f>ReviewCalcs[[#This Row],[Fixture Energy Savings]]*Avg_KWh_Rate</f>
        <v>0</v>
      </c>
      <c r="AQ79" s="129" t="e">
        <f>ReviewCalcs[[#This Row],[Existing Fixture Quantity]]*ReviewCalcs[[#This Row],[Existing Fixture Watts]]/1000*ReviewCalcs[[#This Row],[Existing CF]]*ReviewCalcs[[#This Row],[IEFD]]</f>
        <v>#VALUE!</v>
      </c>
      <c r="AR79" s="129" t="e">
        <f>ReviewCalcs[[#This Row],[Proposed Fixture Quantity]]*ReviewCalcs[[#This Row],[Proposed Fixture Watts]]/1000*ReviewCalcs[[#This Row],[Proposed CF]]*ReviewCalcs[[#This Row],[IEFD]]</f>
        <v>#VALUE!</v>
      </c>
      <c r="AS79" s="118">
        <f>IF(ReviewCalcs[[#This Row],[Existing CF]]=ReviewCalcs[[#This Row],[Proposed CF]], 0, ReviewCalcs[[#This Row],[Proposed Fixture Quantity]]*ReviewCalcs[[#This Row],[Proposed Fixture Watts]]/1000*ReviewCalcs[[#This Row],[Proposed CF]]*ReviewCalcs[[#This Row],[IEFD]])</f>
        <v>0</v>
      </c>
      <c r="AT79" s="118">
        <f>IFERROR(ReviewCalcs[[#This Row],[Existing Fixture Quantity]]*ReviewCalcs[[#This Row],[Existing Fixture Watts]]/1000*ReviewCalcs[[#This Row],[Existing PAF]]*ReviewCalcs[[#This Row],[AOH]]*ReviewCalcs[[#This Row],[IEFE]], 0)</f>
        <v>0</v>
      </c>
      <c r="AU79" s="118">
        <f>IFERROR(ReviewCalcs[[#This Row],[Proposed Fixture Quantity]]*ReviewCalcs[[#This Row],[Proposed Fixture Watts]]/1000*ReviewCalcs[[#This Row],[Proposed PAF]]*ReviewCalcs[[#This Row],[AOH]]*ReviewCalcs[[#This Row],[IEFE]], 0)</f>
        <v>0</v>
      </c>
      <c r="AV79" s="118">
        <f>IFERROR(ReviewCalcs[[#This Row],[Proposed Fixture Quantity]]*ReviewCalcs[[#This Row],[Proposed Fixture Watts]]/1000*(ReviewCalcs[[#This Row],[Existing PAF]]-ReviewCalcs[[#This Row],[Proposed PAF]])*ReviewCalcs[[#This Row],[AOH]]*ReviewCalcs[[#This Row],[IEFE]], 0)</f>
        <v>0</v>
      </c>
      <c r="AW79" s="118">
        <f>ReviewCalcs[[#This Row],[Control Existing Energy (kWh)]]*kWh_Incentive_Rate</f>
        <v>0</v>
      </c>
      <c r="AX79" s="118">
        <f>ReviewCalcs[[#This Row],[Control Proposed Energy (kWh)]]*kWh_Incentive_Rate</f>
        <v>0</v>
      </c>
      <c r="AY79" s="70">
        <f>ReviewCalcs[[#This Row],[Control Energy Savings (kWh)]]*kWh_Incentive_Rate</f>
        <v>0</v>
      </c>
      <c r="AZ79" s="70" t="e">
        <f>ReviewCalcs[[#This Row],[Fixture Existing Demand (kW)]]+ReviewCalcs[[#This Row],[Control Existing Demand (kW)]]</f>
        <v>#VALUE!</v>
      </c>
      <c r="BA79" s="70" t="e">
        <f>ReviewCalcs[[#This Row],[Fixture Proposed Demand (kW)]]+ReviewCalcs[[#This Row],[Control Proposed Demand (kW)]]</f>
        <v>#VALUE!</v>
      </c>
      <c r="BB79" s="118">
        <f>ReviewCalcs[[#This Row],[Fixture Demand Savings (kW)]]+ReviewCalcs[[#This Row],[Control Demand Savings (kW)]]</f>
        <v>0</v>
      </c>
      <c r="BC79" s="118">
        <f>ReviewCalcs[[#This Row],[Fixture Existing Energy (kWh)]]+ReviewCalcs[[#This Row],[Control Existing Energy (kWh)]]</f>
        <v>0</v>
      </c>
      <c r="BD79" s="118">
        <f>ReviewCalcs[[#This Row],[Fixture Proposed Energy (kWh)]]+ReviewCalcs[[#This Row],[Control Proposed Energy (kWh)]]</f>
        <v>0</v>
      </c>
      <c r="BE79" s="118">
        <f>ReviewCalcs[[#This Row],[Fixture Energy Savings]]+ReviewCalcs[[#This Row],[Control Energy Savings (kWh)]]</f>
        <v>0</v>
      </c>
      <c r="BF79" s="118">
        <f>ReviewCalcs[[#This Row],[Fixture Existing Cost ($)]]+ReviewCalcs[[#This Row],[Control Existing Cost ($)]]</f>
        <v>0</v>
      </c>
      <c r="BG79" s="118">
        <f>ReviewCalcs[[#This Row],[Fixture Proposed Cost ($)]]+ReviewCalcs[[#This Row],[Controls Proposed Cost ($)]]</f>
        <v>0</v>
      </c>
      <c r="BH79" s="70">
        <f>ReviewCalcs[[#This Row],[Total Energy Savings (kWh)]]*Avg_KWh_Rate</f>
        <v>0</v>
      </c>
      <c r="BI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79" s="70">
        <f>ReviewCalcs[[#This Row],[Retrofit Cost]]</f>
        <v>0</v>
      </c>
      <c r="BK79" s="70">
        <f>ReviewCalcs[[#This Row],[Retrofit Cost]]-ReviewCalcs[[#This Row],[Incentive ($)]]</f>
        <v>0</v>
      </c>
      <c r="BL79" s="118" t="e">
        <f>IFERROR(ReviewCalcs[[#This Row],[Net Project Cost ($)]]/ReviewCalcs[[#This Row],[Fixture Energy Cost Savings ($)]], #N/A)</f>
        <v>#N/A</v>
      </c>
      <c r="BM79" s="118" t="e">
        <f>IF(VLOOKUP(ReviewCalcs[[#This Row],[Existing Fixture Code]], Table7[[FIXTURE CODE]:[Baseline Fixture Code]], 8, FALSE)="N", VLOOKUP(ReviewCalcs[[#This Row],[Existing Fixture Code]], Table7[[FIXTURE CODE]:[Baseline Fixture Code]], 9, FALSE), ReviewCalcs[[#This Row],[Existing Fixture Code]])</f>
        <v>#N/A</v>
      </c>
      <c r="BN79" s="118" t="e">
        <f>INDEX(Table7[WATT/ FIXT], MATCH(ReviewCalcs[Baseline Fixture Code], Table7[FIXTURE CODE], 0))</f>
        <v>#N/A</v>
      </c>
      <c r="BO79" s="118">
        <f>IFERROR((ReviewCalcs[[#This Row],[Existing Fixture Quantity]]*ReviewCalcs[[#This Row],[Baseline Fixture Watts]]/1000-ReviewCalcs[[#This Row],[Proposed Fixture Quantity]]*ReviewCalcs[[#This Row],[Proposed Fixture Watts]]/1000)*ReviewCalcs[[#This Row],[Existing CF]]*ReviewCalcs[[#This Row],[IEFD]], 0)</f>
        <v>0</v>
      </c>
      <c r="BP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79" s="118">
        <f>IF(ReviewCalcs[[#This Row],[Existing CF]]=ReviewCalcs[[#This Row],[Proposed CF]], 0, ReviewCalcs[[#This Row],[Proposed Fixture Quantity]]*ReviewCalcs[[#This Row],[Proposed Fixture Watts]]/1000*ReviewCalcs[[#This Row],[Proposed CF]]*ReviewCalcs[[#This Row],[IEFD]])</f>
        <v>0</v>
      </c>
      <c r="BR79" s="118">
        <f>IFERROR(ReviewCalcs[[#This Row],[Proposed Fixture Quantity]]*ReviewCalcs[[#This Row],[Proposed Fixture Watts]]/1000*(ReviewCalcs[[#This Row],[Existing PAF]]-ReviewCalcs[[#This Row],[Proposed PAF]])*ReviewCalcs[[#This Row],[AOH]]*ReviewCalcs[[#This Row],[IEFE]],0)</f>
        <v>0</v>
      </c>
      <c r="BS79" s="118">
        <f>ReviewCalcs[[#This Row],[Incentive Fixture Demand Savings (kW)]]+ReviewCalcs[[#This Row],[Incentive Control Demand Savings (kW)]]</f>
        <v>0</v>
      </c>
      <c r="BT79" s="118">
        <f>ReviewCalcs[[#This Row],[Incentive Fixture Energy Savings (kWh)]]+ReviewCalcs[[#This Row],[Incentive Control Energy Savings (kWh)]]</f>
        <v>0</v>
      </c>
      <c r="BU79" s="73"/>
    </row>
    <row r="80" spans="1:73" ht="30" customHeight="1">
      <c r="A80" s="68">
        <v>77</v>
      </c>
      <c r="B80" s="96">
        <f>VLOOKUP(ReviewCalcs[[#This Row],[Project Index]], ProjectInput[], D$1, FALSE)</f>
        <v>0</v>
      </c>
      <c r="C80" s="97">
        <f>VLOOKUP(ReviewCalcs[[#This Row],[Project Index]], ProjectInput[], E$1, FALSE)</f>
        <v>0</v>
      </c>
      <c r="D80" s="97">
        <f>VLOOKUP(ReviewCalcs[[#This Row],[Project Index]], ProjectInput[], F$1, FALSE)</f>
        <v>0</v>
      </c>
      <c r="E80" s="97">
        <f>VLOOKUP(ReviewCalcs[[#This Row],[Project Index]], ProjectInput[], G$1, FALSE)</f>
        <v>0</v>
      </c>
      <c r="F80" s="97">
        <f>VLOOKUP(ReviewCalcs[[#This Row],[Project Index]], ProjectInput[], H$1, FALSE)</f>
        <v>0</v>
      </c>
      <c r="G80" s="98" t="str">
        <f>VLOOKUP(ReviewCalcs[[#This Row],[Project Index]], ProjectInput[], I$1, FALSE)</f>
        <v/>
      </c>
      <c r="H80" s="96">
        <f>VLOOKUP(ReviewCalcs[[#This Row],[Project Index]], ProjectInput[], J$1, FALSE)</f>
        <v>0</v>
      </c>
      <c r="I80" s="97">
        <f>VLOOKUP(ReviewCalcs[[#This Row],[Project Index]], ProjectInput[], K$1, FALSE)</f>
        <v>0</v>
      </c>
      <c r="J80" s="97">
        <f>VLOOKUP(ReviewCalcs[[#This Row],[Project Index]], ProjectInput[], L$1, FALSE)</f>
        <v>0</v>
      </c>
      <c r="K80" s="97">
        <f>VLOOKUP(ReviewCalcs[[#This Row],[Project Index]], ProjectInput[], M$1, FALSE)</f>
        <v>0</v>
      </c>
      <c r="L80" s="97">
        <f>VLOOKUP(ReviewCalcs[[#This Row],[Project Index]], ProjectInput[], N$1, FALSE)</f>
        <v>0</v>
      </c>
      <c r="M80" s="98" t="str">
        <f>VLOOKUP(ReviewCalcs[[#This Row],[Project Index]], ProjectInput[], O$1, FALSE)</f>
        <v/>
      </c>
      <c r="N80" s="96">
        <f>VLOOKUP(ReviewCalcs[[#This Row],[Project Index]], ProjectInput[], P$1, FALSE)</f>
        <v>0</v>
      </c>
      <c r="O80" s="97">
        <f>VLOOKUP(ReviewCalcs[[#This Row],[Project Index]], ProjectInput[], Q$1, FALSE)</f>
        <v>0</v>
      </c>
      <c r="P80" s="97">
        <f>VLOOKUP(ReviewCalcs[[#This Row],[Project Index]], ProjectInput[], R$1, FALSE)</f>
        <v>0</v>
      </c>
      <c r="Q80" s="97">
        <f>VLOOKUP(ReviewCalcs[[#This Row],[Project Index]], ProjectInput[], S$1, FALSE)</f>
        <v>0</v>
      </c>
      <c r="R80" s="97">
        <f>VLOOKUP(ReviewCalcs[[#This Row],[Project Index]], ProjectInput[], T$1, FALSE)</f>
        <v>0</v>
      </c>
      <c r="S80" s="97">
        <f>VLOOKUP(ReviewCalcs[[#This Row],[Project Index]], ProjectInput[], U$1, FALSE)</f>
        <v>0</v>
      </c>
      <c r="T80" s="97">
        <f>VLOOKUP(ReviewCalcs[[#This Row],[Project Index]], ProjectInput[], V$1, FALSE)</f>
        <v>0</v>
      </c>
      <c r="U80" s="97">
        <f>VLOOKUP(ReviewCalcs[[#This Row],[Project Index]], ProjectInput[], W$1, FALSE)</f>
        <v>0</v>
      </c>
      <c r="V80" s="98" t="str">
        <f>VLOOKUP(ReviewCalcs[[#This Row],[Project Index]], ProjectInput[], X$1, FALSE)</f>
        <v/>
      </c>
      <c r="W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0" s="75" t="e">
        <f>IF(VLOOKUP(ReviewCalcs[[#This Row],[Proposed Fixture Code]], Table7[[FIXTURE CODE]:[Baseline Fixture Code]], 8, FALSE)="N", "ERROR", "PASS")</f>
        <v>#N/A</v>
      </c>
      <c r="Y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0" s="75" t="e">
        <f>IF(OR(ReviewCalcs[[#This Row],[Baseline Fixture Watts]]&gt;=ReviewCalcs[[#This Row],[Proposed Fixture Watts]],ReviewCalcs[[#This Row],[Existing Fixture Watts]]&gt;=ReviewCalcs[[#This Row],[Proposed Fixture Watts]] ), "PASS", "ERROR")</f>
        <v>#N/A</v>
      </c>
      <c r="AA80" s="69" t="e">
        <f>VLOOKUP(ReviewCalcs[[#This Row],[Space Conditions]], Table_365[], 5, FALSE)</f>
        <v>#N/A</v>
      </c>
      <c r="AB80" s="68" t="str">
        <f>ReviewCalcs[[#This Row],[Annual Hours]]</f>
        <v/>
      </c>
      <c r="AC80" s="68" t="e">
        <f>VLOOKUP(ReviewCalcs[[#This Row],[Space Conditions]], Table_365[], 6, FALSE)</f>
        <v>#N/A</v>
      </c>
      <c r="AD80" s="68">
        <f>IF(ReviewCalcs[[#This Row],[Existing Control(s)]]='Tables &amp; Ranges'!$A$25, VLOOKUP(ReviewCalcs[[#This Row],[Building/Space Type]], Table_364[], 3, FALSE), CF_Contols)</f>
        <v>0.26</v>
      </c>
      <c r="AE80" s="68" t="e">
        <f>VLOOKUP(ReviewCalcs[[#This Row],[Existing Control(s)]], Table_358[], 2, FALSE)</f>
        <v>#N/A</v>
      </c>
      <c r="AF80" s="68">
        <f>IF(ReviewCalcs[[#This Row],[Proposed Control(s)]]='Tables &amp; Ranges'!$A$25, VLOOKUP(ReviewCalcs[[#This Row],[Building/Space Type]], Table_364[], 3, FALSE), CF_Contols)</f>
        <v>0.26</v>
      </c>
      <c r="AG80" s="68" t="e">
        <f>VLOOKUP(ReviewCalcs[[#This Row],[Proposed Control(s)]], Table_358[], 2, FALSE)</f>
        <v>#N/A</v>
      </c>
      <c r="AH80" s="68">
        <f>IFERROR((ReviewCalcs[[#This Row],[Existing Fixture Quantity]]*ReviewCalcs[[#This Row],[Existing Fixture Watts]]/1000)*ReviewCalcs[[#This Row],[Existing CF]]*ReviewCalcs[[#This Row],[IEFD]], 0)</f>
        <v>0</v>
      </c>
      <c r="AI80" s="68">
        <f>IFERROR((ReviewCalcs[[#This Row],[Proposed Fixture Quantity]]*ReviewCalcs[[#This Row],[Proposed Fixture Watts]]/1000)*ReviewCalcs[[#This Row],[Existing CF]]*ReviewCalcs[[#This Row],[IEFD]], 0)</f>
        <v>0</v>
      </c>
      <c r="AJ80" s="118">
        <f>IFERROR((ReviewCalcs[[#This Row],[Existing Fixture Quantity]]*ReviewCalcs[[#This Row],[Existing Fixture Watts]]/1000-ReviewCalcs[[#This Row],[Proposed Fixture Quantity]]*ReviewCalcs[[#This Row],[Proposed Fixture Watts]]/1000)*ReviewCalcs[[#This Row],[Existing CF]]*ReviewCalcs[[#This Row],[IEFD]], 0)</f>
        <v>0</v>
      </c>
      <c r="AK80" s="118">
        <f>IFERROR((ReviewCalcs[[#This Row],[Existing Fixture Quantity]]*ReviewCalcs[[#This Row],[Existing Fixture Watts]]/1000)*ReviewCalcs[[#This Row],[AOH]]*ReviewCalcs[[#This Row],[IEFE]]*ReviewCalcs[[#This Row],[Existing PAF]], 0)</f>
        <v>0</v>
      </c>
      <c r="AL80" s="118">
        <f>IFERROR((ReviewCalcs[[#This Row],[Proposed Fixture Quantity]]*ReviewCalcs[[#This Row],[Proposed Fixture Watts]]/1000)*ReviewCalcs[[#This Row],[AOH]]*ReviewCalcs[[#This Row],[IEFE]]*ReviewCalcs[[#This Row],[Existing PAF]], 0)</f>
        <v>0</v>
      </c>
      <c r="AM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0" s="118">
        <f>ReviewCalcs[[#This Row],[Fixture Existing Energy (kWh)]]*Avg_KWh_Rate</f>
        <v>0</v>
      </c>
      <c r="AO80" s="118">
        <f>ReviewCalcs[[#This Row],[Fixture Proposed Energy (kWh)]]*Avg_KWh_Rate</f>
        <v>0</v>
      </c>
      <c r="AP80" s="70">
        <f>ReviewCalcs[[#This Row],[Fixture Energy Savings]]*Avg_KWh_Rate</f>
        <v>0</v>
      </c>
      <c r="AQ80" s="129" t="e">
        <f>ReviewCalcs[[#This Row],[Existing Fixture Quantity]]*ReviewCalcs[[#This Row],[Existing Fixture Watts]]/1000*ReviewCalcs[[#This Row],[Existing CF]]*ReviewCalcs[[#This Row],[IEFD]]</f>
        <v>#VALUE!</v>
      </c>
      <c r="AR80" s="129" t="e">
        <f>ReviewCalcs[[#This Row],[Proposed Fixture Quantity]]*ReviewCalcs[[#This Row],[Proposed Fixture Watts]]/1000*ReviewCalcs[[#This Row],[Proposed CF]]*ReviewCalcs[[#This Row],[IEFD]]</f>
        <v>#VALUE!</v>
      </c>
      <c r="AS80" s="118">
        <f>IF(ReviewCalcs[[#This Row],[Existing CF]]=ReviewCalcs[[#This Row],[Proposed CF]], 0, ReviewCalcs[[#This Row],[Proposed Fixture Quantity]]*ReviewCalcs[[#This Row],[Proposed Fixture Watts]]/1000*ReviewCalcs[[#This Row],[Proposed CF]]*ReviewCalcs[[#This Row],[IEFD]])</f>
        <v>0</v>
      </c>
      <c r="AT80" s="118">
        <f>IFERROR(ReviewCalcs[[#This Row],[Existing Fixture Quantity]]*ReviewCalcs[[#This Row],[Existing Fixture Watts]]/1000*ReviewCalcs[[#This Row],[Existing PAF]]*ReviewCalcs[[#This Row],[AOH]]*ReviewCalcs[[#This Row],[IEFE]], 0)</f>
        <v>0</v>
      </c>
      <c r="AU80" s="118">
        <f>IFERROR(ReviewCalcs[[#This Row],[Proposed Fixture Quantity]]*ReviewCalcs[[#This Row],[Proposed Fixture Watts]]/1000*ReviewCalcs[[#This Row],[Proposed PAF]]*ReviewCalcs[[#This Row],[AOH]]*ReviewCalcs[[#This Row],[IEFE]], 0)</f>
        <v>0</v>
      </c>
      <c r="AV80" s="118">
        <f>IFERROR(ReviewCalcs[[#This Row],[Proposed Fixture Quantity]]*ReviewCalcs[[#This Row],[Proposed Fixture Watts]]/1000*(ReviewCalcs[[#This Row],[Existing PAF]]-ReviewCalcs[[#This Row],[Proposed PAF]])*ReviewCalcs[[#This Row],[AOH]]*ReviewCalcs[[#This Row],[IEFE]], 0)</f>
        <v>0</v>
      </c>
      <c r="AW80" s="118">
        <f>ReviewCalcs[[#This Row],[Control Existing Energy (kWh)]]*kWh_Incentive_Rate</f>
        <v>0</v>
      </c>
      <c r="AX80" s="118">
        <f>ReviewCalcs[[#This Row],[Control Proposed Energy (kWh)]]*kWh_Incentive_Rate</f>
        <v>0</v>
      </c>
      <c r="AY80" s="70">
        <f>ReviewCalcs[[#This Row],[Control Energy Savings (kWh)]]*kWh_Incentive_Rate</f>
        <v>0</v>
      </c>
      <c r="AZ80" s="70" t="e">
        <f>ReviewCalcs[[#This Row],[Fixture Existing Demand (kW)]]+ReviewCalcs[[#This Row],[Control Existing Demand (kW)]]</f>
        <v>#VALUE!</v>
      </c>
      <c r="BA80" s="70" t="e">
        <f>ReviewCalcs[[#This Row],[Fixture Proposed Demand (kW)]]+ReviewCalcs[[#This Row],[Control Proposed Demand (kW)]]</f>
        <v>#VALUE!</v>
      </c>
      <c r="BB80" s="118">
        <f>ReviewCalcs[[#This Row],[Fixture Demand Savings (kW)]]+ReviewCalcs[[#This Row],[Control Demand Savings (kW)]]</f>
        <v>0</v>
      </c>
      <c r="BC80" s="118">
        <f>ReviewCalcs[[#This Row],[Fixture Existing Energy (kWh)]]+ReviewCalcs[[#This Row],[Control Existing Energy (kWh)]]</f>
        <v>0</v>
      </c>
      <c r="BD80" s="118">
        <f>ReviewCalcs[[#This Row],[Fixture Proposed Energy (kWh)]]+ReviewCalcs[[#This Row],[Control Proposed Energy (kWh)]]</f>
        <v>0</v>
      </c>
      <c r="BE80" s="118">
        <f>ReviewCalcs[[#This Row],[Fixture Energy Savings]]+ReviewCalcs[[#This Row],[Control Energy Savings (kWh)]]</f>
        <v>0</v>
      </c>
      <c r="BF80" s="118">
        <f>ReviewCalcs[[#This Row],[Fixture Existing Cost ($)]]+ReviewCalcs[[#This Row],[Control Existing Cost ($)]]</f>
        <v>0</v>
      </c>
      <c r="BG80" s="118">
        <f>ReviewCalcs[[#This Row],[Fixture Proposed Cost ($)]]+ReviewCalcs[[#This Row],[Controls Proposed Cost ($)]]</f>
        <v>0</v>
      </c>
      <c r="BH80" s="70">
        <f>ReviewCalcs[[#This Row],[Total Energy Savings (kWh)]]*Avg_KWh_Rate</f>
        <v>0</v>
      </c>
      <c r="BI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0" s="70">
        <f>ReviewCalcs[[#This Row],[Retrofit Cost]]</f>
        <v>0</v>
      </c>
      <c r="BK80" s="70">
        <f>ReviewCalcs[[#This Row],[Retrofit Cost]]-ReviewCalcs[[#This Row],[Incentive ($)]]</f>
        <v>0</v>
      </c>
      <c r="BL80" s="118" t="e">
        <f>IFERROR(ReviewCalcs[[#This Row],[Net Project Cost ($)]]/ReviewCalcs[[#This Row],[Fixture Energy Cost Savings ($)]], #N/A)</f>
        <v>#N/A</v>
      </c>
      <c r="BM80" s="118" t="e">
        <f>IF(VLOOKUP(ReviewCalcs[[#This Row],[Existing Fixture Code]], Table7[[FIXTURE CODE]:[Baseline Fixture Code]], 8, FALSE)="N", VLOOKUP(ReviewCalcs[[#This Row],[Existing Fixture Code]], Table7[[FIXTURE CODE]:[Baseline Fixture Code]], 9, FALSE), ReviewCalcs[[#This Row],[Existing Fixture Code]])</f>
        <v>#N/A</v>
      </c>
      <c r="BN80" s="118" t="e">
        <f>INDEX(Table7[WATT/ FIXT], MATCH(ReviewCalcs[Baseline Fixture Code], Table7[FIXTURE CODE], 0))</f>
        <v>#N/A</v>
      </c>
      <c r="BO80" s="118">
        <f>IFERROR((ReviewCalcs[[#This Row],[Existing Fixture Quantity]]*ReviewCalcs[[#This Row],[Baseline Fixture Watts]]/1000-ReviewCalcs[[#This Row],[Proposed Fixture Quantity]]*ReviewCalcs[[#This Row],[Proposed Fixture Watts]]/1000)*ReviewCalcs[[#This Row],[Existing CF]]*ReviewCalcs[[#This Row],[IEFD]], 0)</f>
        <v>0</v>
      </c>
      <c r="BP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0" s="118">
        <f>IF(ReviewCalcs[[#This Row],[Existing CF]]=ReviewCalcs[[#This Row],[Proposed CF]], 0, ReviewCalcs[[#This Row],[Proposed Fixture Quantity]]*ReviewCalcs[[#This Row],[Proposed Fixture Watts]]/1000*ReviewCalcs[[#This Row],[Proposed CF]]*ReviewCalcs[[#This Row],[IEFD]])</f>
        <v>0</v>
      </c>
      <c r="BR80" s="118">
        <f>IFERROR(ReviewCalcs[[#This Row],[Proposed Fixture Quantity]]*ReviewCalcs[[#This Row],[Proposed Fixture Watts]]/1000*(ReviewCalcs[[#This Row],[Existing PAF]]-ReviewCalcs[[#This Row],[Proposed PAF]])*ReviewCalcs[[#This Row],[AOH]]*ReviewCalcs[[#This Row],[IEFE]],0)</f>
        <v>0</v>
      </c>
      <c r="BS80" s="118">
        <f>ReviewCalcs[[#This Row],[Incentive Fixture Demand Savings (kW)]]+ReviewCalcs[[#This Row],[Incentive Control Demand Savings (kW)]]</f>
        <v>0</v>
      </c>
      <c r="BT80" s="118">
        <f>ReviewCalcs[[#This Row],[Incentive Fixture Energy Savings (kWh)]]+ReviewCalcs[[#This Row],[Incentive Control Energy Savings (kWh)]]</f>
        <v>0</v>
      </c>
      <c r="BU80" s="73"/>
    </row>
    <row r="81" spans="1:73" ht="30" customHeight="1">
      <c r="A81" s="68">
        <v>78</v>
      </c>
      <c r="B81" s="96">
        <f>VLOOKUP(ReviewCalcs[[#This Row],[Project Index]], ProjectInput[], D$1, FALSE)</f>
        <v>0</v>
      </c>
      <c r="C81" s="97">
        <f>VLOOKUP(ReviewCalcs[[#This Row],[Project Index]], ProjectInput[], E$1, FALSE)</f>
        <v>0</v>
      </c>
      <c r="D81" s="97">
        <f>VLOOKUP(ReviewCalcs[[#This Row],[Project Index]], ProjectInput[], F$1, FALSE)</f>
        <v>0</v>
      </c>
      <c r="E81" s="97">
        <f>VLOOKUP(ReviewCalcs[[#This Row],[Project Index]], ProjectInput[], G$1, FALSE)</f>
        <v>0</v>
      </c>
      <c r="F81" s="97">
        <f>VLOOKUP(ReviewCalcs[[#This Row],[Project Index]], ProjectInput[], H$1, FALSE)</f>
        <v>0</v>
      </c>
      <c r="G81" s="98" t="str">
        <f>VLOOKUP(ReviewCalcs[[#This Row],[Project Index]], ProjectInput[], I$1, FALSE)</f>
        <v/>
      </c>
      <c r="H81" s="96">
        <f>VLOOKUP(ReviewCalcs[[#This Row],[Project Index]], ProjectInput[], J$1, FALSE)</f>
        <v>0</v>
      </c>
      <c r="I81" s="97">
        <f>VLOOKUP(ReviewCalcs[[#This Row],[Project Index]], ProjectInput[], K$1, FALSE)</f>
        <v>0</v>
      </c>
      <c r="J81" s="97">
        <f>VLOOKUP(ReviewCalcs[[#This Row],[Project Index]], ProjectInput[], L$1, FALSE)</f>
        <v>0</v>
      </c>
      <c r="K81" s="97">
        <f>VLOOKUP(ReviewCalcs[[#This Row],[Project Index]], ProjectInput[], M$1, FALSE)</f>
        <v>0</v>
      </c>
      <c r="L81" s="97">
        <f>VLOOKUP(ReviewCalcs[[#This Row],[Project Index]], ProjectInput[], N$1, FALSE)</f>
        <v>0</v>
      </c>
      <c r="M81" s="98" t="str">
        <f>VLOOKUP(ReviewCalcs[[#This Row],[Project Index]], ProjectInput[], O$1, FALSE)</f>
        <v/>
      </c>
      <c r="N81" s="96">
        <f>VLOOKUP(ReviewCalcs[[#This Row],[Project Index]], ProjectInput[], P$1, FALSE)</f>
        <v>0</v>
      </c>
      <c r="O81" s="97">
        <f>VLOOKUP(ReviewCalcs[[#This Row],[Project Index]], ProjectInput[], Q$1, FALSE)</f>
        <v>0</v>
      </c>
      <c r="P81" s="97">
        <f>VLOOKUP(ReviewCalcs[[#This Row],[Project Index]], ProjectInput[], R$1, FALSE)</f>
        <v>0</v>
      </c>
      <c r="Q81" s="97">
        <f>VLOOKUP(ReviewCalcs[[#This Row],[Project Index]], ProjectInput[], S$1, FALSE)</f>
        <v>0</v>
      </c>
      <c r="R81" s="97">
        <f>VLOOKUP(ReviewCalcs[[#This Row],[Project Index]], ProjectInput[], T$1, FALSE)</f>
        <v>0</v>
      </c>
      <c r="S81" s="97">
        <f>VLOOKUP(ReviewCalcs[[#This Row],[Project Index]], ProjectInput[], U$1, FALSE)</f>
        <v>0</v>
      </c>
      <c r="T81" s="97">
        <f>VLOOKUP(ReviewCalcs[[#This Row],[Project Index]], ProjectInput[], V$1, FALSE)</f>
        <v>0</v>
      </c>
      <c r="U81" s="97">
        <f>VLOOKUP(ReviewCalcs[[#This Row],[Project Index]], ProjectInput[], W$1, FALSE)</f>
        <v>0</v>
      </c>
      <c r="V81" s="98" t="str">
        <f>VLOOKUP(ReviewCalcs[[#This Row],[Project Index]], ProjectInput[], X$1, FALSE)</f>
        <v/>
      </c>
      <c r="W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1" s="75" t="e">
        <f>IF(VLOOKUP(ReviewCalcs[[#This Row],[Proposed Fixture Code]], Table7[[FIXTURE CODE]:[Baseline Fixture Code]], 8, FALSE)="N", "ERROR", "PASS")</f>
        <v>#N/A</v>
      </c>
      <c r="Y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1" s="75" t="e">
        <f>IF(OR(ReviewCalcs[[#This Row],[Baseline Fixture Watts]]&gt;=ReviewCalcs[[#This Row],[Proposed Fixture Watts]],ReviewCalcs[[#This Row],[Existing Fixture Watts]]&gt;=ReviewCalcs[[#This Row],[Proposed Fixture Watts]] ), "PASS", "ERROR")</f>
        <v>#N/A</v>
      </c>
      <c r="AA81" s="69" t="e">
        <f>VLOOKUP(ReviewCalcs[[#This Row],[Space Conditions]], Table_365[], 5, FALSE)</f>
        <v>#N/A</v>
      </c>
      <c r="AB81" s="68" t="str">
        <f>ReviewCalcs[[#This Row],[Annual Hours]]</f>
        <v/>
      </c>
      <c r="AC81" s="68" t="e">
        <f>VLOOKUP(ReviewCalcs[[#This Row],[Space Conditions]], Table_365[], 6, FALSE)</f>
        <v>#N/A</v>
      </c>
      <c r="AD81" s="68">
        <f>IF(ReviewCalcs[[#This Row],[Existing Control(s)]]='Tables &amp; Ranges'!$A$25, VLOOKUP(ReviewCalcs[[#This Row],[Building/Space Type]], Table_364[], 3, FALSE), CF_Contols)</f>
        <v>0.26</v>
      </c>
      <c r="AE81" s="68" t="e">
        <f>VLOOKUP(ReviewCalcs[[#This Row],[Existing Control(s)]], Table_358[], 2, FALSE)</f>
        <v>#N/A</v>
      </c>
      <c r="AF81" s="68">
        <f>IF(ReviewCalcs[[#This Row],[Proposed Control(s)]]='Tables &amp; Ranges'!$A$25, VLOOKUP(ReviewCalcs[[#This Row],[Building/Space Type]], Table_364[], 3, FALSE), CF_Contols)</f>
        <v>0.26</v>
      </c>
      <c r="AG81" s="68" t="e">
        <f>VLOOKUP(ReviewCalcs[[#This Row],[Proposed Control(s)]], Table_358[], 2, FALSE)</f>
        <v>#N/A</v>
      </c>
      <c r="AH81" s="68">
        <f>IFERROR((ReviewCalcs[[#This Row],[Existing Fixture Quantity]]*ReviewCalcs[[#This Row],[Existing Fixture Watts]]/1000)*ReviewCalcs[[#This Row],[Existing CF]]*ReviewCalcs[[#This Row],[IEFD]], 0)</f>
        <v>0</v>
      </c>
      <c r="AI81" s="68">
        <f>IFERROR((ReviewCalcs[[#This Row],[Proposed Fixture Quantity]]*ReviewCalcs[[#This Row],[Proposed Fixture Watts]]/1000)*ReviewCalcs[[#This Row],[Existing CF]]*ReviewCalcs[[#This Row],[IEFD]], 0)</f>
        <v>0</v>
      </c>
      <c r="AJ81" s="118">
        <f>IFERROR((ReviewCalcs[[#This Row],[Existing Fixture Quantity]]*ReviewCalcs[[#This Row],[Existing Fixture Watts]]/1000-ReviewCalcs[[#This Row],[Proposed Fixture Quantity]]*ReviewCalcs[[#This Row],[Proposed Fixture Watts]]/1000)*ReviewCalcs[[#This Row],[Existing CF]]*ReviewCalcs[[#This Row],[IEFD]], 0)</f>
        <v>0</v>
      </c>
      <c r="AK81" s="118">
        <f>IFERROR((ReviewCalcs[[#This Row],[Existing Fixture Quantity]]*ReviewCalcs[[#This Row],[Existing Fixture Watts]]/1000)*ReviewCalcs[[#This Row],[AOH]]*ReviewCalcs[[#This Row],[IEFE]]*ReviewCalcs[[#This Row],[Existing PAF]], 0)</f>
        <v>0</v>
      </c>
      <c r="AL81" s="118">
        <f>IFERROR((ReviewCalcs[[#This Row],[Proposed Fixture Quantity]]*ReviewCalcs[[#This Row],[Proposed Fixture Watts]]/1000)*ReviewCalcs[[#This Row],[AOH]]*ReviewCalcs[[#This Row],[IEFE]]*ReviewCalcs[[#This Row],[Existing PAF]], 0)</f>
        <v>0</v>
      </c>
      <c r="AM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1" s="118">
        <f>ReviewCalcs[[#This Row],[Fixture Existing Energy (kWh)]]*Avg_KWh_Rate</f>
        <v>0</v>
      </c>
      <c r="AO81" s="118">
        <f>ReviewCalcs[[#This Row],[Fixture Proposed Energy (kWh)]]*Avg_KWh_Rate</f>
        <v>0</v>
      </c>
      <c r="AP81" s="70">
        <f>ReviewCalcs[[#This Row],[Fixture Energy Savings]]*Avg_KWh_Rate</f>
        <v>0</v>
      </c>
      <c r="AQ81" s="129" t="e">
        <f>ReviewCalcs[[#This Row],[Existing Fixture Quantity]]*ReviewCalcs[[#This Row],[Existing Fixture Watts]]/1000*ReviewCalcs[[#This Row],[Existing CF]]*ReviewCalcs[[#This Row],[IEFD]]</f>
        <v>#VALUE!</v>
      </c>
      <c r="AR81" s="129" t="e">
        <f>ReviewCalcs[[#This Row],[Proposed Fixture Quantity]]*ReviewCalcs[[#This Row],[Proposed Fixture Watts]]/1000*ReviewCalcs[[#This Row],[Proposed CF]]*ReviewCalcs[[#This Row],[IEFD]]</f>
        <v>#VALUE!</v>
      </c>
      <c r="AS81" s="118">
        <f>IF(ReviewCalcs[[#This Row],[Existing CF]]=ReviewCalcs[[#This Row],[Proposed CF]], 0, ReviewCalcs[[#This Row],[Proposed Fixture Quantity]]*ReviewCalcs[[#This Row],[Proposed Fixture Watts]]/1000*ReviewCalcs[[#This Row],[Proposed CF]]*ReviewCalcs[[#This Row],[IEFD]])</f>
        <v>0</v>
      </c>
      <c r="AT81" s="118">
        <f>IFERROR(ReviewCalcs[[#This Row],[Existing Fixture Quantity]]*ReviewCalcs[[#This Row],[Existing Fixture Watts]]/1000*ReviewCalcs[[#This Row],[Existing PAF]]*ReviewCalcs[[#This Row],[AOH]]*ReviewCalcs[[#This Row],[IEFE]], 0)</f>
        <v>0</v>
      </c>
      <c r="AU81" s="118">
        <f>IFERROR(ReviewCalcs[[#This Row],[Proposed Fixture Quantity]]*ReviewCalcs[[#This Row],[Proposed Fixture Watts]]/1000*ReviewCalcs[[#This Row],[Proposed PAF]]*ReviewCalcs[[#This Row],[AOH]]*ReviewCalcs[[#This Row],[IEFE]], 0)</f>
        <v>0</v>
      </c>
      <c r="AV81" s="118">
        <f>IFERROR(ReviewCalcs[[#This Row],[Proposed Fixture Quantity]]*ReviewCalcs[[#This Row],[Proposed Fixture Watts]]/1000*(ReviewCalcs[[#This Row],[Existing PAF]]-ReviewCalcs[[#This Row],[Proposed PAF]])*ReviewCalcs[[#This Row],[AOH]]*ReviewCalcs[[#This Row],[IEFE]], 0)</f>
        <v>0</v>
      </c>
      <c r="AW81" s="118">
        <f>ReviewCalcs[[#This Row],[Control Existing Energy (kWh)]]*kWh_Incentive_Rate</f>
        <v>0</v>
      </c>
      <c r="AX81" s="118">
        <f>ReviewCalcs[[#This Row],[Control Proposed Energy (kWh)]]*kWh_Incentive_Rate</f>
        <v>0</v>
      </c>
      <c r="AY81" s="70">
        <f>ReviewCalcs[[#This Row],[Control Energy Savings (kWh)]]*kWh_Incentive_Rate</f>
        <v>0</v>
      </c>
      <c r="AZ81" s="70" t="e">
        <f>ReviewCalcs[[#This Row],[Fixture Existing Demand (kW)]]+ReviewCalcs[[#This Row],[Control Existing Demand (kW)]]</f>
        <v>#VALUE!</v>
      </c>
      <c r="BA81" s="70" t="e">
        <f>ReviewCalcs[[#This Row],[Fixture Proposed Demand (kW)]]+ReviewCalcs[[#This Row],[Control Proposed Demand (kW)]]</f>
        <v>#VALUE!</v>
      </c>
      <c r="BB81" s="118">
        <f>ReviewCalcs[[#This Row],[Fixture Demand Savings (kW)]]+ReviewCalcs[[#This Row],[Control Demand Savings (kW)]]</f>
        <v>0</v>
      </c>
      <c r="BC81" s="118">
        <f>ReviewCalcs[[#This Row],[Fixture Existing Energy (kWh)]]+ReviewCalcs[[#This Row],[Control Existing Energy (kWh)]]</f>
        <v>0</v>
      </c>
      <c r="BD81" s="118">
        <f>ReviewCalcs[[#This Row],[Fixture Proposed Energy (kWh)]]+ReviewCalcs[[#This Row],[Control Proposed Energy (kWh)]]</f>
        <v>0</v>
      </c>
      <c r="BE81" s="118">
        <f>ReviewCalcs[[#This Row],[Fixture Energy Savings]]+ReviewCalcs[[#This Row],[Control Energy Savings (kWh)]]</f>
        <v>0</v>
      </c>
      <c r="BF81" s="118">
        <f>ReviewCalcs[[#This Row],[Fixture Existing Cost ($)]]+ReviewCalcs[[#This Row],[Control Existing Cost ($)]]</f>
        <v>0</v>
      </c>
      <c r="BG81" s="118">
        <f>ReviewCalcs[[#This Row],[Fixture Proposed Cost ($)]]+ReviewCalcs[[#This Row],[Controls Proposed Cost ($)]]</f>
        <v>0</v>
      </c>
      <c r="BH81" s="70">
        <f>ReviewCalcs[[#This Row],[Total Energy Savings (kWh)]]*Avg_KWh_Rate</f>
        <v>0</v>
      </c>
      <c r="BI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1" s="70">
        <f>ReviewCalcs[[#This Row],[Retrofit Cost]]</f>
        <v>0</v>
      </c>
      <c r="BK81" s="70">
        <f>ReviewCalcs[[#This Row],[Retrofit Cost]]-ReviewCalcs[[#This Row],[Incentive ($)]]</f>
        <v>0</v>
      </c>
      <c r="BL81" s="118" t="e">
        <f>IFERROR(ReviewCalcs[[#This Row],[Net Project Cost ($)]]/ReviewCalcs[[#This Row],[Fixture Energy Cost Savings ($)]], #N/A)</f>
        <v>#N/A</v>
      </c>
      <c r="BM81" s="118" t="e">
        <f>IF(VLOOKUP(ReviewCalcs[[#This Row],[Existing Fixture Code]], Table7[[FIXTURE CODE]:[Baseline Fixture Code]], 8, FALSE)="N", VLOOKUP(ReviewCalcs[[#This Row],[Existing Fixture Code]], Table7[[FIXTURE CODE]:[Baseline Fixture Code]], 9, FALSE), ReviewCalcs[[#This Row],[Existing Fixture Code]])</f>
        <v>#N/A</v>
      </c>
      <c r="BN81" s="118" t="e">
        <f>INDEX(Table7[WATT/ FIXT], MATCH(ReviewCalcs[Baseline Fixture Code], Table7[FIXTURE CODE], 0))</f>
        <v>#N/A</v>
      </c>
      <c r="BO81" s="118">
        <f>IFERROR((ReviewCalcs[[#This Row],[Existing Fixture Quantity]]*ReviewCalcs[[#This Row],[Baseline Fixture Watts]]/1000-ReviewCalcs[[#This Row],[Proposed Fixture Quantity]]*ReviewCalcs[[#This Row],[Proposed Fixture Watts]]/1000)*ReviewCalcs[[#This Row],[Existing CF]]*ReviewCalcs[[#This Row],[IEFD]], 0)</f>
        <v>0</v>
      </c>
      <c r="BP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1" s="118">
        <f>IF(ReviewCalcs[[#This Row],[Existing CF]]=ReviewCalcs[[#This Row],[Proposed CF]], 0, ReviewCalcs[[#This Row],[Proposed Fixture Quantity]]*ReviewCalcs[[#This Row],[Proposed Fixture Watts]]/1000*ReviewCalcs[[#This Row],[Proposed CF]]*ReviewCalcs[[#This Row],[IEFD]])</f>
        <v>0</v>
      </c>
      <c r="BR81" s="118">
        <f>IFERROR(ReviewCalcs[[#This Row],[Proposed Fixture Quantity]]*ReviewCalcs[[#This Row],[Proposed Fixture Watts]]/1000*(ReviewCalcs[[#This Row],[Existing PAF]]-ReviewCalcs[[#This Row],[Proposed PAF]])*ReviewCalcs[[#This Row],[AOH]]*ReviewCalcs[[#This Row],[IEFE]],0)</f>
        <v>0</v>
      </c>
      <c r="BS81" s="118">
        <f>ReviewCalcs[[#This Row],[Incentive Fixture Demand Savings (kW)]]+ReviewCalcs[[#This Row],[Incentive Control Demand Savings (kW)]]</f>
        <v>0</v>
      </c>
      <c r="BT81" s="118">
        <f>ReviewCalcs[[#This Row],[Incentive Fixture Energy Savings (kWh)]]+ReviewCalcs[[#This Row],[Incentive Control Energy Savings (kWh)]]</f>
        <v>0</v>
      </c>
      <c r="BU81" s="73"/>
    </row>
    <row r="82" spans="1:73" ht="30" customHeight="1">
      <c r="A82" s="68">
        <v>79</v>
      </c>
      <c r="B82" s="96">
        <f>VLOOKUP(ReviewCalcs[[#This Row],[Project Index]], ProjectInput[], D$1, FALSE)</f>
        <v>0</v>
      </c>
      <c r="C82" s="97">
        <f>VLOOKUP(ReviewCalcs[[#This Row],[Project Index]], ProjectInput[], E$1, FALSE)</f>
        <v>0</v>
      </c>
      <c r="D82" s="97">
        <f>VLOOKUP(ReviewCalcs[[#This Row],[Project Index]], ProjectInput[], F$1, FALSE)</f>
        <v>0</v>
      </c>
      <c r="E82" s="97">
        <f>VLOOKUP(ReviewCalcs[[#This Row],[Project Index]], ProjectInput[], G$1, FALSE)</f>
        <v>0</v>
      </c>
      <c r="F82" s="97">
        <f>VLOOKUP(ReviewCalcs[[#This Row],[Project Index]], ProjectInput[], H$1, FALSE)</f>
        <v>0</v>
      </c>
      <c r="G82" s="98" t="str">
        <f>VLOOKUP(ReviewCalcs[[#This Row],[Project Index]], ProjectInput[], I$1, FALSE)</f>
        <v/>
      </c>
      <c r="H82" s="96">
        <f>VLOOKUP(ReviewCalcs[[#This Row],[Project Index]], ProjectInput[], J$1, FALSE)</f>
        <v>0</v>
      </c>
      <c r="I82" s="97">
        <f>VLOOKUP(ReviewCalcs[[#This Row],[Project Index]], ProjectInput[], K$1, FALSE)</f>
        <v>0</v>
      </c>
      <c r="J82" s="97">
        <f>VLOOKUP(ReviewCalcs[[#This Row],[Project Index]], ProjectInput[], L$1, FALSE)</f>
        <v>0</v>
      </c>
      <c r="K82" s="97">
        <f>VLOOKUP(ReviewCalcs[[#This Row],[Project Index]], ProjectInput[], M$1, FALSE)</f>
        <v>0</v>
      </c>
      <c r="L82" s="97">
        <f>VLOOKUP(ReviewCalcs[[#This Row],[Project Index]], ProjectInput[], N$1, FALSE)</f>
        <v>0</v>
      </c>
      <c r="M82" s="98" t="str">
        <f>VLOOKUP(ReviewCalcs[[#This Row],[Project Index]], ProjectInput[], O$1, FALSE)</f>
        <v/>
      </c>
      <c r="N82" s="96">
        <f>VLOOKUP(ReviewCalcs[[#This Row],[Project Index]], ProjectInput[], P$1, FALSE)</f>
        <v>0</v>
      </c>
      <c r="O82" s="97">
        <f>VLOOKUP(ReviewCalcs[[#This Row],[Project Index]], ProjectInput[], Q$1, FALSE)</f>
        <v>0</v>
      </c>
      <c r="P82" s="97">
        <f>VLOOKUP(ReviewCalcs[[#This Row],[Project Index]], ProjectInput[], R$1, FALSE)</f>
        <v>0</v>
      </c>
      <c r="Q82" s="97">
        <f>VLOOKUP(ReviewCalcs[[#This Row],[Project Index]], ProjectInput[], S$1, FALSE)</f>
        <v>0</v>
      </c>
      <c r="R82" s="97">
        <f>VLOOKUP(ReviewCalcs[[#This Row],[Project Index]], ProjectInput[], T$1, FALSE)</f>
        <v>0</v>
      </c>
      <c r="S82" s="97">
        <f>VLOOKUP(ReviewCalcs[[#This Row],[Project Index]], ProjectInput[], U$1, FALSE)</f>
        <v>0</v>
      </c>
      <c r="T82" s="97">
        <f>VLOOKUP(ReviewCalcs[[#This Row],[Project Index]], ProjectInput[], V$1, FALSE)</f>
        <v>0</v>
      </c>
      <c r="U82" s="97">
        <f>VLOOKUP(ReviewCalcs[[#This Row],[Project Index]], ProjectInput[], W$1, FALSE)</f>
        <v>0</v>
      </c>
      <c r="V82" s="98" t="str">
        <f>VLOOKUP(ReviewCalcs[[#This Row],[Project Index]], ProjectInput[], X$1, FALSE)</f>
        <v/>
      </c>
      <c r="W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2" s="75" t="e">
        <f>IF(VLOOKUP(ReviewCalcs[[#This Row],[Proposed Fixture Code]], Table7[[FIXTURE CODE]:[Baseline Fixture Code]], 8, FALSE)="N", "ERROR", "PASS")</f>
        <v>#N/A</v>
      </c>
      <c r="Y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2" s="75" t="e">
        <f>IF(OR(ReviewCalcs[[#This Row],[Baseline Fixture Watts]]&gt;=ReviewCalcs[[#This Row],[Proposed Fixture Watts]],ReviewCalcs[[#This Row],[Existing Fixture Watts]]&gt;=ReviewCalcs[[#This Row],[Proposed Fixture Watts]] ), "PASS", "ERROR")</f>
        <v>#N/A</v>
      </c>
      <c r="AA82" s="69" t="e">
        <f>VLOOKUP(ReviewCalcs[[#This Row],[Space Conditions]], Table_365[], 5, FALSE)</f>
        <v>#N/A</v>
      </c>
      <c r="AB82" s="68" t="str">
        <f>ReviewCalcs[[#This Row],[Annual Hours]]</f>
        <v/>
      </c>
      <c r="AC82" s="68" t="e">
        <f>VLOOKUP(ReviewCalcs[[#This Row],[Space Conditions]], Table_365[], 6, FALSE)</f>
        <v>#N/A</v>
      </c>
      <c r="AD82" s="68">
        <f>IF(ReviewCalcs[[#This Row],[Existing Control(s)]]='Tables &amp; Ranges'!$A$25, VLOOKUP(ReviewCalcs[[#This Row],[Building/Space Type]], Table_364[], 3, FALSE), CF_Contols)</f>
        <v>0.26</v>
      </c>
      <c r="AE82" s="68" t="e">
        <f>VLOOKUP(ReviewCalcs[[#This Row],[Existing Control(s)]], Table_358[], 2, FALSE)</f>
        <v>#N/A</v>
      </c>
      <c r="AF82" s="68">
        <f>IF(ReviewCalcs[[#This Row],[Proposed Control(s)]]='Tables &amp; Ranges'!$A$25, VLOOKUP(ReviewCalcs[[#This Row],[Building/Space Type]], Table_364[], 3, FALSE), CF_Contols)</f>
        <v>0.26</v>
      </c>
      <c r="AG82" s="68" t="e">
        <f>VLOOKUP(ReviewCalcs[[#This Row],[Proposed Control(s)]], Table_358[], 2, FALSE)</f>
        <v>#N/A</v>
      </c>
      <c r="AH82" s="68">
        <f>IFERROR((ReviewCalcs[[#This Row],[Existing Fixture Quantity]]*ReviewCalcs[[#This Row],[Existing Fixture Watts]]/1000)*ReviewCalcs[[#This Row],[Existing CF]]*ReviewCalcs[[#This Row],[IEFD]], 0)</f>
        <v>0</v>
      </c>
      <c r="AI82" s="68">
        <f>IFERROR((ReviewCalcs[[#This Row],[Proposed Fixture Quantity]]*ReviewCalcs[[#This Row],[Proposed Fixture Watts]]/1000)*ReviewCalcs[[#This Row],[Existing CF]]*ReviewCalcs[[#This Row],[IEFD]], 0)</f>
        <v>0</v>
      </c>
      <c r="AJ82" s="118">
        <f>IFERROR((ReviewCalcs[[#This Row],[Existing Fixture Quantity]]*ReviewCalcs[[#This Row],[Existing Fixture Watts]]/1000-ReviewCalcs[[#This Row],[Proposed Fixture Quantity]]*ReviewCalcs[[#This Row],[Proposed Fixture Watts]]/1000)*ReviewCalcs[[#This Row],[Existing CF]]*ReviewCalcs[[#This Row],[IEFD]], 0)</f>
        <v>0</v>
      </c>
      <c r="AK82" s="118">
        <f>IFERROR((ReviewCalcs[[#This Row],[Existing Fixture Quantity]]*ReviewCalcs[[#This Row],[Existing Fixture Watts]]/1000)*ReviewCalcs[[#This Row],[AOH]]*ReviewCalcs[[#This Row],[IEFE]]*ReviewCalcs[[#This Row],[Existing PAF]], 0)</f>
        <v>0</v>
      </c>
      <c r="AL82" s="118">
        <f>IFERROR((ReviewCalcs[[#This Row],[Proposed Fixture Quantity]]*ReviewCalcs[[#This Row],[Proposed Fixture Watts]]/1000)*ReviewCalcs[[#This Row],[AOH]]*ReviewCalcs[[#This Row],[IEFE]]*ReviewCalcs[[#This Row],[Existing PAF]], 0)</f>
        <v>0</v>
      </c>
      <c r="AM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2" s="118">
        <f>ReviewCalcs[[#This Row],[Fixture Existing Energy (kWh)]]*Avg_KWh_Rate</f>
        <v>0</v>
      </c>
      <c r="AO82" s="118">
        <f>ReviewCalcs[[#This Row],[Fixture Proposed Energy (kWh)]]*Avg_KWh_Rate</f>
        <v>0</v>
      </c>
      <c r="AP82" s="70">
        <f>ReviewCalcs[[#This Row],[Fixture Energy Savings]]*Avg_KWh_Rate</f>
        <v>0</v>
      </c>
      <c r="AQ82" s="129" t="e">
        <f>ReviewCalcs[[#This Row],[Existing Fixture Quantity]]*ReviewCalcs[[#This Row],[Existing Fixture Watts]]/1000*ReviewCalcs[[#This Row],[Existing CF]]*ReviewCalcs[[#This Row],[IEFD]]</f>
        <v>#VALUE!</v>
      </c>
      <c r="AR82" s="129" t="e">
        <f>ReviewCalcs[[#This Row],[Proposed Fixture Quantity]]*ReviewCalcs[[#This Row],[Proposed Fixture Watts]]/1000*ReviewCalcs[[#This Row],[Proposed CF]]*ReviewCalcs[[#This Row],[IEFD]]</f>
        <v>#VALUE!</v>
      </c>
      <c r="AS82" s="118">
        <f>IF(ReviewCalcs[[#This Row],[Existing CF]]=ReviewCalcs[[#This Row],[Proposed CF]], 0, ReviewCalcs[[#This Row],[Proposed Fixture Quantity]]*ReviewCalcs[[#This Row],[Proposed Fixture Watts]]/1000*ReviewCalcs[[#This Row],[Proposed CF]]*ReviewCalcs[[#This Row],[IEFD]])</f>
        <v>0</v>
      </c>
      <c r="AT82" s="118">
        <f>IFERROR(ReviewCalcs[[#This Row],[Existing Fixture Quantity]]*ReviewCalcs[[#This Row],[Existing Fixture Watts]]/1000*ReviewCalcs[[#This Row],[Existing PAF]]*ReviewCalcs[[#This Row],[AOH]]*ReviewCalcs[[#This Row],[IEFE]], 0)</f>
        <v>0</v>
      </c>
      <c r="AU82" s="118">
        <f>IFERROR(ReviewCalcs[[#This Row],[Proposed Fixture Quantity]]*ReviewCalcs[[#This Row],[Proposed Fixture Watts]]/1000*ReviewCalcs[[#This Row],[Proposed PAF]]*ReviewCalcs[[#This Row],[AOH]]*ReviewCalcs[[#This Row],[IEFE]], 0)</f>
        <v>0</v>
      </c>
      <c r="AV82" s="118">
        <f>IFERROR(ReviewCalcs[[#This Row],[Proposed Fixture Quantity]]*ReviewCalcs[[#This Row],[Proposed Fixture Watts]]/1000*(ReviewCalcs[[#This Row],[Existing PAF]]-ReviewCalcs[[#This Row],[Proposed PAF]])*ReviewCalcs[[#This Row],[AOH]]*ReviewCalcs[[#This Row],[IEFE]], 0)</f>
        <v>0</v>
      </c>
      <c r="AW82" s="118">
        <f>ReviewCalcs[[#This Row],[Control Existing Energy (kWh)]]*kWh_Incentive_Rate</f>
        <v>0</v>
      </c>
      <c r="AX82" s="118">
        <f>ReviewCalcs[[#This Row],[Control Proposed Energy (kWh)]]*kWh_Incentive_Rate</f>
        <v>0</v>
      </c>
      <c r="AY82" s="70">
        <f>ReviewCalcs[[#This Row],[Control Energy Savings (kWh)]]*kWh_Incentive_Rate</f>
        <v>0</v>
      </c>
      <c r="AZ82" s="70" t="e">
        <f>ReviewCalcs[[#This Row],[Fixture Existing Demand (kW)]]+ReviewCalcs[[#This Row],[Control Existing Demand (kW)]]</f>
        <v>#VALUE!</v>
      </c>
      <c r="BA82" s="70" t="e">
        <f>ReviewCalcs[[#This Row],[Fixture Proposed Demand (kW)]]+ReviewCalcs[[#This Row],[Control Proposed Demand (kW)]]</f>
        <v>#VALUE!</v>
      </c>
      <c r="BB82" s="118">
        <f>ReviewCalcs[[#This Row],[Fixture Demand Savings (kW)]]+ReviewCalcs[[#This Row],[Control Demand Savings (kW)]]</f>
        <v>0</v>
      </c>
      <c r="BC82" s="118">
        <f>ReviewCalcs[[#This Row],[Fixture Existing Energy (kWh)]]+ReviewCalcs[[#This Row],[Control Existing Energy (kWh)]]</f>
        <v>0</v>
      </c>
      <c r="BD82" s="118">
        <f>ReviewCalcs[[#This Row],[Fixture Proposed Energy (kWh)]]+ReviewCalcs[[#This Row],[Control Proposed Energy (kWh)]]</f>
        <v>0</v>
      </c>
      <c r="BE82" s="118">
        <f>ReviewCalcs[[#This Row],[Fixture Energy Savings]]+ReviewCalcs[[#This Row],[Control Energy Savings (kWh)]]</f>
        <v>0</v>
      </c>
      <c r="BF82" s="118">
        <f>ReviewCalcs[[#This Row],[Fixture Existing Cost ($)]]+ReviewCalcs[[#This Row],[Control Existing Cost ($)]]</f>
        <v>0</v>
      </c>
      <c r="BG82" s="118">
        <f>ReviewCalcs[[#This Row],[Fixture Proposed Cost ($)]]+ReviewCalcs[[#This Row],[Controls Proposed Cost ($)]]</f>
        <v>0</v>
      </c>
      <c r="BH82" s="70">
        <f>ReviewCalcs[[#This Row],[Total Energy Savings (kWh)]]*Avg_KWh_Rate</f>
        <v>0</v>
      </c>
      <c r="BI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2" s="70">
        <f>ReviewCalcs[[#This Row],[Retrofit Cost]]</f>
        <v>0</v>
      </c>
      <c r="BK82" s="70">
        <f>ReviewCalcs[[#This Row],[Retrofit Cost]]-ReviewCalcs[[#This Row],[Incentive ($)]]</f>
        <v>0</v>
      </c>
      <c r="BL82" s="118" t="e">
        <f>IFERROR(ReviewCalcs[[#This Row],[Net Project Cost ($)]]/ReviewCalcs[[#This Row],[Fixture Energy Cost Savings ($)]], #N/A)</f>
        <v>#N/A</v>
      </c>
      <c r="BM82" s="118" t="e">
        <f>IF(VLOOKUP(ReviewCalcs[[#This Row],[Existing Fixture Code]], Table7[[FIXTURE CODE]:[Baseline Fixture Code]], 8, FALSE)="N", VLOOKUP(ReviewCalcs[[#This Row],[Existing Fixture Code]], Table7[[FIXTURE CODE]:[Baseline Fixture Code]], 9, FALSE), ReviewCalcs[[#This Row],[Existing Fixture Code]])</f>
        <v>#N/A</v>
      </c>
      <c r="BN82" s="118" t="e">
        <f>INDEX(Table7[WATT/ FIXT], MATCH(ReviewCalcs[Baseline Fixture Code], Table7[FIXTURE CODE], 0))</f>
        <v>#N/A</v>
      </c>
      <c r="BO82" s="118">
        <f>IFERROR((ReviewCalcs[[#This Row],[Existing Fixture Quantity]]*ReviewCalcs[[#This Row],[Baseline Fixture Watts]]/1000-ReviewCalcs[[#This Row],[Proposed Fixture Quantity]]*ReviewCalcs[[#This Row],[Proposed Fixture Watts]]/1000)*ReviewCalcs[[#This Row],[Existing CF]]*ReviewCalcs[[#This Row],[IEFD]], 0)</f>
        <v>0</v>
      </c>
      <c r="BP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2" s="118">
        <f>IF(ReviewCalcs[[#This Row],[Existing CF]]=ReviewCalcs[[#This Row],[Proposed CF]], 0, ReviewCalcs[[#This Row],[Proposed Fixture Quantity]]*ReviewCalcs[[#This Row],[Proposed Fixture Watts]]/1000*ReviewCalcs[[#This Row],[Proposed CF]]*ReviewCalcs[[#This Row],[IEFD]])</f>
        <v>0</v>
      </c>
      <c r="BR82" s="118">
        <f>IFERROR(ReviewCalcs[[#This Row],[Proposed Fixture Quantity]]*ReviewCalcs[[#This Row],[Proposed Fixture Watts]]/1000*(ReviewCalcs[[#This Row],[Existing PAF]]-ReviewCalcs[[#This Row],[Proposed PAF]])*ReviewCalcs[[#This Row],[AOH]]*ReviewCalcs[[#This Row],[IEFE]],0)</f>
        <v>0</v>
      </c>
      <c r="BS82" s="118">
        <f>ReviewCalcs[[#This Row],[Incentive Fixture Demand Savings (kW)]]+ReviewCalcs[[#This Row],[Incentive Control Demand Savings (kW)]]</f>
        <v>0</v>
      </c>
      <c r="BT82" s="118">
        <f>ReviewCalcs[[#This Row],[Incentive Fixture Energy Savings (kWh)]]+ReviewCalcs[[#This Row],[Incentive Control Energy Savings (kWh)]]</f>
        <v>0</v>
      </c>
      <c r="BU82" s="73"/>
    </row>
    <row r="83" spans="1:73" ht="30" customHeight="1">
      <c r="A83" s="68">
        <v>80</v>
      </c>
      <c r="B83" s="96">
        <f>VLOOKUP(ReviewCalcs[[#This Row],[Project Index]], ProjectInput[], D$1, FALSE)</f>
        <v>0</v>
      </c>
      <c r="C83" s="97">
        <f>VLOOKUP(ReviewCalcs[[#This Row],[Project Index]], ProjectInput[], E$1, FALSE)</f>
        <v>0</v>
      </c>
      <c r="D83" s="97">
        <f>VLOOKUP(ReviewCalcs[[#This Row],[Project Index]], ProjectInput[], F$1, FALSE)</f>
        <v>0</v>
      </c>
      <c r="E83" s="97">
        <f>VLOOKUP(ReviewCalcs[[#This Row],[Project Index]], ProjectInput[], G$1, FALSE)</f>
        <v>0</v>
      </c>
      <c r="F83" s="97">
        <f>VLOOKUP(ReviewCalcs[[#This Row],[Project Index]], ProjectInput[], H$1, FALSE)</f>
        <v>0</v>
      </c>
      <c r="G83" s="98" t="str">
        <f>VLOOKUP(ReviewCalcs[[#This Row],[Project Index]], ProjectInput[], I$1, FALSE)</f>
        <v/>
      </c>
      <c r="H83" s="96">
        <f>VLOOKUP(ReviewCalcs[[#This Row],[Project Index]], ProjectInput[], J$1, FALSE)</f>
        <v>0</v>
      </c>
      <c r="I83" s="97">
        <f>VLOOKUP(ReviewCalcs[[#This Row],[Project Index]], ProjectInput[], K$1, FALSE)</f>
        <v>0</v>
      </c>
      <c r="J83" s="97">
        <f>VLOOKUP(ReviewCalcs[[#This Row],[Project Index]], ProjectInput[], L$1, FALSE)</f>
        <v>0</v>
      </c>
      <c r="K83" s="97">
        <f>VLOOKUP(ReviewCalcs[[#This Row],[Project Index]], ProjectInput[], M$1, FALSE)</f>
        <v>0</v>
      </c>
      <c r="L83" s="97">
        <f>VLOOKUP(ReviewCalcs[[#This Row],[Project Index]], ProjectInput[], N$1, FALSE)</f>
        <v>0</v>
      </c>
      <c r="M83" s="98" t="str">
        <f>VLOOKUP(ReviewCalcs[[#This Row],[Project Index]], ProjectInput[], O$1, FALSE)</f>
        <v/>
      </c>
      <c r="N83" s="96">
        <f>VLOOKUP(ReviewCalcs[[#This Row],[Project Index]], ProjectInput[], P$1, FALSE)</f>
        <v>0</v>
      </c>
      <c r="O83" s="97">
        <f>VLOOKUP(ReviewCalcs[[#This Row],[Project Index]], ProjectInput[], Q$1, FALSE)</f>
        <v>0</v>
      </c>
      <c r="P83" s="97">
        <f>VLOOKUP(ReviewCalcs[[#This Row],[Project Index]], ProjectInput[], R$1, FALSE)</f>
        <v>0</v>
      </c>
      <c r="Q83" s="97">
        <f>VLOOKUP(ReviewCalcs[[#This Row],[Project Index]], ProjectInput[], S$1, FALSE)</f>
        <v>0</v>
      </c>
      <c r="R83" s="97">
        <f>VLOOKUP(ReviewCalcs[[#This Row],[Project Index]], ProjectInput[], T$1, FALSE)</f>
        <v>0</v>
      </c>
      <c r="S83" s="97">
        <f>VLOOKUP(ReviewCalcs[[#This Row],[Project Index]], ProjectInput[], U$1, FALSE)</f>
        <v>0</v>
      </c>
      <c r="T83" s="97">
        <f>VLOOKUP(ReviewCalcs[[#This Row],[Project Index]], ProjectInput[], V$1, FALSE)</f>
        <v>0</v>
      </c>
      <c r="U83" s="97">
        <f>VLOOKUP(ReviewCalcs[[#This Row],[Project Index]], ProjectInput[], W$1, FALSE)</f>
        <v>0</v>
      </c>
      <c r="V83" s="98" t="str">
        <f>VLOOKUP(ReviewCalcs[[#This Row],[Project Index]], ProjectInput[], X$1, FALSE)</f>
        <v/>
      </c>
      <c r="W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3" s="75" t="e">
        <f>IF(VLOOKUP(ReviewCalcs[[#This Row],[Proposed Fixture Code]], Table7[[FIXTURE CODE]:[Baseline Fixture Code]], 8, FALSE)="N", "ERROR", "PASS")</f>
        <v>#N/A</v>
      </c>
      <c r="Y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3" s="75" t="e">
        <f>IF(OR(ReviewCalcs[[#This Row],[Baseline Fixture Watts]]&gt;=ReviewCalcs[[#This Row],[Proposed Fixture Watts]],ReviewCalcs[[#This Row],[Existing Fixture Watts]]&gt;=ReviewCalcs[[#This Row],[Proposed Fixture Watts]] ), "PASS", "ERROR")</f>
        <v>#N/A</v>
      </c>
      <c r="AA83" s="69" t="e">
        <f>VLOOKUP(ReviewCalcs[[#This Row],[Space Conditions]], Table_365[], 5, FALSE)</f>
        <v>#N/A</v>
      </c>
      <c r="AB83" s="68" t="str">
        <f>ReviewCalcs[[#This Row],[Annual Hours]]</f>
        <v/>
      </c>
      <c r="AC83" s="68" t="e">
        <f>VLOOKUP(ReviewCalcs[[#This Row],[Space Conditions]], Table_365[], 6, FALSE)</f>
        <v>#N/A</v>
      </c>
      <c r="AD83" s="68">
        <f>IF(ReviewCalcs[[#This Row],[Existing Control(s)]]='Tables &amp; Ranges'!$A$25, VLOOKUP(ReviewCalcs[[#This Row],[Building/Space Type]], Table_364[], 3, FALSE), CF_Contols)</f>
        <v>0.26</v>
      </c>
      <c r="AE83" s="68" t="e">
        <f>VLOOKUP(ReviewCalcs[[#This Row],[Existing Control(s)]], Table_358[], 2, FALSE)</f>
        <v>#N/A</v>
      </c>
      <c r="AF83" s="68">
        <f>IF(ReviewCalcs[[#This Row],[Proposed Control(s)]]='Tables &amp; Ranges'!$A$25, VLOOKUP(ReviewCalcs[[#This Row],[Building/Space Type]], Table_364[], 3, FALSE), CF_Contols)</f>
        <v>0.26</v>
      </c>
      <c r="AG83" s="68" t="e">
        <f>VLOOKUP(ReviewCalcs[[#This Row],[Proposed Control(s)]], Table_358[], 2, FALSE)</f>
        <v>#N/A</v>
      </c>
      <c r="AH83" s="68">
        <f>IFERROR((ReviewCalcs[[#This Row],[Existing Fixture Quantity]]*ReviewCalcs[[#This Row],[Existing Fixture Watts]]/1000)*ReviewCalcs[[#This Row],[Existing CF]]*ReviewCalcs[[#This Row],[IEFD]], 0)</f>
        <v>0</v>
      </c>
      <c r="AI83" s="68">
        <f>IFERROR((ReviewCalcs[[#This Row],[Proposed Fixture Quantity]]*ReviewCalcs[[#This Row],[Proposed Fixture Watts]]/1000)*ReviewCalcs[[#This Row],[Existing CF]]*ReviewCalcs[[#This Row],[IEFD]], 0)</f>
        <v>0</v>
      </c>
      <c r="AJ83" s="118">
        <f>IFERROR((ReviewCalcs[[#This Row],[Existing Fixture Quantity]]*ReviewCalcs[[#This Row],[Existing Fixture Watts]]/1000-ReviewCalcs[[#This Row],[Proposed Fixture Quantity]]*ReviewCalcs[[#This Row],[Proposed Fixture Watts]]/1000)*ReviewCalcs[[#This Row],[Existing CF]]*ReviewCalcs[[#This Row],[IEFD]], 0)</f>
        <v>0</v>
      </c>
      <c r="AK83" s="118">
        <f>IFERROR((ReviewCalcs[[#This Row],[Existing Fixture Quantity]]*ReviewCalcs[[#This Row],[Existing Fixture Watts]]/1000)*ReviewCalcs[[#This Row],[AOH]]*ReviewCalcs[[#This Row],[IEFE]]*ReviewCalcs[[#This Row],[Existing PAF]], 0)</f>
        <v>0</v>
      </c>
      <c r="AL83" s="118">
        <f>IFERROR((ReviewCalcs[[#This Row],[Proposed Fixture Quantity]]*ReviewCalcs[[#This Row],[Proposed Fixture Watts]]/1000)*ReviewCalcs[[#This Row],[AOH]]*ReviewCalcs[[#This Row],[IEFE]]*ReviewCalcs[[#This Row],[Existing PAF]], 0)</f>
        <v>0</v>
      </c>
      <c r="AM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3" s="118">
        <f>ReviewCalcs[[#This Row],[Fixture Existing Energy (kWh)]]*Avg_KWh_Rate</f>
        <v>0</v>
      </c>
      <c r="AO83" s="118">
        <f>ReviewCalcs[[#This Row],[Fixture Proposed Energy (kWh)]]*Avg_KWh_Rate</f>
        <v>0</v>
      </c>
      <c r="AP83" s="70">
        <f>ReviewCalcs[[#This Row],[Fixture Energy Savings]]*Avg_KWh_Rate</f>
        <v>0</v>
      </c>
      <c r="AQ83" s="129" t="e">
        <f>ReviewCalcs[[#This Row],[Existing Fixture Quantity]]*ReviewCalcs[[#This Row],[Existing Fixture Watts]]/1000*ReviewCalcs[[#This Row],[Existing CF]]*ReviewCalcs[[#This Row],[IEFD]]</f>
        <v>#VALUE!</v>
      </c>
      <c r="AR83" s="129" t="e">
        <f>ReviewCalcs[[#This Row],[Proposed Fixture Quantity]]*ReviewCalcs[[#This Row],[Proposed Fixture Watts]]/1000*ReviewCalcs[[#This Row],[Proposed CF]]*ReviewCalcs[[#This Row],[IEFD]]</f>
        <v>#VALUE!</v>
      </c>
      <c r="AS83" s="118">
        <f>IF(ReviewCalcs[[#This Row],[Existing CF]]=ReviewCalcs[[#This Row],[Proposed CF]], 0, ReviewCalcs[[#This Row],[Proposed Fixture Quantity]]*ReviewCalcs[[#This Row],[Proposed Fixture Watts]]/1000*ReviewCalcs[[#This Row],[Proposed CF]]*ReviewCalcs[[#This Row],[IEFD]])</f>
        <v>0</v>
      </c>
      <c r="AT83" s="118">
        <f>IFERROR(ReviewCalcs[[#This Row],[Existing Fixture Quantity]]*ReviewCalcs[[#This Row],[Existing Fixture Watts]]/1000*ReviewCalcs[[#This Row],[Existing PAF]]*ReviewCalcs[[#This Row],[AOH]]*ReviewCalcs[[#This Row],[IEFE]], 0)</f>
        <v>0</v>
      </c>
      <c r="AU83" s="118">
        <f>IFERROR(ReviewCalcs[[#This Row],[Proposed Fixture Quantity]]*ReviewCalcs[[#This Row],[Proposed Fixture Watts]]/1000*ReviewCalcs[[#This Row],[Proposed PAF]]*ReviewCalcs[[#This Row],[AOH]]*ReviewCalcs[[#This Row],[IEFE]], 0)</f>
        <v>0</v>
      </c>
      <c r="AV83" s="118">
        <f>IFERROR(ReviewCalcs[[#This Row],[Proposed Fixture Quantity]]*ReviewCalcs[[#This Row],[Proposed Fixture Watts]]/1000*(ReviewCalcs[[#This Row],[Existing PAF]]-ReviewCalcs[[#This Row],[Proposed PAF]])*ReviewCalcs[[#This Row],[AOH]]*ReviewCalcs[[#This Row],[IEFE]], 0)</f>
        <v>0</v>
      </c>
      <c r="AW83" s="118">
        <f>ReviewCalcs[[#This Row],[Control Existing Energy (kWh)]]*kWh_Incentive_Rate</f>
        <v>0</v>
      </c>
      <c r="AX83" s="118">
        <f>ReviewCalcs[[#This Row],[Control Proposed Energy (kWh)]]*kWh_Incentive_Rate</f>
        <v>0</v>
      </c>
      <c r="AY83" s="70">
        <f>ReviewCalcs[[#This Row],[Control Energy Savings (kWh)]]*kWh_Incentive_Rate</f>
        <v>0</v>
      </c>
      <c r="AZ83" s="70" t="e">
        <f>ReviewCalcs[[#This Row],[Fixture Existing Demand (kW)]]+ReviewCalcs[[#This Row],[Control Existing Demand (kW)]]</f>
        <v>#VALUE!</v>
      </c>
      <c r="BA83" s="70" t="e">
        <f>ReviewCalcs[[#This Row],[Fixture Proposed Demand (kW)]]+ReviewCalcs[[#This Row],[Control Proposed Demand (kW)]]</f>
        <v>#VALUE!</v>
      </c>
      <c r="BB83" s="118">
        <f>ReviewCalcs[[#This Row],[Fixture Demand Savings (kW)]]+ReviewCalcs[[#This Row],[Control Demand Savings (kW)]]</f>
        <v>0</v>
      </c>
      <c r="BC83" s="118">
        <f>ReviewCalcs[[#This Row],[Fixture Existing Energy (kWh)]]+ReviewCalcs[[#This Row],[Control Existing Energy (kWh)]]</f>
        <v>0</v>
      </c>
      <c r="BD83" s="118">
        <f>ReviewCalcs[[#This Row],[Fixture Proposed Energy (kWh)]]+ReviewCalcs[[#This Row],[Control Proposed Energy (kWh)]]</f>
        <v>0</v>
      </c>
      <c r="BE83" s="118">
        <f>ReviewCalcs[[#This Row],[Fixture Energy Savings]]+ReviewCalcs[[#This Row],[Control Energy Savings (kWh)]]</f>
        <v>0</v>
      </c>
      <c r="BF83" s="118">
        <f>ReviewCalcs[[#This Row],[Fixture Existing Cost ($)]]+ReviewCalcs[[#This Row],[Control Existing Cost ($)]]</f>
        <v>0</v>
      </c>
      <c r="BG83" s="118">
        <f>ReviewCalcs[[#This Row],[Fixture Proposed Cost ($)]]+ReviewCalcs[[#This Row],[Controls Proposed Cost ($)]]</f>
        <v>0</v>
      </c>
      <c r="BH83" s="70">
        <f>ReviewCalcs[[#This Row],[Total Energy Savings (kWh)]]*Avg_KWh_Rate</f>
        <v>0</v>
      </c>
      <c r="BI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3" s="70">
        <f>ReviewCalcs[[#This Row],[Retrofit Cost]]</f>
        <v>0</v>
      </c>
      <c r="BK83" s="70">
        <f>ReviewCalcs[[#This Row],[Retrofit Cost]]-ReviewCalcs[[#This Row],[Incentive ($)]]</f>
        <v>0</v>
      </c>
      <c r="BL83" s="118" t="e">
        <f>IFERROR(ReviewCalcs[[#This Row],[Net Project Cost ($)]]/ReviewCalcs[[#This Row],[Fixture Energy Cost Savings ($)]], #N/A)</f>
        <v>#N/A</v>
      </c>
      <c r="BM83" s="118" t="e">
        <f>IF(VLOOKUP(ReviewCalcs[[#This Row],[Existing Fixture Code]], Table7[[FIXTURE CODE]:[Baseline Fixture Code]], 8, FALSE)="N", VLOOKUP(ReviewCalcs[[#This Row],[Existing Fixture Code]], Table7[[FIXTURE CODE]:[Baseline Fixture Code]], 9, FALSE), ReviewCalcs[[#This Row],[Existing Fixture Code]])</f>
        <v>#N/A</v>
      </c>
      <c r="BN83" s="118" t="e">
        <f>INDEX(Table7[WATT/ FIXT], MATCH(ReviewCalcs[Baseline Fixture Code], Table7[FIXTURE CODE], 0))</f>
        <v>#N/A</v>
      </c>
      <c r="BO83" s="118">
        <f>IFERROR((ReviewCalcs[[#This Row],[Existing Fixture Quantity]]*ReviewCalcs[[#This Row],[Baseline Fixture Watts]]/1000-ReviewCalcs[[#This Row],[Proposed Fixture Quantity]]*ReviewCalcs[[#This Row],[Proposed Fixture Watts]]/1000)*ReviewCalcs[[#This Row],[Existing CF]]*ReviewCalcs[[#This Row],[IEFD]], 0)</f>
        <v>0</v>
      </c>
      <c r="BP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3" s="118">
        <f>IF(ReviewCalcs[[#This Row],[Existing CF]]=ReviewCalcs[[#This Row],[Proposed CF]], 0, ReviewCalcs[[#This Row],[Proposed Fixture Quantity]]*ReviewCalcs[[#This Row],[Proposed Fixture Watts]]/1000*ReviewCalcs[[#This Row],[Proposed CF]]*ReviewCalcs[[#This Row],[IEFD]])</f>
        <v>0</v>
      </c>
      <c r="BR83" s="118">
        <f>IFERROR(ReviewCalcs[[#This Row],[Proposed Fixture Quantity]]*ReviewCalcs[[#This Row],[Proposed Fixture Watts]]/1000*(ReviewCalcs[[#This Row],[Existing PAF]]-ReviewCalcs[[#This Row],[Proposed PAF]])*ReviewCalcs[[#This Row],[AOH]]*ReviewCalcs[[#This Row],[IEFE]],0)</f>
        <v>0</v>
      </c>
      <c r="BS83" s="118">
        <f>ReviewCalcs[[#This Row],[Incentive Fixture Demand Savings (kW)]]+ReviewCalcs[[#This Row],[Incentive Control Demand Savings (kW)]]</f>
        <v>0</v>
      </c>
      <c r="BT83" s="118">
        <f>ReviewCalcs[[#This Row],[Incentive Fixture Energy Savings (kWh)]]+ReviewCalcs[[#This Row],[Incentive Control Energy Savings (kWh)]]</f>
        <v>0</v>
      </c>
      <c r="BU83" s="73"/>
    </row>
    <row r="84" spans="1:73" ht="30" customHeight="1">
      <c r="A84" s="68">
        <v>81</v>
      </c>
      <c r="B84" s="96">
        <f>VLOOKUP(ReviewCalcs[[#This Row],[Project Index]], ProjectInput[], D$1, FALSE)</f>
        <v>0</v>
      </c>
      <c r="C84" s="97">
        <f>VLOOKUP(ReviewCalcs[[#This Row],[Project Index]], ProjectInput[], E$1, FALSE)</f>
        <v>0</v>
      </c>
      <c r="D84" s="97">
        <f>VLOOKUP(ReviewCalcs[[#This Row],[Project Index]], ProjectInput[], F$1, FALSE)</f>
        <v>0</v>
      </c>
      <c r="E84" s="97">
        <f>VLOOKUP(ReviewCalcs[[#This Row],[Project Index]], ProjectInput[], G$1, FALSE)</f>
        <v>0</v>
      </c>
      <c r="F84" s="97">
        <f>VLOOKUP(ReviewCalcs[[#This Row],[Project Index]], ProjectInput[], H$1, FALSE)</f>
        <v>0</v>
      </c>
      <c r="G84" s="98" t="str">
        <f>VLOOKUP(ReviewCalcs[[#This Row],[Project Index]], ProjectInput[], I$1, FALSE)</f>
        <v/>
      </c>
      <c r="H84" s="96">
        <f>VLOOKUP(ReviewCalcs[[#This Row],[Project Index]], ProjectInput[], J$1, FALSE)</f>
        <v>0</v>
      </c>
      <c r="I84" s="97">
        <f>VLOOKUP(ReviewCalcs[[#This Row],[Project Index]], ProjectInput[], K$1, FALSE)</f>
        <v>0</v>
      </c>
      <c r="J84" s="97">
        <f>VLOOKUP(ReviewCalcs[[#This Row],[Project Index]], ProjectInput[], L$1, FALSE)</f>
        <v>0</v>
      </c>
      <c r="K84" s="97">
        <f>VLOOKUP(ReviewCalcs[[#This Row],[Project Index]], ProjectInput[], M$1, FALSE)</f>
        <v>0</v>
      </c>
      <c r="L84" s="97">
        <f>VLOOKUP(ReviewCalcs[[#This Row],[Project Index]], ProjectInput[], N$1, FALSE)</f>
        <v>0</v>
      </c>
      <c r="M84" s="98" t="str">
        <f>VLOOKUP(ReviewCalcs[[#This Row],[Project Index]], ProjectInput[], O$1, FALSE)</f>
        <v/>
      </c>
      <c r="N84" s="96">
        <f>VLOOKUP(ReviewCalcs[[#This Row],[Project Index]], ProjectInput[], P$1, FALSE)</f>
        <v>0</v>
      </c>
      <c r="O84" s="97">
        <f>VLOOKUP(ReviewCalcs[[#This Row],[Project Index]], ProjectInput[], Q$1, FALSE)</f>
        <v>0</v>
      </c>
      <c r="P84" s="97">
        <f>VLOOKUP(ReviewCalcs[[#This Row],[Project Index]], ProjectInput[], R$1, FALSE)</f>
        <v>0</v>
      </c>
      <c r="Q84" s="97">
        <f>VLOOKUP(ReviewCalcs[[#This Row],[Project Index]], ProjectInput[], S$1, FALSE)</f>
        <v>0</v>
      </c>
      <c r="R84" s="97">
        <f>VLOOKUP(ReviewCalcs[[#This Row],[Project Index]], ProjectInput[], T$1, FALSE)</f>
        <v>0</v>
      </c>
      <c r="S84" s="97">
        <f>VLOOKUP(ReviewCalcs[[#This Row],[Project Index]], ProjectInput[], U$1, FALSE)</f>
        <v>0</v>
      </c>
      <c r="T84" s="97">
        <f>VLOOKUP(ReviewCalcs[[#This Row],[Project Index]], ProjectInput[], V$1, FALSE)</f>
        <v>0</v>
      </c>
      <c r="U84" s="97">
        <f>VLOOKUP(ReviewCalcs[[#This Row],[Project Index]], ProjectInput[], W$1, FALSE)</f>
        <v>0</v>
      </c>
      <c r="V84" s="98" t="str">
        <f>VLOOKUP(ReviewCalcs[[#This Row],[Project Index]], ProjectInput[], X$1, FALSE)</f>
        <v/>
      </c>
      <c r="W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4" s="75" t="e">
        <f>IF(VLOOKUP(ReviewCalcs[[#This Row],[Proposed Fixture Code]], Table7[[FIXTURE CODE]:[Baseline Fixture Code]], 8, FALSE)="N", "ERROR", "PASS")</f>
        <v>#N/A</v>
      </c>
      <c r="Y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4" s="75" t="e">
        <f>IF(OR(ReviewCalcs[[#This Row],[Baseline Fixture Watts]]&gt;=ReviewCalcs[[#This Row],[Proposed Fixture Watts]],ReviewCalcs[[#This Row],[Existing Fixture Watts]]&gt;=ReviewCalcs[[#This Row],[Proposed Fixture Watts]] ), "PASS", "ERROR")</f>
        <v>#N/A</v>
      </c>
      <c r="AA84" s="69" t="e">
        <f>VLOOKUP(ReviewCalcs[[#This Row],[Space Conditions]], Table_365[], 5, FALSE)</f>
        <v>#N/A</v>
      </c>
      <c r="AB84" s="68" t="str">
        <f>ReviewCalcs[[#This Row],[Annual Hours]]</f>
        <v/>
      </c>
      <c r="AC84" s="68" t="e">
        <f>VLOOKUP(ReviewCalcs[[#This Row],[Space Conditions]], Table_365[], 6, FALSE)</f>
        <v>#N/A</v>
      </c>
      <c r="AD84" s="68">
        <f>IF(ReviewCalcs[[#This Row],[Existing Control(s)]]='Tables &amp; Ranges'!$A$25, VLOOKUP(ReviewCalcs[[#This Row],[Building/Space Type]], Table_364[], 3, FALSE), CF_Contols)</f>
        <v>0.26</v>
      </c>
      <c r="AE84" s="68" t="e">
        <f>VLOOKUP(ReviewCalcs[[#This Row],[Existing Control(s)]], Table_358[], 2, FALSE)</f>
        <v>#N/A</v>
      </c>
      <c r="AF84" s="68">
        <f>IF(ReviewCalcs[[#This Row],[Proposed Control(s)]]='Tables &amp; Ranges'!$A$25, VLOOKUP(ReviewCalcs[[#This Row],[Building/Space Type]], Table_364[], 3, FALSE), CF_Contols)</f>
        <v>0.26</v>
      </c>
      <c r="AG84" s="68" t="e">
        <f>VLOOKUP(ReviewCalcs[[#This Row],[Proposed Control(s)]], Table_358[], 2, FALSE)</f>
        <v>#N/A</v>
      </c>
      <c r="AH84" s="68">
        <f>IFERROR((ReviewCalcs[[#This Row],[Existing Fixture Quantity]]*ReviewCalcs[[#This Row],[Existing Fixture Watts]]/1000)*ReviewCalcs[[#This Row],[Existing CF]]*ReviewCalcs[[#This Row],[IEFD]], 0)</f>
        <v>0</v>
      </c>
      <c r="AI84" s="68">
        <f>IFERROR((ReviewCalcs[[#This Row],[Proposed Fixture Quantity]]*ReviewCalcs[[#This Row],[Proposed Fixture Watts]]/1000)*ReviewCalcs[[#This Row],[Existing CF]]*ReviewCalcs[[#This Row],[IEFD]], 0)</f>
        <v>0</v>
      </c>
      <c r="AJ84" s="118">
        <f>IFERROR((ReviewCalcs[[#This Row],[Existing Fixture Quantity]]*ReviewCalcs[[#This Row],[Existing Fixture Watts]]/1000-ReviewCalcs[[#This Row],[Proposed Fixture Quantity]]*ReviewCalcs[[#This Row],[Proposed Fixture Watts]]/1000)*ReviewCalcs[[#This Row],[Existing CF]]*ReviewCalcs[[#This Row],[IEFD]], 0)</f>
        <v>0</v>
      </c>
      <c r="AK84" s="118">
        <f>IFERROR((ReviewCalcs[[#This Row],[Existing Fixture Quantity]]*ReviewCalcs[[#This Row],[Existing Fixture Watts]]/1000)*ReviewCalcs[[#This Row],[AOH]]*ReviewCalcs[[#This Row],[IEFE]]*ReviewCalcs[[#This Row],[Existing PAF]], 0)</f>
        <v>0</v>
      </c>
      <c r="AL84" s="118">
        <f>IFERROR((ReviewCalcs[[#This Row],[Proposed Fixture Quantity]]*ReviewCalcs[[#This Row],[Proposed Fixture Watts]]/1000)*ReviewCalcs[[#This Row],[AOH]]*ReviewCalcs[[#This Row],[IEFE]]*ReviewCalcs[[#This Row],[Existing PAF]], 0)</f>
        <v>0</v>
      </c>
      <c r="AM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4" s="118">
        <f>ReviewCalcs[[#This Row],[Fixture Existing Energy (kWh)]]*Avg_KWh_Rate</f>
        <v>0</v>
      </c>
      <c r="AO84" s="118">
        <f>ReviewCalcs[[#This Row],[Fixture Proposed Energy (kWh)]]*Avg_KWh_Rate</f>
        <v>0</v>
      </c>
      <c r="AP84" s="70">
        <f>ReviewCalcs[[#This Row],[Fixture Energy Savings]]*Avg_KWh_Rate</f>
        <v>0</v>
      </c>
      <c r="AQ84" s="129" t="e">
        <f>ReviewCalcs[[#This Row],[Existing Fixture Quantity]]*ReviewCalcs[[#This Row],[Existing Fixture Watts]]/1000*ReviewCalcs[[#This Row],[Existing CF]]*ReviewCalcs[[#This Row],[IEFD]]</f>
        <v>#VALUE!</v>
      </c>
      <c r="AR84" s="129" t="e">
        <f>ReviewCalcs[[#This Row],[Proposed Fixture Quantity]]*ReviewCalcs[[#This Row],[Proposed Fixture Watts]]/1000*ReviewCalcs[[#This Row],[Proposed CF]]*ReviewCalcs[[#This Row],[IEFD]]</f>
        <v>#VALUE!</v>
      </c>
      <c r="AS84" s="118">
        <f>IF(ReviewCalcs[[#This Row],[Existing CF]]=ReviewCalcs[[#This Row],[Proposed CF]], 0, ReviewCalcs[[#This Row],[Proposed Fixture Quantity]]*ReviewCalcs[[#This Row],[Proposed Fixture Watts]]/1000*ReviewCalcs[[#This Row],[Proposed CF]]*ReviewCalcs[[#This Row],[IEFD]])</f>
        <v>0</v>
      </c>
      <c r="AT84" s="118">
        <f>IFERROR(ReviewCalcs[[#This Row],[Existing Fixture Quantity]]*ReviewCalcs[[#This Row],[Existing Fixture Watts]]/1000*ReviewCalcs[[#This Row],[Existing PAF]]*ReviewCalcs[[#This Row],[AOH]]*ReviewCalcs[[#This Row],[IEFE]], 0)</f>
        <v>0</v>
      </c>
      <c r="AU84" s="118">
        <f>IFERROR(ReviewCalcs[[#This Row],[Proposed Fixture Quantity]]*ReviewCalcs[[#This Row],[Proposed Fixture Watts]]/1000*ReviewCalcs[[#This Row],[Proposed PAF]]*ReviewCalcs[[#This Row],[AOH]]*ReviewCalcs[[#This Row],[IEFE]], 0)</f>
        <v>0</v>
      </c>
      <c r="AV84" s="118">
        <f>IFERROR(ReviewCalcs[[#This Row],[Proposed Fixture Quantity]]*ReviewCalcs[[#This Row],[Proposed Fixture Watts]]/1000*(ReviewCalcs[[#This Row],[Existing PAF]]-ReviewCalcs[[#This Row],[Proposed PAF]])*ReviewCalcs[[#This Row],[AOH]]*ReviewCalcs[[#This Row],[IEFE]], 0)</f>
        <v>0</v>
      </c>
      <c r="AW84" s="118">
        <f>ReviewCalcs[[#This Row],[Control Existing Energy (kWh)]]*kWh_Incentive_Rate</f>
        <v>0</v>
      </c>
      <c r="AX84" s="118">
        <f>ReviewCalcs[[#This Row],[Control Proposed Energy (kWh)]]*kWh_Incentive_Rate</f>
        <v>0</v>
      </c>
      <c r="AY84" s="70">
        <f>ReviewCalcs[[#This Row],[Control Energy Savings (kWh)]]*kWh_Incentive_Rate</f>
        <v>0</v>
      </c>
      <c r="AZ84" s="70" t="e">
        <f>ReviewCalcs[[#This Row],[Fixture Existing Demand (kW)]]+ReviewCalcs[[#This Row],[Control Existing Demand (kW)]]</f>
        <v>#VALUE!</v>
      </c>
      <c r="BA84" s="70" t="e">
        <f>ReviewCalcs[[#This Row],[Fixture Proposed Demand (kW)]]+ReviewCalcs[[#This Row],[Control Proposed Demand (kW)]]</f>
        <v>#VALUE!</v>
      </c>
      <c r="BB84" s="118">
        <f>ReviewCalcs[[#This Row],[Fixture Demand Savings (kW)]]+ReviewCalcs[[#This Row],[Control Demand Savings (kW)]]</f>
        <v>0</v>
      </c>
      <c r="BC84" s="118">
        <f>ReviewCalcs[[#This Row],[Fixture Existing Energy (kWh)]]+ReviewCalcs[[#This Row],[Control Existing Energy (kWh)]]</f>
        <v>0</v>
      </c>
      <c r="BD84" s="118">
        <f>ReviewCalcs[[#This Row],[Fixture Proposed Energy (kWh)]]+ReviewCalcs[[#This Row],[Control Proposed Energy (kWh)]]</f>
        <v>0</v>
      </c>
      <c r="BE84" s="118">
        <f>ReviewCalcs[[#This Row],[Fixture Energy Savings]]+ReviewCalcs[[#This Row],[Control Energy Savings (kWh)]]</f>
        <v>0</v>
      </c>
      <c r="BF84" s="118">
        <f>ReviewCalcs[[#This Row],[Fixture Existing Cost ($)]]+ReviewCalcs[[#This Row],[Control Existing Cost ($)]]</f>
        <v>0</v>
      </c>
      <c r="BG84" s="118">
        <f>ReviewCalcs[[#This Row],[Fixture Proposed Cost ($)]]+ReviewCalcs[[#This Row],[Controls Proposed Cost ($)]]</f>
        <v>0</v>
      </c>
      <c r="BH84" s="70">
        <f>ReviewCalcs[[#This Row],[Total Energy Savings (kWh)]]*Avg_KWh_Rate</f>
        <v>0</v>
      </c>
      <c r="BI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4" s="70">
        <f>ReviewCalcs[[#This Row],[Retrofit Cost]]</f>
        <v>0</v>
      </c>
      <c r="BK84" s="70">
        <f>ReviewCalcs[[#This Row],[Retrofit Cost]]-ReviewCalcs[[#This Row],[Incentive ($)]]</f>
        <v>0</v>
      </c>
      <c r="BL84" s="118" t="e">
        <f>IFERROR(ReviewCalcs[[#This Row],[Net Project Cost ($)]]/ReviewCalcs[[#This Row],[Fixture Energy Cost Savings ($)]], #N/A)</f>
        <v>#N/A</v>
      </c>
      <c r="BM84" s="118" t="e">
        <f>IF(VLOOKUP(ReviewCalcs[[#This Row],[Existing Fixture Code]], Table7[[FIXTURE CODE]:[Baseline Fixture Code]], 8, FALSE)="N", VLOOKUP(ReviewCalcs[[#This Row],[Existing Fixture Code]], Table7[[FIXTURE CODE]:[Baseline Fixture Code]], 9, FALSE), ReviewCalcs[[#This Row],[Existing Fixture Code]])</f>
        <v>#N/A</v>
      </c>
      <c r="BN84" s="118" t="e">
        <f>INDEX(Table7[WATT/ FIXT], MATCH(ReviewCalcs[Baseline Fixture Code], Table7[FIXTURE CODE], 0))</f>
        <v>#N/A</v>
      </c>
      <c r="BO84" s="118">
        <f>IFERROR((ReviewCalcs[[#This Row],[Existing Fixture Quantity]]*ReviewCalcs[[#This Row],[Baseline Fixture Watts]]/1000-ReviewCalcs[[#This Row],[Proposed Fixture Quantity]]*ReviewCalcs[[#This Row],[Proposed Fixture Watts]]/1000)*ReviewCalcs[[#This Row],[Existing CF]]*ReviewCalcs[[#This Row],[IEFD]], 0)</f>
        <v>0</v>
      </c>
      <c r="BP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4" s="118">
        <f>IF(ReviewCalcs[[#This Row],[Existing CF]]=ReviewCalcs[[#This Row],[Proposed CF]], 0, ReviewCalcs[[#This Row],[Proposed Fixture Quantity]]*ReviewCalcs[[#This Row],[Proposed Fixture Watts]]/1000*ReviewCalcs[[#This Row],[Proposed CF]]*ReviewCalcs[[#This Row],[IEFD]])</f>
        <v>0</v>
      </c>
      <c r="BR84" s="118">
        <f>IFERROR(ReviewCalcs[[#This Row],[Proposed Fixture Quantity]]*ReviewCalcs[[#This Row],[Proposed Fixture Watts]]/1000*(ReviewCalcs[[#This Row],[Existing PAF]]-ReviewCalcs[[#This Row],[Proposed PAF]])*ReviewCalcs[[#This Row],[AOH]]*ReviewCalcs[[#This Row],[IEFE]],0)</f>
        <v>0</v>
      </c>
      <c r="BS84" s="118">
        <f>ReviewCalcs[[#This Row],[Incentive Fixture Demand Savings (kW)]]+ReviewCalcs[[#This Row],[Incentive Control Demand Savings (kW)]]</f>
        <v>0</v>
      </c>
      <c r="BT84" s="118">
        <f>ReviewCalcs[[#This Row],[Incentive Fixture Energy Savings (kWh)]]+ReviewCalcs[[#This Row],[Incentive Control Energy Savings (kWh)]]</f>
        <v>0</v>
      </c>
      <c r="BU84" s="73"/>
    </row>
    <row r="85" spans="1:73" ht="30" customHeight="1">
      <c r="A85" s="68">
        <v>82</v>
      </c>
      <c r="B85" s="96">
        <f>VLOOKUP(ReviewCalcs[[#This Row],[Project Index]], ProjectInput[], D$1, FALSE)</f>
        <v>0</v>
      </c>
      <c r="C85" s="97">
        <f>VLOOKUP(ReviewCalcs[[#This Row],[Project Index]], ProjectInput[], E$1, FALSE)</f>
        <v>0</v>
      </c>
      <c r="D85" s="97">
        <f>VLOOKUP(ReviewCalcs[[#This Row],[Project Index]], ProjectInput[], F$1, FALSE)</f>
        <v>0</v>
      </c>
      <c r="E85" s="97">
        <f>VLOOKUP(ReviewCalcs[[#This Row],[Project Index]], ProjectInput[], G$1, FALSE)</f>
        <v>0</v>
      </c>
      <c r="F85" s="97">
        <f>VLOOKUP(ReviewCalcs[[#This Row],[Project Index]], ProjectInput[], H$1, FALSE)</f>
        <v>0</v>
      </c>
      <c r="G85" s="98" t="str">
        <f>VLOOKUP(ReviewCalcs[[#This Row],[Project Index]], ProjectInput[], I$1, FALSE)</f>
        <v/>
      </c>
      <c r="H85" s="96">
        <f>VLOOKUP(ReviewCalcs[[#This Row],[Project Index]], ProjectInput[], J$1, FALSE)</f>
        <v>0</v>
      </c>
      <c r="I85" s="97">
        <f>VLOOKUP(ReviewCalcs[[#This Row],[Project Index]], ProjectInput[], K$1, FALSE)</f>
        <v>0</v>
      </c>
      <c r="J85" s="97">
        <f>VLOOKUP(ReviewCalcs[[#This Row],[Project Index]], ProjectInput[], L$1, FALSE)</f>
        <v>0</v>
      </c>
      <c r="K85" s="97">
        <f>VLOOKUP(ReviewCalcs[[#This Row],[Project Index]], ProjectInput[], M$1, FALSE)</f>
        <v>0</v>
      </c>
      <c r="L85" s="97">
        <f>VLOOKUP(ReviewCalcs[[#This Row],[Project Index]], ProjectInput[], N$1, FALSE)</f>
        <v>0</v>
      </c>
      <c r="M85" s="98" t="str">
        <f>VLOOKUP(ReviewCalcs[[#This Row],[Project Index]], ProjectInput[], O$1, FALSE)</f>
        <v/>
      </c>
      <c r="N85" s="96">
        <f>VLOOKUP(ReviewCalcs[[#This Row],[Project Index]], ProjectInput[], P$1, FALSE)</f>
        <v>0</v>
      </c>
      <c r="O85" s="97">
        <f>VLOOKUP(ReviewCalcs[[#This Row],[Project Index]], ProjectInput[], Q$1, FALSE)</f>
        <v>0</v>
      </c>
      <c r="P85" s="97">
        <f>VLOOKUP(ReviewCalcs[[#This Row],[Project Index]], ProjectInput[], R$1, FALSE)</f>
        <v>0</v>
      </c>
      <c r="Q85" s="97">
        <f>VLOOKUP(ReviewCalcs[[#This Row],[Project Index]], ProjectInput[], S$1, FALSE)</f>
        <v>0</v>
      </c>
      <c r="R85" s="97">
        <f>VLOOKUP(ReviewCalcs[[#This Row],[Project Index]], ProjectInput[], T$1, FALSE)</f>
        <v>0</v>
      </c>
      <c r="S85" s="97">
        <f>VLOOKUP(ReviewCalcs[[#This Row],[Project Index]], ProjectInput[], U$1, FALSE)</f>
        <v>0</v>
      </c>
      <c r="T85" s="97">
        <f>VLOOKUP(ReviewCalcs[[#This Row],[Project Index]], ProjectInput[], V$1, FALSE)</f>
        <v>0</v>
      </c>
      <c r="U85" s="97">
        <f>VLOOKUP(ReviewCalcs[[#This Row],[Project Index]], ProjectInput[], W$1, FALSE)</f>
        <v>0</v>
      </c>
      <c r="V85" s="98" t="str">
        <f>VLOOKUP(ReviewCalcs[[#This Row],[Project Index]], ProjectInput[], X$1, FALSE)</f>
        <v/>
      </c>
      <c r="W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5" s="75" t="e">
        <f>IF(VLOOKUP(ReviewCalcs[[#This Row],[Proposed Fixture Code]], Table7[[FIXTURE CODE]:[Baseline Fixture Code]], 8, FALSE)="N", "ERROR", "PASS")</f>
        <v>#N/A</v>
      </c>
      <c r="Y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5" s="75" t="e">
        <f>IF(OR(ReviewCalcs[[#This Row],[Baseline Fixture Watts]]&gt;=ReviewCalcs[[#This Row],[Proposed Fixture Watts]],ReviewCalcs[[#This Row],[Existing Fixture Watts]]&gt;=ReviewCalcs[[#This Row],[Proposed Fixture Watts]] ), "PASS", "ERROR")</f>
        <v>#N/A</v>
      </c>
      <c r="AA85" s="69" t="e">
        <f>VLOOKUP(ReviewCalcs[[#This Row],[Space Conditions]], Table_365[], 5, FALSE)</f>
        <v>#N/A</v>
      </c>
      <c r="AB85" s="68" t="str">
        <f>ReviewCalcs[[#This Row],[Annual Hours]]</f>
        <v/>
      </c>
      <c r="AC85" s="68" t="e">
        <f>VLOOKUP(ReviewCalcs[[#This Row],[Space Conditions]], Table_365[], 6, FALSE)</f>
        <v>#N/A</v>
      </c>
      <c r="AD85" s="68">
        <f>IF(ReviewCalcs[[#This Row],[Existing Control(s)]]='Tables &amp; Ranges'!$A$25, VLOOKUP(ReviewCalcs[[#This Row],[Building/Space Type]], Table_364[], 3, FALSE), CF_Contols)</f>
        <v>0.26</v>
      </c>
      <c r="AE85" s="68" t="e">
        <f>VLOOKUP(ReviewCalcs[[#This Row],[Existing Control(s)]], Table_358[], 2, FALSE)</f>
        <v>#N/A</v>
      </c>
      <c r="AF85" s="68">
        <f>IF(ReviewCalcs[[#This Row],[Proposed Control(s)]]='Tables &amp; Ranges'!$A$25, VLOOKUP(ReviewCalcs[[#This Row],[Building/Space Type]], Table_364[], 3, FALSE), CF_Contols)</f>
        <v>0.26</v>
      </c>
      <c r="AG85" s="68" t="e">
        <f>VLOOKUP(ReviewCalcs[[#This Row],[Proposed Control(s)]], Table_358[], 2, FALSE)</f>
        <v>#N/A</v>
      </c>
      <c r="AH85" s="68">
        <f>IFERROR((ReviewCalcs[[#This Row],[Existing Fixture Quantity]]*ReviewCalcs[[#This Row],[Existing Fixture Watts]]/1000)*ReviewCalcs[[#This Row],[Existing CF]]*ReviewCalcs[[#This Row],[IEFD]], 0)</f>
        <v>0</v>
      </c>
      <c r="AI85" s="68">
        <f>IFERROR((ReviewCalcs[[#This Row],[Proposed Fixture Quantity]]*ReviewCalcs[[#This Row],[Proposed Fixture Watts]]/1000)*ReviewCalcs[[#This Row],[Existing CF]]*ReviewCalcs[[#This Row],[IEFD]], 0)</f>
        <v>0</v>
      </c>
      <c r="AJ85" s="118">
        <f>IFERROR((ReviewCalcs[[#This Row],[Existing Fixture Quantity]]*ReviewCalcs[[#This Row],[Existing Fixture Watts]]/1000-ReviewCalcs[[#This Row],[Proposed Fixture Quantity]]*ReviewCalcs[[#This Row],[Proposed Fixture Watts]]/1000)*ReviewCalcs[[#This Row],[Existing CF]]*ReviewCalcs[[#This Row],[IEFD]], 0)</f>
        <v>0</v>
      </c>
      <c r="AK85" s="118">
        <f>IFERROR((ReviewCalcs[[#This Row],[Existing Fixture Quantity]]*ReviewCalcs[[#This Row],[Existing Fixture Watts]]/1000)*ReviewCalcs[[#This Row],[AOH]]*ReviewCalcs[[#This Row],[IEFE]]*ReviewCalcs[[#This Row],[Existing PAF]], 0)</f>
        <v>0</v>
      </c>
      <c r="AL85" s="118">
        <f>IFERROR((ReviewCalcs[[#This Row],[Proposed Fixture Quantity]]*ReviewCalcs[[#This Row],[Proposed Fixture Watts]]/1000)*ReviewCalcs[[#This Row],[AOH]]*ReviewCalcs[[#This Row],[IEFE]]*ReviewCalcs[[#This Row],[Existing PAF]], 0)</f>
        <v>0</v>
      </c>
      <c r="AM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5" s="118">
        <f>ReviewCalcs[[#This Row],[Fixture Existing Energy (kWh)]]*Avg_KWh_Rate</f>
        <v>0</v>
      </c>
      <c r="AO85" s="118">
        <f>ReviewCalcs[[#This Row],[Fixture Proposed Energy (kWh)]]*Avg_KWh_Rate</f>
        <v>0</v>
      </c>
      <c r="AP85" s="70">
        <f>ReviewCalcs[[#This Row],[Fixture Energy Savings]]*Avg_KWh_Rate</f>
        <v>0</v>
      </c>
      <c r="AQ85" s="129" t="e">
        <f>ReviewCalcs[[#This Row],[Existing Fixture Quantity]]*ReviewCalcs[[#This Row],[Existing Fixture Watts]]/1000*ReviewCalcs[[#This Row],[Existing CF]]*ReviewCalcs[[#This Row],[IEFD]]</f>
        <v>#VALUE!</v>
      </c>
      <c r="AR85" s="129" t="e">
        <f>ReviewCalcs[[#This Row],[Proposed Fixture Quantity]]*ReviewCalcs[[#This Row],[Proposed Fixture Watts]]/1000*ReviewCalcs[[#This Row],[Proposed CF]]*ReviewCalcs[[#This Row],[IEFD]]</f>
        <v>#VALUE!</v>
      </c>
      <c r="AS85" s="118">
        <f>IF(ReviewCalcs[[#This Row],[Existing CF]]=ReviewCalcs[[#This Row],[Proposed CF]], 0, ReviewCalcs[[#This Row],[Proposed Fixture Quantity]]*ReviewCalcs[[#This Row],[Proposed Fixture Watts]]/1000*ReviewCalcs[[#This Row],[Proposed CF]]*ReviewCalcs[[#This Row],[IEFD]])</f>
        <v>0</v>
      </c>
      <c r="AT85" s="118">
        <f>IFERROR(ReviewCalcs[[#This Row],[Existing Fixture Quantity]]*ReviewCalcs[[#This Row],[Existing Fixture Watts]]/1000*ReviewCalcs[[#This Row],[Existing PAF]]*ReviewCalcs[[#This Row],[AOH]]*ReviewCalcs[[#This Row],[IEFE]], 0)</f>
        <v>0</v>
      </c>
      <c r="AU85" s="118">
        <f>IFERROR(ReviewCalcs[[#This Row],[Proposed Fixture Quantity]]*ReviewCalcs[[#This Row],[Proposed Fixture Watts]]/1000*ReviewCalcs[[#This Row],[Proposed PAF]]*ReviewCalcs[[#This Row],[AOH]]*ReviewCalcs[[#This Row],[IEFE]], 0)</f>
        <v>0</v>
      </c>
      <c r="AV85" s="118">
        <f>IFERROR(ReviewCalcs[[#This Row],[Proposed Fixture Quantity]]*ReviewCalcs[[#This Row],[Proposed Fixture Watts]]/1000*(ReviewCalcs[[#This Row],[Existing PAF]]-ReviewCalcs[[#This Row],[Proposed PAF]])*ReviewCalcs[[#This Row],[AOH]]*ReviewCalcs[[#This Row],[IEFE]], 0)</f>
        <v>0</v>
      </c>
      <c r="AW85" s="118">
        <f>ReviewCalcs[[#This Row],[Control Existing Energy (kWh)]]*kWh_Incentive_Rate</f>
        <v>0</v>
      </c>
      <c r="AX85" s="118">
        <f>ReviewCalcs[[#This Row],[Control Proposed Energy (kWh)]]*kWh_Incentive_Rate</f>
        <v>0</v>
      </c>
      <c r="AY85" s="70">
        <f>ReviewCalcs[[#This Row],[Control Energy Savings (kWh)]]*kWh_Incentive_Rate</f>
        <v>0</v>
      </c>
      <c r="AZ85" s="70" t="e">
        <f>ReviewCalcs[[#This Row],[Fixture Existing Demand (kW)]]+ReviewCalcs[[#This Row],[Control Existing Demand (kW)]]</f>
        <v>#VALUE!</v>
      </c>
      <c r="BA85" s="70" t="e">
        <f>ReviewCalcs[[#This Row],[Fixture Proposed Demand (kW)]]+ReviewCalcs[[#This Row],[Control Proposed Demand (kW)]]</f>
        <v>#VALUE!</v>
      </c>
      <c r="BB85" s="118">
        <f>ReviewCalcs[[#This Row],[Fixture Demand Savings (kW)]]+ReviewCalcs[[#This Row],[Control Demand Savings (kW)]]</f>
        <v>0</v>
      </c>
      <c r="BC85" s="118">
        <f>ReviewCalcs[[#This Row],[Fixture Existing Energy (kWh)]]+ReviewCalcs[[#This Row],[Control Existing Energy (kWh)]]</f>
        <v>0</v>
      </c>
      <c r="BD85" s="118">
        <f>ReviewCalcs[[#This Row],[Fixture Proposed Energy (kWh)]]+ReviewCalcs[[#This Row],[Control Proposed Energy (kWh)]]</f>
        <v>0</v>
      </c>
      <c r="BE85" s="118">
        <f>ReviewCalcs[[#This Row],[Fixture Energy Savings]]+ReviewCalcs[[#This Row],[Control Energy Savings (kWh)]]</f>
        <v>0</v>
      </c>
      <c r="BF85" s="118">
        <f>ReviewCalcs[[#This Row],[Fixture Existing Cost ($)]]+ReviewCalcs[[#This Row],[Control Existing Cost ($)]]</f>
        <v>0</v>
      </c>
      <c r="BG85" s="118">
        <f>ReviewCalcs[[#This Row],[Fixture Proposed Cost ($)]]+ReviewCalcs[[#This Row],[Controls Proposed Cost ($)]]</f>
        <v>0</v>
      </c>
      <c r="BH85" s="70">
        <f>ReviewCalcs[[#This Row],[Total Energy Savings (kWh)]]*Avg_KWh_Rate</f>
        <v>0</v>
      </c>
      <c r="BI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5" s="70">
        <f>ReviewCalcs[[#This Row],[Retrofit Cost]]</f>
        <v>0</v>
      </c>
      <c r="BK85" s="70">
        <f>ReviewCalcs[[#This Row],[Retrofit Cost]]-ReviewCalcs[[#This Row],[Incentive ($)]]</f>
        <v>0</v>
      </c>
      <c r="BL85" s="118" t="e">
        <f>IFERROR(ReviewCalcs[[#This Row],[Net Project Cost ($)]]/ReviewCalcs[[#This Row],[Fixture Energy Cost Savings ($)]], #N/A)</f>
        <v>#N/A</v>
      </c>
      <c r="BM85" s="118" t="e">
        <f>IF(VLOOKUP(ReviewCalcs[[#This Row],[Existing Fixture Code]], Table7[[FIXTURE CODE]:[Baseline Fixture Code]], 8, FALSE)="N", VLOOKUP(ReviewCalcs[[#This Row],[Existing Fixture Code]], Table7[[FIXTURE CODE]:[Baseline Fixture Code]], 9, FALSE), ReviewCalcs[[#This Row],[Existing Fixture Code]])</f>
        <v>#N/A</v>
      </c>
      <c r="BN85" s="118" t="e">
        <f>INDEX(Table7[WATT/ FIXT], MATCH(ReviewCalcs[Baseline Fixture Code], Table7[FIXTURE CODE], 0))</f>
        <v>#N/A</v>
      </c>
      <c r="BO85" s="118">
        <f>IFERROR((ReviewCalcs[[#This Row],[Existing Fixture Quantity]]*ReviewCalcs[[#This Row],[Baseline Fixture Watts]]/1000-ReviewCalcs[[#This Row],[Proposed Fixture Quantity]]*ReviewCalcs[[#This Row],[Proposed Fixture Watts]]/1000)*ReviewCalcs[[#This Row],[Existing CF]]*ReviewCalcs[[#This Row],[IEFD]], 0)</f>
        <v>0</v>
      </c>
      <c r="BP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5" s="118">
        <f>IF(ReviewCalcs[[#This Row],[Existing CF]]=ReviewCalcs[[#This Row],[Proposed CF]], 0, ReviewCalcs[[#This Row],[Proposed Fixture Quantity]]*ReviewCalcs[[#This Row],[Proposed Fixture Watts]]/1000*ReviewCalcs[[#This Row],[Proposed CF]]*ReviewCalcs[[#This Row],[IEFD]])</f>
        <v>0</v>
      </c>
      <c r="BR85" s="118">
        <f>IFERROR(ReviewCalcs[[#This Row],[Proposed Fixture Quantity]]*ReviewCalcs[[#This Row],[Proposed Fixture Watts]]/1000*(ReviewCalcs[[#This Row],[Existing PAF]]-ReviewCalcs[[#This Row],[Proposed PAF]])*ReviewCalcs[[#This Row],[AOH]]*ReviewCalcs[[#This Row],[IEFE]],0)</f>
        <v>0</v>
      </c>
      <c r="BS85" s="118">
        <f>ReviewCalcs[[#This Row],[Incentive Fixture Demand Savings (kW)]]+ReviewCalcs[[#This Row],[Incentive Control Demand Savings (kW)]]</f>
        <v>0</v>
      </c>
      <c r="BT85" s="118">
        <f>ReviewCalcs[[#This Row],[Incentive Fixture Energy Savings (kWh)]]+ReviewCalcs[[#This Row],[Incentive Control Energy Savings (kWh)]]</f>
        <v>0</v>
      </c>
      <c r="BU85" s="73"/>
    </row>
    <row r="86" spans="1:73" ht="30" customHeight="1">
      <c r="A86" s="68">
        <v>83</v>
      </c>
      <c r="B86" s="96">
        <f>VLOOKUP(ReviewCalcs[[#This Row],[Project Index]], ProjectInput[], D$1, FALSE)</f>
        <v>0</v>
      </c>
      <c r="C86" s="97">
        <f>VLOOKUP(ReviewCalcs[[#This Row],[Project Index]], ProjectInput[], E$1, FALSE)</f>
        <v>0</v>
      </c>
      <c r="D86" s="97">
        <f>VLOOKUP(ReviewCalcs[[#This Row],[Project Index]], ProjectInput[], F$1, FALSE)</f>
        <v>0</v>
      </c>
      <c r="E86" s="97">
        <f>VLOOKUP(ReviewCalcs[[#This Row],[Project Index]], ProjectInput[], G$1, FALSE)</f>
        <v>0</v>
      </c>
      <c r="F86" s="97">
        <f>VLOOKUP(ReviewCalcs[[#This Row],[Project Index]], ProjectInput[], H$1, FALSE)</f>
        <v>0</v>
      </c>
      <c r="G86" s="98" t="str">
        <f>VLOOKUP(ReviewCalcs[[#This Row],[Project Index]], ProjectInput[], I$1, FALSE)</f>
        <v/>
      </c>
      <c r="H86" s="96">
        <f>VLOOKUP(ReviewCalcs[[#This Row],[Project Index]], ProjectInput[], J$1, FALSE)</f>
        <v>0</v>
      </c>
      <c r="I86" s="97">
        <f>VLOOKUP(ReviewCalcs[[#This Row],[Project Index]], ProjectInput[], K$1, FALSE)</f>
        <v>0</v>
      </c>
      <c r="J86" s="97">
        <f>VLOOKUP(ReviewCalcs[[#This Row],[Project Index]], ProjectInput[], L$1, FALSE)</f>
        <v>0</v>
      </c>
      <c r="K86" s="97">
        <f>VLOOKUP(ReviewCalcs[[#This Row],[Project Index]], ProjectInput[], M$1, FALSE)</f>
        <v>0</v>
      </c>
      <c r="L86" s="97">
        <f>VLOOKUP(ReviewCalcs[[#This Row],[Project Index]], ProjectInput[], N$1, FALSE)</f>
        <v>0</v>
      </c>
      <c r="M86" s="98" t="str">
        <f>VLOOKUP(ReviewCalcs[[#This Row],[Project Index]], ProjectInput[], O$1, FALSE)</f>
        <v/>
      </c>
      <c r="N86" s="96">
        <f>VLOOKUP(ReviewCalcs[[#This Row],[Project Index]], ProjectInput[], P$1, FALSE)</f>
        <v>0</v>
      </c>
      <c r="O86" s="97">
        <f>VLOOKUP(ReviewCalcs[[#This Row],[Project Index]], ProjectInput[], Q$1, FALSE)</f>
        <v>0</v>
      </c>
      <c r="P86" s="97">
        <f>VLOOKUP(ReviewCalcs[[#This Row],[Project Index]], ProjectInput[], R$1, FALSE)</f>
        <v>0</v>
      </c>
      <c r="Q86" s="97">
        <f>VLOOKUP(ReviewCalcs[[#This Row],[Project Index]], ProjectInput[], S$1, FALSE)</f>
        <v>0</v>
      </c>
      <c r="R86" s="97">
        <f>VLOOKUP(ReviewCalcs[[#This Row],[Project Index]], ProjectInput[], T$1, FALSE)</f>
        <v>0</v>
      </c>
      <c r="S86" s="97">
        <f>VLOOKUP(ReviewCalcs[[#This Row],[Project Index]], ProjectInput[], U$1, FALSE)</f>
        <v>0</v>
      </c>
      <c r="T86" s="97">
        <f>VLOOKUP(ReviewCalcs[[#This Row],[Project Index]], ProjectInput[], V$1, FALSE)</f>
        <v>0</v>
      </c>
      <c r="U86" s="97">
        <f>VLOOKUP(ReviewCalcs[[#This Row],[Project Index]], ProjectInput[], W$1, FALSE)</f>
        <v>0</v>
      </c>
      <c r="V86" s="98" t="str">
        <f>VLOOKUP(ReviewCalcs[[#This Row],[Project Index]], ProjectInput[], X$1, FALSE)</f>
        <v/>
      </c>
      <c r="W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6" s="75" t="e">
        <f>IF(VLOOKUP(ReviewCalcs[[#This Row],[Proposed Fixture Code]], Table7[[FIXTURE CODE]:[Baseline Fixture Code]], 8, FALSE)="N", "ERROR", "PASS")</f>
        <v>#N/A</v>
      </c>
      <c r="Y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6" s="75" t="e">
        <f>IF(OR(ReviewCalcs[[#This Row],[Baseline Fixture Watts]]&gt;=ReviewCalcs[[#This Row],[Proposed Fixture Watts]],ReviewCalcs[[#This Row],[Existing Fixture Watts]]&gt;=ReviewCalcs[[#This Row],[Proposed Fixture Watts]] ), "PASS", "ERROR")</f>
        <v>#N/A</v>
      </c>
      <c r="AA86" s="69" t="e">
        <f>VLOOKUP(ReviewCalcs[[#This Row],[Space Conditions]], Table_365[], 5, FALSE)</f>
        <v>#N/A</v>
      </c>
      <c r="AB86" s="68" t="str">
        <f>ReviewCalcs[[#This Row],[Annual Hours]]</f>
        <v/>
      </c>
      <c r="AC86" s="68" t="e">
        <f>VLOOKUP(ReviewCalcs[[#This Row],[Space Conditions]], Table_365[], 6, FALSE)</f>
        <v>#N/A</v>
      </c>
      <c r="AD86" s="68">
        <f>IF(ReviewCalcs[[#This Row],[Existing Control(s)]]='Tables &amp; Ranges'!$A$25, VLOOKUP(ReviewCalcs[[#This Row],[Building/Space Type]], Table_364[], 3, FALSE), CF_Contols)</f>
        <v>0.26</v>
      </c>
      <c r="AE86" s="68" t="e">
        <f>VLOOKUP(ReviewCalcs[[#This Row],[Existing Control(s)]], Table_358[], 2, FALSE)</f>
        <v>#N/A</v>
      </c>
      <c r="AF86" s="68">
        <f>IF(ReviewCalcs[[#This Row],[Proposed Control(s)]]='Tables &amp; Ranges'!$A$25, VLOOKUP(ReviewCalcs[[#This Row],[Building/Space Type]], Table_364[], 3, FALSE), CF_Contols)</f>
        <v>0.26</v>
      </c>
      <c r="AG86" s="68" t="e">
        <f>VLOOKUP(ReviewCalcs[[#This Row],[Proposed Control(s)]], Table_358[], 2, FALSE)</f>
        <v>#N/A</v>
      </c>
      <c r="AH86" s="68">
        <f>IFERROR((ReviewCalcs[[#This Row],[Existing Fixture Quantity]]*ReviewCalcs[[#This Row],[Existing Fixture Watts]]/1000)*ReviewCalcs[[#This Row],[Existing CF]]*ReviewCalcs[[#This Row],[IEFD]], 0)</f>
        <v>0</v>
      </c>
      <c r="AI86" s="68">
        <f>IFERROR((ReviewCalcs[[#This Row],[Proposed Fixture Quantity]]*ReviewCalcs[[#This Row],[Proposed Fixture Watts]]/1000)*ReviewCalcs[[#This Row],[Existing CF]]*ReviewCalcs[[#This Row],[IEFD]], 0)</f>
        <v>0</v>
      </c>
      <c r="AJ86" s="118">
        <f>IFERROR((ReviewCalcs[[#This Row],[Existing Fixture Quantity]]*ReviewCalcs[[#This Row],[Existing Fixture Watts]]/1000-ReviewCalcs[[#This Row],[Proposed Fixture Quantity]]*ReviewCalcs[[#This Row],[Proposed Fixture Watts]]/1000)*ReviewCalcs[[#This Row],[Existing CF]]*ReviewCalcs[[#This Row],[IEFD]], 0)</f>
        <v>0</v>
      </c>
      <c r="AK86" s="118">
        <f>IFERROR((ReviewCalcs[[#This Row],[Existing Fixture Quantity]]*ReviewCalcs[[#This Row],[Existing Fixture Watts]]/1000)*ReviewCalcs[[#This Row],[AOH]]*ReviewCalcs[[#This Row],[IEFE]]*ReviewCalcs[[#This Row],[Existing PAF]], 0)</f>
        <v>0</v>
      </c>
      <c r="AL86" s="118">
        <f>IFERROR((ReviewCalcs[[#This Row],[Proposed Fixture Quantity]]*ReviewCalcs[[#This Row],[Proposed Fixture Watts]]/1000)*ReviewCalcs[[#This Row],[AOH]]*ReviewCalcs[[#This Row],[IEFE]]*ReviewCalcs[[#This Row],[Existing PAF]], 0)</f>
        <v>0</v>
      </c>
      <c r="AM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6" s="118">
        <f>ReviewCalcs[[#This Row],[Fixture Existing Energy (kWh)]]*Avg_KWh_Rate</f>
        <v>0</v>
      </c>
      <c r="AO86" s="118">
        <f>ReviewCalcs[[#This Row],[Fixture Proposed Energy (kWh)]]*Avg_KWh_Rate</f>
        <v>0</v>
      </c>
      <c r="AP86" s="70">
        <f>ReviewCalcs[[#This Row],[Fixture Energy Savings]]*Avg_KWh_Rate</f>
        <v>0</v>
      </c>
      <c r="AQ86" s="129" t="e">
        <f>ReviewCalcs[[#This Row],[Existing Fixture Quantity]]*ReviewCalcs[[#This Row],[Existing Fixture Watts]]/1000*ReviewCalcs[[#This Row],[Existing CF]]*ReviewCalcs[[#This Row],[IEFD]]</f>
        <v>#VALUE!</v>
      </c>
      <c r="AR86" s="129" t="e">
        <f>ReviewCalcs[[#This Row],[Proposed Fixture Quantity]]*ReviewCalcs[[#This Row],[Proposed Fixture Watts]]/1000*ReviewCalcs[[#This Row],[Proposed CF]]*ReviewCalcs[[#This Row],[IEFD]]</f>
        <v>#VALUE!</v>
      </c>
      <c r="AS86" s="118">
        <f>IF(ReviewCalcs[[#This Row],[Existing CF]]=ReviewCalcs[[#This Row],[Proposed CF]], 0, ReviewCalcs[[#This Row],[Proposed Fixture Quantity]]*ReviewCalcs[[#This Row],[Proposed Fixture Watts]]/1000*ReviewCalcs[[#This Row],[Proposed CF]]*ReviewCalcs[[#This Row],[IEFD]])</f>
        <v>0</v>
      </c>
      <c r="AT86" s="118">
        <f>IFERROR(ReviewCalcs[[#This Row],[Existing Fixture Quantity]]*ReviewCalcs[[#This Row],[Existing Fixture Watts]]/1000*ReviewCalcs[[#This Row],[Existing PAF]]*ReviewCalcs[[#This Row],[AOH]]*ReviewCalcs[[#This Row],[IEFE]], 0)</f>
        <v>0</v>
      </c>
      <c r="AU86" s="118">
        <f>IFERROR(ReviewCalcs[[#This Row],[Proposed Fixture Quantity]]*ReviewCalcs[[#This Row],[Proposed Fixture Watts]]/1000*ReviewCalcs[[#This Row],[Proposed PAF]]*ReviewCalcs[[#This Row],[AOH]]*ReviewCalcs[[#This Row],[IEFE]], 0)</f>
        <v>0</v>
      </c>
      <c r="AV86" s="118">
        <f>IFERROR(ReviewCalcs[[#This Row],[Proposed Fixture Quantity]]*ReviewCalcs[[#This Row],[Proposed Fixture Watts]]/1000*(ReviewCalcs[[#This Row],[Existing PAF]]-ReviewCalcs[[#This Row],[Proposed PAF]])*ReviewCalcs[[#This Row],[AOH]]*ReviewCalcs[[#This Row],[IEFE]], 0)</f>
        <v>0</v>
      </c>
      <c r="AW86" s="118">
        <f>ReviewCalcs[[#This Row],[Control Existing Energy (kWh)]]*kWh_Incentive_Rate</f>
        <v>0</v>
      </c>
      <c r="AX86" s="118">
        <f>ReviewCalcs[[#This Row],[Control Proposed Energy (kWh)]]*kWh_Incentive_Rate</f>
        <v>0</v>
      </c>
      <c r="AY86" s="70">
        <f>ReviewCalcs[[#This Row],[Control Energy Savings (kWh)]]*kWh_Incentive_Rate</f>
        <v>0</v>
      </c>
      <c r="AZ86" s="70" t="e">
        <f>ReviewCalcs[[#This Row],[Fixture Existing Demand (kW)]]+ReviewCalcs[[#This Row],[Control Existing Demand (kW)]]</f>
        <v>#VALUE!</v>
      </c>
      <c r="BA86" s="70" t="e">
        <f>ReviewCalcs[[#This Row],[Fixture Proposed Demand (kW)]]+ReviewCalcs[[#This Row],[Control Proposed Demand (kW)]]</f>
        <v>#VALUE!</v>
      </c>
      <c r="BB86" s="118">
        <f>ReviewCalcs[[#This Row],[Fixture Demand Savings (kW)]]+ReviewCalcs[[#This Row],[Control Demand Savings (kW)]]</f>
        <v>0</v>
      </c>
      <c r="BC86" s="118">
        <f>ReviewCalcs[[#This Row],[Fixture Existing Energy (kWh)]]+ReviewCalcs[[#This Row],[Control Existing Energy (kWh)]]</f>
        <v>0</v>
      </c>
      <c r="BD86" s="118">
        <f>ReviewCalcs[[#This Row],[Fixture Proposed Energy (kWh)]]+ReviewCalcs[[#This Row],[Control Proposed Energy (kWh)]]</f>
        <v>0</v>
      </c>
      <c r="BE86" s="118">
        <f>ReviewCalcs[[#This Row],[Fixture Energy Savings]]+ReviewCalcs[[#This Row],[Control Energy Savings (kWh)]]</f>
        <v>0</v>
      </c>
      <c r="BF86" s="118">
        <f>ReviewCalcs[[#This Row],[Fixture Existing Cost ($)]]+ReviewCalcs[[#This Row],[Control Existing Cost ($)]]</f>
        <v>0</v>
      </c>
      <c r="BG86" s="118">
        <f>ReviewCalcs[[#This Row],[Fixture Proposed Cost ($)]]+ReviewCalcs[[#This Row],[Controls Proposed Cost ($)]]</f>
        <v>0</v>
      </c>
      <c r="BH86" s="70">
        <f>ReviewCalcs[[#This Row],[Total Energy Savings (kWh)]]*Avg_KWh_Rate</f>
        <v>0</v>
      </c>
      <c r="BI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6" s="70">
        <f>ReviewCalcs[[#This Row],[Retrofit Cost]]</f>
        <v>0</v>
      </c>
      <c r="BK86" s="70">
        <f>ReviewCalcs[[#This Row],[Retrofit Cost]]-ReviewCalcs[[#This Row],[Incentive ($)]]</f>
        <v>0</v>
      </c>
      <c r="BL86" s="118" t="e">
        <f>IFERROR(ReviewCalcs[[#This Row],[Net Project Cost ($)]]/ReviewCalcs[[#This Row],[Fixture Energy Cost Savings ($)]], #N/A)</f>
        <v>#N/A</v>
      </c>
      <c r="BM86" s="118" t="e">
        <f>IF(VLOOKUP(ReviewCalcs[[#This Row],[Existing Fixture Code]], Table7[[FIXTURE CODE]:[Baseline Fixture Code]], 8, FALSE)="N", VLOOKUP(ReviewCalcs[[#This Row],[Existing Fixture Code]], Table7[[FIXTURE CODE]:[Baseline Fixture Code]], 9, FALSE), ReviewCalcs[[#This Row],[Existing Fixture Code]])</f>
        <v>#N/A</v>
      </c>
      <c r="BN86" s="118" t="e">
        <f>INDEX(Table7[WATT/ FIXT], MATCH(ReviewCalcs[Baseline Fixture Code], Table7[FIXTURE CODE], 0))</f>
        <v>#N/A</v>
      </c>
      <c r="BO86" s="118">
        <f>IFERROR((ReviewCalcs[[#This Row],[Existing Fixture Quantity]]*ReviewCalcs[[#This Row],[Baseline Fixture Watts]]/1000-ReviewCalcs[[#This Row],[Proposed Fixture Quantity]]*ReviewCalcs[[#This Row],[Proposed Fixture Watts]]/1000)*ReviewCalcs[[#This Row],[Existing CF]]*ReviewCalcs[[#This Row],[IEFD]], 0)</f>
        <v>0</v>
      </c>
      <c r="BP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6" s="118">
        <f>IF(ReviewCalcs[[#This Row],[Existing CF]]=ReviewCalcs[[#This Row],[Proposed CF]], 0, ReviewCalcs[[#This Row],[Proposed Fixture Quantity]]*ReviewCalcs[[#This Row],[Proposed Fixture Watts]]/1000*ReviewCalcs[[#This Row],[Proposed CF]]*ReviewCalcs[[#This Row],[IEFD]])</f>
        <v>0</v>
      </c>
      <c r="BR86" s="118">
        <f>IFERROR(ReviewCalcs[[#This Row],[Proposed Fixture Quantity]]*ReviewCalcs[[#This Row],[Proposed Fixture Watts]]/1000*(ReviewCalcs[[#This Row],[Existing PAF]]-ReviewCalcs[[#This Row],[Proposed PAF]])*ReviewCalcs[[#This Row],[AOH]]*ReviewCalcs[[#This Row],[IEFE]],0)</f>
        <v>0</v>
      </c>
      <c r="BS86" s="118">
        <f>ReviewCalcs[[#This Row],[Incentive Fixture Demand Savings (kW)]]+ReviewCalcs[[#This Row],[Incentive Control Demand Savings (kW)]]</f>
        <v>0</v>
      </c>
      <c r="BT86" s="118">
        <f>ReviewCalcs[[#This Row],[Incentive Fixture Energy Savings (kWh)]]+ReviewCalcs[[#This Row],[Incentive Control Energy Savings (kWh)]]</f>
        <v>0</v>
      </c>
      <c r="BU86" s="73"/>
    </row>
    <row r="87" spans="1:73" ht="30" customHeight="1">
      <c r="A87" s="68">
        <v>84</v>
      </c>
      <c r="B87" s="96">
        <f>VLOOKUP(ReviewCalcs[[#This Row],[Project Index]], ProjectInput[], D$1, FALSE)</f>
        <v>0</v>
      </c>
      <c r="C87" s="97">
        <f>VLOOKUP(ReviewCalcs[[#This Row],[Project Index]], ProjectInput[], E$1, FALSE)</f>
        <v>0</v>
      </c>
      <c r="D87" s="97">
        <f>VLOOKUP(ReviewCalcs[[#This Row],[Project Index]], ProjectInput[], F$1, FALSE)</f>
        <v>0</v>
      </c>
      <c r="E87" s="97">
        <f>VLOOKUP(ReviewCalcs[[#This Row],[Project Index]], ProjectInput[], G$1, FALSE)</f>
        <v>0</v>
      </c>
      <c r="F87" s="97">
        <f>VLOOKUP(ReviewCalcs[[#This Row],[Project Index]], ProjectInput[], H$1, FALSE)</f>
        <v>0</v>
      </c>
      <c r="G87" s="98" t="str">
        <f>VLOOKUP(ReviewCalcs[[#This Row],[Project Index]], ProjectInput[], I$1, FALSE)</f>
        <v/>
      </c>
      <c r="H87" s="96">
        <f>VLOOKUP(ReviewCalcs[[#This Row],[Project Index]], ProjectInput[], J$1, FALSE)</f>
        <v>0</v>
      </c>
      <c r="I87" s="97">
        <f>VLOOKUP(ReviewCalcs[[#This Row],[Project Index]], ProjectInput[], K$1, FALSE)</f>
        <v>0</v>
      </c>
      <c r="J87" s="97">
        <f>VLOOKUP(ReviewCalcs[[#This Row],[Project Index]], ProjectInput[], L$1, FALSE)</f>
        <v>0</v>
      </c>
      <c r="K87" s="97">
        <f>VLOOKUP(ReviewCalcs[[#This Row],[Project Index]], ProjectInput[], M$1, FALSE)</f>
        <v>0</v>
      </c>
      <c r="L87" s="97">
        <f>VLOOKUP(ReviewCalcs[[#This Row],[Project Index]], ProjectInput[], N$1, FALSE)</f>
        <v>0</v>
      </c>
      <c r="M87" s="98" t="str">
        <f>VLOOKUP(ReviewCalcs[[#This Row],[Project Index]], ProjectInput[], O$1, FALSE)</f>
        <v/>
      </c>
      <c r="N87" s="96">
        <f>VLOOKUP(ReviewCalcs[[#This Row],[Project Index]], ProjectInput[], P$1, FALSE)</f>
        <v>0</v>
      </c>
      <c r="O87" s="97">
        <f>VLOOKUP(ReviewCalcs[[#This Row],[Project Index]], ProjectInput[], Q$1, FALSE)</f>
        <v>0</v>
      </c>
      <c r="P87" s="97">
        <f>VLOOKUP(ReviewCalcs[[#This Row],[Project Index]], ProjectInput[], R$1, FALSE)</f>
        <v>0</v>
      </c>
      <c r="Q87" s="97">
        <f>VLOOKUP(ReviewCalcs[[#This Row],[Project Index]], ProjectInput[], S$1, FALSE)</f>
        <v>0</v>
      </c>
      <c r="R87" s="97">
        <f>VLOOKUP(ReviewCalcs[[#This Row],[Project Index]], ProjectInput[], T$1, FALSE)</f>
        <v>0</v>
      </c>
      <c r="S87" s="97">
        <f>VLOOKUP(ReviewCalcs[[#This Row],[Project Index]], ProjectInput[], U$1, FALSE)</f>
        <v>0</v>
      </c>
      <c r="T87" s="97">
        <f>VLOOKUP(ReviewCalcs[[#This Row],[Project Index]], ProjectInput[], V$1, FALSE)</f>
        <v>0</v>
      </c>
      <c r="U87" s="97">
        <f>VLOOKUP(ReviewCalcs[[#This Row],[Project Index]], ProjectInput[], W$1, FALSE)</f>
        <v>0</v>
      </c>
      <c r="V87" s="98" t="str">
        <f>VLOOKUP(ReviewCalcs[[#This Row],[Project Index]], ProjectInput[], X$1, FALSE)</f>
        <v/>
      </c>
      <c r="W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7" s="75" t="e">
        <f>IF(VLOOKUP(ReviewCalcs[[#This Row],[Proposed Fixture Code]], Table7[[FIXTURE CODE]:[Baseline Fixture Code]], 8, FALSE)="N", "ERROR", "PASS")</f>
        <v>#N/A</v>
      </c>
      <c r="Y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7" s="75" t="e">
        <f>IF(OR(ReviewCalcs[[#This Row],[Baseline Fixture Watts]]&gt;=ReviewCalcs[[#This Row],[Proposed Fixture Watts]],ReviewCalcs[[#This Row],[Existing Fixture Watts]]&gt;=ReviewCalcs[[#This Row],[Proposed Fixture Watts]] ), "PASS", "ERROR")</f>
        <v>#N/A</v>
      </c>
      <c r="AA87" s="69" t="e">
        <f>VLOOKUP(ReviewCalcs[[#This Row],[Space Conditions]], Table_365[], 5, FALSE)</f>
        <v>#N/A</v>
      </c>
      <c r="AB87" s="68" t="str">
        <f>ReviewCalcs[[#This Row],[Annual Hours]]</f>
        <v/>
      </c>
      <c r="AC87" s="68" t="e">
        <f>VLOOKUP(ReviewCalcs[[#This Row],[Space Conditions]], Table_365[], 6, FALSE)</f>
        <v>#N/A</v>
      </c>
      <c r="AD87" s="68">
        <f>IF(ReviewCalcs[[#This Row],[Existing Control(s)]]='Tables &amp; Ranges'!$A$25, VLOOKUP(ReviewCalcs[[#This Row],[Building/Space Type]], Table_364[], 3, FALSE), CF_Contols)</f>
        <v>0.26</v>
      </c>
      <c r="AE87" s="68" t="e">
        <f>VLOOKUP(ReviewCalcs[[#This Row],[Existing Control(s)]], Table_358[], 2, FALSE)</f>
        <v>#N/A</v>
      </c>
      <c r="AF87" s="68">
        <f>IF(ReviewCalcs[[#This Row],[Proposed Control(s)]]='Tables &amp; Ranges'!$A$25, VLOOKUP(ReviewCalcs[[#This Row],[Building/Space Type]], Table_364[], 3, FALSE), CF_Contols)</f>
        <v>0.26</v>
      </c>
      <c r="AG87" s="68" t="e">
        <f>VLOOKUP(ReviewCalcs[[#This Row],[Proposed Control(s)]], Table_358[], 2, FALSE)</f>
        <v>#N/A</v>
      </c>
      <c r="AH87" s="68">
        <f>IFERROR((ReviewCalcs[[#This Row],[Existing Fixture Quantity]]*ReviewCalcs[[#This Row],[Existing Fixture Watts]]/1000)*ReviewCalcs[[#This Row],[Existing CF]]*ReviewCalcs[[#This Row],[IEFD]], 0)</f>
        <v>0</v>
      </c>
      <c r="AI87" s="68">
        <f>IFERROR((ReviewCalcs[[#This Row],[Proposed Fixture Quantity]]*ReviewCalcs[[#This Row],[Proposed Fixture Watts]]/1000)*ReviewCalcs[[#This Row],[Existing CF]]*ReviewCalcs[[#This Row],[IEFD]], 0)</f>
        <v>0</v>
      </c>
      <c r="AJ87" s="118">
        <f>IFERROR((ReviewCalcs[[#This Row],[Existing Fixture Quantity]]*ReviewCalcs[[#This Row],[Existing Fixture Watts]]/1000-ReviewCalcs[[#This Row],[Proposed Fixture Quantity]]*ReviewCalcs[[#This Row],[Proposed Fixture Watts]]/1000)*ReviewCalcs[[#This Row],[Existing CF]]*ReviewCalcs[[#This Row],[IEFD]], 0)</f>
        <v>0</v>
      </c>
      <c r="AK87" s="118">
        <f>IFERROR((ReviewCalcs[[#This Row],[Existing Fixture Quantity]]*ReviewCalcs[[#This Row],[Existing Fixture Watts]]/1000)*ReviewCalcs[[#This Row],[AOH]]*ReviewCalcs[[#This Row],[IEFE]]*ReviewCalcs[[#This Row],[Existing PAF]], 0)</f>
        <v>0</v>
      </c>
      <c r="AL87" s="118">
        <f>IFERROR((ReviewCalcs[[#This Row],[Proposed Fixture Quantity]]*ReviewCalcs[[#This Row],[Proposed Fixture Watts]]/1000)*ReviewCalcs[[#This Row],[AOH]]*ReviewCalcs[[#This Row],[IEFE]]*ReviewCalcs[[#This Row],[Existing PAF]], 0)</f>
        <v>0</v>
      </c>
      <c r="AM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7" s="118">
        <f>ReviewCalcs[[#This Row],[Fixture Existing Energy (kWh)]]*Avg_KWh_Rate</f>
        <v>0</v>
      </c>
      <c r="AO87" s="118">
        <f>ReviewCalcs[[#This Row],[Fixture Proposed Energy (kWh)]]*Avg_KWh_Rate</f>
        <v>0</v>
      </c>
      <c r="AP87" s="70">
        <f>ReviewCalcs[[#This Row],[Fixture Energy Savings]]*Avg_KWh_Rate</f>
        <v>0</v>
      </c>
      <c r="AQ87" s="129" t="e">
        <f>ReviewCalcs[[#This Row],[Existing Fixture Quantity]]*ReviewCalcs[[#This Row],[Existing Fixture Watts]]/1000*ReviewCalcs[[#This Row],[Existing CF]]*ReviewCalcs[[#This Row],[IEFD]]</f>
        <v>#VALUE!</v>
      </c>
      <c r="AR87" s="129" t="e">
        <f>ReviewCalcs[[#This Row],[Proposed Fixture Quantity]]*ReviewCalcs[[#This Row],[Proposed Fixture Watts]]/1000*ReviewCalcs[[#This Row],[Proposed CF]]*ReviewCalcs[[#This Row],[IEFD]]</f>
        <v>#VALUE!</v>
      </c>
      <c r="AS87" s="118">
        <f>IF(ReviewCalcs[[#This Row],[Existing CF]]=ReviewCalcs[[#This Row],[Proposed CF]], 0, ReviewCalcs[[#This Row],[Proposed Fixture Quantity]]*ReviewCalcs[[#This Row],[Proposed Fixture Watts]]/1000*ReviewCalcs[[#This Row],[Proposed CF]]*ReviewCalcs[[#This Row],[IEFD]])</f>
        <v>0</v>
      </c>
      <c r="AT87" s="118">
        <f>IFERROR(ReviewCalcs[[#This Row],[Existing Fixture Quantity]]*ReviewCalcs[[#This Row],[Existing Fixture Watts]]/1000*ReviewCalcs[[#This Row],[Existing PAF]]*ReviewCalcs[[#This Row],[AOH]]*ReviewCalcs[[#This Row],[IEFE]], 0)</f>
        <v>0</v>
      </c>
      <c r="AU87" s="118">
        <f>IFERROR(ReviewCalcs[[#This Row],[Proposed Fixture Quantity]]*ReviewCalcs[[#This Row],[Proposed Fixture Watts]]/1000*ReviewCalcs[[#This Row],[Proposed PAF]]*ReviewCalcs[[#This Row],[AOH]]*ReviewCalcs[[#This Row],[IEFE]], 0)</f>
        <v>0</v>
      </c>
      <c r="AV87" s="118">
        <f>IFERROR(ReviewCalcs[[#This Row],[Proposed Fixture Quantity]]*ReviewCalcs[[#This Row],[Proposed Fixture Watts]]/1000*(ReviewCalcs[[#This Row],[Existing PAF]]-ReviewCalcs[[#This Row],[Proposed PAF]])*ReviewCalcs[[#This Row],[AOH]]*ReviewCalcs[[#This Row],[IEFE]], 0)</f>
        <v>0</v>
      </c>
      <c r="AW87" s="118">
        <f>ReviewCalcs[[#This Row],[Control Existing Energy (kWh)]]*kWh_Incentive_Rate</f>
        <v>0</v>
      </c>
      <c r="AX87" s="118">
        <f>ReviewCalcs[[#This Row],[Control Proposed Energy (kWh)]]*kWh_Incentive_Rate</f>
        <v>0</v>
      </c>
      <c r="AY87" s="70">
        <f>ReviewCalcs[[#This Row],[Control Energy Savings (kWh)]]*kWh_Incentive_Rate</f>
        <v>0</v>
      </c>
      <c r="AZ87" s="70" t="e">
        <f>ReviewCalcs[[#This Row],[Fixture Existing Demand (kW)]]+ReviewCalcs[[#This Row],[Control Existing Demand (kW)]]</f>
        <v>#VALUE!</v>
      </c>
      <c r="BA87" s="70" t="e">
        <f>ReviewCalcs[[#This Row],[Fixture Proposed Demand (kW)]]+ReviewCalcs[[#This Row],[Control Proposed Demand (kW)]]</f>
        <v>#VALUE!</v>
      </c>
      <c r="BB87" s="118">
        <f>ReviewCalcs[[#This Row],[Fixture Demand Savings (kW)]]+ReviewCalcs[[#This Row],[Control Demand Savings (kW)]]</f>
        <v>0</v>
      </c>
      <c r="BC87" s="118">
        <f>ReviewCalcs[[#This Row],[Fixture Existing Energy (kWh)]]+ReviewCalcs[[#This Row],[Control Existing Energy (kWh)]]</f>
        <v>0</v>
      </c>
      <c r="BD87" s="118">
        <f>ReviewCalcs[[#This Row],[Fixture Proposed Energy (kWh)]]+ReviewCalcs[[#This Row],[Control Proposed Energy (kWh)]]</f>
        <v>0</v>
      </c>
      <c r="BE87" s="118">
        <f>ReviewCalcs[[#This Row],[Fixture Energy Savings]]+ReviewCalcs[[#This Row],[Control Energy Savings (kWh)]]</f>
        <v>0</v>
      </c>
      <c r="BF87" s="118">
        <f>ReviewCalcs[[#This Row],[Fixture Existing Cost ($)]]+ReviewCalcs[[#This Row],[Control Existing Cost ($)]]</f>
        <v>0</v>
      </c>
      <c r="BG87" s="118">
        <f>ReviewCalcs[[#This Row],[Fixture Proposed Cost ($)]]+ReviewCalcs[[#This Row],[Controls Proposed Cost ($)]]</f>
        <v>0</v>
      </c>
      <c r="BH87" s="70">
        <f>ReviewCalcs[[#This Row],[Total Energy Savings (kWh)]]*Avg_KWh_Rate</f>
        <v>0</v>
      </c>
      <c r="BI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7" s="70">
        <f>ReviewCalcs[[#This Row],[Retrofit Cost]]</f>
        <v>0</v>
      </c>
      <c r="BK87" s="70">
        <f>ReviewCalcs[[#This Row],[Retrofit Cost]]-ReviewCalcs[[#This Row],[Incentive ($)]]</f>
        <v>0</v>
      </c>
      <c r="BL87" s="118" t="e">
        <f>IFERROR(ReviewCalcs[[#This Row],[Net Project Cost ($)]]/ReviewCalcs[[#This Row],[Fixture Energy Cost Savings ($)]], #N/A)</f>
        <v>#N/A</v>
      </c>
      <c r="BM87" s="118" t="e">
        <f>IF(VLOOKUP(ReviewCalcs[[#This Row],[Existing Fixture Code]], Table7[[FIXTURE CODE]:[Baseline Fixture Code]], 8, FALSE)="N", VLOOKUP(ReviewCalcs[[#This Row],[Existing Fixture Code]], Table7[[FIXTURE CODE]:[Baseline Fixture Code]], 9, FALSE), ReviewCalcs[[#This Row],[Existing Fixture Code]])</f>
        <v>#N/A</v>
      </c>
      <c r="BN87" s="118" t="e">
        <f>INDEX(Table7[WATT/ FIXT], MATCH(ReviewCalcs[Baseline Fixture Code], Table7[FIXTURE CODE], 0))</f>
        <v>#N/A</v>
      </c>
      <c r="BO87" s="118">
        <f>IFERROR((ReviewCalcs[[#This Row],[Existing Fixture Quantity]]*ReviewCalcs[[#This Row],[Baseline Fixture Watts]]/1000-ReviewCalcs[[#This Row],[Proposed Fixture Quantity]]*ReviewCalcs[[#This Row],[Proposed Fixture Watts]]/1000)*ReviewCalcs[[#This Row],[Existing CF]]*ReviewCalcs[[#This Row],[IEFD]], 0)</f>
        <v>0</v>
      </c>
      <c r="BP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7" s="118">
        <f>IF(ReviewCalcs[[#This Row],[Existing CF]]=ReviewCalcs[[#This Row],[Proposed CF]], 0, ReviewCalcs[[#This Row],[Proposed Fixture Quantity]]*ReviewCalcs[[#This Row],[Proposed Fixture Watts]]/1000*ReviewCalcs[[#This Row],[Proposed CF]]*ReviewCalcs[[#This Row],[IEFD]])</f>
        <v>0</v>
      </c>
      <c r="BR87" s="118">
        <f>IFERROR(ReviewCalcs[[#This Row],[Proposed Fixture Quantity]]*ReviewCalcs[[#This Row],[Proposed Fixture Watts]]/1000*(ReviewCalcs[[#This Row],[Existing PAF]]-ReviewCalcs[[#This Row],[Proposed PAF]])*ReviewCalcs[[#This Row],[AOH]]*ReviewCalcs[[#This Row],[IEFE]],0)</f>
        <v>0</v>
      </c>
      <c r="BS87" s="118">
        <f>ReviewCalcs[[#This Row],[Incentive Fixture Demand Savings (kW)]]+ReviewCalcs[[#This Row],[Incentive Control Demand Savings (kW)]]</f>
        <v>0</v>
      </c>
      <c r="BT87" s="118">
        <f>ReviewCalcs[[#This Row],[Incentive Fixture Energy Savings (kWh)]]+ReviewCalcs[[#This Row],[Incentive Control Energy Savings (kWh)]]</f>
        <v>0</v>
      </c>
      <c r="BU87" s="73"/>
    </row>
    <row r="88" spans="1:73" ht="30" customHeight="1">
      <c r="A88" s="68">
        <v>85</v>
      </c>
      <c r="B88" s="96">
        <f>VLOOKUP(ReviewCalcs[[#This Row],[Project Index]], ProjectInput[], D$1, FALSE)</f>
        <v>0</v>
      </c>
      <c r="C88" s="97">
        <f>VLOOKUP(ReviewCalcs[[#This Row],[Project Index]], ProjectInput[], E$1, FALSE)</f>
        <v>0</v>
      </c>
      <c r="D88" s="97">
        <f>VLOOKUP(ReviewCalcs[[#This Row],[Project Index]], ProjectInput[], F$1, FALSE)</f>
        <v>0</v>
      </c>
      <c r="E88" s="97">
        <f>VLOOKUP(ReviewCalcs[[#This Row],[Project Index]], ProjectInput[], G$1, FALSE)</f>
        <v>0</v>
      </c>
      <c r="F88" s="97">
        <f>VLOOKUP(ReviewCalcs[[#This Row],[Project Index]], ProjectInput[], H$1, FALSE)</f>
        <v>0</v>
      </c>
      <c r="G88" s="98" t="str">
        <f>VLOOKUP(ReviewCalcs[[#This Row],[Project Index]], ProjectInput[], I$1, FALSE)</f>
        <v/>
      </c>
      <c r="H88" s="96">
        <f>VLOOKUP(ReviewCalcs[[#This Row],[Project Index]], ProjectInput[], J$1, FALSE)</f>
        <v>0</v>
      </c>
      <c r="I88" s="97">
        <f>VLOOKUP(ReviewCalcs[[#This Row],[Project Index]], ProjectInput[], K$1, FALSE)</f>
        <v>0</v>
      </c>
      <c r="J88" s="97">
        <f>VLOOKUP(ReviewCalcs[[#This Row],[Project Index]], ProjectInput[], L$1, FALSE)</f>
        <v>0</v>
      </c>
      <c r="K88" s="97">
        <f>VLOOKUP(ReviewCalcs[[#This Row],[Project Index]], ProjectInput[], M$1, FALSE)</f>
        <v>0</v>
      </c>
      <c r="L88" s="97">
        <f>VLOOKUP(ReviewCalcs[[#This Row],[Project Index]], ProjectInput[], N$1, FALSE)</f>
        <v>0</v>
      </c>
      <c r="M88" s="98" t="str">
        <f>VLOOKUP(ReviewCalcs[[#This Row],[Project Index]], ProjectInput[], O$1, FALSE)</f>
        <v/>
      </c>
      <c r="N88" s="96">
        <f>VLOOKUP(ReviewCalcs[[#This Row],[Project Index]], ProjectInput[], P$1, FALSE)</f>
        <v>0</v>
      </c>
      <c r="O88" s="97">
        <f>VLOOKUP(ReviewCalcs[[#This Row],[Project Index]], ProjectInput[], Q$1, FALSE)</f>
        <v>0</v>
      </c>
      <c r="P88" s="97">
        <f>VLOOKUP(ReviewCalcs[[#This Row],[Project Index]], ProjectInput[], R$1, FALSE)</f>
        <v>0</v>
      </c>
      <c r="Q88" s="97">
        <f>VLOOKUP(ReviewCalcs[[#This Row],[Project Index]], ProjectInput[], S$1, FALSE)</f>
        <v>0</v>
      </c>
      <c r="R88" s="97">
        <f>VLOOKUP(ReviewCalcs[[#This Row],[Project Index]], ProjectInput[], T$1, FALSE)</f>
        <v>0</v>
      </c>
      <c r="S88" s="97">
        <f>VLOOKUP(ReviewCalcs[[#This Row],[Project Index]], ProjectInput[], U$1, FALSE)</f>
        <v>0</v>
      </c>
      <c r="T88" s="97">
        <f>VLOOKUP(ReviewCalcs[[#This Row],[Project Index]], ProjectInput[], V$1, FALSE)</f>
        <v>0</v>
      </c>
      <c r="U88" s="97">
        <f>VLOOKUP(ReviewCalcs[[#This Row],[Project Index]], ProjectInput[], W$1, FALSE)</f>
        <v>0</v>
      </c>
      <c r="V88" s="98" t="str">
        <f>VLOOKUP(ReviewCalcs[[#This Row],[Project Index]], ProjectInput[], X$1, FALSE)</f>
        <v/>
      </c>
      <c r="W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8" s="75" t="e">
        <f>IF(VLOOKUP(ReviewCalcs[[#This Row],[Proposed Fixture Code]], Table7[[FIXTURE CODE]:[Baseline Fixture Code]], 8, FALSE)="N", "ERROR", "PASS")</f>
        <v>#N/A</v>
      </c>
      <c r="Y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8" s="75" t="e">
        <f>IF(OR(ReviewCalcs[[#This Row],[Baseline Fixture Watts]]&gt;=ReviewCalcs[[#This Row],[Proposed Fixture Watts]],ReviewCalcs[[#This Row],[Existing Fixture Watts]]&gt;=ReviewCalcs[[#This Row],[Proposed Fixture Watts]] ), "PASS", "ERROR")</f>
        <v>#N/A</v>
      </c>
      <c r="AA88" s="69" t="e">
        <f>VLOOKUP(ReviewCalcs[[#This Row],[Space Conditions]], Table_365[], 5, FALSE)</f>
        <v>#N/A</v>
      </c>
      <c r="AB88" s="68" t="str">
        <f>ReviewCalcs[[#This Row],[Annual Hours]]</f>
        <v/>
      </c>
      <c r="AC88" s="68" t="e">
        <f>VLOOKUP(ReviewCalcs[[#This Row],[Space Conditions]], Table_365[], 6, FALSE)</f>
        <v>#N/A</v>
      </c>
      <c r="AD88" s="68">
        <f>IF(ReviewCalcs[[#This Row],[Existing Control(s)]]='Tables &amp; Ranges'!$A$25, VLOOKUP(ReviewCalcs[[#This Row],[Building/Space Type]], Table_364[], 3, FALSE), CF_Contols)</f>
        <v>0.26</v>
      </c>
      <c r="AE88" s="68" t="e">
        <f>VLOOKUP(ReviewCalcs[[#This Row],[Existing Control(s)]], Table_358[], 2, FALSE)</f>
        <v>#N/A</v>
      </c>
      <c r="AF88" s="68">
        <f>IF(ReviewCalcs[[#This Row],[Proposed Control(s)]]='Tables &amp; Ranges'!$A$25, VLOOKUP(ReviewCalcs[[#This Row],[Building/Space Type]], Table_364[], 3, FALSE), CF_Contols)</f>
        <v>0.26</v>
      </c>
      <c r="AG88" s="68" t="e">
        <f>VLOOKUP(ReviewCalcs[[#This Row],[Proposed Control(s)]], Table_358[], 2, FALSE)</f>
        <v>#N/A</v>
      </c>
      <c r="AH88" s="68">
        <f>IFERROR((ReviewCalcs[[#This Row],[Existing Fixture Quantity]]*ReviewCalcs[[#This Row],[Existing Fixture Watts]]/1000)*ReviewCalcs[[#This Row],[Existing CF]]*ReviewCalcs[[#This Row],[IEFD]], 0)</f>
        <v>0</v>
      </c>
      <c r="AI88" s="68">
        <f>IFERROR((ReviewCalcs[[#This Row],[Proposed Fixture Quantity]]*ReviewCalcs[[#This Row],[Proposed Fixture Watts]]/1000)*ReviewCalcs[[#This Row],[Existing CF]]*ReviewCalcs[[#This Row],[IEFD]], 0)</f>
        <v>0</v>
      </c>
      <c r="AJ88" s="118">
        <f>IFERROR((ReviewCalcs[[#This Row],[Existing Fixture Quantity]]*ReviewCalcs[[#This Row],[Existing Fixture Watts]]/1000-ReviewCalcs[[#This Row],[Proposed Fixture Quantity]]*ReviewCalcs[[#This Row],[Proposed Fixture Watts]]/1000)*ReviewCalcs[[#This Row],[Existing CF]]*ReviewCalcs[[#This Row],[IEFD]], 0)</f>
        <v>0</v>
      </c>
      <c r="AK88" s="118">
        <f>IFERROR((ReviewCalcs[[#This Row],[Existing Fixture Quantity]]*ReviewCalcs[[#This Row],[Existing Fixture Watts]]/1000)*ReviewCalcs[[#This Row],[AOH]]*ReviewCalcs[[#This Row],[IEFE]]*ReviewCalcs[[#This Row],[Existing PAF]], 0)</f>
        <v>0</v>
      </c>
      <c r="AL88" s="118">
        <f>IFERROR((ReviewCalcs[[#This Row],[Proposed Fixture Quantity]]*ReviewCalcs[[#This Row],[Proposed Fixture Watts]]/1000)*ReviewCalcs[[#This Row],[AOH]]*ReviewCalcs[[#This Row],[IEFE]]*ReviewCalcs[[#This Row],[Existing PAF]], 0)</f>
        <v>0</v>
      </c>
      <c r="AM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8" s="118">
        <f>ReviewCalcs[[#This Row],[Fixture Existing Energy (kWh)]]*Avg_KWh_Rate</f>
        <v>0</v>
      </c>
      <c r="AO88" s="118">
        <f>ReviewCalcs[[#This Row],[Fixture Proposed Energy (kWh)]]*Avg_KWh_Rate</f>
        <v>0</v>
      </c>
      <c r="AP88" s="70">
        <f>ReviewCalcs[[#This Row],[Fixture Energy Savings]]*Avg_KWh_Rate</f>
        <v>0</v>
      </c>
      <c r="AQ88" s="129" t="e">
        <f>ReviewCalcs[[#This Row],[Existing Fixture Quantity]]*ReviewCalcs[[#This Row],[Existing Fixture Watts]]/1000*ReviewCalcs[[#This Row],[Existing CF]]*ReviewCalcs[[#This Row],[IEFD]]</f>
        <v>#VALUE!</v>
      </c>
      <c r="AR88" s="129" t="e">
        <f>ReviewCalcs[[#This Row],[Proposed Fixture Quantity]]*ReviewCalcs[[#This Row],[Proposed Fixture Watts]]/1000*ReviewCalcs[[#This Row],[Proposed CF]]*ReviewCalcs[[#This Row],[IEFD]]</f>
        <v>#VALUE!</v>
      </c>
      <c r="AS88" s="118">
        <f>IF(ReviewCalcs[[#This Row],[Existing CF]]=ReviewCalcs[[#This Row],[Proposed CF]], 0, ReviewCalcs[[#This Row],[Proposed Fixture Quantity]]*ReviewCalcs[[#This Row],[Proposed Fixture Watts]]/1000*ReviewCalcs[[#This Row],[Proposed CF]]*ReviewCalcs[[#This Row],[IEFD]])</f>
        <v>0</v>
      </c>
      <c r="AT88" s="118">
        <f>IFERROR(ReviewCalcs[[#This Row],[Existing Fixture Quantity]]*ReviewCalcs[[#This Row],[Existing Fixture Watts]]/1000*ReviewCalcs[[#This Row],[Existing PAF]]*ReviewCalcs[[#This Row],[AOH]]*ReviewCalcs[[#This Row],[IEFE]], 0)</f>
        <v>0</v>
      </c>
      <c r="AU88" s="118">
        <f>IFERROR(ReviewCalcs[[#This Row],[Proposed Fixture Quantity]]*ReviewCalcs[[#This Row],[Proposed Fixture Watts]]/1000*ReviewCalcs[[#This Row],[Proposed PAF]]*ReviewCalcs[[#This Row],[AOH]]*ReviewCalcs[[#This Row],[IEFE]], 0)</f>
        <v>0</v>
      </c>
      <c r="AV88" s="118">
        <f>IFERROR(ReviewCalcs[[#This Row],[Proposed Fixture Quantity]]*ReviewCalcs[[#This Row],[Proposed Fixture Watts]]/1000*(ReviewCalcs[[#This Row],[Existing PAF]]-ReviewCalcs[[#This Row],[Proposed PAF]])*ReviewCalcs[[#This Row],[AOH]]*ReviewCalcs[[#This Row],[IEFE]], 0)</f>
        <v>0</v>
      </c>
      <c r="AW88" s="118">
        <f>ReviewCalcs[[#This Row],[Control Existing Energy (kWh)]]*kWh_Incentive_Rate</f>
        <v>0</v>
      </c>
      <c r="AX88" s="118">
        <f>ReviewCalcs[[#This Row],[Control Proposed Energy (kWh)]]*kWh_Incentive_Rate</f>
        <v>0</v>
      </c>
      <c r="AY88" s="70">
        <f>ReviewCalcs[[#This Row],[Control Energy Savings (kWh)]]*kWh_Incentive_Rate</f>
        <v>0</v>
      </c>
      <c r="AZ88" s="70" t="e">
        <f>ReviewCalcs[[#This Row],[Fixture Existing Demand (kW)]]+ReviewCalcs[[#This Row],[Control Existing Demand (kW)]]</f>
        <v>#VALUE!</v>
      </c>
      <c r="BA88" s="70" t="e">
        <f>ReviewCalcs[[#This Row],[Fixture Proposed Demand (kW)]]+ReviewCalcs[[#This Row],[Control Proposed Demand (kW)]]</f>
        <v>#VALUE!</v>
      </c>
      <c r="BB88" s="118">
        <f>ReviewCalcs[[#This Row],[Fixture Demand Savings (kW)]]+ReviewCalcs[[#This Row],[Control Demand Savings (kW)]]</f>
        <v>0</v>
      </c>
      <c r="BC88" s="118">
        <f>ReviewCalcs[[#This Row],[Fixture Existing Energy (kWh)]]+ReviewCalcs[[#This Row],[Control Existing Energy (kWh)]]</f>
        <v>0</v>
      </c>
      <c r="BD88" s="118">
        <f>ReviewCalcs[[#This Row],[Fixture Proposed Energy (kWh)]]+ReviewCalcs[[#This Row],[Control Proposed Energy (kWh)]]</f>
        <v>0</v>
      </c>
      <c r="BE88" s="118">
        <f>ReviewCalcs[[#This Row],[Fixture Energy Savings]]+ReviewCalcs[[#This Row],[Control Energy Savings (kWh)]]</f>
        <v>0</v>
      </c>
      <c r="BF88" s="118">
        <f>ReviewCalcs[[#This Row],[Fixture Existing Cost ($)]]+ReviewCalcs[[#This Row],[Control Existing Cost ($)]]</f>
        <v>0</v>
      </c>
      <c r="BG88" s="118">
        <f>ReviewCalcs[[#This Row],[Fixture Proposed Cost ($)]]+ReviewCalcs[[#This Row],[Controls Proposed Cost ($)]]</f>
        <v>0</v>
      </c>
      <c r="BH88" s="70">
        <f>ReviewCalcs[[#This Row],[Total Energy Savings (kWh)]]*Avg_KWh_Rate</f>
        <v>0</v>
      </c>
      <c r="BI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8" s="70">
        <f>ReviewCalcs[[#This Row],[Retrofit Cost]]</f>
        <v>0</v>
      </c>
      <c r="BK88" s="70">
        <f>ReviewCalcs[[#This Row],[Retrofit Cost]]-ReviewCalcs[[#This Row],[Incentive ($)]]</f>
        <v>0</v>
      </c>
      <c r="BL88" s="118" t="e">
        <f>IFERROR(ReviewCalcs[[#This Row],[Net Project Cost ($)]]/ReviewCalcs[[#This Row],[Fixture Energy Cost Savings ($)]], #N/A)</f>
        <v>#N/A</v>
      </c>
      <c r="BM88" s="118" t="e">
        <f>IF(VLOOKUP(ReviewCalcs[[#This Row],[Existing Fixture Code]], Table7[[FIXTURE CODE]:[Baseline Fixture Code]], 8, FALSE)="N", VLOOKUP(ReviewCalcs[[#This Row],[Existing Fixture Code]], Table7[[FIXTURE CODE]:[Baseline Fixture Code]], 9, FALSE), ReviewCalcs[[#This Row],[Existing Fixture Code]])</f>
        <v>#N/A</v>
      </c>
      <c r="BN88" s="118" t="e">
        <f>INDEX(Table7[WATT/ FIXT], MATCH(ReviewCalcs[Baseline Fixture Code], Table7[FIXTURE CODE], 0))</f>
        <v>#N/A</v>
      </c>
      <c r="BO88" s="118">
        <f>IFERROR((ReviewCalcs[[#This Row],[Existing Fixture Quantity]]*ReviewCalcs[[#This Row],[Baseline Fixture Watts]]/1000-ReviewCalcs[[#This Row],[Proposed Fixture Quantity]]*ReviewCalcs[[#This Row],[Proposed Fixture Watts]]/1000)*ReviewCalcs[[#This Row],[Existing CF]]*ReviewCalcs[[#This Row],[IEFD]], 0)</f>
        <v>0</v>
      </c>
      <c r="BP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8" s="118">
        <f>IF(ReviewCalcs[[#This Row],[Existing CF]]=ReviewCalcs[[#This Row],[Proposed CF]], 0, ReviewCalcs[[#This Row],[Proposed Fixture Quantity]]*ReviewCalcs[[#This Row],[Proposed Fixture Watts]]/1000*ReviewCalcs[[#This Row],[Proposed CF]]*ReviewCalcs[[#This Row],[IEFD]])</f>
        <v>0</v>
      </c>
      <c r="BR88" s="118">
        <f>IFERROR(ReviewCalcs[[#This Row],[Proposed Fixture Quantity]]*ReviewCalcs[[#This Row],[Proposed Fixture Watts]]/1000*(ReviewCalcs[[#This Row],[Existing PAF]]-ReviewCalcs[[#This Row],[Proposed PAF]])*ReviewCalcs[[#This Row],[AOH]]*ReviewCalcs[[#This Row],[IEFE]],0)</f>
        <v>0</v>
      </c>
      <c r="BS88" s="118">
        <f>ReviewCalcs[[#This Row],[Incentive Fixture Demand Savings (kW)]]+ReviewCalcs[[#This Row],[Incentive Control Demand Savings (kW)]]</f>
        <v>0</v>
      </c>
      <c r="BT88" s="118">
        <f>ReviewCalcs[[#This Row],[Incentive Fixture Energy Savings (kWh)]]+ReviewCalcs[[#This Row],[Incentive Control Energy Savings (kWh)]]</f>
        <v>0</v>
      </c>
      <c r="BU88" s="73"/>
    </row>
    <row r="89" spans="1:73" ht="30" customHeight="1">
      <c r="A89" s="68">
        <v>86</v>
      </c>
      <c r="B89" s="96">
        <f>VLOOKUP(ReviewCalcs[[#This Row],[Project Index]], ProjectInput[], D$1, FALSE)</f>
        <v>0</v>
      </c>
      <c r="C89" s="97">
        <f>VLOOKUP(ReviewCalcs[[#This Row],[Project Index]], ProjectInput[], E$1, FALSE)</f>
        <v>0</v>
      </c>
      <c r="D89" s="97">
        <f>VLOOKUP(ReviewCalcs[[#This Row],[Project Index]], ProjectInput[], F$1, FALSE)</f>
        <v>0</v>
      </c>
      <c r="E89" s="97">
        <f>VLOOKUP(ReviewCalcs[[#This Row],[Project Index]], ProjectInput[], G$1, FALSE)</f>
        <v>0</v>
      </c>
      <c r="F89" s="97">
        <f>VLOOKUP(ReviewCalcs[[#This Row],[Project Index]], ProjectInput[], H$1, FALSE)</f>
        <v>0</v>
      </c>
      <c r="G89" s="98" t="str">
        <f>VLOOKUP(ReviewCalcs[[#This Row],[Project Index]], ProjectInput[], I$1, FALSE)</f>
        <v/>
      </c>
      <c r="H89" s="96">
        <f>VLOOKUP(ReviewCalcs[[#This Row],[Project Index]], ProjectInput[], J$1, FALSE)</f>
        <v>0</v>
      </c>
      <c r="I89" s="97">
        <f>VLOOKUP(ReviewCalcs[[#This Row],[Project Index]], ProjectInput[], K$1, FALSE)</f>
        <v>0</v>
      </c>
      <c r="J89" s="97">
        <f>VLOOKUP(ReviewCalcs[[#This Row],[Project Index]], ProjectInput[], L$1, FALSE)</f>
        <v>0</v>
      </c>
      <c r="K89" s="97">
        <f>VLOOKUP(ReviewCalcs[[#This Row],[Project Index]], ProjectInput[], M$1, FALSE)</f>
        <v>0</v>
      </c>
      <c r="L89" s="97">
        <f>VLOOKUP(ReviewCalcs[[#This Row],[Project Index]], ProjectInput[], N$1, FALSE)</f>
        <v>0</v>
      </c>
      <c r="M89" s="98" t="str">
        <f>VLOOKUP(ReviewCalcs[[#This Row],[Project Index]], ProjectInput[], O$1, FALSE)</f>
        <v/>
      </c>
      <c r="N89" s="96">
        <f>VLOOKUP(ReviewCalcs[[#This Row],[Project Index]], ProjectInput[], P$1, FALSE)</f>
        <v>0</v>
      </c>
      <c r="O89" s="97">
        <f>VLOOKUP(ReviewCalcs[[#This Row],[Project Index]], ProjectInput[], Q$1, FALSE)</f>
        <v>0</v>
      </c>
      <c r="P89" s="97">
        <f>VLOOKUP(ReviewCalcs[[#This Row],[Project Index]], ProjectInput[], R$1, FALSE)</f>
        <v>0</v>
      </c>
      <c r="Q89" s="97">
        <f>VLOOKUP(ReviewCalcs[[#This Row],[Project Index]], ProjectInput[], S$1, FALSE)</f>
        <v>0</v>
      </c>
      <c r="R89" s="97">
        <f>VLOOKUP(ReviewCalcs[[#This Row],[Project Index]], ProjectInput[], T$1, FALSE)</f>
        <v>0</v>
      </c>
      <c r="S89" s="97">
        <f>VLOOKUP(ReviewCalcs[[#This Row],[Project Index]], ProjectInput[], U$1, FALSE)</f>
        <v>0</v>
      </c>
      <c r="T89" s="97">
        <f>VLOOKUP(ReviewCalcs[[#This Row],[Project Index]], ProjectInput[], V$1, FALSE)</f>
        <v>0</v>
      </c>
      <c r="U89" s="97">
        <f>VLOOKUP(ReviewCalcs[[#This Row],[Project Index]], ProjectInput[], W$1, FALSE)</f>
        <v>0</v>
      </c>
      <c r="V89" s="98" t="str">
        <f>VLOOKUP(ReviewCalcs[[#This Row],[Project Index]], ProjectInput[], X$1, FALSE)</f>
        <v/>
      </c>
      <c r="W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89" s="75" t="e">
        <f>IF(VLOOKUP(ReviewCalcs[[#This Row],[Proposed Fixture Code]], Table7[[FIXTURE CODE]:[Baseline Fixture Code]], 8, FALSE)="N", "ERROR", "PASS")</f>
        <v>#N/A</v>
      </c>
      <c r="Y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89" s="75" t="e">
        <f>IF(OR(ReviewCalcs[[#This Row],[Baseline Fixture Watts]]&gt;=ReviewCalcs[[#This Row],[Proposed Fixture Watts]],ReviewCalcs[[#This Row],[Existing Fixture Watts]]&gt;=ReviewCalcs[[#This Row],[Proposed Fixture Watts]] ), "PASS", "ERROR")</f>
        <v>#N/A</v>
      </c>
      <c r="AA89" s="69" t="e">
        <f>VLOOKUP(ReviewCalcs[[#This Row],[Space Conditions]], Table_365[], 5, FALSE)</f>
        <v>#N/A</v>
      </c>
      <c r="AB89" s="68" t="str">
        <f>ReviewCalcs[[#This Row],[Annual Hours]]</f>
        <v/>
      </c>
      <c r="AC89" s="68" t="e">
        <f>VLOOKUP(ReviewCalcs[[#This Row],[Space Conditions]], Table_365[], 6, FALSE)</f>
        <v>#N/A</v>
      </c>
      <c r="AD89" s="68">
        <f>IF(ReviewCalcs[[#This Row],[Existing Control(s)]]='Tables &amp; Ranges'!$A$25, VLOOKUP(ReviewCalcs[[#This Row],[Building/Space Type]], Table_364[], 3, FALSE), CF_Contols)</f>
        <v>0.26</v>
      </c>
      <c r="AE89" s="68" t="e">
        <f>VLOOKUP(ReviewCalcs[[#This Row],[Existing Control(s)]], Table_358[], 2, FALSE)</f>
        <v>#N/A</v>
      </c>
      <c r="AF89" s="68">
        <f>IF(ReviewCalcs[[#This Row],[Proposed Control(s)]]='Tables &amp; Ranges'!$A$25, VLOOKUP(ReviewCalcs[[#This Row],[Building/Space Type]], Table_364[], 3, FALSE), CF_Contols)</f>
        <v>0.26</v>
      </c>
      <c r="AG89" s="68" t="e">
        <f>VLOOKUP(ReviewCalcs[[#This Row],[Proposed Control(s)]], Table_358[], 2, FALSE)</f>
        <v>#N/A</v>
      </c>
      <c r="AH89" s="68">
        <f>IFERROR((ReviewCalcs[[#This Row],[Existing Fixture Quantity]]*ReviewCalcs[[#This Row],[Existing Fixture Watts]]/1000)*ReviewCalcs[[#This Row],[Existing CF]]*ReviewCalcs[[#This Row],[IEFD]], 0)</f>
        <v>0</v>
      </c>
      <c r="AI89" s="68">
        <f>IFERROR((ReviewCalcs[[#This Row],[Proposed Fixture Quantity]]*ReviewCalcs[[#This Row],[Proposed Fixture Watts]]/1000)*ReviewCalcs[[#This Row],[Existing CF]]*ReviewCalcs[[#This Row],[IEFD]], 0)</f>
        <v>0</v>
      </c>
      <c r="AJ89" s="118">
        <f>IFERROR((ReviewCalcs[[#This Row],[Existing Fixture Quantity]]*ReviewCalcs[[#This Row],[Existing Fixture Watts]]/1000-ReviewCalcs[[#This Row],[Proposed Fixture Quantity]]*ReviewCalcs[[#This Row],[Proposed Fixture Watts]]/1000)*ReviewCalcs[[#This Row],[Existing CF]]*ReviewCalcs[[#This Row],[IEFD]], 0)</f>
        <v>0</v>
      </c>
      <c r="AK89" s="118">
        <f>IFERROR((ReviewCalcs[[#This Row],[Existing Fixture Quantity]]*ReviewCalcs[[#This Row],[Existing Fixture Watts]]/1000)*ReviewCalcs[[#This Row],[AOH]]*ReviewCalcs[[#This Row],[IEFE]]*ReviewCalcs[[#This Row],[Existing PAF]], 0)</f>
        <v>0</v>
      </c>
      <c r="AL89" s="118">
        <f>IFERROR((ReviewCalcs[[#This Row],[Proposed Fixture Quantity]]*ReviewCalcs[[#This Row],[Proposed Fixture Watts]]/1000)*ReviewCalcs[[#This Row],[AOH]]*ReviewCalcs[[#This Row],[IEFE]]*ReviewCalcs[[#This Row],[Existing PAF]], 0)</f>
        <v>0</v>
      </c>
      <c r="AM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89" s="118">
        <f>ReviewCalcs[[#This Row],[Fixture Existing Energy (kWh)]]*Avg_KWh_Rate</f>
        <v>0</v>
      </c>
      <c r="AO89" s="118">
        <f>ReviewCalcs[[#This Row],[Fixture Proposed Energy (kWh)]]*Avg_KWh_Rate</f>
        <v>0</v>
      </c>
      <c r="AP89" s="70">
        <f>ReviewCalcs[[#This Row],[Fixture Energy Savings]]*Avg_KWh_Rate</f>
        <v>0</v>
      </c>
      <c r="AQ89" s="129" t="e">
        <f>ReviewCalcs[[#This Row],[Existing Fixture Quantity]]*ReviewCalcs[[#This Row],[Existing Fixture Watts]]/1000*ReviewCalcs[[#This Row],[Existing CF]]*ReviewCalcs[[#This Row],[IEFD]]</f>
        <v>#VALUE!</v>
      </c>
      <c r="AR89" s="129" t="e">
        <f>ReviewCalcs[[#This Row],[Proposed Fixture Quantity]]*ReviewCalcs[[#This Row],[Proposed Fixture Watts]]/1000*ReviewCalcs[[#This Row],[Proposed CF]]*ReviewCalcs[[#This Row],[IEFD]]</f>
        <v>#VALUE!</v>
      </c>
      <c r="AS89" s="118">
        <f>IF(ReviewCalcs[[#This Row],[Existing CF]]=ReviewCalcs[[#This Row],[Proposed CF]], 0, ReviewCalcs[[#This Row],[Proposed Fixture Quantity]]*ReviewCalcs[[#This Row],[Proposed Fixture Watts]]/1000*ReviewCalcs[[#This Row],[Proposed CF]]*ReviewCalcs[[#This Row],[IEFD]])</f>
        <v>0</v>
      </c>
      <c r="AT89" s="118">
        <f>IFERROR(ReviewCalcs[[#This Row],[Existing Fixture Quantity]]*ReviewCalcs[[#This Row],[Existing Fixture Watts]]/1000*ReviewCalcs[[#This Row],[Existing PAF]]*ReviewCalcs[[#This Row],[AOH]]*ReviewCalcs[[#This Row],[IEFE]], 0)</f>
        <v>0</v>
      </c>
      <c r="AU89" s="118">
        <f>IFERROR(ReviewCalcs[[#This Row],[Proposed Fixture Quantity]]*ReviewCalcs[[#This Row],[Proposed Fixture Watts]]/1000*ReviewCalcs[[#This Row],[Proposed PAF]]*ReviewCalcs[[#This Row],[AOH]]*ReviewCalcs[[#This Row],[IEFE]], 0)</f>
        <v>0</v>
      </c>
      <c r="AV89" s="118">
        <f>IFERROR(ReviewCalcs[[#This Row],[Proposed Fixture Quantity]]*ReviewCalcs[[#This Row],[Proposed Fixture Watts]]/1000*(ReviewCalcs[[#This Row],[Existing PAF]]-ReviewCalcs[[#This Row],[Proposed PAF]])*ReviewCalcs[[#This Row],[AOH]]*ReviewCalcs[[#This Row],[IEFE]], 0)</f>
        <v>0</v>
      </c>
      <c r="AW89" s="118">
        <f>ReviewCalcs[[#This Row],[Control Existing Energy (kWh)]]*kWh_Incentive_Rate</f>
        <v>0</v>
      </c>
      <c r="AX89" s="118">
        <f>ReviewCalcs[[#This Row],[Control Proposed Energy (kWh)]]*kWh_Incentive_Rate</f>
        <v>0</v>
      </c>
      <c r="AY89" s="70">
        <f>ReviewCalcs[[#This Row],[Control Energy Savings (kWh)]]*kWh_Incentive_Rate</f>
        <v>0</v>
      </c>
      <c r="AZ89" s="70" t="e">
        <f>ReviewCalcs[[#This Row],[Fixture Existing Demand (kW)]]+ReviewCalcs[[#This Row],[Control Existing Demand (kW)]]</f>
        <v>#VALUE!</v>
      </c>
      <c r="BA89" s="70" t="e">
        <f>ReviewCalcs[[#This Row],[Fixture Proposed Demand (kW)]]+ReviewCalcs[[#This Row],[Control Proposed Demand (kW)]]</f>
        <v>#VALUE!</v>
      </c>
      <c r="BB89" s="118">
        <f>ReviewCalcs[[#This Row],[Fixture Demand Savings (kW)]]+ReviewCalcs[[#This Row],[Control Demand Savings (kW)]]</f>
        <v>0</v>
      </c>
      <c r="BC89" s="118">
        <f>ReviewCalcs[[#This Row],[Fixture Existing Energy (kWh)]]+ReviewCalcs[[#This Row],[Control Existing Energy (kWh)]]</f>
        <v>0</v>
      </c>
      <c r="BD89" s="118">
        <f>ReviewCalcs[[#This Row],[Fixture Proposed Energy (kWh)]]+ReviewCalcs[[#This Row],[Control Proposed Energy (kWh)]]</f>
        <v>0</v>
      </c>
      <c r="BE89" s="118">
        <f>ReviewCalcs[[#This Row],[Fixture Energy Savings]]+ReviewCalcs[[#This Row],[Control Energy Savings (kWh)]]</f>
        <v>0</v>
      </c>
      <c r="BF89" s="118">
        <f>ReviewCalcs[[#This Row],[Fixture Existing Cost ($)]]+ReviewCalcs[[#This Row],[Control Existing Cost ($)]]</f>
        <v>0</v>
      </c>
      <c r="BG89" s="118">
        <f>ReviewCalcs[[#This Row],[Fixture Proposed Cost ($)]]+ReviewCalcs[[#This Row],[Controls Proposed Cost ($)]]</f>
        <v>0</v>
      </c>
      <c r="BH89" s="70">
        <f>ReviewCalcs[[#This Row],[Total Energy Savings (kWh)]]*Avg_KWh_Rate</f>
        <v>0</v>
      </c>
      <c r="BI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89" s="70">
        <f>ReviewCalcs[[#This Row],[Retrofit Cost]]</f>
        <v>0</v>
      </c>
      <c r="BK89" s="70">
        <f>ReviewCalcs[[#This Row],[Retrofit Cost]]-ReviewCalcs[[#This Row],[Incentive ($)]]</f>
        <v>0</v>
      </c>
      <c r="BL89" s="118" t="e">
        <f>IFERROR(ReviewCalcs[[#This Row],[Net Project Cost ($)]]/ReviewCalcs[[#This Row],[Fixture Energy Cost Savings ($)]], #N/A)</f>
        <v>#N/A</v>
      </c>
      <c r="BM89" s="118" t="e">
        <f>IF(VLOOKUP(ReviewCalcs[[#This Row],[Existing Fixture Code]], Table7[[FIXTURE CODE]:[Baseline Fixture Code]], 8, FALSE)="N", VLOOKUP(ReviewCalcs[[#This Row],[Existing Fixture Code]], Table7[[FIXTURE CODE]:[Baseline Fixture Code]], 9, FALSE), ReviewCalcs[[#This Row],[Existing Fixture Code]])</f>
        <v>#N/A</v>
      </c>
      <c r="BN89" s="118" t="e">
        <f>INDEX(Table7[WATT/ FIXT], MATCH(ReviewCalcs[Baseline Fixture Code], Table7[FIXTURE CODE], 0))</f>
        <v>#N/A</v>
      </c>
      <c r="BO89" s="118">
        <f>IFERROR((ReviewCalcs[[#This Row],[Existing Fixture Quantity]]*ReviewCalcs[[#This Row],[Baseline Fixture Watts]]/1000-ReviewCalcs[[#This Row],[Proposed Fixture Quantity]]*ReviewCalcs[[#This Row],[Proposed Fixture Watts]]/1000)*ReviewCalcs[[#This Row],[Existing CF]]*ReviewCalcs[[#This Row],[IEFD]], 0)</f>
        <v>0</v>
      </c>
      <c r="BP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89" s="118">
        <f>IF(ReviewCalcs[[#This Row],[Existing CF]]=ReviewCalcs[[#This Row],[Proposed CF]], 0, ReviewCalcs[[#This Row],[Proposed Fixture Quantity]]*ReviewCalcs[[#This Row],[Proposed Fixture Watts]]/1000*ReviewCalcs[[#This Row],[Proposed CF]]*ReviewCalcs[[#This Row],[IEFD]])</f>
        <v>0</v>
      </c>
      <c r="BR89" s="118">
        <f>IFERROR(ReviewCalcs[[#This Row],[Proposed Fixture Quantity]]*ReviewCalcs[[#This Row],[Proposed Fixture Watts]]/1000*(ReviewCalcs[[#This Row],[Existing PAF]]-ReviewCalcs[[#This Row],[Proposed PAF]])*ReviewCalcs[[#This Row],[AOH]]*ReviewCalcs[[#This Row],[IEFE]],0)</f>
        <v>0</v>
      </c>
      <c r="BS89" s="118">
        <f>ReviewCalcs[[#This Row],[Incentive Fixture Demand Savings (kW)]]+ReviewCalcs[[#This Row],[Incentive Control Demand Savings (kW)]]</f>
        <v>0</v>
      </c>
      <c r="BT89" s="118">
        <f>ReviewCalcs[[#This Row],[Incentive Fixture Energy Savings (kWh)]]+ReviewCalcs[[#This Row],[Incentive Control Energy Savings (kWh)]]</f>
        <v>0</v>
      </c>
      <c r="BU89" s="73"/>
    </row>
    <row r="90" spans="1:73" ht="30" customHeight="1">
      <c r="A90" s="68">
        <v>87</v>
      </c>
      <c r="B90" s="96">
        <f>VLOOKUP(ReviewCalcs[[#This Row],[Project Index]], ProjectInput[], D$1, FALSE)</f>
        <v>0</v>
      </c>
      <c r="C90" s="97">
        <f>VLOOKUP(ReviewCalcs[[#This Row],[Project Index]], ProjectInput[], E$1, FALSE)</f>
        <v>0</v>
      </c>
      <c r="D90" s="97">
        <f>VLOOKUP(ReviewCalcs[[#This Row],[Project Index]], ProjectInput[], F$1, FALSE)</f>
        <v>0</v>
      </c>
      <c r="E90" s="97">
        <f>VLOOKUP(ReviewCalcs[[#This Row],[Project Index]], ProjectInput[], G$1, FALSE)</f>
        <v>0</v>
      </c>
      <c r="F90" s="97">
        <f>VLOOKUP(ReviewCalcs[[#This Row],[Project Index]], ProjectInput[], H$1, FALSE)</f>
        <v>0</v>
      </c>
      <c r="G90" s="98" t="str">
        <f>VLOOKUP(ReviewCalcs[[#This Row],[Project Index]], ProjectInput[], I$1, FALSE)</f>
        <v/>
      </c>
      <c r="H90" s="96">
        <f>VLOOKUP(ReviewCalcs[[#This Row],[Project Index]], ProjectInput[], J$1, FALSE)</f>
        <v>0</v>
      </c>
      <c r="I90" s="97">
        <f>VLOOKUP(ReviewCalcs[[#This Row],[Project Index]], ProjectInput[], K$1, FALSE)</f>
        <v>0</v>
      </c>
      <c r="J90" s="97">
        <f>VLOOKUP(ReviewCalcs[[#This Row],[Project Index]], ProjectInput[], L$1, FALSE)</f>
        <v>0</v>
      </c>
      <c r="K90" s="97">
        <f>VLOOKUP(ReviewCalcs[[#This Row],[Project Index]], ProjectInput[], M$1, FALSE)</f>
        <v>0</v>
      </c>
      <c r="L90" s="97">
        <f>VLOOKUP(ReviewCalcs[[#This Row],[Project Index]], ProjectInput[], N$1, FALSE)</f>
        <v>0</v>
      </c>
      <c r="M90" s="98" t="str">
        <f>VLOOKUP(ReviewCalcs[[#This Row],[Project Index]], ProjectInput[], O$1, FALSE)</f>
        <v/>
      </c>
      <c r="N90" s="96">
        <f>VLOOKUP(ReviewCalcs[[#This Row],[Project Index]], ProjectInput[], P$1, FALSE)</f>
        <v>0</v>
      </c>
      <c r="O90" s="97">
        <f>VLOOKUP(ReviewCalcs[[#This Row],[Project Index]], ProjectInput[], Q$1, FALSE)</f>
        <v>0</v>
      </c>
      <c r="P90" s="97">
        <f>VLOOKUP(ReviewCalcs[[#This Row],[Project Index]], ProjectInput[], R$1, FALSE)</f>
        <v>0</v>
      </c>
      <c r="Q90" s="97">
        <f>VLOOKUP(ReviewCalcs[[#This Row],[Project Index]], ProjectInput[], S$1, FALSE)</f>
        <v>0</v>
      </c>
      <c r="R90" s="97">
        <f>VLOOKUP(ReviewCalcs[[#This Row],[Project Index]], ProjectInput[], T$1, FALSE)</f>
        <v>0</v>
      </c>
      <c r="S90" s="97">
        <f>VLOOKUP(ReviewCalcs[[#This Row],[Project Index]], ProjectInput[], U$1, FALSE)</f>
        <v>0</v>
      </c>
      <c r="T90" s="97">
        <f>VLOOKUP(ReviewCalcs[[#This Row],[Project Index]], ProjectInput[], V$1, FALSE)</f>
        <v>0</v>
      </c>
      <c r="U90" s="97">
        <f>VLOOKUP(ReviewCalcs[[#This Row],[Project Index]], ProjectInput[], W$1, FALSE)</f>
        <v>0</v>
      </c>
      <c r="V90" s="98" t="str">
        <f>VLOOKUP(ReviewCalcs[[#This Row],[Project Index]], ProjectInput[], X$1, FALSE)</f>
        <v/>
      </c>
      <c r="W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0" s="75" t="e">
        <f>IF(VLOOKUP(ReviewCalcs[[#This Row],[Proposed Fixture Code]], Table7[[FIXTURE CODE]:[Baseline Fixture Code]], 8, FALSE)="N", "ERROR", "PASS")</f>
        <v>#N/A</v>
      </c>
      <c r="Y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0" s="75" t="e">
        <f>IF(OR(ReviewCalcs[[#This Row],[Baseline Fixture Watts]]&gt;=ReviewCalcs[[#This Row],[Proposed Fixture Watts]],ReviewCalcs[[#This Row],[Existing Fixture Watts]]&gt;=ReviewCalcs[[#This Row],[Proposed Fixture Watts]] ), "PASS", "ERROR")</f>
        <v>#N/A</v>
      </c>
      <c r="AA90" s="69" t="e">
        <f>VLOOKUP(ReviewCalcs[[#This Row],[Space Conditions]], Table_365[], 5, FALSE)</f>
        <v>#N/A</v>
      </c>
      <c r="AB90" s="68" t="str">
        <f>ReviewCalcs[[#This Row],[Annual Hours]]</f>
        <v/>
      </c>
      <c r="AC90" s="68" t="e">
        <f>VLOOKUP(ReviewCalcs[[#This Row],[Space Conditions]], Table_365[], 6, FALSE)</f>
        <v>#N/A</v>
      </c>
      <c r="AD90" s="68">
        <f>IF(ReviewCalcs[[#This Row],[Existing Control(s)]]='Tables &amp; Ranges'!$A$25, VLOOKUP(ReviewCalcs[[#This Row],[Building/Space Type]], Table_364[], 3, FALSE), CF_Contols)</f>
        <v>0.26</v>
      </c>
      <c r="AE90" s="68" t="e">
        <f>VLOOKUP(ReviewCalcs[[#This Row],[Existing Control(s)]], Table_358[], 2, FALSE)</f>
        <v>#N/A</v>
      </c>
      <c r="AF90" s="68">
        <f>IF(ReviewCalcs[[#This Row],[Proposed Control(s)]]='Tables &amp; Ranges'!$A$25, VLOOKUP(ReviewCalcs[[#This Row],[Building/Space Type]], Table_364[], 3, FALSE), CF_Contols)</f>
        <v>0.26</v>
      </c>
      <c r="AG90" s="68" t="e">
        <f>VLOOKUP(ReviewCalcs[[#This Row],[Proposed Control(s)]], Table_358[], 2, FALSE)</f>
        <v>#N/A</v>
      </c>
      <c r="AH90" s="68">
        <f>IFERROR((ReviewCalcs[[#This Row],[Existing Fixture Quantity]]*ReviewCalcs[[#This Row],[Existing Fixture Watts]]/1000)*ReviewCalcs[[#This Row],[Existing CF]]*ReviewCalcs[[#This Row],[IEFD]], 0)</f>
        <v>0</v>
      </c>
      <c r="AI90" s="68">
        <f>IFERROR((ReviewCalcs[[#This Row],[Proposed Fixture Quantity]]*ReviewCalcs[[#This Row],[Proposed Fixture Watts]]/1000)*ReviewCalcs[[#This Row],[Existing CF]]*ReviewCalcs[[#This Row],[IEFD]], 0)</f>
        <v>0</v>
      </c>
      <c r="AJ90" s="118">
        <f>IFERROR((ReviewCalcs[[#This Row],[Existing Fixture Quantity]]*ReviewCalcs[[#This Row],[Existing Fixture Watts]]/1000-ReviewCalcs[[#This Row],[Proposed Fixture Quantity]]*ReviewCalcs[[#This Row],[Proposed Fixture Watts]]/1000)*ReviewCalcs[[#This Row],[Existing CF]]*ReviewCalcs[[#This Row],[IEFD]], 0)</f>
        <v>0</v>
      </c>
      <c r="AK90" s="118">
        <f>IFERROR((ReviewCalcs[[#This Row],[Existing Fixture Quantity]]*ReviewCalcs[[#This Row],[Existing Fixture Watts]]/1000)*ReviewCalcs[[#This Row],[AOH]]*ReviewCalcs[[#This Row],[IEFE]]*ReviewCalcs[[#This Row],[Existing PAF]], 0)</f>
        <v>0</v>
      </c>
      <c r="AL90" s="118">
        <f>IFERROR((ReviewCalcs[[#This Row],[Proposed Fixture Quantity]]*ReviewCalcs[[#This Row],[Proposed Fixture Watts]]/1000)*ReviewCalcs[[#This Row],[AOH]]*ReviewCalcs[[#This Row],[IEFE]]*ReviewCalcs[[#This Row],[Existing PAF]], 0)</f>
        <v>0</v>
      </c>
      <c r="AM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0" s="118">
        <f>ReviewCalcs[[#This Row],[Fixture Existing Energy (kWh)]]*Avg_KWh_Rate</f>
        <v>0</v>
      </c>
      <c r="AO90" s="118">
        <f>ReviewCalcs[[#This Row],[Fixture Proposed Energy (kWh)]]*Avg_KWh_Rate</f>
        <v>0</v>
      </c>
      <c r="AP90" s="70">
        <f>ReviewCalcs[[#This Row],[Fixture Energy Savings]]*Avg_KWh_Rate</f>
        <v>0</v>
      </c>
      <c r="AQ90" s="129" t="e">
        <f>ReviewCalcs[[#This Row],[Existing Fixture Quantity]]*ReviewCalcs[[#This Row],[Existing Fixture Watts]]/1000*ReviewCalcs[[#This Row],[Existing CF]]*ReviewCalcs[[#This Row],[IEFD]]</f>
        <v>#VALUE!</v>
      </c>
      <c r="AR90" s="129" t="e">
        <f>ReviewCalcs[[#This Row],[Proposed Fixture Quantity]]*ReviewCalcs[[#This Row],[Proposed Fixture Watts]]/1000*ReviewCalcs[[#This Row],[Proposed CF]]*ReviewCalcs[[#This Row],[IEFD]]</f>
        <v>#VALUE!</v>
      </c>
      <c r="AS90" s="118">
        <f>IF(ReviewCalcs[[#This Row],[Existing CF]]=ReviewCalcs[[#This Row],[Proposed CF]], 0, ReviewCalcs[[#This Row],[Proposed Fixture Quantity]]*ReviewCalcs[[#This Row],[Proposed Fixture Watts]]/1000*ReviewCalcs[[#This Row],[Proposed CF]]*ReviewCalcs[[#This Row],[IEFD]])</f>
        <v>0</v>
      </c>
      <c r="AT90" s="118">
        <f>IFERROR(ReviewCalcs[[#This Row],[Existing Fixture Quantity]]*ReviewCalcs[[#This Row],[Existing Fixture Watts]]/1000*ReviewCalcs[[#This Row],[Existing PAF]]*ReviewCalcs[[#This Row],[AOH]]*ReviewCalcs[[#This Row],[IEFE]], 0)</f>
        <v>0</v>
      </c>
      <c r="AU90" s="118">
        <f>IFERROR(ReviewCalcs[[#This Row],[Proposed Fixture Quantity]]*ReviewCalcs[[#This Row],[Proposed Fixture Watts]]/1000*ReviewCalcs[[#This Row],[Proposed PAF]]*ReviewCalcs[[#This Row],[AOH]]*ReviewCalcs[[#This Row],[IEFE]], 0)</f>
        <v>0</v>
      </c>
      <c r="AV90" s="118">
        <f>IFERROR(ReviewCalcs[[#This Row],[Proposed Fixture Quantity]]*ReviewCalcs[[#This Row],[Proposed Fixture Watts]]/1000*(ReviewCalcs[[#This Row],[Existing PAF]]-ReviewCalcs[[#This Row],[Proposed PAF]])*ReviewCalcs[[#This Row],[AOH]]*ReviewCalcs[[#This Row],[IEFE]], 0)</f>
        <v>0</v>
      </c>
      <c r="AW90" s="118">
        <f>ReviewCalcs[[#This Row],[Control Existing Energy (kWh)]]*kWh_Incentive_Rate</f>
        <v>0</v>
      </c>
      <c r="AX90" s="118">
        <f>ReviewCalcs[[#This Row],[Control Proposed Energy (kWh)]]*kWh_Incentive_Rate</f>
        <v>0</v>
      </c>
      <c r="AY90" s="70">
        <f>ReviewCalcs[[#This Row],[Control Energy Savings (kWh)]]*kWh_Incentive_Rate</f>
        <v>0</v>
      </c>
      <c r="AZ90" s="70" t="e">
        <f>ReviewCalcs[[#This Row],[Fixture Existing Demand (kW)]]+ReviewCalcs[[#This Row],[Control Existing Demand (kW)]]</f>
        <v>#VALUE!</v>
      </c>
      <c r="BA90" s="70" t="e">
        <f>ReviewCalcs[[#This Row],[Fixture Proposed Demand (kW)]]+ReviewCalcs[[#This Row],[Control Proposed Demand (kW)]]</f>
        <v>#VALUE!</v>
      </c>
      <c r="BB90" s="118">
        <f>ReviewCalcs[[#This Row],[Fixture Demand Savings (kW)]]+ReviewCalcs[[#This Row],[Control Demand Savings (kW)]]</f>
        <v>0</v>
      </c>
      <c r="BC90" s="118">
        <f>ReviewCalcs[[#This Row],[Fixture Existing Energy (kWh)]]+ReviewCalcs[[#This Row],[Control Existing Energy (kWh)]]</f>
        <v>0</v>
      </c>
      <c r="BD90" s="118">
        <f>ReviewCalcs[[#This Row],[Fixture Proposed Energy (kWh)]]+ReviewCalcs[[#This Row],[Control Proposed Energy (kWh)]]</f>
        <v>0</v>
      </c>
      <c r="BE90" s="118">
        <f>ReviewCalcs[[#This Row],[Fixture Energy Savings]]+ReviewCalcs[[#This Row],[Control Energy Savings (kWh)]]</f>
        <v>0</v>
      </c>
      <c r="BF90" s="118">
        <f>ReviewCalcs[[#This Row],[Fixture Existing Cost ($)]]+ReviewCalcs[[#This Row],[Control Existing Cost ($)]]</f>
        <v>0</v>
      </c>
      <c r="BG90" s="118">
        <f>ReviewCalcs[[#This Row],[Fixture Proposed Cost ($)]]+ReviewCalcs[[#This Row],[Controls Proposed Cost ($)]]</f>
        <v>0</v>
      </c>
      <c r="BH90" s="70">
        <f>ReviewCalcs[[#This Row],[Total Energy Savings (kWh)]]*Avg_KWh_Rate</f>
        <v>0</v>
      </c>
      <c r="BI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0" s="70">
        <f>ReviewCalcs[[#This Row],[Retrofit Cost]]</f>
        <v>0</v>
      </c>
      <c r="BK90" s="70">
        <f>ReviewCalcs[[#This Row],[Retrofit Cost]]-ReviewCalcs[[#This Row],[Incentive ($)]]</f>
        <v>0</v>
      </c>
      <c r="BL90" s="118" t="e">
        <f>IFERROR(ReviewCalcs[[#This Row],[Net Project Cost ($)]]/ReviewCalcs[[#This Row],[Fixture Energy Cost Savings ($)]], #N/A)</f>
        <v>#N/A</v>
      </c>
      <c r="BM90" s="118" t="e">
        <f>IF(VLOOKUP(ReviewCalcs[[#This Row],[Existing Fixture Code]], Table7[[FIXTURE CODE]:[Baseline Fixture Code]], 8, FALSE)="N", VLOOKUP(ReviewCalcs[[#This Row],[Existing Fixture Code]], Table7[[FIXTURE CODE]:[Baseline Fixture Code]], 9, FALSE), ReviewCalcs[[#This Row],[Existing Fixture Code]])</f>
        <v>#N/A</v>
      </c>
      <c r="BN90" s="118" t="e">
        <f>INDEX(Table7[WATT/ FIXT], MATCH(ReviewCalcs[Baseline Fixture Code], Table7[FIXTURE CODE], 0))</f>
        <v>#N/A</v>
      </c>
      <c r="BO90" s="118">
        <f>IFERROR((ReviewCalcs[[#This Row],[Existing Fixture Quantity]]*ReviewCalcs[[#This Row],[Baseline Fixture Watts]]/1000-ReviewCalcs[[#This Row],[Proposed Fixture Quantity]]*ReviewCalcs[[#This Row],[Proposed Fixture Watts]]/1000)*ReviewCalcs[[#This Row],[Existing CF]]*ReviewCalcs[[#This Row],[IEFD]], 0)</f>
        <v>0</v>
      </c>
      <c r="BP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0" s="118">
        <f>IF(ReviewCalcs[[#This Row],[Existing CF]]=ReviewCalcs[[#This Row],[Proposed CF]], 0, ReviewCalcs[[#This Row],[Proposed Fixture Quantity]]*ReviewCalcs[[#This Row],[Proposed Fixture Watts]]/1000*ReviewCalcs[[#This Row],[Proposed CF]]*ReviewCalcs[[#This Row],[IEFD]])</f>
        <v>0</v>
      </c>
      <c r="BR90" s="118">
        <f>IFERROR(ReviewCalcs[[#This Row],[Proposed Fixture Quantity]]*ReviewCalcs[[#This Row],[Proposed Fixture Watts]]/1000*(ReviewCalcs[[#This Row],[Existing PAF]]-ReviewCalcs[[#This Row],[Proposed PAF]])*ReviewCalcs[[#This Row],[AOH]]*ReviewCalcs[[#This Row],[IEFE]],0)</f>
        <v>0</v>
      </c>
      <c r="BS90" s="118">
        <f>ReviewCalcs[[#This Row],[Incentive Fixture Demand Savings (kW)]]+ReviewCalcs[[#This Row],[Incentive Control Demand Savings (kW)]]</f>
        <v>0</v>
      </c>
      <c r="BT90" s="118">
        <f>ReviewCalcs[[#This Row],[Incentive Fixture Energy Savings (kWh)]]+ReviewCalcs[[#This Row],[Incentive Control Energy Savings (kWh)]]</f>
        <v>0</v>
      </c>
      <c r="BU90" s="73"/>
    </row>
    <row r="91" spans="1:73" ht="30" customHeight="1">
      <c r="A91" s="68">
        <v>88</v>
      </c>
      <c r="B91" s="96">
        <f>VLOOKUP(ReviewCalcs[[#This Row],[Project Index]], ProjectInput[], D$1, FALSE)</f>
        <v>0</v>
      </c>
      <c r="C91" s="97">
        <f>VLOOKUP(ReviewCalcs[[#This Row],[Project Index]], ProjectInput[], E$1, FALSE)</f>
        <v>0</v>
      </c>
      <c r="D91" s="97">
        <f>VLOOKUP(ReviewCalcs[[#This Row],[Project Index]], ProjectInput[], F$1, FALSE)</f>
        <v>0</v>
      </c>
      <c r="E91" s="97">
        <f>VLOOKUP(ReviewCalcs[[#This Row],[Project Index]], ProjectInput[], G$1, FALSE)</f>
        <v>0</v>
      </c>
      <c r="F91" s="97">
        <f>VLOOKUP(ReviewCalcs[[#This Row],[Project Index]], ProjectInput[], H$1, FALSE)</f>
        <v>0</v>
      </c>
      <c r="G91" s="98" t="str">
        <f>VLOOKUP(ReviewCalcs[[#This Row],[Project Index]], ProjectInput[], I$1, FALSE)</f>
        <v/>
      </c>
      <c r="H91" s="96">
        <f>VLOOKUP(ReviewCalcs[[#This Row],[Project Index]], ProjectInput[], J$1, FALSE)</f>
        <v>0</v>
      </c>
      <c r="I91" s="97">
        <f>VLOOKUP(ReviewCalcs[[#This Row],[Project Index]], ProjectInput[], K$1, FALSE)</f>
        <v>0</v>
      </c>
      <c r="J91" s="97">
        <f>VLOOKUP(ReviewCalcs[[#This Row],[Project Index]], ProjectInput[], L$1, FALSE)</f>
        <v>0</v>
      </c>
      <c r="K91" s="97">
        <f>VLOOKUP(ReviewCalcs[[#This Row],[Project Index]], ProjectInput[], M$1, FALSE)</f>
        <v>0</v>
      </c>
      <c r="L91" s="97">
        <f>VLOOKUP(ReviewCalcs[[#This Row],[Project Index]], ProjectInput[], N$1, FALSE)</f>
        <v>0</v>
      </c>
      <c r="M91" s="98" t="str">
        <f>VLOOKUP(ReviewCalcs[[#This Row],[Project Index]], ProjectInput[], O$1, FALSE)</f>
        <v/>
      </c>
      <c r="N91" s="96">
        <f>VLOOKUP(ReviewCalcs[[#This Row],[Project Index]], ProjectInput[], P$1, FALSE)</f>
        <v>0</v>
      </c>
      <c r="O91" s="97">
        <f>VLOOKUP(ReviewCalcs[[#This Row],[Project Index]], ProjectInput[], Q$1, FALSE)</f>
        <v>0</v>
      </c>
      <c r="P91" s="97">
        <f>VLOOKUP(ReviewCalcs[[#This Row],[Project Index]], ProjectInput[], R$1, FALSE)</f>
        <v>0</v>
      </c>
      <c r="Q91" s="97">
        <f>VLOOKUP(ReviewCalcs[[#This Row],[Project Index]], ProjectInput[], S$1, FALSE)</f>
        <v>0</v>
      </c>
      <c r="R91" s="97">
        <f>VLOOKUP(ReviewCalcs[[#This Row],[Project Index]], ProjectInput[], T$1, FALSE)</f>
        <v>0</v>
      </c>
      <c r="S91" s="97">
        <f>VLOOKUP(ReviewCalcs[[#This Row],[Project Index]], ProjectInput[], U$1, FALSE)</f>
        <v>0</v>
      </c>
      <c r="T91" s="97">
        <f>VLOOKUP(ReviewCalcs[[#This Row],[Project Index]], ProjectInput[], V$1, FALSE)</f>
        <v>0</v>
      </c>
      <c r="U91" s="97">
        <f>VLOOKUP(ReviewCalcs[[#This Row],[Project Index]], ProjectInput[], W$1, FALSE)</f>
        <v>0</v>
      </c>
      <c r="V91" s="98" t="str">
        <f>VLOOKUP(ReviewCalcs[[#This Row],[Project Index]], ProjectInput[], X$1, FALSE)</f>
        <v/>
      </c>
      <c r="W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1" s="75" t="e">
        <f>IF(VLOOKUP(ReviewCalcs[[#This Row],[Proposed Fixture Code]], Table7[[FIXTURE CODE]:[Baseline Fixture Code]], 8, FALSE)="N", "ERROR", "PASS")</f>
        <v>#N/A</v>
      </c>
      <c r="Y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1" s="75" t="e">
        <f>IF(OR(ReviewCalcs[[#This Row],[Baseline Fixture Watts]]&gt;=ReviewCalcs[[#This Row],[Proposed Fixture Watts]],ReviewCalcs[[#This Row],[Existing Fixture Watts]]&gt;=ReviewCalcs[[#This Row],[Proposed Fixture Watts]] ), "PASS", "ERROR")</f>
        <v>#N/A</v>
      </c>
      <c r="AA91" s="69" t="e">
        <f>VLOOKUP(ReviewCalcs[[#This Row],[Space Conditions]], Table_365[], 5, FALSE)</f>
        <v>#N/A</v>
      </c>
      <c r="AB91" s="68" t="str">
        <f>ReviewCalcs[[#This Row],[Annual Hours]]</f>
        <v/>
      </c>
      <c r="AC91" s="68" t="e">
        <f>VLOOKUP(ReviewCalcs[[#This Row],[Space Conditions]], Table_365[], 6, FALSE)</f>
        <v>#N/A</v>
      </c>
      <c r="AD91" s="68">
        <f>IF(ReviewCalcs[[#This Row],[Existing Control(s)]]='Tables &amp; Ranges'!$A$25, VLOOKUP(ReviewCalcs[[#This Row],[Building/Space Type]], Table_364[], 3, FALSE), CF_Contols)</f>
        <v>0.26</v>
      </c>
      <c r="AE91" s="68" t="e">
        <f>VLOOKUP(ReviewCalcs[[#This Row],[Existing Control(s)]], Table_358[], 2, FALSE)</f>
        <v>#N/A</v>
      </c>
      <c r="AF91" s="68">
        <f>IF(ReviewCalcs[[#This Row],[Proposed Control(s)]]='Tables &amp; Ranges'!$A$25, VLOOKUP(ReviewCalcs[[#This Row],[Building/Space Type]], Table_364[], 3, FALSE), CF_Contols)</f>
        <v>0.26</v>
      </c>
      <c r="AG91" s="68" t="e">
        <f>VLOOKUP(ReviewCalcs[[#This Row],[Proposed Control(s)]], Table_358[], 2, FALSE)</f>
        <v>#N/A</v>
      </c>
      <c r="AH91" s="68">
        <f>IFERROR((ReviewCalcs[[#This Row],[Existing Fixture Quantity]]*ReviewCalcs[[#This Row],[Existing Fixture Watts]]/1000)*ReviewCalcs[[#This Row],[Existing CF]]*ReviewCalcs[[#This Row],[IEFD]], 0)</f>
        <v>0</v>
      </c>
      <c r="AI91" s="68">
        <f>IFERROR((ReviewCalcs[[#This Row],[Proposed Fixture Quantity]]*ReviewCalcs[[#This Row],[Proposed Fixture Watts]]/1000)*ReviewCalcs[[#This Row],[Existing CF]]*ReviewCalcs[[#This Row],[IEFD]], 0)</f>
        <v>0</v>
      </c>
      <c r="AJ91" s="118">
        <f>IFERROR((ReviewCalcs[[#This Row],[Existing Fixture Quantity]]*ReviewCalcs[[#This Row],[Existing Fixture Watts]]/1000-ReviewCalcs[[#This Row],[Proposed Fixture Quantity]]*ReviewCalcs[[#This Row],[Proposed Fixture Watts]]/1000)*ReviewCalcs[[#This Row],[Existing CF]]*ReviewCalcs[[#This Row],[IEFD]], 0)</f>
        <v>0</v>
      </c>
      <c r="AK91" s="118">
        <f>IFERROR((ReviewCalcs[[#This Row],[Existing Fixture Quantity]]*ReviewCalcs[[#This Row],[Existing Fixture Watts]]/1000)*ReviewCalcs[[#This Row],[AOH]]*ReviewCalcs[[#This Row],[IEFE]]*ReviewCalcs[[#This Row],[Existing PAF]], 0)</f>
        <v>0</v>
      </c>
      <c r="AL91" s="118">
        <f>IFERROR((ReviewCalcs[[#This Row],[Proposed Fixture Quantity]]*ReviewCalcs[[#This Row],[Proposed Fixture Watts]]/1000)*ReviewCalcs[[#This Row],[AOH]]*ReviewCalcs[[#This Row],[IEFE]]*ReviewCalcs[[#This Row],[Existing PAF]], 0)</f>
        <v>0</v>
      </c>
      <c r="AM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1" s="118">
        <f>ReviewCalcs[[#This Row],[Fixture Existing Energy (kWh)]]*Avg_KWh_Rate</f>
        <v>0</v>
      </c>
      <c r="AO91" s="118">
        <f>ReviewCalcs[[#This Row],[Fixture Proposed Energy (kWh)]]*Avg_KWh_Rate</f>
        <v>0</v>
      </c>
      <c r="AP91" s="70">
        <f>ReviewCalcs[[#This Row],[Fixture Energy Savings]]*Avg_KWh_Rate</f>
        <v>0</v>
      </c>
      <c r="AQ91" s="129" t="e">
        <f>ReviewCalcs[[#This Row],[Existing Fixture Quantity]]*ReviewCalcs[[#This Row],[Existing Fixture Watts]]/1000*ReviewCalcs[[#This Row],[Existing CF]]*ReviewCalcs[[#This Row],[IEFD]]</f>
        <v>#VALUE!</v>
      </c>
      <c r="AR91" s="129" t="e">
        <f>ReviewCalcs[[#This Row],[Proposed Fixture Quantity]]*ReviewCalcs[[#This Row],[Proposed Fixture Watts]]/1000*ReviewCalcs[[#This Row],[Proposed CF]]*ReviewCalcs[[#This Row],[IEFD]]</f>
        <v>#VALUE!</v>
      </c>
      <c r="AS91" s="118">
        <f>IF(ReviewCalcs[[#This Row],[Existing CF]]=ReviewCalcs[[#This Row],[Proposed CF]], 0, ReviewCalcs[[#This Row],[Proposed Fixture Quantity]]*ReviewCalcs[[#This Row],[Proposed Fixture Watts]]/1000*ReviewCalcs[[#This Row],[Proposed CF]]*ReviewCalcs[[#This Row],[IEFD]])</f>
        <v>0</v>
      </c>
      <c r="AT91" s="118">
        <f>IFERROR(ReviewCalcs[[#This Row],[Existing Fixture Quantity]]*ReviewCalcs[[#This Row],[Existing Fixture Watts]]/1000*ReviewCalcs[[#This Row],[Existing PAF]]*ReviewCalcs[[#This Row],[AOH]]*ReviewCalcs[[#This Row],[IEFE]], 0)</f>
        <v>0</v>
      </c>
      <c r="AU91" s="118">
        <f>IFERROR(ReviewCalcs[[#This Row],[Proposed Fixture Quantity]]*ReviewCalcs[[#This Row],[Proposed Fixture Watts]]/1000*ReviewCalcs[[#This Row],[Proposed PAF]]*ReviewCalcs[[#This Row],[AOH]]*ReviewCalcs[[#This Row],[IEFE]], 0)</f>
        <v>0</v>
      </c>
      <c r="AV91" s="118">
        <f>IFERROR(ReviewCalcs[[#This Row],[Proposed Fixture Quantity]]*ReviewCalcs[[#This Row],[Proposed Fixture Watts]]/1000*(ReviewCalcs[[#This Row],[Existing PAF]]-ReviewCalcs[[#This Row],[Proposed PAF]])*ReviewCalcs[[#This Row],[AOH]]*ReviewCalcs[[#This Row],[IEFE]], 0)</f>
        <v>0</v>
      </c>
      <c r="AW91" s="118">
        <f>ReviewCalcs[[#This Row],[Control Existing Energy (kWh)]]*kWh_Incentive_Rate</f>
        <v>0</v>
      </c>
      <c r="AX91" s="118">
        <f>ReviewCalcs[[#This Row],[Control Proposed Energy (kWh)]]*kWh_Incentive_Rate</f>
        <v>0</v>
      </c>
      <c r="AY91" s="70">
        <f>ReviewCalcs[[#This Row],[Control Energy Savings (kWh)]]*kWh_Incentive_Rate</f>
        <v>0</v>
      </c>
      <c r="AZ91" s="70" t="e">
        <f>ReviewCalcs[[#This Row],[Fixture Existing Demand (kW)]]+ReviewCalcs[[#This Row],[Control Existing Demand (kW)]]</f>
        <v>#VALUE!</v>
      </c>
      <c r="BA91" s="70" t="e">
        <f>ReviewCalcs[[#This Row],[Fixture Proposed Demand (kW)]]+ReviewCalcs[[#This Row],[Control Proposed Demand (kW)]]</f>
        <v>#VALUE!</v>
      </c>
      <c r="BB91" s="118">
        <f>ReviewCalcs[[#This Row],[Fixture Demand Savings (kW)]]+ReviewCalcs[[#This Row],[Control Demand Savings (kW)]]</f>
        <v>0</v>
      </c>
      <c r="BC91" s="118">
        <f>ReviewCalcs[[#This Row],[Fixture Existing Energy (kWh)]]+ReviewCalcs[[#This Row],[Control Existing Energy (kWh)]]</f>
        <v>0</v>
      </c>
      <c r="BD91" s="118">
        <f>ReviewCalcs[[#This Row],[Fixture Proposed Energy (kWh)]]+ReviewCalcs[[#This Row],[Control Proposed Energy (kWh)]]</f>
        <v>0</v>
      </c>
      <c r="BE91" s="118">
        <f>ReviewCalcs[[#This Row],[Fixture Energy Savings]]+ReviewCalcs[[#This Row],[Control Energy Savings (kWh)]]</f>
        <v>0</v>
      </c>
      <c r="BF91" s="118">
        <f>ReviewCalcs[[#This Row],[Fixture Existing Cost ($)]]+ReviewCalcs[[#This Row],[Control Existing Cost ($)]]</f>
        <v>0</v>
      </c>
      <c r="BG91" s="118">
        <f>ReviewCalcs[[#This Row],[Fixture Proposed Cost ($)]]+ReviewCalcs[[#This Row],[Controls Proposed Cost ($)]]</f>
        <v>0</v>
      </c>
      <c r="BH91" s="70">
        <f>ReviewCalcs[[#This Row],[Total Energy Savings (kWh)]]*Avg_KWh_Rate</f>
        <v>0</v>
      </c>
      <c r="BI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1" s="70">
        <f>ReviewCalcs[[#This Row],[Retrofit Cost]]</f>
        <v>0</v>
      </c>
      <c r="BK91" s="70">
        <f>ReviewCalcs[[#This Row],[Retrofit Cost]]-ReviewCalcs[[#This Row],[Incentive ($)]]</f>
        <v>0</v>
      </c>
      <c r="BL91" s="118" t="e">
        <f>IFERROR(ReviewCalcs[[#This Row],[Net Project Cost ($)]]/ReviewCalcs[[#This Row],[Fixture Energy Cost Savings ($)]], #N/A)</f>
        <v>#N/A</v>
      </c>
      <c r="BM91" s="118" t="e">
        <f>IF(VLOOKUP(ReviewCalcs[[#This Row],[Existing Fixture Code]], Table7[[FIXTURE CODE]:[Baseline Fixture Code]], 8, FALSE)="N", VLOOKUP(ReviewCalcs[[#This Row],[Existing Fixture Code]], Table7[[FIXTURE CODE]:[Baseline Fixture Code]], 9, FALSE), ReviewCalcs[[#This Row],[Existing Fixture Code]])</f>
        <v>#N/A</v>
      </c>
      <c r="BN91" s="118" t="e">
        <f>INDEX(Table7[WATT/ FIXT], MATCH(ReviewCalcs[Baseline Fixture Code], Table7[FIXTURE CODE], 0))</f>
        <v>#N/A</v>
      </c>
      <c r="BO91" s="118">
        <f>IFERROR((ReviewCalcs[[#This Row],[Existing Fixture Quantity]]*ReviewCalcs[[#This Row],[Baseline Fixture Watts]]/1000-ReviewCalcs[[#This Row],[Proposed Fixture Quantity]]*ReviewCalcs[[#This Row],[Proposed Fixture Watts]]/1000)*ReviewCalcs[[#This Row],[Existing CF]]*ReviewCalcs[[#This Row],[IEFD]], 0)</f>
        <v>0</v>
      </c>
      <c r="BP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1" s="118">
        <f>IF(ReviewCalcs[[#This Row],[Existing CF]]=ReviewCalcs[[#This Row],[Proposed CF]], 0, ReviewCalcs[[#This Row],[Proposed Fixture Quantity]]*ReviewCalcs[[#This Row],[Proposed Fixture Watts]]/1000*ReviewCalcs[[#This Row],[Proposed CF]]*ReviewCalcs[[#This Row],[IEFD]])</f>
        <v>0</v>
      </c>
      <c r="BR91" s="118">
        <f>IFERROR(ReviewCalcs[[#This Row],[Proposed Fixture Quantity]]*ReviewCalcs[[#This Row],[Proposed Fixture Watts]]/1000*(ReviewCalcs[[#This Row],[Existing PAF]]-ReviewCalcs[[#This Row],[Proposed PAF]])*ReviewCalcs[[#This Row],[AOH]]*ReviewCalcs[[#This Row],[IEFE]],0)</f>
        <v>0</v>
      </c>
      <c r="BS91" s="118">
        <f>ReviewCalcs[[#This Row],[Incentive Fixture Demand Savings (kW)]]+ReviewCalcs[[#This Row],[Incentive Control Demand Savings (kW)]]</f>
        <v>0</v>
      </c>
      <c r="BT91" s="118">
        <f>ReviewCalcs[[#This Row],[Incentive Fixture Energy Savings (kWh)]]+ReviewCalcs[[#This Row],[Incentive Control Energy Savings (kWh)]]</f>
        <v>0</v>
      </c>
      <c r="BU91" s="73"/>
    </row>
    <row r="92" spans="1:73" ht="30" customHeight="1">
      <c r="A92" s="68">
        <v>89</v>
      </c>
      <c r="B92" s="96">
        <f>VLOOKUP(ReviewCalcs[[#This Row],[Project Index]], ProjectInput[], D$1, FALSE)</f>
        <v>0</v>
      </c>
      <c r="C92" s="97">
        <f>VLOOKUP(ReviewCalcs[[#This Row],[Project Index]], ProjectInput[], E$1, FALSE)</f>
        <v>0</v>
      </c>
      <c r="D92" s="97">
        <f>VLOOKUP(ReviewCalcs[[#This Row],[Project Index]], ProjectInput[], F$1, FALSE)</f>
        <v>0</v>
      </c>
      <c r="E92" s="97">
        <f>VLOOKUP(ReviewCalcs[[#This Row],[Project Index]], ProjectInput[], G$1, FALSE)</f>
        <v>0</v>
      </c>
      <c r="F92" s="97">
        <f>VLOOKUP(ReviewCalcs[[#This Row],[Project Index]], ProjectInput[], H$1, FALSE)</f>
        <v>0</v>
      </c>
      <c r="G92" s="98" t="str">
        <f>VLOOKUP(ReviewCalcs[[#This Row],[Project Index]], ProjectInput[], I$1, FALSE)</f>
        <v/>
      </c>
      <c r="H92" s="96">
        <f>VLOOKUP(ReviewCalcs[[#This Row],[Project Index]], ProjectInput[], J$1, FALSE)</f>
        <v>0</v>
      </c>
      <c r="I92" s="97">
        <f>VLOOKUP(ReviewCalcs[[#This Row],[Project Index]], ProjectInput[], K$1, FALSE)</f>
        <v>0</v>
      </c>
      <c r="J92" s="97">
        <f>VLOOKUP(ReviewCalcs[[#This Row],[Project Index]], ProjectInput[], L$1, FALSE)</f>
        <v>0</v>
      </c>
      <c r="K92" s="97">
        <f>VLOOKUP(ReviewCalcs[[#This Row],[Project Index]], ProjectInput[], M$1, FALSE)</f>
        <v>0</v>
      </c>
      <c r="L92" s="97">
        <f>VLOOKUP(ReviewCalcs[[#This Row],[Project Index]], ProjectInput[], N$1, FALSE)</f>
        <v>0</v>
      </c>
      <c r="M92" s="98" t="str">
        <f>VLOOKUP(ReviewCalcs[[#This Row],[Project Index]], ProjectInput[], O$1, FALSE)</f>
        <v/>
      </c>
      <c r="N92" s="96">
        <f>VLOOKUP(ReviewCalcs[[#This Row],[Project Index]], ProjectInput[], P$1, FALSE)</f>
        <v>0</v>
      </c>
      <c r="O92" s="97">
        <f>VLOOKUP(ReviewCalcs[[#This Row],[Project Index]], ProjectInput[], Q$1, FALSE)</f>
        <v>0</v>
      </c>
      <c r="P92" s="97">
        <f>VLOOKUP(ReviewCalcs[[#This Row],[Project Index]], ProjectInput[], R$1, FALSE)</f>
        <v>0</v>
      </c>
      <c r="Q92" s="97">
        <f>VLOOKUP(ReviewCalcs[[#This Row],[Project Index]], ProjectInput[], S$1, FALSE)</f>
        <v>0</v>
      </c>
      <c r="R92" s="97">
        <f>VLOOKUP(ReviewCalcs[[#This Row],[Project Index]], ProjectInput[], T$1, FALSE)</f>
        <v>0</v>
      </c>
      <c r="S92" s="97">
        <f>VLOOKUP(ReviewCalcs[[#This Row],[Project Index]], ProjectInput[], U$1, FALSE)</f>
        <v>0</v>
      </c>
      <c r="T92" s="97">
        <f>VLOOKUP(ReviewCalcs[[#This Row],[Project Index]], ProjectInput[], V$1, FALSE)</f>
        <v>0</v>
      </c>
      <c r="U92" s="97">
        <f>VLOOKUP(ReviewCalcs[[#This Row],[Project Index]], ProjectInput[], W$1, FALSE)</f>
        <v>0</v>
      </c>
      <c r="V92" s="98" t="str">
        <f>VLOOKUP(ReviewCalcs[[#This Row],[Project Index]], ProjectInput[], X$1, FALSE)</f>
        <v/>
      </c>
      <c r="W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2" s="75" t="e">
        <f>IF(VLOOKUP(ReviewCalcs[[#This Row],[Proposed Fixture Code]], Table7[[FIXTURE CODE]:[Baseline Fixture Code]], 8, FALSE)="N", "ERROR", "PASS")</f>
        <v>#N/A</v>
      </c>
      <c r="Y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2" s="75" t="e">
        <f>IF(OR(ReviewCalcs[[#This Row],[Baseline Fixture Watts]]&gt;=ReviewCalcs[[#This Row],[Proposed Fixture Watts]],ReviewCalcs[[#This Row],[Existing Fixture Watts]]&gt;=ReviewCalcs[[#This Row],[Proposed Fixture Watts]] ), "PASS", "ERROR")</f>
        <v>#N/A</v>
      </c>
      <c r="AA92" s="69" t="e">
        <f>VLOOKUP(ReviewCalcs[[#This Row],[Space Conditions]], Table_365[], 5, FALSE)</f>
        <v>#N/A</v>
      </c>
      <c r="AB92" s="68" t="str">
        <f>ReviewCalcs[[#This Row],[Annual Hours]]</f>
        <v/>
      </c>
      <c r="AC92" s="68" t="e">
        <f>VLOOKUP(ReviewCalcs[[#This Row],[Space Conditions]], Table_365[], 6, FALSE)</f>
        <v>#N/A</v>
      </c>
      <c r="AD92" s="68">
        <f>IF(ReviewCalcs[[#This Row],[Existing Control(s)]]='Tables &amp; Ranges'!$A$25, VLOOKUP(ReviewCalcs[[#This Row],[Building/Space Type]], Table_364[], 3, FALSE), CF_Contols)</f>
        <v>0.26</v>
      </c>
      <c r="AE92" s="68" t="e">
        <f>VLOOKUP(ReviewCalcs[[#This Row],[Existing Control(s)]], Table_358[], 2, FALSE)</f>
        <v>#N/A</v>
      </c>
      <c r="AF92" s="68">
        <f>IF(ReviewCalcs[[#This Row],[Proposed Control(s)]]='Tables &amp; Ranges'!$A$25, VLOOKUP(ReviewCalcs[[#This Row],[Building/Space Type]], Table_364[], 3, FALSE), CF_Contols)</f>
        <v>0.26</v>
      </c>
      <c r="AG92" s="68" t="e">
        <f>VLOOKUP(ReviewCalcs[[#This Row],[Proposed Control(s)]], Table_358[], 2, FALSE)</f>
        <v>#N/A</v>
      </c>
      <c r="AH92" s="68">
        <f>IFERROR((ReviewCalcs[[#This Row],[Existing Fixture Quantity]]*ReviewCalcs[[#This Row],[Existing Fixture Watts]]/1000)*ReviewCalcs[[#This Row],[Existing CF]]*ReviewCalcs[[#This Row],[IEFD]], 0)</f>
        <v>0</v>
      </c>
      <c r="AI92" s="68">
        <f>IFERROR((ReviewCalcs[[#This Row],[Proposed Fixture Quantity]]*ReviewCalcs[[#This Row],[Proposed Fixture Watts]]/1000)*ReviewCalcs[[#This Row],[Existing CF]]*ReviewCalcs[[#This Row],[IEFD]], 0)</f>
        <v>0</v>
      </c>
      <c r="AJ92" s="118">
        <f>IFERROR((ReviewCalcs[[#This Row],[Existing Fixture Quantity]]*ReviewCalcs[[#This Row],[Existing Fixture Watts]]/1000-ReviewCalcs[[#This Row],[Proposed Fixture Quantity]]*ReviewCalcs[[#This Row],[Proposed Fixture Watts]]/1000)*ReviewCalcs[[#This Row],[Existing CF]]*ReviewCalcs[[#This Row],[IEFD]], 0)</f>
        <v>0</v>
      </c>
      <c r="AK92" s="118">
        <f>IFERROR((ReviewCalcs[[#This Row],[Existing Fixture Quantity]]*ReviewCalcs[[#This Row],[Existing Fixture Watts]]/1000)*ReviewCalcs[[#This Row],[AOH]]*ReviewCalcs[[#This Row],[IEFE]]*ReviewCalcs[[#This Row],[Existing PAF]], 0)</f>
        <v>0</v>
      </c>
      <c r="AL92" s="118">
        <f>IFERROR((ReviewCalcs[[#This Row],[Proposed Fixture Quantity]]*ReviewCalcs[[#This Row],[Proposed Fixture Watts]]/1000)*ReviewCalcs[[#This Row],[AOH]]*ReviewCalcs[[#This Row],[IEFE]]*ReviewCalcs[[#This Row],[Existing PAF]], 0)</f>
        <v>0</v>
      </c>
      <c r="AM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2" s="118">
        <f>ReviewCalcs[[#This Row],[Fixture Existing Energy (kWh)]]*Avg_KWh_Rate</f>
        <v>0</v>
      </c>
      <c r="AO92" s="118">
        <f>ReviewCalcs[[#This Row],[Fixture Proposed Energy (kWh)]]*Avg_KWh_Rate</f>
        <v>0</v>
      </c>
      <c r="AP92" s="70">
        <f>ReviewCalcs[[#This Row],[Fixture Energy Savings]]*Avg_KWh_Rate</f>
        <v>0</v>
      </c>
      <c r="AQ92" s="129" t="e">
        <f>ReviewCalcs[[#This Row],[Existing Fixture Quantity]]*ReviewCalcs[[#This Row],[Existing Fixture Watts]]/1000*ReviewCalcs[[#This Row],[Existing CF]]*ReviewCalcs[[#This Row],[IEFD]]</f>
        <v>#VALUE!</v>
      </c>
      <c r="AR92" s="129" t="e">
        <f>ReviewCalcs[[#This Row],[Proposed Fixture Quantity]]*ReviewCalcs[[#This Row],[Proposed Fixture Watts]]/1000*ReviewCalcs[[#This Row],[Proposed CF]]*ReviewCalcs[[#This Row],[IEFD]]</f>
        <v>#VALUE!</v>
      </c>
      <c r="AS92" s="118">
        <f>IF(ReviewCalcs[[#This Row],[Existing CF]]=ReviewCalcs[[#This Row],[Proposed CF]], 0, ReviewCalcs[[#This Row],[Proposed Fixture Quantity]]*ReviewCalcs[[#This Row],[Proposed Fixture Watts]]/1000*ReviewCalcs[[#This Row],[Proposed CF]]*ReviewCalcs[[#This Row],[IEFD]])</f>
        <v>0</v>
      </c>
      <c r="AT92" s="118">
        <f>IFERROR(ReviewCalcs[[#This Row],[Existing Fixture Quantity]]*ReviewCalcs[[#This Row],[Existing Fixture Watts]]/1000*ReviewCalcs[[#This Row],[Existing PAF]]*ReviewCalcs[[#This Row],[AOH]]*ReviewCalcs[[#This Row],[IEFE]], 0)</f>
        <v>0</v>
      </c>
      <c r="AU92" s="118">
        <f>IFERROR(ReviewCalcs[[#This Row],[Proposed Fixture Quantity]]*ReviewCalcs[[#This Row],[Proposed Fixture Watts]]/1000*ReviewCalcs[[#This Row],[Proposed PAF]]*ReviewCalcs[[#This Row],[AOH]]*ReviewCalcs[[#This Row],[IEFE]], 0)</f>
        <v>0</v>
      </c>
      <c r="AV92" s="118">
        <f>IFERROR(ReviewCalcs[[#This Row],[Proposed Fixture Quantity]]*ReviewCalcs[[#This Row],[Proposed Fixture Watts]]/1000*(ReviewCalcs[[#This Row],[Existing PAF]]-ReviewCalcs[[#This Row],[Proposed PAF]])*ReviewCalcs[[#This Row],[AOH]]*ReviewCalcs[[#This Row],[IEFE]], 0)</f>
        <v>0</v>
      </c>
      <c r="AW92" s="118">
        <f>ReviewCalcs[[#This Row],[Control Existing Energy (kWh)]]*kWh_Incentive_Rate</f>
        <v>0</v>
      </c>
      <c r="AX92" s="118">
        <f>ReviewCalcs[[#This Row],[Control Proposed Energy (kWh)]]*kWh_Incentive_Rate</f>
        <v>0</v>
      </c>
      <c r="AY92" s="70">
        <f>ReviewCalcs[[#This Row],[Control Energy Savings (kWh)]]*kWh_Incentive_Rate</f>
        <v>0</v>
      </c>
      <c r="AZ92" s="70" t="e">
        <f>ReviewCalcs[[#This Row],[Fixture Existing Demand (kW)]]+ReviewCalcs[[#This Row],[Control Existing Demand (kW)]]</f>
        <v>#VALUE!</v>
      </c>
      <c r="BA92" s="70" t="e">
        <f>ReviewCalcs[[#This Row],[Fixture Proposed Demand (kW)]]+ReviewCalcs[[#This Row],[Control Proposed Demand (kW)]]</f>
        <v>#VALUE!</v>
      </c>
      <c r="BB92" s="118">
        <f>ReviewCalcs[[#This Row],[Fixture Demand Savings (kW)]]+ReviewCalcs[[#This Row],[Control Demand Savings (kW)]]</f>
        <v>0</v>
      </c>
      <c r="BC92" s="118">
        <f>ReviewCalcs[[#This Row],[Fixture Existing Energy (kWh)]]+ReviewCalcs[[#This Row],[Control Existing Energy (kWh)]]</f>
        <v>0</v>
      </c>
      <c r="BD92" s="118">
        <f>ReviewCalcs[[#This Row],[Fixture Proposed Energy (kWh)]]+ReviewCalcs[[#This Row],[Control Proposed Energy (kWh)]]</f>
        <v>0</v>
      </c>
      <c r="BE92" s="118">
        <f>ReviewCalcs[[#This Row],[Fixture Energy Savings]]+ReviewCalcs[[#This Row],[Control Energy Savings (kWh)]]</f>
        <v>0</v>
      </c>
      <c r="BF92" s="118">
        <f>ReviewCalcs[[#This Row],[Fixture Existing Cost ($)]]+ReviewCalcs[[#This Row],[Control Existing Cost ($)]]</f>
        <v>0</v>
      </c>
      <c r="BG92" s="118">
        <f>ReviewCalcs[[#This Row],[Fixture Proposed Cost ($)]]+ReviewCalcs[[#This Row],[Controls Proposed Cost ($)]]</f>
        <v>0</v>
      </c>
      <c r="BH92" s="70">
        <f>ReviewCalcs[[#This Row],[Total Energy Savings (kWh)]]*Avg_KWh_Rate</f>
        <v>0</v>
      </c>
      <c r="BI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2" s="70">
        <f>ReviewCalcs[[#This Row],[Retrofit Cost]]</f>
        <v>0</v>
      </c>
      <c r="BK92" s="70">
        <f>ReviewCalcs[[#This Row],[Retrofit Cost]]-ReviewCalcs[[#This Row],[Incentive ($)]]</f>
        <v>0</v>
      </c>
      <c r="BL92" s="118" t="e">
        <f>IFERROR(ReviewCalcs[[#This Row],[Net Project Cost ($)]]/ReviewCalcs[[#This Row],[Fixture Energy Cost Savings ($)]], #N/A)</f>
        <v>#N/A</v>
      </c>
      <c r="BM92" s="118" t="e">
        <f>IF(VLOOKUP(ReviewCalcs[[#This Row],[Existing Fixture Code]], Table7[[FIXTURE CODE]:[Baseline Fixture Code]], 8, FALSE)="N", VLOOKUP(ReviewCalcs[[#This Row],[Existing Fixture Code]], Table7[[FIXTURE CODE]:[Baseline Fixture Code]], 9, FALSE), ReviewCalcs[[#This Row],[Existing Fixture Code]])</f>
        <v>#N/A</v>
      </c>
      <c r="BN92" s="118" t="e">
        <f>INDEX(Table7[WATT/ FIXT], MATCH(ReviewCalcs[Baseline Fixture Code], Table7[FIXTURE CODE], 0))</f>
        <v>#N/A</v>
      </c>
      <c r="BO92" s="118">
        <f>IFERROR((ReviewCalcs[[#This Row],[Existing Fixture Quantity]]*ReviewCalcs[[#This Row],[Baseline Fixture Watts]]/1000-ReviewCalcs[[#This Row],[Proposed Fixture Quantity]]*ReviewCalcs[[#This Row],[Proposed Fixture Watts]]/1000)*ReviewCalcs[[#This Row],[Existing CF]]*ReviewCalcs[[#This Row],[IEFD]], 0)</f>
        <v>0</v>
      </c>
      <c r="BP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2" s="118">
        <f>IF(ReviewCalcs[[#This Row],[Existing CF]]=ReviewCalcs[[#This Row],[Proposed CF]], 0, ReviewCalcs[[#This Row],[Proposed Fixture Quantity]]*ReviewCalcs[[#This Row],[Proposed Fixture Watts]]/1000*ReviewCalcs[[#This Row],[Proposed CF]]*ReviewCalcs[[#This Row],[IEFD]])</f>
        <v>0</v>
      </c>
      <c r="BR92" s="118">
        <f>IFERROR(ReviewCalcs[[#This Row],[Proposed Fixture Quantity]]*ReviewCalcs[[#This Row],[Proposed Fixture Watts]]/1000*(ReviewCalcs[[#This Row],[Existing PAF]]-ReviewCalcs[[#This Row],[Proposed PAF]])*ReviewCalcs[[#This Row],[AOH]]*ReviewCalcs[[#This Row],[IEFE]],0)</f>
        <v>0</v>
      </c>
      <c r="BS92" s="118">
        <f>ReviewCalcs[[#This Row],[Incentive Fixture Demand Savings (kW)]]+ReviewCalcs[[#This Row],[Incentive Control Demand Savings (kW)]]</f>
        <v>0</v>
      </c>
      <c r="BT92" s="118">
        <f>ReviewCalcs[[#This Row],[Incentive Fixture Energy Savings (kWh)]]+ReviewCalcs[[#This Row],[Incentive Control Energy Savings (kWh)]]</f>
        <v>0</v>
      </c>
      <c r="BU92" s="73"/>
    </row>
    <row r="93" spans="1:73" ht="30" customHeight="1">
      <c r="A93" s="68">
        <v>90</v>
      </c>
      <c r="B93" s="96">
        <f>VLOOKUP(ReviewCalcs[[#This Row],[Project Index]], ProjectInput[], D$1, FALSE)</f>
        <v>0</v>
      </c>
      <c r="C93" s="97">
        <f>VLOOKUP(ReviewCalcs[[#This Row],[Project Index]], ProjectInput[], E$1, FALSE)</f>
        <v>0</v>
      </c>
      <c r="D93" s="97">
        <f>VLOOKUP(ReviewCalcs[[#This Row],[Project Index]], ProjectInput[], F$1, FALSE)</f>
        <v>0</v>
      </c>
      <c r="E93" s="97">
        <f>VLOOKUP(ReviewCalcs[[#This Row],[Project Index]], ProjectInput[], G$1, FALSE)</f>
        <v>0</v>
      </c>
      <c r="F93" s="97">
        <f>VLOOKUP(ReviewCalcs[[#This Row],[Project Index]], ProjectInput[], H$1, FALSE)</f>
        <v>0</v>
      </c>
      <c r="G93" s="98" t="str">
        <f>VLOOKUP(ReviewCalcs[[#This Row],[Project Index]], ProjectInput[], I$1, FALSE)</f>
        <v/>
      </c>
      <c r="H93" s="96">
        <f>VLOOKUP(ReviewCalcs[[#This Row],[Project Index]], ProjectInput[], J$1, FALSE)</f>
        <v>0</v>
      </c>
      <c r="I93" s="97">
        <f>VLOOKUP(ReviewCalcs[[#This Row],[Project Index]], ProjectInput[], K$1, FALSE)</f>
        <v>0</v>
      </c>
      <c r="J93" s="97">
        <f>VLOOKUP(ReviewCalcs[[#This Row],[Project Index]], ProjectInput[], L$1, FALSE)</f>
        <v>0</v>
      </c>
      <c r="K93" s="97">
        <f>VLOOKUP(ReviewCalcs[[#This Row],[Project Index]], ProjectInput[], M$1, FALSE)</f>
        <v>0</v>
      </c>
      <c r="L93" s="97">
        <f>VLOOKUP(ReviewCalcs[[#This Row],[Project Index]], ProjectInput[], N$1, FALSE)</f>
        <v>0</v>
      </c>
      <c r="M93" s="98" t="str">
        <f>VLOOKUP(ReviewCalcs[[#This Row],[Project Index]], ProjectInput[], O$1, FALSE)</f>
        <v/>
      </c>
      <c r="N93" s="96">
        <f>VLOOKUP(ReviewCalcs[[#This Row],[Project Index]], ProjectInput[], P$1, FALSE)</f>
        <v>0</v>
      </c>
      <c r="O93" s="97">
        <f>VLOOKUP(ReviewCalcs[[#This Row],[Project Index]], ProjectInput[], Q$1, FALSE)</f>
        <v>0</v>
      </c>
      <c r="P93" s="97">
        <f>VLOOKUP(ReviewCalcs[[#This Row],[Project Index]], ProjectInput[], R$1, FALSE)</f>
        <v>0</v>
      </c>
      <c r="Q93" s="97">
        <f>VLOOKUP(ReviewCalcs[[#This Row],[Project Index]], ProjectInput[], S$1, FALSE)</f>
        <v>0</v>
      </c>
      <c r="R93" s="97">
        <f>VLOOKUP(ReviewCalcs[[#This Row],[Project Index]], ProjectInput[], T$1, FALSE)</f>
        <v>0</v>
      </c>
      <c r="S93" s="97">
        <f>VLOOKUP(ReviewCalcs[[#This Row],[Project Index]], ProjectInput[], U$1, FALSE)</f>
        <v>0</v>
      </c>
      <c r="T93" s="97">
        <f>VLOOKUP(ReviewCalcs[[#This Row],[Project Index]], ProjectInput[], V$1, FALSE)</f>
        <v>0</v>
      </c>
      <c r="U93" s="97">
        <f>VLOOKUP(ReviewCalcs[[#This Row],[Project Index]], ProjectInput[], W$1, FALSE)</f>
        <v>0</v>
      </c>
      <c r="V93" s="98" t="str">
        <f>VLOOKUP(ReviewCalcs[[#This Row],[Project Index]], ProjectInput[], X$1, FALSE)</f>
        <v/>
      </c>
      <c r="W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3" s="75" t="e">
        <f>IF(VLOOKUP(ReviewCalcs[[#This Row],[Proposed Fixture Code]], Table7[[FIXTURE CODE]:[Baseline Fixture Code]], 8, FALSE)="N", "ERROR", "PASS")</f>
        <v>#N/A</v>
      </c>
      <c r="Y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3" s="75" t="e">
        <f>IF(OR(ReviewCalcs[[#This Row],[Baseline Fixture Watts]]&gt;=ReviewCalcs[[#This Row],[Proposed Fixture Watts]],ReviewCalcs[[#This Row],[Existing Fixture Watts]]&gt;=ReviewCalcs[[#This Row],[Proposed Fixture Watts]] ), "PASS", "ERROR")</f>
        <v>#N/A</v>
      </c>
      <c r="AA93" s="69" t="e">
        <f>VLOOKUP(ReviewCalcs[[#This Row],[Space Conditions]], Table_365[], 5, FALSE)</f>
        <v>#N/A</v>
      </c>
      <c r="AB93" s="68" t="str">
        <f>ReviewCalcs[[#This Row],[Annual Hours]]</f>
        <v/>
      </c>
      <c r="AC93" s="68" t="e">
        <f>VLOOKUP(ReviewCalcs[[#This Row],[Space Conditions]], Table_365[], 6, FALSE)</f>
        <v>#N/A</v>
      </c>
      <c r="AD93" s="68">
        <f>IF(ReviewCalcs[[#This Row],[Existing Control(s)]]='Tables &amp; Ranges'!$A$25, VLOOKUP(ReviewCalcs[[#This Row],[Building/Space Type]], Table_364[], 3, FALSE), CF_Contols)</f>
        <v>0.26</v>
      </c>
      <c r="AE93" s="68" t="e">
        <f>VLOOKUP(ReviewCalcs[[#This Row],[Existing Control(s)]], Table_358[], 2, FALSE)</f>
        <v>#N/A</v>
      </c>
      <c r="AF93" s="68">
        <f>IF(ReviewCalcs[[#This Row],[Proposed Control(s)]]='Tables &amp; Ranges'!$A$25, VLOOKUP(ReviewCalcs[[#This Row],[Building/Space Type]], Table_364[], 3, FALSE), CF_Contols)</f>
        <v>0.26</v>
      </c>
      <c r="AG93" s="68" t="e">
        <f>VLOOKUP(ReviewCalcs[[#This Row],[Proposed Control(s)]], Table_358[], 2, FALSE)</f>
        <v>#N/A</v>
      </c>
      <c r="AH93" s="68">
        <f>IFERROR((ReviewCalcs[[#This Row],[Existing Fixture Quantity]]*ReviewCalcs[[#This Row],[Existing Fixture Watts]]/1000)*ReviewCalcs[[#This Row],[Existing CF]]*ReviewCalcs[[#This Row],[IEFD]], 0)</f>
        <v>0</v>
      </c>
      <c r="AI93" s="68">
        <f>IFERROR((ReviewCalcs[[#This Row],[Proposed Fixture Quantity]]*ReviewCalcs[[#This Row],[Proposed Fixture Watts]]/1000)*ReviewCalcs[[#This Row],[Existing CF]]*ReviewCalcs[[#This Row],[IEFD]], 0)</f>
        <v>0</v>
      </c>
      <c r="AJ93" s="118">
        <f>IFERROR((ReviewCalcs[[#This Row],[Existing Fixture Quantity]]*ReviewCalcs[[#This Row],[Existing Fixture Watts]]/1000-ReviewCalcs[[#This Row],[Proposed Fixture Quantity]]*ReviewCalcs[[#This Row],[Proposed Fixture Watts]]/1000)*ReviewCalcs[[#This Row],[Existing CF]]*ReviewCalcs[[#This Row],[IEFD]], 0)</f>
        <v>0</v>
      </c>
      <c r="AK93" s="118">
        <f>IFERROR((ReviewCalcs[[#This Row],[Existing Fixture Quantity]]*ReviewCalcs[[#This Row],[Existing Fixture Watts]]/1000)*ReviewCalcs[[#This Row],[AOH]]*ReviewCalcs[[#This Row],[IEFE]]*ReviewCalcs[[#This Row],[Existing PAF]], 0)</f>
        <v>0</v>
      </c>
      <c r="AL93" s="118">
        <f>IFERROR((ReviewCalcs[[#This Row],[Proposed Fixture Quantity]]*ReviewCalcs[[#This Row],[Proposed Fixture Watts]]/1000)*ReviewCalcs[[#This Row],[AOH]]*ReviewCalcs[[#This Row],[IEFE]]*ReviewCalcs[[#This Row],[Existing PAF]], 0)</f>
        <v>0</v>
      </c>
      <c r="AM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3" s="118">
        <f>ReviewCalcs[[#This Row],[Fixture Existing Energy (kWh)]]*Avg_KWh_Rate</f>
        <v>0</v>
      </c>
      <c r="AO93" s="118">
        <f>ReviewCalcs[[#This Row],[Fixture Proposed Energy (kWh)]]*Avg_KWh_Rate</f>
        <v>0</v>
      </c>
      <c r="AP93" s="70">
        <f>ReviewCalcs[[#This Row],[Fixture Energy Savings]]*Avg_KWh_Rate</f>
        <v>0</v>
      </c>
      <c r="AQ93" s="129" t="e">
        <f>ReviewCalcs[[#This Row],[Existing Fixture Quantity]]*ReviewCalcs[[#This Row],[Existing Fixture Watts]]/1000*ReviewCalcs[[#This Row],[Existing CF]]*ReviewCalcs[[#This Row],[IEFD]]</f>
        <v>#VALUE!</v>
      </c>
      <c r="AR93" s="129" t="e">
        <f>ReviewCalcs[[#This Row],[Proposed Fixture Quantity]]*ReviewCalcs[[#This Row],[Proposed Fixture Watts]]/1000*ReviewCalcs[[#This Row],[Proposed CF]]*ReviewCalcs[[#This Row],[IEFD]]</f>
        <v>#VALUE!</v>
      </c>
      <c r="AS93" s="118">
        <f>IF(ReviewCalcs[[#This Row],[Existing CF]]=ReviewCalcs[[#This Row],[Proposed CF]], 0, ReviewCalcs[[#This Row],[Proposed Fixture Quantity]]*ReviewCalcs[[#This Row],[Proposed Fixture Watts]]/1000*ReviewCalcs[[#This Row],[Proposed CF]]*ReviewCalcs[[#This Row],[IEFD]])</f>
        <v>0</v>
      </c>
      <c r="AT93" s="118">
        <f>IFERROR(ReviewCalcs[[#This Row],[Existing Fixture Quantity]]*ReviewCalcs[[#This Row],[Existing Fixture Watts]]/1000*ReviewCalcs[[#This Row],[Existing PAF]]*ReviewCalcs[[#This Row],[AOH]]*ReviewCalcs[[#This Row],[IEFE]], 0)</f>
        <v>0</v>
      </c>
      <c r="AU93" s="118">
        <f>IFERROR(ReviewCalcs[[#This Row],[Proposed Fixture Quantity]]*ReviewCalcs[[#This Row],[Proposed Fixture Watts]]/1000*ReviewCalcs[[#This Row],[Proposed PAF]]*ReviewCalcs[[#This Row],[AOH]]*ReviewCalcs[[#This Row],[IEFE]], 0)</f>
        <v>0</v>
      </c>
      <c r="AV93" s="118">
        <f>IFERROR(ReviewCalcs[[#This Row],[Proposed Fixture Quantity]]*ReviewCalcs[[#This Row],[Proposed Fixture Watts]]/1000*(ReviewCalcs[[#This Row],[Existing PAF]]-ReviewCalcs[[#This Row],[Proposed PAF]])*ReviewCalcs[[#This Row],[AOH]]*ReviewCalcs[[#This Row],[IEFE]], 0)</f>
        <v>0</v>
      </c>
      <c r="AW93" s="118">
        <f>ReviewCalcs[[#This Row],[Control Existing Energy (kWh)]]*kWh_Incentive_Rate</f>
        <v>0</v>
      </c>
      <c r="AX93" s="118">
        <f>ReviewCalcs[[#This Row],[Control Proposed Energy (kWh)]]*kWh_Incentive_Rate</f>
        <v>0</v>
      </c>
      <c r="AY93" s="70">
        <f>ReviewCalcs[[#This Row],[Control Energy Savings (kWh)]]*kWh_Incentive_Rate</f>
        <v>0</v>
      </c>
      <c r="AZ93" s="70" t="e">
        <f>ReviewCalcs[[#This Row],[Fixture Existing Demand (kW)]]+ReviewCalcs[[#This Row],[Control Existing Demand (kW)]]</f>
        <v>#VALUE!</v>
      </c>
      <c r="BA93" s="70" t="e">
        <f>ReviewCalcs[[#This Row],[Fixture Proposed Demand (kW)]]+ReviewCalcs[[#This Row],[Control Proposed Demand (kW)]]</f>
        <v>#VALUE!</v>
      </c>
      <c r="BB93" s="118">
        <f>ReviewCalcs[[#This Row],[Fixture Demand Savings (kW)]]+ReviewCalcs[[#This Row],[Control Demand Savings (kW)]]</f>
        <v>0</v>
      </c>
      <c r="BC93" s="118">
        <f>ReviewCalcs[[#This Row],[Fixture Existing Energy (kWh)]]+ReviewCalcs[[#This Row],[Control Existing Energy (kWh)]]</f>
        <v>0</v>
      </c>
      <c r="BD93" s="118">
        <f>ReviewCalcs[[#This Row],[Fixture Proposed Energy (kWh)]]+ReviewCalcs[[#This Row],[Control Proposed Energy (kWh)]]</f>
        <v>0</v>
      </c>
      <c r="BE93" s="118">
        <f>ReviewCalcs[[#This Row],[Fixture Energy Savings]]+ReviewCalcs[[#This Row],[Control Energy Savings (kWh)]]</f>
        <v>0</v>
      </c>
      <c r="BF93" s="118">
        <f>ReviewCalcs[[#This Row],[Fixture Existing Cost ($)]]+ReviewCalcs[[#This Row],[Control Existing Cost ($)]]</f>
        <v>0</v>
      </c>
      <c r="BG93" s="118">
        <f>ReviewCalcs[[#This Row],[Fixture Proposed Cost ($)]]+ReviewCalcs[[#This Row],[Controls Proposed Cost ($)]]</f>
        <v>0</v>
      </c>
      <c r="BH93" s="70">
        <f>ReviewCalcs[[#This Row],[Total Energy Savings (kWh)]]*Avg_KWh_Rate</f>
        <v>0</v>
      </c>
      <c r="BI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3" s="70">
        <f>ReviewCalcs[[#This Row],[Retrofit Cost]]</f>
        <v>0</v>
      </c>
      <c r="BK93" s="70">
        <f>ReviewCalcs[[#This Row],[Retrofit Cost]]-ReviewCalcs[[#This Row],[Incentive ($)]]</f>
        <v>0</v>
      </c>
      <c r="BL93" s="118" t="e">
        <f>IFERROR(ReviewCalcs[[#This Row],[Net Project Cost ($)]]/ReviewCalcs[[#This Row],[Fixture Energy Cost Savings ($)]], #N/A)</f>
        <v>#N/A</v>
      </c>
      <c r="BM93" s="118" t="e">
        <f>IF(VLOOKUP(ReviewCalcs[[#This Row],[Existing Fixture Code]], Table7[[FIXTURE CODE]:[Baseline Fixture Code]], 8, FALSE)="N", VLOOKUP(ReviewCalcs[[#This Row],[Existing Fixture Code]], Table7[[FIXTURE CODE]:[Baseline Fixture Code]], 9, FALSE), ReviewCalcs[[#This Row],[Existing Fixture Code]])</f>
        <v>#N/A</v>
      </c>
      <c r="BN93" s="118" t="e">
        <f>INDEX(Table7[WATT/ FIXT], MATCH(ReviewCalcs[Baseline Fixture Code], Table7[FIXTURE CODE], 0))</f>
        <v>#N/A</v>
      </c>
      <c r="BO93" s="118">
        <f>IFERROR((ReviewCalcs[[#This Row],[Existing Fixture Quantity]]*ReviewCalcs[[#This Row],[Baseline Fixture Watts]]/1000-ReviewCalcs[[#This Row],[Proposed Fixture Quantity]]*ReviewCalcs[[#This Row],[Proposed Fixture Watts]]/1000)*ReviewCalcs[[#This Row],[Existing CF]]*ReviewCalcs[[#This Row],[IEFD]], 0)</f>
        <v>0</v>
      </c>
      <c r="BP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3" s="118">
        <f>IF(ReviewCalcs[[#This Row],[Existing CF]]=ReviewCalcs[[#This Row],[Proposed CF]], 0, ReviewCalcs[[#This Row],[Proposed Fixture Quantity]]*ReviewCalcs[[#This Row],[Proposed Fixture Watts]]/1000*ReviewCalcs[[#This Row],[Proposed CF]]*ReviewCalcs[[#This Row],[IEFD]])</f>
        <v>0</v>
      </c>
      <c r="BR93" s="118">
        <f>IFERROR(ReviewCalcs[[#This Row],[Proposed Fixture Quantity]]*ReviewCalcs[[#This Row],[Proposed Fixture Watts]]/1000*(ReviewCalcs[[#This Row],[Existing PAF]]-ReviewCalcs[[#This Row],[Proposed PAF]])*ReviewCalcs[[#This Row],[AOH]]*ReviewCalcs[[#This Row],[IEFE]],0)</f>
        <v>0</v>
      </c>
      <c r="BS93" s="118">
        <f>ReviewCalcs[[#This Row],[Incentive Fixture Demand Savings (kW)]]+ReviewCalcs[[#This Row],[Incentive Control Demand Savings (kW)]]</f>
        <v>0</v>
      </c>
      <c r="BT93" s="118">
        <f>ReviewCalcs[[#This Row],[Incentive Fixture Energy Savings (kWh)]]+ReviewCalcs[[#This Row],[Incentive Control Energy Savings (kWh)]]</f>
        <v>0</v>
      </c>
      <c r="BU93" s="73"/>
    </row>
    <row r="94" spans="1:73" ht="30" customHeight="1">
      <c r="A94" s="68">
        <v>91</v>
      </c>
      <c r="B94" s="96">
        <f>VLOOKUP(ReviewCalcs[[#This Row],[Project Index]], ProjectInput[], D$1, FALSE)</f>
        <v>0</v>
      </c>
      <c r="C94" s="97">
        <f>VLOOKUP(ReviewCalcs[[#This Row],[Project Index]], ProjectInput[], E$1, FALSE)</f>
        <v>0</v>
      </c>
      <c r="D94" s="97">
        <f>VLOOKUP(ReviewCalcs[[#This Row],[Project Index]], ProjectInput[], F$1, FALSE)</f>
        <v>0</v>
      </c>
      <c r="E94" s="97">
        <f>VLOOKUP(ReviewCalcs[[#This Row],[Project Index]], ProjectInput[], G$1, FALSE)</f>
        <v>0</v>
      </c>
      <c r="F94" s="97">
        <f>VLOOKUP(ReviewCalcs[[#This Row],[Project Index]], ProjectInput[], H$1, FALSE)</f>
        <v>0</v>
      </c>
      <c r="G94" s="98" t="str">
        <f>VLOOKUP(ReviewCalcs[[#This Row],[Project Index]], ProjectInput[], I$1, FALSE)</f>
        <v/>
      </c>
      <c r="H94" s="96">
        <f>VLOOKUP(ReviewCalcs[[#This Row],[Project Index]], ProjectInput[], J$1, FALSE)</f>
        <v>0</v>
      </c>
      <c r="I94" s="97">
        <f>VLOOKUP(ReviewCalcs[[#This Row],[Project Index]], ProjectInput[], K$1, FALSE)</f>
        <v>0</v>
      </c>
      <c r="J94" s="97">
        <f>VLOOKUP(ReviewCalcs[[#This Row],[Project Index]], ProjectInput[], L$1, FALSE)</f>
        <v>0</v>
      </c>
      <c r="K94" s="97">
        <f>VLOOKUP(ReviewCalcs[[#This Row],[Project Index]], ProjectInput[], M$1, FALSE)</f>
        <v>0</v>
      </c>
      <c r="L94" s="97">
        <f>VLOOKUP(ReviewCalcs[[#This Row],[Project Index]], ProjectInput[], N$1, FALSE)</f>
        <v>0</v>
      </c>
      <c r="M94" s="98" t="str">
        <f>VLOOKUP(ReviewCalcs[[#This Row],[Project Index]], ProjectInput[], O$1, FALSE)</f>
        <v/>
      </c>
      <c r="N94" s="96">
        <f>VLOOKUP(ReviewCalcs[[#This Row],[Project Index]], ProjectInput[], P$1, FALSE)</f>
        <v>0</v>
      </c>
      <c r="O94" s="97">
        <f>VLOOKUP(ReviewCalcs[[#This Row],[Project Index]], ProjectInput[], Q$1, FALSE)</f>
        <v>0</v>
      </c>
      <c r="P94" s="97">
        <f>VLOOKUP(ReviewCalcs[[#This Row],[Project Index]], ProjectInput[], R$1, FALSE)</f>
        <v>0</v>
      </c>
      <c r="Q94" s="97">
        <f>VLOOKUP(ReviewCalcs[[#This Row],[Project Index]], ProjectInput[], S$1, FALSE)</f>
        <v>0</v>
      </c>
      <c r="R94" s="97">
        <f>VLOOKUP(ReviewCalcs[[#This Row],[Project Index]], ProjectInput[], T$1, FALSE)</f>
        <v>0</v>
      </c>
      <c r="S94" s="97">
        <f>VLOOKUP(ReviewCalcs[[#This Row],[Project Index]], ProjectInput[], U$1, FALSE)</f>
        <v>0</v>
      </c>
      <c r="T94" s="97">
        <f>VLOOKUP(ReviewCalcs[[#This Row],[Project Index]], ProjectInput[], V$1, FALSE)</f>
        <v>0</v>
      </c>
      <c r="U94" s="97">
        <f>VLOOKUP(ReviewCalcs[[#This Row],[Project Index]], ProjectInput[], W$1, FALSE)</f>
        <v>0</v>
      </c>
      <c r="V94" s="98" t="str">
        <f>VLOOKUP(ReviewCalcs[[#This Row],[Project Index]], ProjectInput[], X$1, FALSE)</f>
        <v/>
      </c>
      <c r="W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4" s="75" t="e">
        <f>IF(VLOOKUP(ReviewCalcs[[#This Row],[Proposed Fixture Code]], Table7[[FIXTURE CODE]:[Baseline Fixture Code]], 8, FALSE)="N", "ERROR", "PASS")</f>
        <v>#N/A</v>
      </c>
      <c r="Y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4" s="75" t="e">
        <f>IF(OR(ReviewCalcs[[#This Row],[Baseline Fixture Watts]]&gt;=ReviewCalcs[[#This Row],[Proposed Fixture Watts]],ReviewCalcs[[#This Row],[Existing Fixture Watts]]&gt;=ReviewCalcs[[#This Row],[Proposed Fixture Watts]] ), "PASS", "ERROR")</f>
        <v>#N/A</v>
      </c>
      <c r="AA94" s="69" t="e">
        <f>VLOOKUP(ReviewCalcs[[#This Row],[Space Conditions]], Table_365[], 5, FALSE)</f>
        <v>#N/A</v>
      </c>
      <c r="AB94" s="68" t="str">
        <f>ReviewCalcs[[#This Row],[Annual Hours]]</f>
        <v/>
      </c>
      <c r="AC94" s="68" t="e">
        <f>VLOOKUP(ReviewCalcs[[#This Row],[Space Conditions]], Table_365[], 6, FALSE)</f>
        <v>#N/A</v>
      </c>
      <c r="AD94" s="68">
        <f>IF(ReviewCalcs[[#This Row],[Existing Control(s)]]='Tables &amp; Ranges'!$A$25, VLOOKUP(ReviewCalcs[[#This Row],[Building/Space Type]], Table_364[], 3, FALSE), CF_Contols)</f>
        <v>0.26</v>
      </c>
      <c r="AE94" s="68" t="e">
        <f>VLOOKUP(ReviewCalcs[[#This Row],[Existing Control(s)]], Table_358[], 2, FALSE)</f>
        <v>#N/A</v>
      </c>
      <c r="AF94" s="68">
        <f>IF(ReviewCalcs[[#This Row],[Proposed Control(s)]]='Tables &amp; Ranges'!$A$25, VLOOKUP(ReviewCalcs[[#This Row],[Building/Space Type]], Table_364[], 3, FALSE), CF_Contols)</f>
        <v>0.26</v>
      </c>
      <c r="AG94" s="68" t="e">
        <f>VLOOKUP(ReviewCalcs[[#This Row],[Proposed Control(s)]], Table_358[], 2, FALSE)</f>
        <v>#N/A</v>
      </c>
      <c r="AH94" s="68">
        <f>IFERROR((ReviewCalcs[[#This Row],[Existing Fixture Quantity]]*ReviewCalcs[[#This Row],[Existing Fixture Watts]]/1000)*ReviewCalcs[[#This Row],[Existing CF]]*ReviewCalcs[[#This Row],[IEFD]], 0)</f>
        <v>0</v>
      </c>
      <c r="AI94" s="68">
        <f>IFERROR((ReviewCalcs[[#This Row],[Proposed Fixture Quantity]]*ReviewCalcs[[#This Row],[Proposed Fixture Watts]]/1000)*ReviewCalcs[[#This Row],[Existing CF]]*ReviewCalcs[[#This Row],[IEFD]], 0)</f>
        <v>0</v>
      </c>
      <c r="AJ94" s="118">
        <f>IFERROR((ReviewCalcs[[#This Row],[Existing Fixture Quantity]]*ReviewCalcs[[#This Row],[Existing Fixture Watts]]/1000-ReviewCalcs[[#This Row],[Proposed Fixture Quantity]]*ReviewCalcs[[#This Row],[Proposed Fixture Watts]]/1000)*ReviewCalcs[[#This Row],[Existing CF]]*ReviewCalcs[[#This Row],[IEFD]], 0)</f>
        <v>0</v>
      </c>
      <c r="AK94" s="118">
        <f>IFERROR((ReviewCalcs[[#This Row],[Existing Fixture Quantity]]*ReviewCalcs[[#This Row],[Existing Fixture Watts]]/1000)*ReviewCalcs[[#This Row],[AOH]]*ReviewCalcs[[#This Row],[IEFE]]*ReviewCalcs[[#This Row],[Existing PAF]], 0)</f>
        <v>0</v>
      </c>
      <c r="AL94" s="118">
        <f>IFERROR((ReviewCalcs[[#This Row],[Proposed Fixture Quantity]]*ReviewCalcs[[#This Row],[Proposed Fixture Watts]]/1000)*ReviewCalcs[[#This Row],[AOH]]*ReviewCalcs[[#This Row],[IEFE]]*ReviewCalcs[[#This Row],[Existing PAF]], 0)</f>
        <v>0</v>
      </c>
      <c r="AM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4" s="118">
        <f>ReviewCalcs[[#This Row],[Fixture Existing Energy (kWh)]]*Avg_KWh_Rate</f>
        <v>0</v>
      </c>
      <c r="AO94" s="118">
        <f>ReviewCalcs[[#This Row],[Fixture Proposed Energy (kWh)]]*Avg_KWh_Rate</f>
        <v>0</v>
      </c>
      <c r="AP94" s="70">
        <f>ReviewCalcs[[#This Row],[Fixture Energy Savings]]*Avg_KWh_Rate</f>
        <v>0</v>
      </c>
      <c r="AQ94" s="129" t="e">
        <f>ReviewCalcs[[#This Row],[Existing Fixture Quantity]]*ReviewCalcs[[#This Row],[Existing Fixture Watts]]/1000*ReviewCalcs[[#This Row],[Existing CF]]*ReviewCalcs[[#This Row],[IEFD]]</f>
        <v>#VALUE!</v>
      </c>
      <c r="AR94" s="129" t="e">
        <f>ReviewCalcs[[#This Row],[Proposed Fixture Quantity]]*ReviewCalcs[[#This Row],[Proposed Fixture Watts]]/1000*ReviewCalcs[[#This Row],[Proposed CF]]*ReviewCalcs[[#This Row],[IEFD]]</f>
        <v>#VALUE!</v>
      </c>
      <c r="AS94" s="118">
        <f>IF(ReviewCalcs[[#This Row],[Existing CF]]=ReviewCalcs[[#This Row],[Proposed CF]], 0, ReviewCalcs[[#This Row],[Proposed Fixture Quantity]]*ReviewCalcs[[#This Row],[Proposed Fixture Watts]]/1000*ReviewCalcs[[#This Row],[Proposed CF]]*ReviewCalcs[[#This Row],[IEFD]])</f>
        <v>0</v>
      </c>
      <c r="AT94" s="118">
        <f>IFERROR(ReviewCalcs[[#This Row],[Existing Fixture Quantity]]*ReviewCalcs[[#This Row],[Existing Fixture Watts]]/1000*ReviewCalcs[[#This Row],[Existing PAF]]*ReviewCalcs[[#This Row],[AOH]]*ReviewCalcs[[#This Row],[IEFE]], 0)</f>
        <v>0</v>
      </c>
      <c r="AU94" s="118">
        <f>IFERROR(ReviewCalcs[[#This Row],[Proposed Fixture Quantity]]*ReviewCalcs[[#This Row],[Proposed Fixture Watts]]/1000*ReviewCalcs[[#This Row],[Proposed PAF]]*ReviewCalcs[[#This Row],[AOH]]*ReviewCalcs[[#This Row],[IEFE]], 0)</f>
        <v>0</v>
      </c>
      <c r="AV94" s="118">
        <f>IFERROR(ReviewCalcs[[#This Row],[Proposed Fixture Quantity]]*ReviewCalcs[[#This Row],[Proposed Fixture Watts]]/1000*(ReviewCalcs[[#This Row],[Existing PAF]]-ReviewCalcs[[#This Row],[Proposed PAF]])*ReviewCalcs[[#This Row],[AOH]]*ReviewCalcs[[#This Row],[IEFE]], 0)</f>
        <v>0</v>
      </c>
      <c r="AW94" s="118">
        <f>ReviewCalcs[[#This Row],[Control Existing Energy (kWh)]]*kWh_Incentive_Rate</f>
        <v>0</v>
      </c>
      <c r="AX94" s="118">
        <f>ReviewCalcs[[#This Row],[Control Proposed Energy (kWh)]]*kWh_Incentive_Rate</f>
        <v>0</v>
      </c>
      <c r="AY94" s="70">
        <f>ReviewCalcs[[#This Row],[Control Energy Savings (kWh)]]*kWh_Incentive_Rate</f>
        <v>0</v>
      </c>
      <c r="AZ94" s="70" t="e">
        <f>ReviewCalcs[[#This Row],[Fixture Existing Demand (kW)]]+ReviewCalcs[[#This Row],[Control Existing Demand (kW)]]</f>
        <v>#VALUE!</v>
      </c>
      <c r="BA94" s="70" t="e">
        <f>ReviewCalcs[[#This Row],[Fixture Proposed Demand (kW)]]+ReviewCalcs[[#This Row],[Control Proposed Demand (kW)]]</f>
        <v>#VALUE!</v>
      </c>
      <c r="BB94" s="118">
        <f>ReviewCalcs[[#This Row],[Fixture Demand Savings (kW)]]+ReviewCalcs[[#This Row],[Control Demand Savings (kW)]]</f>
        <v>0</v>
      </c>
      <c r="BC94" s="118">
        <f>ReviewCalcs[[#This Row],[Fixture Existing Energy (kWh)]]+ReviewCalcs[[#This Row],[Control Existing Energy (kWh)]]</f>
        <v>0</v>
      </c>
      <c r="BD94" s="118">
        <f>ReviewCalcs[[#This Row],[Fixture Proposed Energy (kWh)]]+ReviewCalcs[[#This Row],[Control Proposed Energy (kWh)]]</f>
        <v>0</v>
      </c>
      <c r="BE94" s="118">
        <f>ReviewCalcs[[#This Row],[Fixture Energy Savings]]+ReviewCalcs[[#This Row],[Control Energy Savings (kWh)]]</f>
        <v>0</v>
      </c>
      <c r="BF94" s="118">
        <f>ReviewCalcs[[#This Row],[Fixture Existing Cost ($)]]+ReviewCalcs[[#This Row],[Control Existing Cost ($)]]</f>
        <v>0</v>
      </c>
      <c r="BG94" s="118">
        <f>ReviewCalcs[[#This Row],[Fixture Proposed Cost ($)]]+ReviewCalcs[[#This Row],[Controls Proposed Cost ($)]]</f>
        <v>0</v>
      </c>
      <c r="BH94" s="70">
        <f>ReviewCalcs[[#This Row],[Total Energy Savings (kWh)]]*Avg_KWh_Rate</f>
        <v>0</v>
      </c>
      <c r="BI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4" s="70">
        <f>ReviewCalcs[[#This Row],[Retrofit Cost]]</f>
        <v>0</v>
      </c>
      <c r="BK94" s="70">
        <f>ReviewCalcs[[#This Row],[Retrofit Cost]]-ReviewCalcs[[#This Row],[Incentive ($)]]</f>
        <v>0</v>
      </c>
      <c r="BL94" s="118" t="e">
        <f>IFERROR(ReviewCalcs[[#This Row],[Net Project Cost ($)]]/ReviewCalcs[[#This Row],[Fixture Energy Cost Savings ($)]], #N/A)</f>
        <v>#N/A</v>
      </c>
      <c r="BM94" s="118" t="e">
        <f>IF(VLOOKUP(ReviewCalcs[[#This Row],[Existing Fixture Code]], Table7[[FIXTURE CODE]:[Baseline Fixture Code]], 8, FALSE)="N", VLOOKUP(ReviewCalcs[[#This Row],[Existing Fixture Code]], Table7[[FIXTURE CODE]:[Baseline Fixture Code]], 9, FALSE), ReviewCalcs[[#This Row],[Existing Fixture Code]])</f>
        <v>#N/A</v>
      </c>
      <c r="BN94" s="118" t="e">
        <f>INDEX(Table7[WATT/ FIXT], MATCH(ReviewCalcs[Baseline Fixture Code], Table7[FIXTURE CODE], 0))</f>
        <v>#N/A</v>
      </c>
      <c r="BO94" s="118">
        <f>IFERROR((ReviewCalcs[[#This Row],[Existing Fixture Quantity]]*ReviewCalcs[[#This Row],[Baseline Fixture Watts]]/1000-ReviewCalcs[[#This Row],[Proposed Fixture Quantity]]*ReviewCalcs[[#This Row],[Proposed Fixture Watts]]/1000)*ReviewCalcs[[#This Row],[Existing CF]]*ReviewCalcs[[#This Row],[IEFD]], 0)</f>
        <v>0</v>
      </c>
      <c r="BP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4" s="118">
        <f>IF(ReviewCalcs[[#This Row],[Existing CF]]=ReviewCalcs[[#This Row],[Proposed CF]], 0, ReviewCalcs[[#This Row],[Proposed Fixture Quantity]]*ReviewCalcs[[#This Row],[Proposed Fixture Watts]]/1000*ReviewCalcs[[#This Row],[Proposed CF]]*ReviewCalcs[[#This Row],[IEFD]])</f>
        <v>0</v>
      </c>
      <c r="BR94" s="118">
        <f>IFERROR(ReviewCalcs[[#This Row],[Proposed Fixture Quantity]]*ReviewCalcs[[#This Row],[Proposed Fixture Watts]]/1000*(ReviewCalcs[[#This Row],[Existing PAF]]-ReviewCalcs[[#This Row],[Proposed PAF]])*ReviewCalcs[[#This Row],[AOH]]*ReviewCalcs[[#This Row],[IEFE]],0)</f>
        <v>0</v>
      </c>
      <c r="BS94" s="118">
        <f>ReviewCalcs[[#This Row],[Incentive Fixture Demand Savings (kW)]]+ReviewCalcs[[#This Row],[Incentive Control Demand Savings (kW)]]</f>
        <v>0</v>
      </c>
      <c r="BT94" s="118">
        <f>ReviewCalcs[[#This Row],[Incentive Fixture Energy Savings (kWh)]]+ReviewCalcs[[#This Row],[Incentive Control Energy Savings (kWh)]]</f>
        <v>0</v>
      </c>
      <c r="BU94" s="73"/>
    </row>
    <row r="95" spans="1:73" ht="30" customHeight="1">
      <c r="A95" s="68">
        <v>92</v>
      </c>
      <c r="B95" s="96">
        <f>VLOOKUP(ReviewCalcs[[#This Row],[Project Index]], ProjectInput[], D$1, FALSE)</f>
        <v>0</v>
      </c>
      <c r="C95" s="97">
        <f>VLOOKUP(ReviewCalcs[[#This Row],[Project Index]], ProjectInput[], E$1, FALSE)</f>
        <v>0</v>
      </c>
      <c r="D95" s="97">
        <f>VLOOKUP(ReviewCalcs[[#This Row],[Project Index]], ProjectInput[], F$1, FALSE)</f>
        <v>0</v>
      </c>
      <c r="E95" s="97">
        <f>VLOOKUP(ReviewCalcs[[#This Row],[Project Index]], ProjectInput[], G$1, FALSE)</f>
        <v>0</v>
      </c>
      <c r="F95" s="97">
        <f>VLOOKUP(ReviewCalcs[[#This Row],[Project Index]], ProjectInput[], H$1, FALSE)</f>
        <v>0</v>
      </c>
      <c r="G95" s="98" t="str">
        <f>VLOOKUP(ReviewCalcs[[#This Row],[Project Index]], ProjectInput[], I$1, FALSE)</f>
        <v/>
      </c>
      <c r="H95" s="96">
        <f>VLOOKUP(ReviewCalcs[[#This Row],[Project Index]], ProjectInput[], J$1, FALSE)</f>
        <v>0</v>
      </c>
      <c r="I95" s="97">
        <f>VLOOKUP(ReviewCalcs[[#This Row],[Project Index]], ProjectInput[], K$1, FALSE)</f>
        <v>0</v>
      </c>
      <c r="J95" s="97">
        <f>VLOOKUP(ReviewCalcs[[#This Row],[Project Index]], ProjectInput[], L$1, FALSE)</f>
        <v>0</v>
      </c>
      <c r="K95" s="97">
        <f>VLOOKUP(ReviewCalcs[[#This Row],[Project Index]], ProjectInput[], M$1, FALSE)</f>
        <v>0</v>
      </c>
      <c r="L95" s="97">
        <f>VLOOKUP(ReviewCalcs[[#This Row],[Project Index]], ProjectInput[], N$1, FALSE)</f>
        <v>0</v>
      </c>
      <c r="M95" s="98" t="str">
        <f>VLOOKUP(ReviewCalcs[[#This Row],[Project Index]], ProjectInput[], O$1, FALSE)</f>
        <v/>
      </c>
      <c r="N95" s="96">
        <f>VLOOKUP(ReviewCalcs[[#This Row],[Project Index]], ProjectInput[], P$1, FALSE)</f>
        <v>0</v>
      </c>
      <c r="O95" s="97">
        <f>VLOOKUP(ReviewCalcs[[#This Row],[Project Index]], ProjectInput[], Q$1, FALSE)</f>
        <v>0</v>
      </c>
      <c r="P95" s="97">
        <f>VLOOKUP(ReviewCalcs[[#This Row],[Project Index]], ProjectInput[], R$1, FALSE)</f>
        <v>0</v>
      </c>
      <c r="Q95" s="97">
        <f>VLOOKUP(ReviewCalcs[[#This Row],[Project Index]], ProjectInput[], S$1, FALSE)</f>
        <v>0</v>
      </c>
      <c r="R95" s="97">
        <f>VLOOKUP(ReviewCalcs[[#This Row],[Project Index]], ProjectInput[], T$1, FALSE)</f>
        <v>0</v>
      </c>
      <c r="S95" s="97">
        <f>VLOOKUP(ReviewCalcs[[#This Row],[Project Index]], ProjectInput[], U$1, FALSE)</f>
        <v>0</v>
      </c>
      <c r="T95" s="97">
        <f>VLOOKUP(ReviewCalcs[[#This Row],[Project Index]], ProjectInput[], V$1, FALSE)</f>
        <v>0</v>
      </c>
      <c r="U95" s="97">
        <f>VLOOKUP(ReviewCalcs[[#This Row],[Project Index]], ProjectInput[], W$1, FALSE)</f>
        <v>0</v>
      </c>
      <c r="V95" s="98" t="str">
        <f>VLOOKUP(ReviewCalcs[[#This Row],[Project Index]], ProjectInput[], X$1, FALSE)</f>
        <v/>
      </c>
      <c r="W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5" s="75" t="e">
        <f>IF(VLOOKUP(ReviewCalcs[[#This Row],[Proposed Fixture Code]], Table7[[FIXTURE CODE]:[Baseline Fixture Code]], 8, FALSE)="N", "ERROR", "PASS")</f>
        <v>#N/A</v>
      </c>
      <c r="Y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5" s="75" t="e">
        <f>IF(OR(ReviewCalcs[[#This Row],[Baseline Fixture Watts]]&gt;=ReviewCalcs[[#This Row],[Proposed Fixture Watts]],ReviewCalcs[[#This Row],[Existing Fixture Watts]]&gt;=ReviewCalcs[[#This Row],[Proposed Fixture Watts]] ), "PASS", "ERROR")</f>
        <v>#N/A</v>
      </c>
      <c r="AA95" s="69" t="e">
        <f>VLOOKUP(ReviewCalcs[[#This Row],[Space Conditions]], Table_365[], 5, FALSE)</f>
        <v>#N/A</v>
      </c>
      <c r="AB95" s="68" t="str">
        <f>ReviewCalcs[[#This Row],[Annual Hours]]</f>
        <v/>
      </c>
      <c r="AC95" s="68" t="e">
        <f>VLOOKUP(ReviewCalcs[[#This Row],[Space Conditions]], Table_365[], 6, FALSE)</f>
        <v>#N/A</v>
      </c>
      <c r="AD95" s="68">
        <f>IF(ReviewCalcs[[#This Row],[Existing Control(s)]]='Tables &amp; Ranges'!$A$25, VLOOKUP(ReviewCalcs[[#This Row],[Building/Space Type]], Table_364[], 3, FALSE), CF_Contols)</f>
        <v>0.26</v>
      </c>
      <c r="AE95" s="68" t="e">
        <f>VLOOKUP(ReviewCalcs[[#This Row],[Existing Control(s)]], Table_358[], 2, FALSE)</f>
        <v>#N/A</v>
      </c>
      <c r="AF95" s="68">
        <f>IF(ReviewCalcs[[#This Row],[Proposed Control(s)]]='Tables &amp; Ranges'!$A$25, VLOOKUP(ReviewCalcs[[#This Row],[Building/Space Type]], Table_364[], 3, FALSE), CF_Contols)</f>
        <v>0.26</v>
      </c>
      <c r="AG95" s="68" t="e">
        <f>VLOOKUP(ReviewCalcs[[#This Row],[Proposed Control(s)]], Table_358[], 2, FALSE)</f>
        <v>#N/A</v>
      </c>
      <c r="AH95" s="68">
        <f>IFERROR((ReviewCalcs[[#This Row],[Existing Fixture Quantity]]*ReviewCalcs[[#This Row],[Existing Fixture Watts]]/1000)*ReviewCalcs[[#This Row],[Existing CF]]*ReviewCalcs[[#This Row],[IEFD]], 0)</f>
        <v>0</v>
      </c>
      <c r="AI95" s="68">
        <f>IFERROR((ReviewCalcs[[#This Row],[Proposed Fixture Quantity]]*ReviewCalcs[[#This Row],[Proposed Fixture Watts]]/1000)*ReviewCalcs[[#This Row],[Existing CF]]*ReviewCalcs[[#This Row],[IEFD]], 0)</f>
        <v>0</v>
      </c>
      <c r="AJ95" s="118">
        <f>IFERROR((ReviewCalcs[[#This Row],[Existing Fixture Quantity]]*ReviewCalcs[[#This Row],[Existing Fixture Watts]]/1000-ReviewCalcs[[#This Row],[Proposed Fixture Quantity]]*ReviewCalcs[[#This Row],[Proposed Fixture Watts]]/1000)*ReviewCalcs[[#This Row],[Existing CF]]*ReviewCalcs[[#This Row],[IEFD]], 0)</f>
        <v>0</v>
      </c>
      <c r="AK95" s="118">
        <f>IFERROR((ReviewCalcs[[#This Row],[Existing Fixture Quantity]]*ReviewCalcs[[#This Row],[Existing Fixture Watts]]/1000)*ReviewCalcs[[#This Row],[AOH]]*ReviewCalcs[[#This Row],[IEFE]]*ReviewCalcs[[#This Row],[Existing PAF]], 0)</f>
        <v>0</v>
      </c>
      <c r="AL95" s="118">
        <f>IFERROR((ReviewCalcs[[#This Row],[Proposed Fixture Quantity]]*ReviewCalcs[[#This Row],[Proposed Fixture Watts]]/1000)*ReviewCalcs[[#This Row],[AOH]]*ReviewCalcs[[#This Row],[IEFE]]*ReviewCalcs[[#This Row],[Existing PAF]], 0)</f>
        <v>0</v>
      </c>
      <c r="AM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5" s="118">
        <f>ReviewCalcs[[#This Row],[Fixture Existing Energy (kWh)]]*Avg_KWh_Rate</f>
        <v>0</v>
      </c>
      <c r="AO95" s="118">
        <f>ReviewCalcs[[#This Row],[Fixture Proposed Energy (kWh)]]*Avg_KWh_Rate</f>
        <v>0</v>
      </c>
      <c r="AP95" s="70">
        <f>ReviewCalcs[[#This Row],[Fixture Energy Savings]]*Avg_KWh_Rate</f>
        <v>0</v>
      </c>
      <c r="AQ95" s="129" t="e">
        <f>ReviewCalcs[[#This Row],[Existing Fixture Quantity]]*ReviewCalcs[[#This Row],[Existing Fixture Watts]]/1000*ReviewCalcs[[#This Row],[Existing CF]]*ReviewCalcs[[#This Row],[IEFD]]</f>
        <v>#VALUE!</v>
      </c>
      <c r="AR95" s="129" t="e">
        <f>ReviewCalcs[[#This Row],[Proposed Fixture Quantity]]*ReviewCalcs[[#This Row],[Proposed Fixture Watts]]/1000*ReviewCalcs[[#This Row],[Proposed CF]]*ReviewCalcs[[#This Row],[IEFD]]</f>
        <v>#VALUE!</v>
      </c>
      <c r="AS95" s="118">
        <f>IF(ReviewCalcs[[#This Row],[Existing CF]]=ReviewCalcs[[#This Row],[Proposed CF]], 0, ReviewCalcs[[#This Row],[Proposed Fixture Quantity]]*ReviewCalcs[[#This Row],[Proposed Fixture Watts]]/1000*ReviewCalcs[[#This Row],[Proposed CF]]*ReviewCalcs[[#This Row],[IEFD]])</f>
        <v>0</v>
      </c>
      <c r="AT95" s="118">
        <f>IFERROR(ReviewCalcs[[#This Row],[Existing Fixture Quantity]]*ReviewCalcs[[#This Row],[Existing Fixture Watts]]/1000*ReviewCalcs[[#This Row],[Existing PAF]]*ReviewCalcs[[#This Row],[AOH]]*ReviewCalcs[[#This Row],[IEFE]], 0)</f>
        <v>0</v>
      </c>
      <c r="AU95" s="118">
        <f>IFERROR(ReviewCalcs[[#This Row],[Proposed Fixture Quantity]]*ReviewCalcs[[#This Row],[Proposed Fixture Watts]]/1000*ReviewCalcs[[#This Row],[Proposed PAF]]*ReviewCalcs[[#This Row],[AOH]]*ReviewCalcs[[#This Row],[IEFE]], 0)</f>
        <v>0</v>
      </c>
      <c r="AV95" s="118">
        <f>IFERROR(ReviewCalcs[[#This Row],[Proposed Fixture Quantity]]*ReviewCalcs[[#This Row],[Proposed Fixture Watts]]/1000*(ReviewCalcs[[#This Row],[Existing PAF]]-ReviewCalcs[[#This Row],[Proposed PAF]])*ReviewCalcs[[#This Row],[AOH]]*ReviewCalcs[[#This Row],[IEFE]], 0)</f>
        <v>0</v>
      </c>
      <c r="AW95" s="118">
        <f>ReviewCalcs[[#This Row],[Control Existing Energy (kWh)]]*kWh_Incentive_Rate</f>
        <v>0</v>
      </c>
      <c r="AX95" s="118">
        <f>ReviewCalcs[[#This Row],[Control Proposed Energy (kWh)]]*kWh_Incentive_Rate</f>
        <v>0</v>
      </c>
      <c r="AY95" s="70">
        <f>ReviewCalcs[[#This Row],[Control Energy Savings (kWh)]]*kWh_Incentive_Rate</f>
        <v>0</v>
      </c>
      <c r="AZ95" s="70" t="e">
        <f>ReviewCalcs[[#This Row],[Fixture Existing Demand (kW)]]+ReviewCalcs[[#This Row],[Control Existing Demand (kW)]]</f>
        <v>#VALUE!</v>
      </c>
      <c r="BA95" s="70" t="e">
        <f>ReviewCalcs[[#This Row],[Fixture Proposed Demand (kW)]]+ReviewCalcs[[#This Row],[Control Proposed Demand (kW)]]</f>
        <v>#VALUE!</v>
      </c>
      <c r="BB95" s="118">
        <f>ReviewCalcs[[#This Row],[Fixture Demand Savings (kW)]]+ReviewCalcs[[#This Row],[Control Demand Savings (kW)]]</f>
        <v>0</v>
      </c>
      <c r="BC95" s="118">
        <f>ReviewCalcs[[#This Row],[Fixture Existing Energy (kWh)]]+ReviewCalcs[[#This Row],[Control Existing Energy (kWh)]]</f>
        <v>0</v>
      </c>
      <c r="BD95" s="118">
        <f>ReviewCalcs[[#This Row],[Fixture Proposed Energy (kWh)]]+ReviewCalcs[[#This Row],[Control Proposed Energy (kWh)]]</f>
        <v>0</v>
      </c>
      <c r="BE95" s="118">
        <f>ReviewCalcs[[#This Row],[Fixture Energy Savings]]+ReviewCalcs[[#This Row],[Control Energy Savings (kWh)]]</f>
        <v>0</v>
      </c>
      <c r="BF95" s="118">
        <f>ReviewCalcs[[#This Row],[Fixture Existing Cost ($)]]+ReviewCalcs[[#This Row],[Control Existing Cost ($)]]</f>
        <v>0</v>
      </c>
      <c r="BG95" s="118">
        <f>ReviewCalcs[[#This Row],[Fixture Proposed Cost ($)]]+ReviewCalcs[[#This Row],[Controls Proposed Cost ($)]]</f>
        <v>0</v>
      </c>
      <c r="BH95" s="70">
        <f>ReviewCalcs[[#This Row],[Total Energy Savings (kWh)]]*Avg_KWh_Rate</f>
        <v>0</v>
      </c>
      <c r="BI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5" s="70">
        <f>ReviewCalcs[[#This Row],[Retrofit Cost]]</f>
        <v>0</v>
      </c>
      <c r="BK95" s="70">
        <f>ReviewCalcs[[#This Row],[Retrofit Cost]]-ReviewCalcs[[#This Row],[Incentive ($)]]</f>
        <v>0</v>
      </c>
      <c r="BL95" s="118" t="e">
        <f>IFERROR(ReviewCalcs[[#This Row],[Net Project Cost ($)]]/ReviewCalcs[[#This Row],[Fixture Energy Cost Savings ($)]], #N/A)</f>
        <v>#N/A</v>
      </c>
      <c r="BM95" s="118" t="e">
        <f>IF(VLOOKUP(ReviewCalcs[[#This Row],[Existing Fixture Code]], Table7[[FIXTURE CODE]:[Baseline Fixture Code]], 8, FALSE)="N", VLOOKUP(ReviewCalcs[[#This Row],[Existing Fixture Code]], Table7[[FIXTURE CODE]:[Baseline Fixture Code]], 9, FALSE), ReviewCalcs[[#This Row],[Existing Fixture Code]])</f>
        <v>#N/A</v>
      </c>
      <c r="BN95" s="118" t="e">
        <f>INDEX(Table7[WATT/ FIXT], MATCH(ReviewCalcs[Baseline Fixture Code], Table7[FIXTURE CODE], 0))</f>
        <v>#N/A</v>
      </c>
      <c r="BO95" s="118">
        <f>IFERROR((ReviewCalcs[[#This Row],[Existing Fixture Quantity]]*ReviewCalcs[[#This Row],[Baseline Fixture Watts]]/1000-ReviewCalcs[[#This Row],[Proposed Fixture Quantity]]*ReviewCalcs[[#This Row],[Proposed Fixture Watts]]/1000)*ReviewCalcs[[#This Row],[Existing CF]]*ReviewCalcs[[#This Row],[IEFD]], 0)</f>
        <v>0</v>
      </c>
      <c r="BP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5" s="118">
        <f>IF(ReviewCalcs[[#This Row],[Existing CF]]=ReviewCalcs[[#This Row],[Proposed CF]], 0, ReviewCalcs[[#This Row],[Proposed Fixture Quantity]]*ReviewCalcs[[#This Row],[Proposed Fixture Watts]]/1000*ReviewCalcs[[#This Row],[Proposed CF]]*ReviewCalcs[[#This Row],[IEFD]])</f>
        <v>0</v>
      </c>
      <c r="BR95" s="118">
        <f>IFERROR(ReviewCalcs[[#This Row],[Proposed Fixture Quantity]]*ReviewCalcs[[#This Row],[Proposed Fixture Watts]]/1000*(ReviewCalcs[[#This Row],[Existing PAF]]-ReviewCalcs[[#This Row],[Proposed PAF]])*ReviewCalcs[[#This Row],[AOH]]*ReviewCalcs[[#This Row],[IEFE]],0)</f>
        <v>0</v>
      </c>
      <c r="BS95" s="118">
        <f>ReviewCalcs[[#This Row],[Incentive Fixture Demand Savings (kW)]]+ReviewCalcs[[#This Row],[Incentive Control Demand Savings (kW)]]</f>
        <v>0</v>
      </c>
      <c r="BT95" s="118">
        <f>ReviewCalcs[[#This Row],[Incentive Fixture Energy Savings (kWh)]]+ReviewCalcs[[#This Row],[Incentive Control Energy Savings (kWh)]]</f>
        <v>0</v>
      </c>
      <c r="BU95" s="73"/>
    </row>
    <row r="96" spans="1:73" ht="30" customHeight="1">
      <c r="A96" s="68">
        <v>93</v>
      </c>
      <c r="B96" s="96">
        <f>VLOOKUP(ReviewCalcs[[#This Row],[Project Index]], ProjectInput[], D$1, FALSE)</f>
        <v>0</v>
      </c>
      <c r="C96" s="97">
        <f>VLOOKUP(ReviewCalcs[[#This Row],[Project Index]], ProjectInput[], E$1, FALSE)</f>
        <v>0</v>
      </c>
      <c r="D96" s="97">
        <f>VLOOKUP(ReviewCalcs[[#This Row],[Project Index]], ProjectInput[], F$1, FALSE)</f>
        <v>0</v>
      </c>
      <c r="E96" s="97">
        <f>VLOOKUP(ReviewCalcs[[#This Row],[Project Index]], ProjectInput[], G$1, FALSE)</f>
        <v>0</v>
      </c>
      <c r="F96" s="97">
        <f>VLOOKUP(ReviewCalcs[[#This Row],[Project Index]], ProjectInput[], H$1, FALSE)</f>
        <v>0</v>
      </c>
      <c r="G96" s="98" t="str">
        <f>VLOOKUP(ReviewCalcs[[#This Row],[Project Index]], ProjectInput[], I$1, FALSE)</f>
        <v/>
      </c>
      <c r="H96" s="96">
        <f>VLOOKUP(ReviewCalcs[[#This Row],[Project Index]], ProjectInput[], J$1, FALSE)</f>
        <v>0</v>
      </c>
      <c r="I96" s="97">
        <f>VLOOKUP(ReviewCalcs[[#This Row],[Project Index]], ProjectInput[], K$1, FALSE)</f>
        <v>0</v>
      </c>
      <c r="J96" s="97">
        <f>VLOOKUP(ReviewCalcs[[#This Row],[Project Index]], ProjectInput[], L$1, FALSE)</f>
        <v>0</v>
      </c>
      <c r="K96" s="97">
        <f>VLOOKUP(ReviewCalcs[[#This Row],[Project Index]], ProjectInput[], M$1, FALSE)</f>
        <v>0</v>
      </c>
      <c r="L96" s="97">
        <f>VLOOKUP(ReviewCalcs[[#This Row],[Project Index]], ProjectInput[], N$1, FALSE)</f>
        <v>0</v>
      </c>
      <c r="M96" s="98" t="str">
        <f>VLOOKUP(ReviewCalcs[[#This Row],[Project Index]], ProjectInput[], O$1, FALSE)</f>
        <v/>
      </c>
      <c r="N96" s="96">
        <f>VLOOKUP(ReviewCalcs[[#This Row],[Project Index]], ProjectInput[], P$1, FALSE)</f>
        <v>0</v>
      </c>
      <c r="O96" s="97">
        <f>VLOOKUP(ReviewCalcs[[#This Row],[Project Index]], ProjectInput[], Q$1, FALSE)</f>
        <v>0</v>
      </c>
      <c r="P96" s="97">
        <f>VLOOKUP(ReviewCalcs[[#This Row],[Project Index]], ProjectInput[], R$1, FALSE)</f>
        <v>0</v>
      </c>
      <c r="Q96" s="97">
        <f>VLOOKUP(ReviewCalcs[[#This Row],[Project Index]], ProjectInput[], S$1, FALSE)</f>
        <v>0</v>
      </c>
      <c r="R96" s="97">
        <f>VLOOKUP(ReviewCalcs[[#This Row],[Project Index]], ProjectInput[], T$1, FALSE)</f>
        <v>0</v>
      </c>
      <c r="S96" s="97">
        <f>VLOOKUP(ReviewCalcs[[#This Row],[Project Index]], ProjectInput[], U$1, FALSE)</f>
        <v>0</v>
      </c>
      <c r="T96" s="97">
        <f>VLOOKUP(ReviewCalcs[[#This Row],[Project Index]], ProjectInput[], V$1, FALSE)</f>
        <v>0</v>
      </c>
      <c r="U96" s="97">
        <f>VLOOKUP(ReviewCalcs[[#This Row],[Project Index]], ProjectInput[], W$1, FALSE)</f>
        <v>0</v>
      </c>
      <c r="V96" s="98" t="str">
        <f>VLOOKUP(ReviewCalcs[[#This Row],[Project Index]], ProjectInput[], X$1, FALSE)</f>
        <v/>
      </c>
      <c r="W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6" s="75" t="e">
        <f>IF(VLOOKUP(ReviewCalcs[[#This Row],[Proposed Fixture Code]], Table7[[FIXTURE CODE]:[Baseline Fixture Code]], 8, FALSE)="N", "ERROR", "PASS")</f>
        <v>#N/A</v>
      </c>
      <c r="Y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6" s="75" t="e">
        <f>IF(OR(ReviewCalcs[[#This Row],[Baseline Fixture Watts]]&gt;=ReviewCalcs[[#This Row],[Proposed Fixture Watts]],ReviewCalcs[[#This Row],[Existing Fixture Watts]]&gt;=ReviewCalcs[[#This Row],[Proposed Fixture Watts]] ), "PASS", "ERROR")</f>
        <v>#N/A</v>
      </c>
      <c r="AA96" s="69" t="e">
        <f>VLOOKUP(ReviewCalcs[[#This Row],[Space Conditions]], Table_365[], 5, FALSE)</f>
        <v>#N/A</v>
      </c>
      <c r="AB96" s="68" t="str">
        <f>ReviewCalcs[[#This Row],[Annual Hours]]</f>
        <v/>
      </c>
      <c r="AC96" s="68" t="e">
        <f>VLOOKUP(ReviewCalcs[[#This Row],[Space Conditions]], Table_365[], 6, FALSE)</f>
        <v>#N/A</v>
      </c>
      <c r="AD96" s="68">
        <f>IF(ReviewCalcs[[#This Row],[Existing Control(s)]]='Tables &amp; Ranges'!$A$25, VLOOKUP(ReviewCalcs[[#This Row],[Building/Space Type]], Table_364[], 3, FALSE), CF_Contols)</f>
        <v>0.26</v>
      </c>
      <c r="AE96" s="68" t="e">
        <f>VLOOKUP(ReviewCalcs[[#This Row],[Existing Control(s)]], Table_358[], 2, FALSE)</f>
        <v>#N/A</v>
      </c>
      <c r="AF96" s="68">
        <f>IF(ReviewCalcs[[#This Row],[Proposed Control(s)]]='Tables &amp; Ranges'!$A$25, VLOOKUP(ReviewCalcs[[#This Row],[Building/Space Type]], Table_364[], 3, FALSE), CF_Contols)</f>
        <v>0.26</v>
      </c>
      <c r="AG96" s="68" t="e">
        <f>VLOOKUP(ReviewCalcs[[#This Row],[Proposed Control(s)]], Table_358[], 2, FALSE)</f>
        <v>#N/A</v>
      </c>
      <c r="AH96" s="68">
        <f>IFERROR((ReviewCalcs[[#This Row],[Existing Fixture Quantity]]*ReviewCalcs[[#This Row],[Existing Fixture Watts]]/1000)*ReviewCalcs[[#This Row],[Existing CF]]*ReviewCalcs[[#This Row],[IEFD]], 0)</f>
        <v>0</v>
      </c>
      <c r="AI96" s="68">
        <f>IFERROR((ReviewCalcs[[#This Row],[Proposed Fixture Quantity]]*ReviewCalcs[[#This Row],[Proposed Fixture Watts]]/1000)*ReviewCalcs[[#This Row],[Existing CF]]*ReviewCalcs[[#This Row],[IEFD]], 0)</f>
        <v>0</v>
      </c>
      <c r="AJ96" s="118">
        <f>IFERROR((ReviewCalcs[[#This Row],[Existing Fixture Quantity]]*ReviewCalcs[[#This Row],[Existing Fixture Watts]]/1000-ReviewCalcs[[#This Row],[Proposed Fixture Quantity]]*ReviewCalcs[[#This Row],[Proposed Fixture Watts]]/1000)*ReviewCalcs[[#This Row],[Existing CF]]*ReviewCalcs[[#This Row],[IEFD]], 0)</f>
        <v>0</v>
      </c>
      <c r="AK96" s="118">
        <f>IFERROR((ReviewCalcs[[#This Row],[Existing Fixture Quantity]]*ReviewCalcs[[#This Row],[Existing Fixture Watts]]/1000)*ReviewCalcs[[#This Row],[AOH]]*ReviewCalcs[[#This Row],[IEFE]]*ReviewCalcs[[#This Row],[Existing PAF]], 0)</f>
        <v>0</v>
      </c>
      <c r="AL96" s="118">
        <f>IFERROR((ReviewCalcs[[#This Row],[Proposed Fixture Quantity]]*ReviewCalcs[[#This Row],[Proposed Fixture Watts]]/1000)*ReviewCalcs[[#This Row],[AOH]]*ReviewCalcs[[#This Row],[IEFE]]*ReviewCalcs[[#This Row],[Existing PAF]], 0)</f>
        <v>0</v>
      </c>
      <c r="AM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6" s="118">
        <f>ReviewCalcs[[#This Row],[Fixture Existing Energy (kWh)]]*Avg_KWh_Rate</f>
        <v>0</v>
      </c>
      <c r="AO96" s="118">
        <f>ReviewCalcs[[#This Row],[Fixture Proposed Energy (kWh)]]*Avg_KWh_Rate</f>
        <v>0</v>
      </c>
      <c r="AP96" s="70">
        <f>ReviewCalcs[[#This Row],[Fixture Energy Savings]]*Avg_KWh_Rate</f>
        <v>0</v>
      </c>
      <c r="AQ96" s="129" t="e">
        <f>ReviewCalcs[[#This Row],[Existing Fixture Quantity]]*ReviewCalcs[[#This Row],[Existing Fixture Watts]]/1000*ReviewCalcs[[#This Row],[Existing CF]]*ReviewCalcs[[#This Row],[IEFD]]</f>
        <v>#VALUE!</v>
      </c>
      <c r="AR96" s="129" t="e">
        <f>ReviewCalcs[[#This Row],[Proposed Fixture Quantity]]*ReviewCalcs[[#This Row],[Proposed Fixture Watts]]/1000*ReviewCalcs[[#This Row],[Proposed CF]]*ReviewCalcs[[#This Row],[IEFD]]</f>
        <v>#VALUE!</v>
      </c>
      <c r="AS96" s="118">
        <f>IF(ReviewCalcs[[#This Row],[Existing CF]]=ReviewCalcs[[#This Row],[Proposed CF]], 0, ReviewCalcs[[#This Row],[Proposed Fixture Quantity]]*ReviewCalcs[[#This Row],[Proposed Fixture Watts]]/1000*ReviewCalcs[[#This Row],[Proposed CF]]*ReviewCalcs[[#This Row],[IEFD]])</f>
        <v>0</v>
      </c>
      <c r="AT96" s="118">
        <f>IFERROR(ReviewCalcs[[#This Row],[Existing Fixture Quantity]]*ReviewCalcs[[#This Row],[Existing Fixture Watts]]/1000*ReviewCalcs[[#This Row],[Existing PAF]]*ReviewCalcs[[#This Row],[AOH]]*ReviewCalcs[[#This Row],[IEFE]], 0)</f>
        <v>0</v>
      </c>
      <c r="AU96" s="118">
        <f>IFERROR(ReviewCalcs[[#This Row],[Proposed Fixture Quantity]]*ReviewCalcs[[#This Row],[Proposed Fixture Watts]]/1000*ReviewCalcs[[#This Row],[Proposed PAF]]*ReviewCalcs[[#This Row],[AOH]]*ReviewCalcs[[#This Row],[IEFE]], 0)</f>
        <v>0</v>
      </c>
      <c r="AV96" s="118">
        <f>IFERROR(ReviewCalcs[[#This Row],[Proposed Fixture Quantity]]*ReviewCalcs[[#This Row],[Proposed Fixture Watts]]/1000*(ReviewCalcs[[#This Row],[Existing PAF]]-ReviewCalcs[[#This Row],[Proposed PAF]])*ReviewCalcs[[#This Row],[AOH]]*ReviewCalcs[[#This Row],[IEFE]], 0)</f>
        <v>0</v>
      </c>
      <c r="AW96" s="118">
        <f>ReviewCalcs[[#This Row],[Control Existing Energy (kWh)]]*kWh_Incentive_Rate</f>
        <v>0</v>
      </c>
      <c r="AX96" s="118">
        <f>ReviewCalcs[[#This Row],[Control Proposed Energy (kWh)]]*kWh_Incentive_Rate</f>
        <v>0</v>
      </c>
      <c r="AY96" s="70">
        <f>ReviewCalcs[[#This Row],[Control Energy Savings (kWh)]]*kWh_Incentive_Rate</f>
        <v>0</v>
      </c>
      <c r="AZ96" s="70" t="e">
        <f>ReviewCalcs[[#This Row],[Fixture Existing Demand (kW)]]+ReviewCalcs[[#This Row],[Control Existing Demand (kW)]]</f>
        <v>#VALUE!</v>
      </c>
      <c r="BA96" s="70" t="e">
        <f>ReviewCalcs[[#This Row],[Fixture Proposed Demand (kW)]]+ReviewCalcs[[#This Row],[Control Proposed Demand (kW)]]</f>
        <v>#VALUE!</v>
      </c>
      <c r="BB96" s="118">
        <f>ReviewCalcs[[#This Row],[Fixture Demand Savings (kW)]]+ReviewCalcs[[#This Row],[Control Demand Savings (kW)]]</f>
        <v>0</v>
      </c>
      <c r="BC96" s="118">
        <f>ReviewCalcs[[#This Row],[Fixture Existing Energy (kWh)]]+ReviewCalcs[[#This Row],[Control Existing Energy (kWh)]]</f>
        <v>0</v>
      </c>
      <c r="BD96" s="118">
        <f>ReviewCalcs[[#This Row],[Fixture Proposed Energy (kWh)]]+ReviewCalcs[[#This Row],[Control Proposed Energy (kWh)]]</f>
        <v>0</v>
      </c>
      <c r="BE96" s="118">
        <f>ReviewCalcs[[#This Row],[Fixture Energy Savings]]+ReviewCalcs[[#This Row],[Control Energy Savings (kWh)]]</f>
        <v>0</v>
      </c>
      <c r="BF96" s="118">
        <f>ReviewCalcs[[#This Row],[Fixture Existing Cost ($)]]+ReviewCalcs[[#This Row],[Control Existing Cost ($)]]</f>
        <v>0</v>
      </c>
      <c r="BG96" s="118">
        <f>ReviewCalcs[[#This Row],[Fixture Proposed Cost ($)]]+ReviewCalcs[[#This Row],[Controls Proposed Cost ($)]]</f>
        <v>0</v>
      </c>
      <c r="BH96" s="70">
        <f>ReviewCalcs[[#This Row],[Total Energy Savings (kWh)]]*Avg_KWh_Rate</f>
        <v>0</v>
      </c>
      <c r="BI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6" s="70">
        <f>ReviewCalcs[[#This Row],[Retrofit Cost]]</f>
        <v>0</v>
      </c>
      <c r="BK96" s="70">
        <f>ReviewCalcs[[#This Row],[Retrofit Cost]]-ReviewCalcs[[#This Row],[Incentive ($)]]</f>
        <v>0</v>
      </c>
      <c r="BL96" s="118" t="e">
        <f>IFERROR(ReviewCalcs[[#This Row],[Net Project Cost ($)]]/ReviewCalcs[[#This Row],[Fixture Energy Cost Savings ($)]], #N/A)</f>
        <v>#N/A</v>
      </c>
      <c r="BM96" s="118" t="e">
        <f>IF(VLOOKUP(ReviewCalcs[[#This Row],[Existing Fixture Code]], Table7[[FIXTURE CODE]:[Baseline Fixture Code]], 8, FALSE)="N", VLOOKUP(ReviewCalcs[[#This Row],[Existing Fixture Code]], Table7[[FIXTURE CODE]:[Baseline Fixture Code]], 9, FALSE), ReviewCalcs[[#This Row],[Existing Fixture Code]])</f>
        <v>#N/A</v>
      </c>
      <c r="BN96" s="118" t="e">
        <f>INDEX(Table7[WATT/ FIXT], MATCH(ReviewCalcs[Baseline Fixture Code], Table7[FIXTURE CODE], 0))</f>
        <v>#N/A</v>
      </c>
      <c r="BO96" s="118">
        <f>IFERROR((ReviewCalcs[[#This Row],[Existing Fixture Quantity]]*ReviewCalcs[[#This Row],[Baseline Fixture Watts]]/1000-ReviewCalcs[[#This Row],[Proposed Fixture Quantity]]*ReviewCalcs[[#This Row],[Proposed Fixture Watts]]/1000)*ReviewCalcs[[#This Row],[Existing CF]]*ReviewCalcs[[#This Row],[IEFD]], 0)</f>
        <v>0</v>
      </c>
      <c r="BP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6" s="118">
        <f>IF(ReviewCalcs[[#This Row],[Existing CF]]=ReviewCalcs[[#This Row],[Proposed CF]], 0, ReviewCalcs[[#This Row],[Proposed Fixture Quantity]]*ReviewCalcs[[#This Row],[Proposed Fixture Watts]]/1000*ReviewCalcs[[#This Row],[Proposed CF]]*ReviewCalcs[[#This Row],[IEFD]])</f>
        <v>0</v>
      </c>
      <c r="BR96" s="118">
        <f>IFERROR(ReviewCalcs[[#This Row],[Proposed Fixture Quantity]]*ReviewCalcs[[#This Row],[Proposed Fixture Watts]]/1000*(ReviewCalcs[[#This Row],[Existing PAF]]-ReviewCalcs[[#This Row],[Proposed PAF]])*ReviewCalcs[[#This Row],[AOH]]*ReviewCalcs[[#This Row],[IEFE]],0)</f>
        <v>0</v>
      </c>
      <c r="BS96" s="118">
        <f>ReviewCalcs[[#This Row],[Incentive Fixture Demand Savings (kW)]]+ReviewCalcs[[#This Row],[Incentive Control Demand Savings (kW)]]</f>
        <v>0</v>
      </c>
      <c r="BT96" s="118">
        <f>ReviewCalcs[[#This Row],[Incentive Fixture Energy Savings (kWh)]]+ReviewCalcs[[#This Row],[Incentive Control Energy Savings (kWh)]]</f>
        <v>0</v>
      </c>
      <c r="BU96" s="73"/>
    </row>
    <row r="97" spans="1:73" ht="30" customHeight="1">
      <c r="A97" s="68">
        <v>94</v>
      </c>
      <c r="B97" s="96">
        <f>VLOOKUP(ReviewCalcs[[#This Row],[Project Index]], ProjectInput[], D$1, FALSE)</f>
        <v>0</v>
      </c>
      <c r="C97" s="97">
        <f>VLOOKUP(ReviewCalcs[[#This Row],[Project Index]], ProjectInput[], E$1, FALSE)</f>
        <v>0</v>
      </c>
      <c r="D97" s="97">
        <f>VLOOKUP(ReviewCalcs[[#This Row],[Project Index]], ProjectInput[], F$1, FALSE)</f>
        <v>0</v>
      </c>
      <c r="E97" s="97">
        <f>VLOOKUP(ReviewCalcs[[#This Row],[Project Index]], ProjectInput[], G$1, FALSE)</f>
        <v>0</v>
      </c>
      <c r="F97" s="97">
        <f>VLOOKUP(ReviewCalcs[[#This Row],[Project Index]], ProjectInput[], H$1, FALSE)</f>
        <v>0</v>
      </c>
      <c r="G97" s="98" t="str">
        <f>VLOOKUP(ReviewCalcs[[#This Row],[Project Index]], ProjectInput[], I$1, FALSE)</f>
        <v/>
      </c>
      <c r="H97" s="96">
        <f>VLOOKUP(ReviewCalcs[[#This Row],[Project Index]], ProjectInput[], J$1, FALSE)</f>
        <v>0</v>
      </c>
      <c r="I97" s="97">
        <f>VLOOKUP(ReviewCalcs[[#This Row],[Project Index]], ProjectInput[], K$1, FALSE)</f>
        <v>0</v>
      </c>
      <c r="J97" s="97">
        <f>VLOOKUP(ReviewCalcs[[#This Row],[Project Index]], ProjectInput[], L$1, FALSE)</f>
        <v>0</v>
      </c>
      <c r="K97" s="97">
        <f>VLOOKUP(ReviewCalcs[[#This Row],[Project Index]], ProjectInput[], M$1, FALSE)</f>
        <v>0</v>
      </c>
      <c r="L97" s="97">
        <f>VLOOKUP(ReviewCalcs[[#This Row],[Project Index]], ProjectInput[], N$1, FALSE)</f>
        <v>0</v>
      </c>
      <c r="M97" s="98" t="str">
        <f>VLOOKUP(ReviewCalcs[[#This Row],[Project Index]], ProjectInput[], O$1, FALSE)</f>
        <v/>
      </c>
      <c r="N97" s="96">
        <f>VLOOKUP(ReviewCalcs[[#This Row],[Project Index]], ProjectInput[], P$1, FALSE)</f>
        <v>0</v>
      </c>
      <c r="O97" s="97">
        <f>VLOOKUP(ReviewCalcs[[#This Row],[Project Index]], ProjectInput[], Q$1, FALSE)</f>
        <v>0</v>
      </c>
      <c r="P97" s="97">
        <f>VLOOKUP(ReviewCalcs[[#This Row],[Project Index]], ProjectInput[], R$1, FALSE)</f>
        <v>0</v>
      </c>
      <c r="Q97" s="97">
        <f>VLOOKUP(ReviewCalcs[[#This Row],[Project Index]], ProjectInput[], S$1, FALSE)</f>
        <v>0</v>
      </c>
      <c r="R97" s="97">
        <f>VLOOKUP(ReviewCalcs[[#This Row],[Project Index]], ProjectInput[], T$1, FALSE)</f>
        <v>0</v>
      </c>
      <c r="S97" s="97">
        <f>VLOOKUP(ReviewCalcs[[#This Row],[Project Index]], ProjectInput[], U$1, FALSE)</f>
        <v>0</v>
      </c>
      <c r="T97" s="97">
        <f>VLOOKUP(ReviewCalcs[[#This Row],[Project Index]], ProjectInput[], V$1, FALSE)</f>
        <v>0</v>
      </c>
      <c r="U97" s="97">
        <f>VLOOKUP(ReviewCalcs[[#This Row],[Project Index]], ProjectInput[], W$1, FALSE)</f>
        <v>0</v>
      </c>
      <c r="V97" s="98" t="str">
        <f>VLOOKUP(ReviewCalcs[[#This Row],[Project Index]], ProjectInput[], X$1, FALSE)</f>
        <v/>
      </c>
      <c r="W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7" s="75" t="e">
        <f>IF(VLOOKUP(ReviewCalcs[[#This Row],[Proposed Fixture Code]], Table7[[FIXTURE CODE]:[Baseline Fixture Code]], 8, FALSE)="N", "ERROR", "PASS")</f>
        <v>#N/A</v>
      </c>
      <c r="Y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7" s="75" t="e">
        <f>IF(OR(ReviewCalcs[[#This Row],[Baseline Fixture Watts]]&gt;=ReviewCalcs[[#This Row],[Proposed Fixture Watts]],ReviewCalcs[[#This Row],[Existing Fixture Watts]]&gt;=ReviewCalcs[[#This Row],[Proposed Fixture Watts]] ), "PASS", "ERROR")</f>
        <v>#N/A</v>
      </c>
      <c r="AA97" s="69" t="e">
        <f>VLOOKUP(ReviewCalcs[[#This Row],[Space Conditions]], Table_365[], 5, FALSE)</f>
        <v>#N/A</v>
      </c>
      <c r="AB97" s="68" t="str">
        <f>ReviewCalcs[[#This Row],[Annual Hours]]</f>
        <v/>
      </c>
      <c r="AC97" s="68" t="e">
        <f>VLOOKUP(ReviewCalcs[[#This Row],[Space Conditions]], Table_365[], 6, FALSE)</f>
        <v>#N/A</v>
      </c>
      <c r="AD97" s="68">
        <f>IF(ReviewCalcs[[#This Row],[Existing Control(s)]]='Tables &amp; Ranges'!$A$25, VLOOKUP(ReviewCalcs[[#This Row],[Building/Space Type]], Table_364[], 3, FALSE), CF_Contols)</f>
        <v>0.26</v>
      </c>
      <c r="AE97" s="68" t="e">
        <f>VLOOKUP(ReviewCalcs[[#This Row],[Existing Control(s)]], Table_358[], 2, FALSE)</f>
        <v>#N/A</v>
      </c>
      <c r="AF97" s="68">
        <f>IF(ReviewCalcs[[#This Row],[Proposed Control(s)]]='Tables &amp; Ranges'!$A$25, VLOOKUP(ReviewCalcs[[#This Row],[Building/Space Type]], Table_364[], 3, FALSE), CF_Contols)</f>
        <v>0.26</v>
      </c>
      <c r="AG97" s="68" t="e">
        <f>VLOOKUP(ReviewCalcs[[#This Row],[Proposed Control(s)]], Table_358[], 2, FALSE)</f>
        <v>#N/A</v>
      </c>
      <c r="AH97" s="68">
        <f>IFERROR((ReviewCalcs[[#This Row],[Existing Fixture Quantity]]*ReviewCalcs[[#This Row],[Existing Fixture Watts]]/1000)*ReviewCalcs[[#This Row],[Existing CF]]*ReviewCalcs[[#This Row],[IEFD]], 0)</f>
        <v>0</v>
      </c>
      <c r="AI97" s="68">
        <f>IFERROR((ReviewCalcs[[#This Row],[Proposed Fixture Quantity]]*ReviewCalcs[[#This Row],[Proposed Fixture Watts]]/1000)*ReviewCalcs[[#This Row],[Existing CF]]*ReviewCalcs[[#This Row],[IEFD]], 0)</f>
        <v>0</v>
      </c>
      <c r="AJ97" s="118">
        <f>IFERROR((ReviewCalcs[[#This Row],[Existing Fixture Quantity]]*ReviewCalcs[[#This Row],[Existing Fixture Watts]]/1000-ReviewCalcs[[#This Row],[Proposed Fixture Quantity]]*ReviewCalcs[[#This Row],[Proposed Fixture Watts]]/1000)*ReviewCalcs[[#This Row],[Existing CF]]*ReviewCalcs[[#This Row],[IEFD]], 0)</f>
        <v>0</v>
      </c>
      <c r="AK97" s="118">
        <f>IFERROR((ReviewCalcs[[#This Row],[Existing Fixture Quantity]]*ReviewCalcs[[#This Row],[Existing Fixture Watts]]/1000)*ReviewCalcs[[#This Row],[AOH]]*ReviewCalcs[[#This Row],[IEFE]]*ReviewCalcs[[#This Row],[Existing PAF]], 0)</f>
        <v>0</v>
      </c>
      <c r="AL97" s="118">
        <f>IFERROR((ReviewCalcs[[#This Row],[Proposed Fixture Quantity]]*ReviewCalcs[[#This Row],[Proposed Fixture Watts]]/1000)*ReviewCalcs[[#This Row],[AOH]]*ReviewCalcs[[#This Row],[IEFE]]*ReviewCalcs[[#This Row],[Existing PAF]], 0)</f>
        <v>0</v>
      </c>
      <c r="AM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7" s="118">
        <f>ReviewCalcs[[#This Row],[Fixture Existing Energy (kWh)]]*Avg_KWh_Rate</f>
        <v>0</v>
      </c>
      <c r="AO97" s="118">
        <f>ReviewCalcs[[#This Row],[Fixture Proposed Energy (kWh)]]*Avg_KWh_Rate</f>
        <v>0</v>
      </c>
      <c r="AP97" s="70">
        <f>ReviewCalcs[[#This Row],[Fixture Energy Savings]]*Avg_KWh_Rate</f>
        <v>0</v>
      </c>
      <c r="AQ97" s="129" t="e">
        <f>ReviewCalcs[[#This Row],[Existing Fixture Quantity]]*ReviewCalcs[[#This Row],[Existing Fixture Watts]]/1000*ReviewCalcs[[#This Row],[Existing CF]]*ReviewCalcs[[#This Row],[IEFD]]</f>
        <v>#VALUE!</v>
      </c>
      <c r="AR97" s="129" t="e">
        <f>ReviewCalcs[[#This Row],[Proposed Fixture Quantity]]*ReviewCalcs[[#This Row],[Proposed Fixture Watts]]/1000*ReviewCalcs[[#This Row],[Proposed CF]]*ReviewCalcs[[#This Row],[IEFD]]</f>
        <v>#VALUE!</v>
      </c>
      <c r="AS97" s="118">
        <f>IF(ReviewCalcs[[#This Row],[Existing CF]]=ReviewCalcs[[#This Row],[Proposed CF]], 0, ReviewCalcs[[#This Row],[Proposed Fixture Quantity]]*ReviewCalcs[[#This Row],[Proposed Fixture Watts]]/1000*ReviewCalcs[[#This Row],[Proposed CF]]*ReviewCalcs[[#This Row],[IEFD]])</f>
        <v>0</v>
      </c>
      <c r="AT97" s="118">
        <f>IFERROR(ReviewCalcs[[#This Row],[Existing Fixture Quantity]]*ReviewCalcs[[#This Row],[Existing Fixture Watts]]/1000*ReviewCalcs[[#This Row],[Existing PAF]]*ReviewCalcs[[#This Row],[AOH]]*ReviewCalcs[[#This Row],[IEFE]], 0)</f>
        <v>0</v>
      </c>
      <c r="AU97" s="118">
        <f>IFERROR(ReviewCalcs[[#This Row],[Proposed Fixture Quantity]]*ReviewCalcs[[#This Row],[Proposed Fixture Watts]]/1000*ReviewCalcs[[#This Row],[Proposed PAF]]*ReviewCalcs[[#This Row],[AOH]]*ReviewCalcs[[#This Row],[IEFE]], 0)</f>
        <v>0</v>
      </c>
      <c r="AV97" s="118">
        <f>IFERROR(ReviewCalcs[[#This Row],[Proposed Fixture Quantity]]*ReviewCalcs[[#This Row],[Proposed Fixture Watts]]/1000*(ReviewCalcs[[#This Row],[Existing PAF]]-ReviewCalcs[[#This Row],[Proposed PAF]])*ReviewCalcs[[#This Row],[AOH]]*ReviewCalcs[[#This Row],[IEFE]], 0)</f>
        <v>0</v>
      </c>
      <c r="AW97" s="118">
        <f>ReviewCalcs[[#This Row],[Control Existing Energy (kWh)]]*kWh_Incentive_Rate</f>
        <v>0</v>
      </c>
      <c r="AX97" s="118">
        <f>ReviewCalcs[[#This Row],[Control Proposed Energy (kWh)]]*kWh_Incentive_Rate</f>
        <v>0</v>
      </c>
      <c r="AY97" s="70">
        <f>ReviewCalcs[[#This Row],[Control Energy Savings (kWh)]]*kWh_Incentive_Rate</f>
        <v>0</v>
      </c>
      <c r="AZ97" s="70" t="e">
        <f>ReviewCalcs[[#This Row],[Fixture Existing Demand (kW)]]+ReviewCalcs[[#This Row],[Control Existing Demand (kW)]]</f>
        <v>#VALUE!</v>
      </c>
      <c r="BA97" s="70" t="e">
        <f>ReviewCalcs[[#This Row],[Fixture Proposed Demand (kW)]]+ReviewCalcs[[#This Row],[Control Proposed Demand (kW)]]</f>
        <v>#VALUE!</v>
      </c>
      <c r="BB97" s="118">
        <f>ReviewCalcs[[#This Row],[Fixture Demand Savings (kW)]]+ReviewCalcs[[#This Row],[Control Demand Savings (kW)]]</f>
        <v>0</v>
      </c>
      <c r="BC97" s="118">
        <f>ReviewCalcs[[#This Row],[Fixture Existing Energy (kWh)]]+ReviewCalcs[[#This Row],[Control Existing Energy (kWh)]]</f>
        <v>0</v>
      </c>
      <c r="BD97" s="118">
        <f>ReviewCalcs[[#This Row],[Fixture Proposed Energy (kWh)]]+ReviewCalcs[[#This Row],[Control Proposed Energy (kWh)]]</f>
        <v>0</v>
      </c>
      <c r="BE97" s="118">
        <f>ReviewCalcs[[#This Row],[Fixture Energy Savings]]+ReviewCalcs[[#This Row],[Control Energy Savings (kWh)]]</f>
        <v>0</v>
      </c>
      <c r="BF97" s="118">
        <f>ReviewCalcs[[#This Row],[Fixture Existing Cost ($)]]+ReviewCalcs[[#This Row],[Control Existing Cost ($)]]</f>
        <v>0</v>
      </c>
      <c r="BG97" s="118">
        <f>ReviewCalcs[[#This Row],[Fixture Proposed Cost ($)]]+ReviewCalcs[[#This Row],[Controls Proposed Cost ($)]]</f>
        <v>0</v>
      </c>
      <c r="BH97" s="70">
        <f>ReviewCalcs[[#This Row],[Total Energy Savings (kWh)]]*Avg_KWh_Rate</f>
        <v>0</v>
      </c>
      <c r="BI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7" s="70">
        <f>ReviewCalcs[[#This Row],[Retrofit Cost]]</f>
        <v>0</v>
      </c>
      <c r="BK97" s="70">
        <f>ReviewCalcs[[#This Row],[Retrofit Cost]]-ReviewCalcs[[#This Row],[Incentive ($)]]</f>
        <v>0</v>
      </c>
      <c r="BL97" s="118" t="e">
        <f>IFERROR(ReviewCalcs[[#This Row],[Net Project Cost ($)]]/ReviewCalcs[[#This Row],[Fixture Energy Cost Savings ($)]], #N/A)</f>
        <v>#N/A</v>
      </c>
      <c r="BM97" s="118" t="e">
        <f>IF(VLOOKUP(ReviewCalcs[[#This Row],[Existing Fixture Code]], Table7[[FIXTURE CODE]:[Baseline Fixture Code]], 8, FALSE)="N", VLOOKUP(ReviewCalcs[[#This Row],[Existing Fixture Code]], Table7[[FIXTURE CODE]:[Baseline Fixture Code]], 9, FALSE), ReviewCalcs[[#This Row],[Existing Fixture Code]])</f>
        <v>#N/A</v>
      </c>
      <c r="BN97" s="118" t="e">
        <f>INDEX(Table7[WATT/ FIXT], MATCH(ReviewCalcs[Baseline Fixture Code], Table7[FIXTURE CODE], 0))</f>
        <v>#N/A</v>
      </c>
      <c r="BO97" s="118">
        <f>IFERROR((ReviewCalcs[[#This Row],[Existing Fixture Quantity]]*ReviewCalcs[[#This Row],[Baseline Fixture Watts]]/1000-ReviewCalcs[[#This Row],[Proposed Fixture Quantity]]*ReviewCalcs[[#This Row],[Proposed Fixture Watts]]/1000)*ReviewCalcs[[#This Row],[Existing CF]]*ReviewCalcs[[#This Row],[IEFD]], 0)</f>
        <v>0</v>
      </c>
      <c r="BP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7" s="118">
        <f>IF(ReviewCalcs[[#This Row],[Existing CF]]=ReviewCalcs[[#This Row],[Proposed CF]], 0, ReviewCalcs[[#This Row],[Proposed Fixture Quantity]]*ReviewCalcs[[#This Row],[Proposed Fixture Watts]]/1000*ReviewCalcs[[#This Row],[Proposed CF]]*ReviewCalcs[[#This Row],[IEFD]])</f>
        <v>0</v>
      </c>
      <c r="BR97" s="118">
        <f>IFERROR(ReviewCalcs[[#This Row],[Proposed Fixture Quantity]]*ReviewCalcs[[#This Row],[Proposed Fixture Watts]]/1000*(ReviewCalcs[[#This Row],[Existing PAF]]-ReviewCalcs[[#This Row],[Proposed PAF]])*ReviewCalcs[[#This Row],[AOH]]*ReviewCalcs[[#This Row],[IEFE]],0)</f>
        <v>0</v>
      </c>
      <c r="BS97" s="118">
        <f>ReviewCalcs[[#This Row],[Incentive Fixture Demand Savings (kW)]]+ReviewCalcs[[#This Row],[Incentive Control Demand Savings (kW)]]</f>
        <v>0</v>
      </c>
      <c r="BT97" s="118">
        <f>ReviewCalcs[[#This Row],[Incentive Fixture Energy Savings (kWh)]]+ReviewCalcs[[#This Row],[Incentive Control Energy Savings (kWh)]]</f>
        <v>0</v>
      </c>
      <c r="BU97" s="73"/>
    </row>
    <row r="98" spans="1:73" ht="30" customHeight="1">
      <c r="A98" s="68">
        <v>95</v>
      </c>
      <c r="B98" s="96">
        <f>VLOOKUP(ReviewCalcs[[#This Row],[Project Index]], ProjectInput[], D$1, FALSE)</f>
        <v>0</v>
      </c>
      <c r="C98" s="97">
        <f>VLOOKUP(ReviewCalcs[[#This Row],[Project Index]], ProjectInput[], E$1, FALSE)</f>
        <v>0</v>
      </c>
      <c r="D98" s="97">
        <f>VLOOKUP(ReviewCalcs[[#This Row],[Project Index]], ProjectInput[], F$1, FALSE)</f>
        <v>0</v>
      </c>
      <c r="E98" s="97">
        <f>VLOOKUP(ReviewCalcs[[#This Row],[Project Index]], ProjectInput[], G$1, FALSE)</f>
        <v>0</v>
      </c>
      <c r="F98" s="97">
        <f>VLOOKUP(ReviewCalcs[[#This Row],[Project Index]], ProjectInput[], H$1, FALSE)</f>
        <v>0</v>
      </c>
      <c r="G98" s="98" t="str">
        <f>VLOOKUP(ReviewCalcs[[#This Row],[Project Index]], ProjectInput[], I$1, FALSE)</f>
        <v/>
      </c>
      <c r="H98" s="96">
        <f>VLOOKUP(ReviewCalcs[[#This Row],[Project Index]], ProjectInput[], J$1, FALSE)</f>
        <v>0</v>
      </c>
      <c r="I98" s="97">
        <f>VLOOKUP(ReviewCalcs[[#This Row],[Project Index]], ProjectInput[], K$1, FALSE)</f>
        <v>0</v>
      </c>
      <c r="J98" s="97">
        <f>VLOOKUP(ReviewCalcs[[#This Row],[Project Index]], ProjectInput[], L$1, FALSE)</f>
        <v>0</v>
      </c>
      <c r="K98" s="97">
        <f>VLOOKUP(ReviewCalcs[[#This Row],[Project Index]], ProjectInput[], M$1, FALSE)</f>
        <v>0</v>
      </c>
      <c r="L98" s="97">
        <f>VLOOKUP(ReviewCalcs[[#This Row],[Project Index]], ProjectInput[], N$1, FALSE)</f>
        <v>0</v>
      </c>
      <c r="M98" s="98" t="str">
        <f>VLOOKUP(ReviewCalcs[[#This Row],[Project Index]], ProjectInput[], O$1, FALSE)</f>
        <v/>
      </c>
      <c r="N98" s="96">
        <f>VLOOKUP(ReviewCalcs[[#This Row],[Project Index]], ProjectInput[], P$1, FALSE)</f>
        <v>0</v>
      </c>
      <c r="O98" s="97">
        <f>VLOOKUP(ReviewCalcs[[#This Row],[Project Index]], ProjectInput[], Q$1, FALSE)</f>
        <v>0</v>
      </c>
      <c r="P98" s="97">
        <f>VLOOKUP(ReviewCalcs[[#This Row],[Project Index]], ProjectInput[], R$1, FALSE)</f>
        <v>0</v>
      </c>
      <c r="Q98" s="97">
        <f>VLOOKUP(ReviewCalcs[[#This Row],[Project Index]], ProjectInput[], S$1, FALSE)</f>
        <v>0</v>
      </c>
      <c r="R98" s="97">
        <f>VLOOKUP(ReviewCalcs[[#This Row],[Project Index]], ProjectInput[], T$1, FALSE)</f>
        <v>0</v>
      </c>
      <c r="S98" s="97">
        <f>VLOOKUP(ReviewCalcs[[#This Row],[Project Index]], ProjectInput[], U$1, FALSE)</f>
        <v>0</v>
      </c>
      <c r="T98" s="97">
        <f>VLOOKUP(ReviewCalcs[[#This Row],[Project Index]], ProjectInput[], V$1, FALSE)</f>
        <v>0</v>
      </c>
      <c r="U98" s="97">
        <f>VLOOKUP(ReviewCalcs[[#This Row],[Project Index]], ProjectInput[], W$1, FALSE)</f>
        <v>0</v>
      </c>
      <c r="V98" s="98" t="str">
        <f>VLOOKUP(ReviewCalcs[[#This Row],[Project Index]], ProjectInput[], X$1, FALSE)</f>
        <v/>
      </c>
      <c r="W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8" s="75" t="e">
        <f>IF(VLOOKUP(ReviewCalcs[[#This Row],[Proposed Fixture Code]], Table7[[FIXTURE CODE]:[Baseline Fixture Code]], 8, FALSE)="N", "ERROR", "PASS")</f>
        <v>#N/A</v>
      </c>
      <c r="Y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8" s="75" t="e">
        <f>IF(OR(ReviewCalcs[[#This Row],[Baseline Fixture Watts]]&gt;=ReviewCalcs[[#This Row],[Proposed Fixture Watts]],ReviewCalcs[[#This Row],[Existing Fixture Watts]]&gt;=ReviewCalcs[[#This Row],[Proposed Fixture Watts]] ), "PASS", "ERROR")</f>
        <v>#N/A</v>
      </c>
      <c r="AA98" s="69" t="e">
        <f>VLOOKUP(ReviewCalcs[[#This Row],[Space Conditions]], Table_365[], 5, FALSE)</f>
        <v>#N/A</v>
      </c>
      <c r="AB98" s="68" t="str">
        <f>ReviewCalcs[[#This Row],[Annual Hours]]</f>
        <v/>
      </c>
      <c r="AC98" s="68" t="e">
        <f>VLOOKUP(ReviewCalcs[[#This Row],[Space Conditions]], Table_365[], 6, FALSE)</f>
        <v>#N/A</v>
      </c>
      <c r="AD98" s="68">
        <f>IF(ReviewCalcs[[#This Row],[Existing Control(s)]]='Tables &amp; Ranges'!$A$25, VLOOKUP(ReviewCalcs[[#This Row],[Building/Space Type]], Table_364[], 3, FALSE), CF_Contols)</f>
        <v>0.26</v>
      </c>
      <c r="AE98" s="68" t="e">
        <f>VLOOKUP(ReviewCalcs[[#This Row],[Existing Control(s)]], Table_358[], 2, FALSE)</f>
        <v>#N/A</v>
      </c>
      <c r="AF98" s="68">
        <f>IF(ReviewCalcs[[#This Row],[Proposed Control(s)]]='Tables &amp; Ranges'!$A$25, VLOOKUP(ReviewCalcs[[#This Row],[Building/Space Type]], Table_364[], 3, FALSE), CF_Contols)</f>
        <v>0.26</v>
      </c>
      <c r="AG98" s="68" t="e">
        <f>VLOOKUP(ReviewCalcs[[#This Row],[Proposed Control(s)]], Table_358[], 2, FALSE)</f>
        <v>#N/A</v>
      </c>
      <c r="AH98" s="68">
        <f>IFERROR((ReviewCalcs[[#This Row],[Existing Fixture Quantity]]*ReviewCalcs[[#This Row],[Existing Fixture Watts]]/1000)*ReviewCalcs[[#This Row],[Existing CF]]*ReviewCalcs[[#This Row],[IEFD]], 0)</f>
        <v>0</v>
      </c>
      <c r="AI98" s="68">
        <f>IFERROR((ReviewCalcs[[#This Row],[Proposed Fixture Quantity]]*ReviewCalcs[[#This Row],[Proposed Fixture Watts]]/1000)*ReviewCalcs[[#This Row],[Existing CF]]*ReviewCalcs[[#This Row],[IEFD]], 0)</f>
        <v>0</v>
      </c>
      <c r="AJ98" s="118">
        <f>IFERROR((ReviewCalcs[[#This Row],[Existing Fixture Quantity]]*ReviewCalcs[[#This Row],[Existing Fixture Watts]]/1000-ReviewCalcs[[#This Row],[Proposed Fixture Quantity]]*ReviewCalcs[[#This Row],[Proposed Fixture Watts]]/1000)*ReviewCalcs[[#This Row],[Existing CF]]*ReviewCalcs[[#This Row],[IEFD]], 0)</f>
        <v>0</v>
      </c>
      <c r="AK98" s="118">
        <f>IFERROR((ReviewCalcs[[#This Row],[Existing Fixture Quantity]]*ReviewCalcs[[#This Row],[Existing Fixture Watts]]/1000)*ReviewCalcs[[#This Row],[AOH]]*ReviewCalcs[[#This Row],[IEFE]]*ReviewCalcs[[#This Row],[Existing PAF]], 0)</f>
        <v>0</v>
      </c>
      <c r="AL98" s="118">
        <f>IFERROR((ReviewCalcs[[#This Row],[Proposed Fixture Quantity]]*ReviewCalcs[[#This Row],[Proposed Fixture Watts]]/1000)*ReviewCalcs[[#This Row],[AOH]]*ReviewCalcs[[#This Row],[IEFE]]*ReviewCalcs[[#This Row],[Existing PAF]], 0)</f>
        <v>0</v>
      </c>
      <c r="AM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8" s="118">
        <f>ReviewCalcs[[#This Row],[Fixture Existing Energy (kWh)]]*Avg_KWh_Rate</f>
        <v>0</v>
      </c>
      <c r="AO98" s="118">
        <f>ReviewCalcs[[#This Row],[Fixture Proposed Energy (kWh)]]*Avg_KWh_Rate</f>
        <v>0</v>
      </c>
      <c r="AP98" s="70">
        <f>ReviewCalcs[[#This Row],[Fixture Energy Savings]]*Avg_KWh_Rate</f>
        <v>0</v>
      </c>
      <c r="AQ98" s="129" t="e">
        <f>ReviewCalcs[[#This Row],[Existing Fixture Quantity]]*ReviewCalcs[[#This Row],[Existing Fixture Watts]]/1000*ReviewCalcs[[#This Row],[Existing CF]]*ReviewCalcs[[#This Row],[IEFD]]</f>
        <v>#VALUE!</v>
      </c>
      <c r="AR98" s="129" t="e">
        <f>ReviewCalcs[[#This Row],[Proposed Fixture Quantity]]*ReviewCalcs[[#This Row],[Proposed Fixture Watts]]/1000*ReviewCalcs[[#This Row],[Proposed CF]]*ReviewCalcs[[#This Row],[IEFD]]</f>
        <v>#VALUE!</v>
      </c>
      <c r="AS98" s="118">
        <f>IF(ReviewCalcs[[#This Row],[Existing CF]]=ReviewCalcs[[#This Row],[Proposed CF]], 0, ReviewCalcs[[#This Row],[Proposed Fixture Quantity]]*ReviewCalcs[[#This Row],[Proposed Fixture Watts]]/1000*ReviewCalcs[[#This Row],[Proposed CF]]*ReviewCalcs[[#This Row],[IEFD]])</f>
        <v>0</v>
      </c>
      <c r="AT98" s="118">
        <f>IFERROR(ReviewCalcs[[#This Row],[Existing Fixture Quantity]]*ReviewCalcs[[#This Row],[Existing Fixture Watts]]/1000*ReviewCalcs[[#This Row],[Existing PAF]]*ReviewCalcs[[#This Row],[AOH]]*ReviewCalcs[[#This Row],[IEFE]], 0)</f>
        <v>0</v>
      </c>
      <c r="AU98" s="118">
        <f>IFERROR(ReviewCalcs[[#This Row],[Proposed Fixture Quantity]]*ReviewCalcs[[#This Row],[Proposed Fixture Watts]]/1000*ReviewCalcs[[#This Row],[Proposed PAF]]*ReviewCalcs[[#This Row],[AOH]]*ReviewCalcs[[#This Row],[IEFE]], 0)</f>
        <v>0</v>
      </c>
      <c r="AV98" s="118">
        <f>IFERROR(ReviewCalcs[[#This Row],[Proposed Fixture Quantity]]*ReviewCalcs[[#This Row],[Proposed Fixture Watts]]/1000*(ReviewCalcs[[#This Row],[Existing PAF]]-ReviewCalcs[[#This Row],[Proposed PAF]])*ReviewCalcs[[#This Row],[AOH]]*ReviewCalcs[[#This Row],[IEFE]], 0)</f>
        <v>0</v>
      </c>
      <c r="AW98" s="118">
        <f>ReviewCalcs[[#This Row],[Control Existing Energy (kWh)]]*kWh_Incentive_Rate</f>
        <v>0</v>
      </c>
      <c r="AX98" s="118">
        <f>ReviewCalcs[[#This Row],[Control Proposed Energy (kWh)]]*kWh_Incentive_Rate</f>
        <v>0</v>
      </c>
      <c r="AY98" s="70">
        <f>ReviewCalcs[[#This Row],[Control Energy Savings (kWh)]]*kWh_Incentive_Rate</f>
        <v>0</v>
      </c>
      <c r="AZ98" s="70" t="e">
        <f>ReviewCalcs[[#This Row],[Fixture Existing Demand (kW)]]+ReviewCalcs[[#This Row],[Control Existing Demand (kW)]]</f>
        <v>#VALUE!</v>
      </c>
      <c r="BA98" s="70" t="e">
        <f>ReviewCalcs[[#This Row],[Fixture Proposed Demand (kW)]]+ReviewCalcs[[#This Row],[Control Proposed Demand (kW)]]</f>
        <v>#VALUE!</v>
      </c>
      <c r="BB98" s="118">
        <f>ReviewCalcs[[#This Row],[Fixture Demand Savings (kW)]]+ReviewCalcs[[#This Row],[Control Demand Savings (kW)]]</f>
        <v>0</v>
      </c>
      <c r="BC98" s="118">
        <f>ReviewCalcs[[#This Row],[Fixture Existing Energy (kWh)]]+ReviewCalcs[[#This Row],[Control Existing Energy (kWh)]]</f>
        <v>0</v>
      </c>
      <c r="BD98" s="118">
        <f>ReviewCalcs[[#This Row],[Fixture Proposed Energy (kWh)]]+ReviewCalcs[[#This Row],[Control Proposed Energy (kWh)]]</f>
        <v>0</v>
      </c>
      <c r="BE98" s="118">
        <f>ReviewCalcs[[#This Row],[Fixture Energy Savings]]+ReviewCalcs[[#This Row],[Control Energy Savings (kWh)]]</f>
        <v>0</v>
      </c>
      <c r="BF98" s="118">
        <f>ReviewCalcs[[#This Row],[Fixture Existing Cost ($)]]+ReviewCalcs[[#This Row],[Control Existing Cost ($)]]</f>
        <v>0</v>
      </c>
      <c r="BG98" s="118">
        <f>ReviewCalcs[[#This Row],[Fixture Proposed Cost ($)]]+ReviewCalcs[[#This Row],[Controls Proposed Cost ($)]]</f>
        <v>0</v>
      </c>
      <c r="BH98" s="70">
        <f>ReviewCalcs[[#This Row],[Total Energy Savings (kWh)]]*Avg_KWh_Rate</f>
        <v>0</v>
      </c>
      <c r="BI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8" s="70">
        <f>ReviewCalcs[[#This Row],[Retrofit Cost]]</f>
        <v>0</v>
      </c>
      <c r="BK98" s="70">
        <f>ReviewCalcs[[#This Row],[Retrofit Cost]]-ReviewCalcs[[#This Row],[Incentive ($)]]</f>
        <v>0</v>
      </c>
      <c r="BL98" s="118" t="e">
        <f>IFERROR(ReviewCalcs[[#This Row],[Net Project Cost ($)]]/ReviewCalcs[[#This Row],[Fixture Energy Cost Savings ($)]], #N/A)</f>
        <v>#N/A</v>
      </c>
      <c r="BM98" s="118" t="e">
        <f>IF(VLOOKUP(ReviewCalcs[[#This Row],[Existing Fixture Code]], Table7[[FIXTURE CODE]:[Baseline Fixture Code]], 8, FALSE)="N", VLOOKUP(ReviewCalcs[[#This Row],[Existing Fixture Code]], Table7[[FIXTURE CODE]:[Baseline Fixture Code]], 9, FALSE), ReviewCalcs[[#This Row],[Existing Fixture Code]])</f>
        <v>#N/A</v>
      </c>
      <c r="BN98" s="118" t="e">
        <f>INDEX(Table7[WATT/ FIXT], MATCH(ReviewCalcs[Baseline Fixture Code], Table7[FIXTURE CODE], 0))</f>
        <v>#N/A</v>
      </c>
      <c r="BO98" s="118">
        <f>IFERROR((ReviewCalcs[[#This Row],[Existing Fixture Quantity]]*ReviewCalcs[[#This Row],[Baseline Fixture Watts]]/1000-ReviewCalcs[[#This Row],[Proposed Fixture Quantity]]*ReviewCalcs[[#This Row],[Proposed Fixture Watts]]/1000)*ReviewCalcs[[#This Row],[Existing CF]]*ReviewCalcs[[#This Row],[IEFD]], 0)</f>
        <v>0</v>
      </c>
      <c r="BP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8" s="118">
        <f>IF(ReviewCalcs[[#This Row],[Existing CF]]=ReviewCalcs[[#This Row],[Proposed CF]], 0, ReviewCalcs[[#This Row],[Proposed Fixture Quantity]]*ReviewCalcs[[#This Row],[Proposed Fixture Watts]]/1000*ReviewCalcs[[#This Row],[Proposed CF]]*ReviewCalcs[[#This Row],[IEFD]])</f>
        <v>0</v>
      </c>
      <c r="BR98" s="118">
        <f>IFERROR(ReviewCalcs[[#This Row],[Proposed Fixture Quantity]]*ReviewCalcs[[#This Row],[Proposed Fixture Watts]]/1000*(ReviewCalcs[[#This Row],[Existing PAF]]-ReviewCalcs[[#This Row],[Proposed PAF]])*ReviewCalcs[[#This Row],[AOH]]*ReviewCalcs[[#This Row],[IEFE]],0)</f>
        <v>0</v>
      </c>
      <c r="BS98" s="118">
        <f>ReviewCalcs[[#This Row],[Incentive Fixture Demand Savings (kW)]]+ReviewCalcs[[#This Row],[Incentive Control Demand Savings (kW)]]</f>
        <v>0</v>
      </c>
      <c r="BT98" s="118">
        <f>ReviewCalcs[[#This Row],[Incentive Fixture Energy Savings (kWh)]]+ReviewCalcs[[#This Row],[Incentive Control Energy Savings (kWh)]]</f>
        <v>0</v>
      </c>
      <c r="BU98" s="73"/>
    </row>
    <row r="99" spans="1:73" ht="30" customHeight="1">
      <c r="A99" s="68">
        <v>96</v>
      </c>
      <c r="B99" s="96">
        <f>VLOOKUP(ReviewCalcs[[#This Row],[Project Index]], ProjectInput[], D$1, FALSE)</f>
        <v>0</v>
      </c>
      <c r="C99" s="97">
        <f>VLOOKUP(ReviewCalcs[[#This Row],[Project Index]], ProjectInput[], E$1, FALSE)</f>
        <v>0</v>
      </c>
      <c r="D99" s="97">
        <f>VLOOKUP(ReviewCalcs[[#This Row],[Project Index]], ProjectInput[], F$1, FALSE)</f>
        <v>0</v>
      </c>
      <c r="E99" s="97">
        <f>VLOOKUP(ReviewCalcs[[#This Row],[Project Index]], ProjectInput[], G$1, FALSE)</f>
        <v>0</v>
      </c>
      <c r="F99" s="97">
        <f>VLOOKUP(ReviewCalcs[[#This Row],[Project Index]], ProjectInput[], H$1, FALSE)</f>
        <v>0</v>
      </c>
      <c r="G99" s="98" t="str">
        <f>VLOOKUP(ReviewCalcs[[#This Row],[Project Index]], ProjectInput[], I$1, FALSE)</f>
        <v/>
      </c>
      <c r="H99" s="96">
        <f>VLOOKUP(ReviewCalcs[[#This Row],[Project Index]], ProjectInput[], J$1, FALSE)</f>
        <v>0</v>
      </c>
      <c r="I99" s="97">
        <f>VLOOKUP(ReviewCalcs[[#This Row],[Project Index]], ProjectInput[], K$1, FALSE)</f>
        <v>0</v>
      </c>
      <c r="J99" s="97">
        <f>VLOOKUP(ReviewCalcs[[#This Row],[Project Index]], ProjectInput[], L$1, FALSE)</f>
        <v>0</v>
      </c>
      <c r="K99" s="97">
        <f>VLOOKUP(ReviewCalcs[[#This Row],[Project Index]], ProjectInput[], M$1, FALSE)</f>
        <v>0</v>
      </c>
      <c r="L99" s="97">
        <f>VLOOKUP(ReviewCalcs[[#This Row],[Project Index]], ProjectInput[], N$1, FALSE)</f>
        <v>0</v>
      </c>
      <c r="M99" s="98" t="str">
        <f>VLOOKUP(ReviewCalcs[[#This Row],[Project Index]], ProjectInput[], O$1, FALSE)</f>
        <v/>
      </c>
      <c r="N99" s="96">
        <f>VLOOKUP(ReviewCalcs[[#This Row],[Project Index]], ProjectInput[], P$1, FALSE)</f>
        <v>0</v>
      </c>
      <c r="O99" s="97">
        <f>VLOOKUP(ReviewCalcs[[#This Row],[Project Index]], ProjectInput[], Q$1, FALSE)</f>
        <v>0</v>
      </c>
      <c r="P99" s="97">
        <f>VLOOKUP(ReviewCalcs[[#This Row],[Project Index]], ProjectInput[], R$1, FALSE)</f>
        <v>0</v>
      </c>
      <c r="Q99" s="97">
        <f>VLOOKUP(ReviewCalcs[[#This Row],[Project Index]], ProjectInput[], S$1, FALSE)</f>
        <v>0</v>
      </c>
      <c r="R99" s="97">
        <f>VLOOKUP(ReviewCalcs[[#This Row],[Project Index]], ProjectInput[], T$1, FALSE)</f>
        <v>0</v>
      </c>
      <c r="S99" s="97">
        <f>VLOOKUP(ReviewCalcs[[#This Row],[Project Index]], ProjectInput[], U$1, FALSE)</f>
        <v>0</v>
      </c>
      <c r="T99" s="97">
        <f>VLOOKUP(ReviewCalcs[[#This Row],[Project Index]], ProjectInput[], V$1, FALSE)</f>
        <v>0</v>
      </c>
      <c r="U99" s="97">
        <f>VLOOKUP(ReviewCalcs[[#This Row],[Project Index]], ProjectInput[], W$1, FALSE)</f>
        <v>0</v>
      </c>
      <c r="V99" s="98" t="str">
        <f>VLOOKUP(ReviewCalcs[[#This Row],[Project Index]], ProjectInput[], X$1, FALSE)</f>
        <v/>
      </c>
      <c r="W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99" s="75" t="e">
        <f>IF(VLOOKUP(ReviewCalcs[[#This Row],[Proposed Fixture Code]], Table7[[FIXTURE CODE]:[Baseline Fixture Code]], 8, FALSE)="N", "ERROR", "PASS")</f>
        <v>#N/A</v>
      </c>
      <c r="Y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99" s="75" t="e">
        <f>IF(OR(ReviewCalcs[[#This Row],[Baseline Fixture Watts]]&gt;=ReviewCalcs[[#This Row],[Proposed Fixture Watts]],ReviewCalcs[[#This Row],[Existing Fixture Watts]]&gt;=ReviewCalcs[[#This Row],[Proposed Fixture Watts]] ), "PASS", "ERROR")</f>
        <v>#N/A</v>
      </c>
      <c r="AA99" s="69" t="e">
        <f>VLOOKUP(ReviewCalcs[[#This Row],[Space Conditions]], Table_365[], 5, FALSE)</f>
        <v>#N/A</v>
      </c>
      <c r="AB99" s="68" t="str">
        <f>ReviewCalcs[[#This Row],[Annual Hours]]</f>
        <v/>
      </c>
      <c r="AC99" s="68" t="e">
        <f>VLOOKUP(ReviewCalcs[[#This Row],[Space Conditions]], Table_365[], 6, FALSE)</f>
        <v>#N/A</v>
      </c>
      <c r="AD99" s="68">
        <f>IF(ReviewCalcs[[#This Row],[Existing Control(s)]]='Tables &amp; Ranges'!$A$25, VLOOKUP(ReviewCalcs[[#This Row],[Building/Space Type]], Table_364[], 3, FALSE), CF_Contols)</f>
        <v>0.26</v>
      </c>
      <c r="AE99" s="68" t="e">
        <f>VLOOKUP(ReviewCalcs[[#This Row],[Existing Control(s)]], Table_358[], 2, FALSE)</f>
        <v>#N/A</v>
      </c>
      <c r="AF99" s="68">
        <f>IF(ReviewCalcs[[#This Row],[Proposed Control(s)]]='Tables &amp; Ranges'!$A$25, VLOOKUP(ReviewCalcs[[#This Row],[Building/Space Type]], Table_364[], 3, FALSE), CF_Contols)</f>
        <v>0.26</v>
      </c>
      <c r="AG99" s="68" t="e">
        <f>VLOOKUP(ReviewCalcs[[#This Row],[Proposed Control(s)]], Table_358[], 2, FALSE)</f>
        <v>#N/A</v>
      </c>
      <c r="AH99" s="68">
        <f>IFERROR((ReviewCalcs[[#This Row],[Existing Fixture Quantity]]*ReviewCalcs[[#This Row],[Existing Fixture Watts]]/1000)*ReviewCalcs[[#This Row],[Existing CF]]*ReviewCalcs[[#This Row],[IEFD]], 0)</f>
        <v>0</v>
      </c>
      <c r="AI99" s="68">
        <f>IFERROR((ReviewCalcs[[#This Row],[Proposed Fixture Quantity]]*ReviewCalcs[[#This Row],[Proposed Fixture Watts]]/1000)*ReviewCalcs[[#This Row],[Existing CF]]*ReviewCalcs[[#This Row],[IEFD]], 0)</f>
        <v>0</v>
      </c>
      <c r="AJ99" s="118">
        <f>IFERROR((ReviewCalcs[[#This Row],[Existing Fixture Quantity]]*ReviewCalcs[[#This Row],[Existing Fixture Watts]]/1000-ReviewCalcs[[#This Row],[Proposed Fixture Quantity]]*ReviewCalcs[[#This Row],[Proposed Fixture Watts]]/1000)*ReviewCalcs[[#This Row],[Existing CF]]*ReviewCalcs[[#This Row],[IEFD]], 0)</f>
        <v>0</v>
      </c>
      <c r="AK99" s="118">
        <f>IFERROR((ReviewCalcs[[#This Row],[Existing Fixture Quantity]]*ReviewCalcs[[#This Row],[Existing Fixture Watts]]/1000)*ReviewCalcs[[#This Row],[AOH]]*ReviewCalcs[[#This Row],[IEFE]]*ReviewCalcs[[#This Row],[Existing PAF]], 0)</f>
        <v>0</v>
      </c>
      <c r="AL99" s="118">
        <f>IFERROR((ReviewCalcs[[#This Row],[Proposed Fixture Quantity]]*ReviewCalcs[[#This Row],[Proposed Fixture Watts]]/1000)*ReviewCalcs[[#This Row],[AOH]]*ReviewCalcs[[#This Row],[IEFE]]*ReviewCalcs[[#This Row],[Existing PAF]], 0)</f>
        <v>0</v>
      </c>
      <c r="AM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99" s="118">
        <f>ReviewCalcs[[#This Row],[Fixture Existing Energy (kWh)]]*Avg_KWh_Rate</f>
        <v>0</v>
      </c>
      <c r="AO99" s="118">
        <f>ReviewCalcs[[#This Row],[Fixture Proposed Energy (kWh)]]*Avg_KWh_Rate</f>
        <v>0</v>
      </c>
      <c r="AP99" s="70">
        <f>ReviewCalcs[[#This Row],[Fixture Energy Savings]]*Avg_KWh_Rate</f>
        <v>0</v>
      </c>
      <c r="AQ99" s="129" t="e">
        <f>ReviewCalcs[[#This Row],[Existing Fixture Quantity]]*ReviewCalcs[[#This Row],[Existing Fixture Watts]]/1000*ReviewCalcs[[#This Row],[Existing CF]]*ReviewCalcs[[#This Row],[IEFD]]</f>
        <v>#VALUE!</v>
      </c>
      <c r="AR99" s="129" t="e">
        <f>ReviewCalcs[[#This Row],[Proposed Fixture Quantity]]*ReviewCalcs[[#This Row],[Proposed Fixture Watts]]/1000*ReviewCalcs[[#This Row],[Proposed CF]]*ReviewCalcs[[#This Row],[IEFD]]</f>
        <v>#VALUE!</v>
      </c>
      <c r="AS99" s="118">
        <f>IF(ReviewCalcs[[#This Row],[Existing CF]]=ReviewCalcs[[#This Row],[Proposed CF]], 0, ReviewCalcs[[#This Row],[Proposed Fixture Quantity]]*ReviewCalcs[[#This Row],[Proposed Fixture Watts]]/1000*ReviewCalcs[[#This Row],[Proposed CF]]*ReviewCalcs[[#This Row],[IEFD]])</f>
        <v>0</v>
      </c>
      <c r="AT99" s="118">
        <f>IFERROR(ReviewCalcs[[#This Row],[Existing Fixture Quantity]]*ReviewCalcs[[#This Row],[Existing Fixture Watts]]/1000*ReviewCalcs[[#This Row],[Existing PAF]]*ReviewCalcs[[#This Row],[AOH]]*ReviewCalcs[[#This Row],[IEFE]], 0)</f>
        <v>0</v>
      </c>
      <c r="AU99" s="118">
        <f>IFERROR(ReviewCalcs[[#This Row],[Proposed Fixture Quantity]]*ReviewCalcs[[#This Row],[Proposed Fixture Watts]]/1000*ReviewCalcs[[#This Row],[Proposed PAF]]*ReviewCalcs[[#This Row],[AOH]]*ReviewCalcs[[#This Row],[IEFE]], 0)</f>
        <v>0</v>
      </c>
      <c r="AV99" s="118">
        <f>IFERROR(ReviewCalcs[[#This Row],[Proposed Fixture Quantity]]*ReviewCalcs[[#This Row],[Proposed Fixture Watts]]/1000*(ReviewCalcs[[#This Row],[Existing PAF]]-ReviewCalcs[[#This Row],[Proposed PAF]])*ReviewCalcs[[#This Row],[AOH]]*ReviewCalcs[[#This Row],[IEFE]], 0)</f>
        <v>0</v>
      </c>
      <c r="AW99" s="118">
        <f>ReviewCalcs[[#This Row],[Control Existing Energy (kWh)]]*kWh_Incentive_Rate</f>
        <v>0</v>
      </c>
      <c r="AX99" s="118">
        <f>ReviewCalcs[[#This Row],[Control Proposed Energy (kWh)]]*kWh_Incentive_Rate</f>
        <v>0</v>
      </c>
      <c r="AY99" s="70">
        <f>ReviewCalcs[[#This Row],[Control Energy Savings (kWh)]]*kWh_Incentive_Rate</f>
        <v>0</v>
      </c>
      <c r="AZ99" s="70" t="e">
        <f>ReviewCalcs[[#This Row],[Fixture Existing Demand (kW)]]+ReviewCalcs[[#This Row],[Control Existing Demand (kW)]]</f>
        <v>#VALUE!</v>
      </c>
      <c r="BA99" s="70" t="e">
        <f>ReviewCalcs[[#This Row],[Fixture Proposed Demand (kW)]]+ReviewCalcs[[#This Row],[Control Proposed Demand (kW)]]</f>
        <v>#VALUE!</v>
      </c>
      <c r="BB99" s="118">
        <f>ReviewCalcs[[#This Row],[Fixture Demand Savings (kW)]]+ReviewCalcs[[#This Row],[Control Demand Savings (kW)]]</f>
        <v>0</v>
      </c>
      <c r="BC99" s="118">
        <f>ReviewCalcs[[#This Row],[Fixture Existing Energy (kWh)]]+ReviewCalcs[[#This Row],[Control Existing Energy (kWh)]]</f>
        <v>0</v>
      </c>
      <c r="BD99" s="118">
        <f>ReviewCalcs[[#This Row],[Fixture Proposed Energy (kWh)]]+ReviewCalcs[[#This Row],[Control Proposed Energy (kWh)]]</f>
        <v>0</v>
      </c>
      <c r="BE99" s="118">
        <f>ReviewCalcs[[#This Row],[Fixture Energy Savings]]+ReviewCalcs[[#This Row],[Control Energy Savings (kWh)]]</f>
        <v>0</v>
      </c>
      <c r="BF99" s="118">
        <f>ReviewCalcs[[#This Row],[Fixture Existing Cost ($)]]+ReviewCalcs[[#This Row],[Control Existing Cost ($)]]</f>
        <v>0</v>
      </c>
      <c r="BG99" s="118">
        <f>ReviewCalcs[[#This Row],[Fixture Proposed Cost ($)]]+ReviewCalcs[[#This Row],[Controls Proposed Cost ($)]]</f>
        <v>0</v>
      </c>
      <c r="BH99" s="70">
        <f>ReviewCalcs[[#This Row],[Total Energy Savings (kWh)]]*Avg_KWh_Rate</f>
        <v>0</v>
      </c>
      <c r="BI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99" s="70">
        <f>ReviewCalcs[[#This Row],[Retrofit Cost]]</f>
        <v>0</v>
      </c>
      <c r="BK99" s="70">
        <f>ReviewCalcs[[#This Row],[Retrofit Cost]]-ReviewCalcs[[#This Row],[Incentive ($)]]</f>
        <v>0</v>
      </c>
      <c r="BL99" s="118" t="e">
        <f>IFERROR(ReviewCalcs[[#This Row],[Net Project Cost ($)]]/ReviewCalcs[[#This Row],[Fixture Energy Cost Savings ($)]], #N/A)</f>
        <v>#N/A</v>
      </c>
      <c r="BM99" s="118" t="e">
        <f>IF(VLOOKUP(ReviewCalcs[[#This Row],[Existing Fixture Code]], Table7[[FIXTURE CODE]:[Baseline Fixture Code]], 8, FALSE)="N", VLOOKUP(ReviewCalcs[[#This Row],[Existing Fixture Code]], Table7[[FIXTURE CODE]:[Baseline Fixture Code]], 9, FALSE), ReviewCalcs[[#This Row],[Existing Fixture Code]])</f>
        <v>#N/A</v>
      </c>
      <c r="BN99" s="118" t="e">
        <f>INDEX(Table7[WATT/ FIXT], MATCH(ReviewCalcs[Baseline Fixture Code], Table7[FIXTURE CODE], 0))</f>
        <v>#N/A</v>
      </c>
      <c r="BO99" s="118">
        <f>IFERROR((ReviewCalcs[[#This Row],[Existing Fixture Quantity]]*ReviewCalcs[[#This Row],[Baseline Fixture Watts]]/1000-ReviewCalcs[[#This Row],[Proposed Fixture Quantity]]*ReviewCalcs[[#This Row],[Proposed Fixture Watts]]/1000)*ReviewCalcs[[#This Row],[Existing CF]]*ReviewCalcs[[#This Row],[IEFD]], 0)</f>
        <v>0</v>
      </c>
      <c r="BP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99" s="118">
        <f>IF(ReviewCalcs[[#This Row],[Existing CF]]=ReviewCalcs[[#This Row],[Proposed CF]], 0, ReviewCalcs[[#This Row],[Proposed Fixture Quantity]]*ReviewCalcs[[#This Row],[Proposed Fixture Watts]]/1000*ReviewCalcs[[#This Row],[Proposed CF]]*ReviewCalcs[[#This Row],[IEFD]])</f>
        <v>0</v>
      </c>
      <c r="BR99" s="118">
        <f>IFERROR(ReviewCalcs[[#This Row],[Proposed Fixture Quantity]]*ReviewCalcs[[#This Row],[Proposed Fixture Watts]]/1000*(ReviewCalcs[[#This Row],[Existing PAF]]-ReviewCalcs[[#This Row],[Proposed PAF]])*ReviewCalcs[[#This Row],[AOH]]*ReviewCalcs[[#This Row],[IEFE]],0)</f>
        <v>0</v>
      </c>
      <c r="BS99" s="118">
        <f>ReviewCalcs[[#This Row],[Incentive Fixture Demand Savings (kW)]]+ReviewCalcs[[#This Row],[Incentive Control Demand Savings (kW)]]</f>
        <v>0</v>
      </c>
      <c r="BT99" s="118">
        <f>ReviewCalcs[[#This Row],[Incentive Fixture Energy Savings (kWh)]]+ReviewCalcs[[#This Row],[Incentive Control Energy Savings (kWh)]]</f>
        <v>0</v>
      </c>
      <c r="BU99" s="73"/>
    </row>
    <row r="100" spans="1:73" ht="30" customHeight="1">
      <c r="A100" s="68">
        <v>97</v>
      </c>
      <c r="B100" s="96">
        <f>VLOOKUP(ReviewCalcs[[#This Row],[Project Index]], ProjectInput[], D$1, FALSE)</f>
        <v>0</v>
      </c>
      <c r="C100" s="97">
        <f>VLOOKUP(ReviewCalcs[[#This Row],[Project Index]], ProjectInput[], E$1, FALSE)</f>
        <v>0</v>
      </c>
      <c r="D100" s="97">
        <f>VLOOKUP(ReviewCalcs[[#This Row],[Project Index]], ProjectInput[], F$1, FALSE)</f>
        <v>0</v>
      </c>
      <c r="E100" s="97">
        <f>VLOOKUP(ReviewCalcs[[#This Row],[Project Index]], ProjectInput[], G$1, FALSE)</f>
        <v>0</v>
      </c>
      <c r="F100" s="97">
        <f>VLOOKUP(ReviewCalcs[[#This Row],[Project Index]], ProjectInput[], H$1, FALSE)</f>
        <v>0</v>
      </c>
      <c r="G100" s="98" t="str">
        <f>VLOOKUP(ReviewCalcs[[#This Row],[Project Index]], ProjectInput[], I$1, FALSE)</f>
        <v/>
      </c>
      <c r="H100" s="96">
        <f>VLOOKUP(ReviewCalcs[[#This Row],[Project Index]], ProjectInput[], J$1, FALSE)</f>
        <v>0</v>
      </c>
      <c r="I100" s="97">
        <f>VLOOKUP(ReviewCalcs[[#This Row],[Project Index]], ProjectInput[], K$1, FALSE)</f>
        <v>0</v>
      </c>
      <c r="J100" s="97">
        <f>VLOOKUP(ReviewCalcs[[#This Row],[Project Index]], ProjectInput[], L$1, FALSE)</f>
        <v>0</v>
      </c>
      <c r="K100" s="97">
        <f>VLOOKUP(ReviewCalcs[[#This Row],[Project Index]], ProjectInput[], M$1, FALSE)</f>
        <v>0</v>
      </c>
      <c r="L100" s="97">
        <f>VLOOKUP(ReviewCalcs[[#This Row],[Project Index]], ProjectInput[], N$1, FALSE)</f>
        <v>0</v>
      </c>
      <c r="M100" s="98" t="str">
        <f>VLOOKUP(ReviewCalcs[[#This Row],[Project Index]], ProjectInput[], O$1, FALSE)</f>
        <v/>
      </c>
      <c r="N100" s="96">
        <f>VLOOKUP(ReviewCalcs[[#This Row],[Project Index]], ProjectInput[], P$1, FALSE)</f>
        <v>0</v>
      </c>
      <c r="O100" s="97">
        <f>VLOOKUP(ReviewCalcs[[#This Row],[Project Index]], ProjectInput[], Q$1, FALSE)</f>
        <v>0</v>
      </c>
      <c r="P100" s="97">
        <f>VLOOKUP(ReviewCalcs[[#This Row],[Project Index]], ProjectInput[], R$1, FALSE)</f>
        <v>0</v>
      </c>
      <c r="Q100" s="97">
        <f>VLOOKUP(ReviewCalcs[[#This Row],[Project Index]], ProjectInput[], S$1, FALSE)</f>
        <v>0</v>
      </c>
      <c r="R100" s="97">
        <f>VLOOKUP(ReviewCalcs[[#This Row],[Project Index]], ProjectInput[], T$1, FALSE)</f>
        <v>0</v>
      </c>
      <c r="S100" s="97">
        <f>VLOOKUP(ReviewCalcs[[#This Row],[Project Index]], ProjectInput[], U$1, FALSE)</f>
        <v>0</v>
      </c>
      <c r="T100" s="97">
        <f>VLOOKUP(ReviewCalcs[[#This Row],[Project Index]], ProjectInput[], V$1, FALSE)</f>
        <v>0</v>
      </c>
      <c r="U100" s="97">
        <f>VLOOKUP(ReviewCalcs[[#This Row],[Project Index]], ProjectInput[], W$1, FALSE)</f>
        <v>0</v>
      </c>
      <c r="V100" s="98" t="str">
        <f>VLOOKUP(ReviewCalcs[[#This Row],[Project Index]], ProjectInput[], X$1, FALSE)</f>
        <v/>
      </c>
      <c r="W1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0" s="75" t="e">
        <f>IF(VLOOKUP(ReviewCalcs[[#This Row],[Proposed Fixture Code]], Table7[[FIXTURE CODE]:[Baseline Fixture Code]], 8, FALSE)="N", "ERROR", "PASS")</f>
        <v>#N/A</v>
      </c>
      <c r="Y1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0" s="75" t="e">
        <f>IF(OR(ReviewCalcs[[#This Row],[Baseline Fixture Watts]]&gt;=ReviewCalcs[[#This Row],[Proposed Fixture Watts]],ReviewCalcs[[#This Row],[Existing Fixture Watts]]&gt;=ReviewCalcs[[#This Row],[Proposed Fixture Watts]] ), "PASS", "ERROR")</f>
        <v>#N/A</v>
      </c>
      <c r="AA100" s="69" t="e">
        <f>VLOOKUP(ReviewCalcs[[#This Row],[Space Conditions]], Table_365[], 5, FALSE)</f>
        <v>#N/A</v>
      </c>
      <c r="AB100" s="68" t="str">
        <f>ReviewCalcs[[#This Row],[Annual Hours]]</f>
        <v/>
      </c>
      <c r="AC100" s="68" t="e">
        <f>VLOOKUP(ReviewCalcs[[#This Row],[Space Conditions]], Table_365[], 6, FALSE)</f>
        <v>#N/A</v>
      </c>
      <c r="AD100" s="68">
        <f>IF(ReviewCalcs[[#This Row],[Existing Control(s)]]='Tables &amp; Ranges'!$A$25, VLOOKUP(ReviewCalcs[[#This Row],[Building/Space Type]], Table_364[], 3, FALSE), CF_Contols)</f>
        <v>0.26</v>
      </c>
      <c r="AE100" s="68" t="e">
        <f>VLOOKUP(ReviewCalcs[[#This Row],[Existing Control(s)]], Table_358[], 2, FALSE)</f>
        <v>#N/A</v>
      </c>
      <c r="AF100" s="68">
        <f>IF(ReviewCalcs[[#This Row],[Proposed Control(s)]]='Tables &amp; Ranges'!$A$25, VLOOKUP(ReviewCalcs[[#This Row],[Building/Space Type]], Table_364[], 3, FALSE), CF_Contols)</f>
        <v>0.26</v>
      </c>
      <c r="AG100" s="68" t="e">
        <f>VLOOKUP(ReviewCalcs[[#This Row],[Proposed Control(s)]], Table_358[], 2, FALSE)</f>
        <v>#N/A</v>
      </c>
      <c r="AH100" s="68">
        <f>IFERROR((ReviewCalcs[[#This Row],[Existing Fixture Quantity]]*ReviewCalcs[[#This Row],[Existing Fixture Watts]]/1000)*ReviewCalcs[[#This Row],[Existing CF]]*ReviewCalcs[[#This Row],[IEFD]], 0)</f>
        <v>0</v>
      </c>
      <c r="AI100" s="68">
        <f>IFERROR((ReviewCalcs[[#This Row],[Proposed Fixture Quantity]]*ReviewCalcs[[#This Row],[Proposed Fixture Watts]]/1000)*ReviewCalcs[[#This Row],[Existing CF]]*ReviewCalcs[[#This Row],[IEFD]], 0)</f>
        <v>0</v>
      </c>
      <c r="AJ100" s="118">
        <f>IFERROR((ReviewCalcs[[#This Row],[Existing Fixture Quantity]]*ReviewCalcs[[#This Row],[Existing Fixture Watts]]/1000-ReviewCalcs[[#This Row],[Proposed Fixture Quantity]]*ReviewCalcs[[#This Row],[Proposed Fixture Watts]]/1000)*ReviewCalcs[[#This Row],[Existing CF]]*ReviewCalcs[[#This Row],[IEFD]], 0)</f>
        <v>0</v>
      </c>
      <c r="AK100" s="118">
        <f>IFERROR((ReviewCalcs[[#This Row],[Existing Fixture Quantity]]*ReviewCalcs[[#This Row],[Existing Fixture Watts]]/1000)*ReviewCalcs[[#This Row],[AOH]]*ReviewCalcs[[#This Row],[IEFE]]*ReviewCalcs[[#This Row],[Existing PAF]], 0)</f>
        <v>0</v>
      </c>
      <c r="AL100" s="118">
        <f>IFERROR((ReviewCalcs[[#This Row],[Proposed Fixture Quantity]]*ReviewCalcs[[#This Row],[Proposed Fixture Watts]]/1000)*ReviewCalcs[[#This Row],[AOH]]*ReviewCalcs[[#This Row],[IEFE]]*ReviewCalcs[[#This Row],[Existing PAF]], 0)</f>
        <v>0</v>
      </c>
      <c r="AM1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0" s="118">
        <f>ReviewCalcs[[#This Row],[Fixture Existing Energy (kWh)]]*Avg_KWh_Rate</f>
        <v>0</v>
      </c>
      <c r="AO100" s="118">
        <f>ReviewCalcs[[#This Row],[Fixture Proposed Energy (kWh)]]*Avg_KWh_Rate</f>
        <v>0</v>
      </c>
      <c r="AP100" s="70">
        <f>ReviewCalcs[[#This Row],[Fixture Energy Savings]]*Avg_KWh_Rate</f>
        <v>0</v>
      </c>
      <c r="AQ100" s="129" t="e">
        <f>ReviewCalcs[[#This Row],[Existing Fixture Quantity]]*ReviewCalcs[[#This Row],[Existing Fixture Watts]]/1000*ReviewCalcs[[#This Row],[Existing CF]]*ReviewCalcs[[#This Row],[IEFD]]</f>
        <v>#VALUE!</v>
      </c>
      <c r="AR100" s="129" t="e">
        <f>ReviewCalcs[[#This Row],[Proposed Fixture Quantity]]*ReviewCalcs[[#This Row],[Proposed Fixture Watts]]/1000*ReviewCalcs[[#This Row],[Proposed CF]]*ReviewCalcs[[#This Row],[IEFD]]</f>
        <v>#VALUE!</v>
      </c>
      <c r="AS100" s="118">
        <f>IF(ReviewCalcs[[#This Row],[Existing CF]]=ReviewCalcs[[#This Row],[Proposed CF]], 0, ReviewCalcs[[#This Row],[Proposed Fixture Quantity]]*ReviewCalcs[[#This Row],[Proposed Fixture Watts]]/1000*ReviewCalcs[[#This Row],[Proposed CF]]*ReviewCalcs[[#This Row],[IEFD]])</f>
        <v>0</v>
      </c>
      <c r="AT100" s="118">
        <f>IFERROR(ReviewCalcs[[#This Row],[Existing Fixture Quantity]]*ReviewCalcs[[#This Row],[Existing Fixture Watts]]/1000*ReviewCalcs[[#This Row],[Existing PAF]]*ReviewCalcs[[#This Row],[AOH]]*ReviewCalcs[[#This Row],[IEFE]], 0)</f>
        <v>0</v>
      </c>
      <c r="AU100" s="118">
        <f>IFERROR(ReviewCalcs[[#This Row],[Proposed Fixture Quantity]]*ReviewCalcs[[#This Row],[Proposed Fixture Watts]]/1000*ReviewCalcs[[#This Row],[Proposed PAF]]*ReviewCalcs[[#This Row],[AOH]]*ReviewCalcs[[#This Row],[IEFE]], 0)</f>
        <v>0</v>
      </c>
      <c r="AV100" s="118">
        <f>IFERROR(ReviewCalcs[[#This Row],[Proposed Fixture Quantity]]*ReviewCalcs[[#This Row],[Proposed Fixture Watts]]/1000*(ReviewCalcs[[#This Row],[Existing PAF]]-ReviewCalcs[[#This Row],[Proposed PAF]])*ReviewCalcs[[#This Row],[AOH]]*ReviewCalcs[[#This Row],[IEFE]], 0)</f>
        <v>0</v>
      </c>
      <c r="AW100" s="118">
        <f>ReviewCalcs[[#This Row],[Control Existing Energy (kWh)]]*kWh_Incentive_Rate</f>
        <v>0</v>
      </c>
      <c r="AX100" s="118">
        <f>ReviewCalcs[[#This Row],[Control Proposed Energy (kWh)]]*kWh_Incentive_Rate</f>
        <v>0</v>
      </c>
      <c r="AY100" s="70">
        <f>ReviewCalcs[[#This Row],[Control Energy Savings (kWh)]]*kWh_Incentive_Rate</f>
        <v>0</v>
      </c>
      <c r="AZ100" s="70" t="e">
        <f>ReviewCalcs[[#This Row],[Fixture Existing Demand (kW)]]+ReviewCalcs[[#This Row],[Control Existing Demand (kW)]]</f>
        <v>#VALUE!</v>
      </c>
      <c r="BA100" s="70" t="e">
        <f>ReviewCalcs[[#This Row],[Fixture Proposed Demand (kW)]]+ReviewCalcs[[#This Row],[Control Proposed Demand (kW)]]</f>
        <v>#VALUE!</v>
      </c>
      <c r="BB100" s="118">
        <f>ReviewCalcs[[#This Row],[Fixture Demand Savings (kW)]]+ReviewCalcs[[#This Row],[Control Demand Savings (kW)]]</f>
        <v>0</v>
      </c>
      <c r="BC100" s="118">
        <f>ReviewCalcs[[#This Row],[Fixture Existing Energy (kWh)]]+ReviewCalcs[[#This Row],[Control Existing Energy (kWh)]]</f>
        <v>0</v>
      </c>
      <c r="BD100" s="118">
        <f>ReviewCalcs[[#This Row],[Fixture Proposed Energy (kWh)]]+ReviewCalcs[[#This Row],[Control Proposed Energy (kWh)]]</f>
        <v>0</v>
      </c>
      <c r="BE100" s="118">
        <f>ReviewCalcs[[#This Row],[Fixture Energy Savings]]+ReviewCalcs[[#This Row],[Control Energy Savings (kWh)]]</f>
        <v>0</v>
      </c>
      <c r="BF100" s="118">
        <f>ReviewCalcs[[#This Row],[Fixture Existing Cost ($)]]+ReviewCalcs[[#This Row],[Control Existing Cost ($)]]</f>
        <v>0</v>
      </c>
      <c r="BG100" s="118">
        <f>ReviewCalcs[[#This Row],[Fixture Proposed Cost ($)]]+ReviewCalcs[[#This Row],[Controls Proposed Cost ($)]]</f>
        <v>0</v>
      </c>
      <c r="BH100" s="70">
        <f>ReviewCalcs[[#This Row],[Total Energy Savings (kWh)]]*Avg_KWh_Rate</f>
        <v>0</v>
      </c>
      <c r="BI1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0" s="70">
        <f>ReviewCalcs[[#This Row],[Retrofit Cost]]</f>
        <v>0</v>
      </c>
      <c r="BK100" s="70">
        <f>ReviewCalcs[[#This Row],[Retrofit Cost]]-ReviewCalcs[[#This Row],[Incentive ($)]]</f>
        <v>0</v>
      </c>
      <c r="BL100" s="118" t="e">
        <f>IFERROR(ReviewCalcs[[#This Row],[Net Project Cost ($)]]/ReviewCalcs[[#This Row],[Fixture Energy Cost Savings ($)]], #N/A)</f>
        <v>#N/A</v>
      </c>
      <c r="BM100" s="118" t="e">
        <f>IF(VLOOKUP(ReviewCalcs[[#This Row],[Existing Fixture Code]], Table7[[FIXTURE CODE]:[Baseline Fixture Code]], 8, FALSE)="N", VLOOKUP(ReviewCalcs[[#This Row],[Existing Fixture Code]], Table7[[FIXTURE CODE]:[Baseline Fixture Code]], 9, FALSE), ReviewCalcs[[#This Row],[Existing Fixture Code]])</f>
        <v>#N/A</v>
      </c>
      <c r="BN100" s="118" t="e">
        <f>INDEX(Table7[WATT/ FIXT], MATCH(ReviewCalcs[Baseline Fixture Code], Table7[FIXTURE CODE], 0))</f>
        <v>#N/A</v>
      </c>
      <c r="BO100" s="118">
        <f>IFERROR((ReviewCalcs[[#This Row],[Existing Fixture Quantity]]*ReviewCalcs[[#This Row],[Baseline Fixture Watts]]/1000-ReviewCalcs[[#This Row],[Proposed Fixture Quantity]]*ReviewCalcs[[#This Row],[Proposed Fixture Watts]]/1000)*ReviewCalcs[[#This Row],[Existing CF]]*ReviewCalcs[[#This Row],[IEFD]], 0)</f>
        <v>0</v>
      </c>
      <c r="BP1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0" s="118">
        <f>IF(ReviewCalcs[[#This Row],[Existing CF]]=ReviewCalcs[[#This Row],[Proposed CF]], 0, ReviewCalcs[[#This Row],[Proposed Fixture Quantity]]*ReviewCalcs[[#This Row],[Proposed Fixture Watts]]/1000*ReviewCalcs[[#This Row],[Proposed CF]]*ReviewCalcs[[#This Row],[IEFD]])</f>
        <v>0</v>
      </c>
      <c r="BR100" s="118">
        <f>IFERROR(ReviewCalcs[[#This Row],[Proposed Fixture Quantity]]*ReviewCalcs[[#This Row],[Proposed Fixture Watts]]/1000*(ReviewCalcs[[#This Row],[Existing PAF]]-ReviewCalcs[[#This Row],[Proposed PAF]])*ReviewCalcs[[#This Row],[AOH]]*ReviewCalcs[[#This Row],[IEFE]],0)</f>
        <v>0</v>
      </c>
      <c r="BS100" s="118">
        <f>ReviewCalcs[[#This Row],[Incentive Fixture Demand Savings (kW)]]+ReviewCalcs[[#This Row],[Incentive Control Demand Savings (kW)]]</f>
        <v>0</v>
      </c>
      <c r="BT100" s="118">
        <f>ReviewCalcs[[#This Row],[Incentive Fixture Energy Savings (kWh)]]+ReviewCalcs[[#This Row],[Incentive Control Energy Savings (kWh)]]</f>
        <v>0</v>
      </c>
      <c r="BU100" s="73"/>
    </row>
    <row r="101" spans="1:73" ht="30" customHeight="1">
      <c r="A101" s="68">
        <v>98</v>
      </c>
      <c r="B101" s="96">
        <f>VLOOKUP(ReviewCalcs[[#This Row],[Project Index]], ProjectInput[], D$1, FALSE)</f>
        <v>0</v>
      </c>
      <c r="C101" s="97">
        <f>VLOOKUP(ReviewCalcs[[#This Row],[Project Index]], ProjectInput[], E$1, FALSE)</f>
        <v>0</v>
      </c>
      <c r="D101" s="97">
        <f>VLOOKUP(ReviewCalcs[[#This Row],[Project Index]], ProjectInput[], F$1, FALSE)</f>
        <v>0</v>
      </c>
      <c r="E101" s="97">
        <f>VLOOKUP(ReviewCalcs[[#This Row],[Project Index]], ProjectInput[], G$1, FALSE)</f>
        <v>0</v>
      </c>
      <c r="F101" s="97">
        <f>VLOOKUP(ReviewCalcs[[#This Row],[Project Index]], ProjectInput[], H$1, FALSE)</f>
        <v>0</v>
      </c>
      <c r="G101" s="98" t="str">
        <f>VLOOKUP(ReviewCalcs[[#This Row],[Project Index]], ProjectInput[], I$1, FALSE)</f>
        <v/>
      </c>
      <c r="H101" s="96">
        <f>VLOOKUP(ReviewCalcs[[#This Row],[Project Index]], ProjectInput[], J$1, FALSE)</f>
        <v>0</v>
      </c>
      <c r="I101" s="97">
        <f>VLOOKUP(ReviewCalcs[[#This Row],[Project Index]], ProjectInput[], K$1, FALSE)</f>
        <v>0</v>
      </c>
      <c r="J101" s="97">
        <f>VLOOKUP(ReviewCalcs[[#This Row],[Project Index]], ProjectInput[], L$1, FALSE)</f>
        <v>0</v>
      </c>
      <c r="K101" s="97">
        <f>VLOOKUP(ReviewCalcs[[#This Row],[Project Index]], ProjectInput[], M$1, FALSE)</f>
        <v>0</v>
      </c>
      <c r="L101" s="97">
        <f>VLOOKUP(ReviewCalcs[[#This Row],[Project Index]], ProjectInput[], N$1, FALSE)</f>
        <v>0</v>
      </c>
      <c r="M101" s="98" t="str">
        <f>VLOOKUP(ReviewCalcs[[#This Row],[Project Index]], ProjectInput[], O$1, FALSE)</f>
        <v/>
      </c>
      <c r="N101" s="96">
        <f>VLOOKUP(ReviewCalcs[[#This Row],[Project Index]], ProjectInput[], P$1, FALSE)</f>
        <v>0</v>
      </c>
      <c r="O101" s="97">
        <f>VLOOKUP(ReviewCalcs[[#This Row],[Project Index]], ProjectInput[], Q$1, FALSE)</f>
        <v>0</v>
      </c>
      <c r="P101" s="97">
        <f>VLOOKUP(ReviewCalcs[[#This Row],[Project Index]], ProjectInput[], R$1, FALSE)</f>
        <v>0</v>
      </c>
      <c r="Q101" s="97">
        <f>VLOOKUP(ReviewCalcs[[#This Row],[Project Index]], ProjectInput[], S$1, FALSE)</f>
        <v>0</v>
      </c>
      <c r="R101" s="97">
        <f>VLOOKUP(ReviewCalcs[[#This Row],[Project Index]], ProjectInput[], T$1, FALSE)</f>
        <v>0</v>
      </c>
      <c r="S101" s="97">
        <f>VLOOKUP(ReviewCalcs[[#This Row],[Project Index]], ProjectInput[], U$1, FALSE)</f>
        <v>0</v>
      </c>
      <c r="T101" s="97">
        <f>VLOOKUP(ReviewCalcs[[#This Row],[Project Index]], ProjectInput[], V$1, FALSE)</f>
        <v>0</v>
      </c>
      <c r="U101" s="97">
        <f>VLOOKUP(ReviewCalcs[[#This Row],[Project Index]], ProjectInput[], W$1, FALSE)</f>
        <v>0</v>
      </c>
      <c r="V101" s="98" t="str">
        <f>VLOOKUP(ReviewCalcs[[#This Row],[Project Index]], ProjectInput[], X$1, FALSE)</f>
        <v/>
      </c>
      <c r="W1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1" s="75" t="e">
        <f>IF(VLOOKUP(ReviewCalcs[[#This Row],[Proposed Fixture Code]], Table7[[FIXTURE CODE]:[Baseline Fixture Code]], 8, FALSE)="N", "ERROR", "PASS")</f>
        <v>#N/A</v>
      </c>
      <c r="Y1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1" s="75" t="e">
        <f>IF(OR(ReviewCalcs[[#This Row],[Baseline Fixture Watts]]&gt;=ReviewCalcs[[#This Row],[Proposed Fixture Watts]],ReviewCalcs[[#This Row],[Existing Fixture Watts]]&gt;=ReviewCalcs[[#This Row],[Proposed Fixture Watts]] ), "PASS", "ERROR")</f>
        <v>#N/A</v>
      </c>
      <c r="AA101" s="69" t="e">
        <f>VLOOKUP(ReviewCalcs[[#This Row],[Space Conditions]], Table_365[], 5, FALSE)</f>
        <v>#N/A</v>
      </c>
      <c r="AB101" s="68" t="str">
        <f>ReviewCalcs[[#This Row],[Annual Hours]]</f>
        <v/>
      </c>
      <c r="AC101" s="68" t="e">
        <f>VLOOKUP(ReviewCalcs[[#This Row],[Space Conditions]], Table_365[], 6, FALSE)</f>
        <v>#N/A</v>
      </c>
      <c r="AD101" s="68">
        <f>IF(ReviewCalcs[[#This Row],[Existing Control(s)]]='Tables &amp; Ranges'!$A$25, VLOOKUP(ReviewCalcs[[#This Row],[Building/Space Type]], Table_364[], 3, FALSE), CF_Contols)</f>
        <v>0.26</v>
      </c>
      <c r="AE101" s="68" t="e">
        <f>VLOOKUP(ReviewCalcs[[#This Row],[Existing Control(s)]], Table_358[], 2, FALSE)</f>
        <v>#N/A</v>
      </c>
      <c r="AF101" s="68">
        <f>IF(ReviewCalcs[[#This Row],[Proposed Control(s)]]='Tables &amp; Ranges'!$A$25, VLOOKUP(ReviewCalcs[[#This Row],[Building/Space Type]], Table_364[], 3, FALSE), CF_Contols)</f>
        <v>0.26</v>
      </c>
      <c r="AG101" s="68" t="e">
        <f>VLOOKUP(ReviewCalcs[[#This Row],[Proposed Control(s)]], Table_358[], 2, FALSE)</f>
        <v>#N/A</v>
      </c>
      <c r="AH101" s="68">
        <f>IFERROR((ReviewCalcs[[#This Row],[Existing Fixture Quantity]]*ReviewCalcs[[#This Row],[Existing Fixture Watts]]/1000)*ReviewCalcs[[#This Row],[Existing CF]]*ReviewCalcs[[#This Row],[IEFD]], 0)</f>
        <v>0</v>
      </c>
      <c r="AI101" s="68">
        <f>IFERROR((ReviewCalcs[[#This Row],[Proposed Fixture Quantity]]*ReviewCalcs[[#This Row],[Proposed Fixture Watts]]/1000)*ReviewCalcs[[#This Row],[Existing CF]]*ReviewCalcs[[#This Row],[IEFD]], 0)</f>
        <v>0</v>
      </c>
      <c r="AJ101" s="118">
        <f>IFERROR((ReviewCalcs[[#This Row],[Existing Fixture Quantity]]*ReviewCalcs[[#This Row],[Existing Fixture Watts]]/1000-ReviewCalcs[[#This Row],[Proposed Fixture Quantity]]*ReviewCalcs[[#This Row],[Proposed Fixture Watts]]/1000)*ReviewCalcs[[#This Row],[Existing CF]]*ReviewCalcs[[#This Row],[IEFD]], 0)</f>
        <v>0</v>
      </c>
      <c r="AK101" s="118">
        <f>IFERROR((ReviewCalcs[[#This Row],[Existing Fixture Quantity]]*ReviewCalcs[[#This Row],[Existing Fixture Watts]]/1000)*ReviewCalcs[[#This Row],[AOH]]*ReviewCalcs[[#This Row],[IEFE]]*ReviewCalcs[[#This Row],[Existing PAF]], 0)</f>
        <v>0</v>
      </c>
      <c r="AL101" s="118">
        <f>IFERROR((ReviewCalcs[[#This Row],[Proposed Fixture Quantity]]*ReviewCalcs[[#This Row],[Proposed Fixture Watts]]/1000)*ReviewCalcs[[#This Row],[AOH]]*ReviewCalcs[[#This Row],[IEFE]]*ReviewCalcs[[#This Row],[Existing PAF]], 0)</f>
        <v>0</v>
      </c>
      <c r="AM1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1" s="118">
        <f>ReviewCalcs[[#This Row],[Fixture Existing Energy (kWh)]]*Avg_KWh_Rate</f>
        <v>0</v>
      </c>
      <c r="AO101" s="118">
        <f>ReviewCalcs[[#This Row],[Fixture Proposed Energy (kWh)]]*Avg_KWh_Rate</f>
        <v>0</v>
      </c>
      <c r="AP101" s="70">
        <f>ReviewCalcs[[#This Row],[Fixture Energy Savings]]*Avg_KWh_Rate</f>
        <v>0</v>
      </c>
      <c r="AQ101" s="129" t="e">
        <f>ReviewCalcs[[#This Row],[Existing Fixture Quantity]]*ReviewCalcs[[#This Row],[Existing Fixture Watts]]/1000*ReviewCalcs[[#This Row],[Existing CF]]*ReviewCalcs[[#This Row],[IEFD]]</f>
        <v>#VALUE!</v>
      </c>
      <c r="AR101" s="129" t="e">
        <f>ReviewCalcs[[#This Row],[Proposed Fixture Quantity]]*ReviewCalcs[[#This Row],[Proposed Fixture Watts]]/1000*ReviewCalcs[[#This Row],[Proposed CF]]*ReviewCalcs[[#This Row],[IEFD]]</f>
        <v>#VALUE!</v>
      </c>
      <c r="AS101" s="118">
        <f>IF(ReviewCalcs[[#This Row],[Existing CF]]=ReviewCalcs[[#This Row],[Proposed CF]], 0, ReviewCalcs[[#This Row],[Proposed Fixture Quantity]]*ReviewCalcs[[#This Row],[Proposed Fixture Watts]]/1000*ReviewCalcs[[#This Row],[Proposed CF]]*ReviewCalcs[[#This Row],[IEFD]])</f>
        <v>0</v>
      </c>
      <c r="AT101" s="118">
        <f>IFERROR(ReviewCalcs[[#This Row],[Existing Fixture Quantity]]*ReviewCalcs[[#This Row],[Existing Fixture Watts]]/1000*ReviewCalcs[[#This Row],[Existing PAF]]*ReviewCalcs[[#This Row],[AOH]]*ReviewCalcs[[#This Row],[IEFE]], 0)</f>
        <v>0</v>
      </c>
      <c r="AU101" s="118">
        <f>IFERROR(ReviewCalcs[[#This Row],[Proposed Fixture Quantity]]*ReviewCalcs[[#This Row],[Proposed Fixture Watts]]/1000*ReviewCalcs[[#This Row],[Proposed PAF]]*ReviewCalcs[[#This Row],[AOH]]*ReviewCalcs[[#This Row],[IEFE]], 0)</f>
        <v>0</v>
      </c>
      <c r="AV101" s="118">
        <f>IFERROR(ReviewCalcs[[#This Row],[Proposed Fixture Quantity]]*ReviewCalcs[[#This Row],[Proposed Fixture Watts]]/1000*(ReviewCalcs[[#This Row],[Existing PAF]]-ReviewCalcs[[#This Row],[Proposed PAF]])*ReviewCalcs[[#This Row],[AOH]]*ReviewCalcs[[#This Row],[IEFE]], 0)</f>
        <v>0</v>
      </c>
      <c r="AW101" s="118">
        <f>ReviewCalcs[[#This Row],[Control Existing Energy (kWh)]]*kWh_Incentive_Rate</f>
        <v>0</v>
      </c>
      <c r="AX101" s="118">
        <f>ReviewCalcs[[#This Row],[Control Proposed Energy (kWh)]]*kWh_Incentive_Rate</f>
        <v>0</v>
      </c>
      <c r="AY101" s="70">
        <f>ReviewCalcs[[#This Row],[Control Energy Savings (kWh)]]*kWh_Incentive_Rate</f>
        <v>0</v>
      </c>
      <c r="AZ101" s="70" t="e">
        <f>ReviewCalcs[[#This Row],[Fixture Existing Demand (kW)]]+ReviewCalcs[[#This Row],[Control Existing Demand (kW)]]</f>
        <v>#VALUE!</v>
      </c>
      <c r="BA101" s="70" t="e">
        <f>ReviewCalcs[[#This Row],[Fixture Proposed Demand (kW)]]+ReviewCalcs[[#This Row],[Control Proposed Demand (kW)]]</f>
        <v>#VALUE!</v>
      </c>
      <c r="BB101" s="118">
        <f>ReviewCalcs[[#This Row],[Fixture Demand Savings (kW)]]+ReviewCalcs[[#This Row],[Control Demand Savings (kW)]]</f>
        <v>0</v>
      </c>
      <c r="BC101" s="118">
        <f>ReviewCalcs[[#This Row],[Fixture Existing Energy (kWh)]]+ReviewCalcs[[#This Row],[Control Existing Energy (kWh)]]</f>
        <v>0</v>
      </c>
      <c r="BD101" s="118">
        <f>ReviewCalcs[[#This Row],[Fixture Proposed Energy (kWh)]]+ReviewCalcs[[#This Row],[Control Proposed Energy (kWh)]]</f>
        <v>0</v>
      </c>
      <c r="BE101" s="118">
        <f>ReviewCalcs[[#This Row],[Fixture Energy Savings]]+ReviewCalcs[[#This Row],[Control Energy Savings (kWh)]]</f>
        <v>0</v>
      </c>
      <c r="BF101" s="118">
        <f>ReviewCalcs[[#This Row],[Fixture Existing Cost ($)]]+ReviewCalcs[[#This Row],[Control Existing Cost ($)]]</f>
        <v>0</v>
      </c>
      <c r="BG101" s="118">
        <f>ReviewCalcs[[#This Row],[Fixture Proposed Cost ($)]]+ReviewCalcs[[#This Row],[Controls Proposed Cost ($)]]</f>
        <v>0</v>
      </c>
      <c r="BH101" s="70">
        <f>ReviewCalcs[[#This Row],[Total Energy Savings (kWh)]]*Avg_KWh_Rate</f>
        <v>0</v>
      </c>
      <c r="BI1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1" s="70">
        <f>ReviewCalcs[[#This Row],[Retrofit Cost]]</f>
        <v>0</v>
      </c>
      <c r="BK101" s="70">
        <f>ReviewCalcs[[#This Row],[Retrofit Cost]]-ReviewCalcs[[#This Row],[Incentive ($)]]</f>
        <v>0</v>
      </c>
      <c r="BL101" s="118" t="e">
        <f>IFERROR(ReviewCalcs[[#This Row],[Net Project Cost ($)]]/ReviewCalcs[[#This Row],[Fixture Energy Cost Savings ($)]], #N/A)</f>
        <v>#N/A</v>
      </c>
      <c r="BM101" s="118" t="e">
        <f>IF(VLOOKUP(ReviewCalcs[[#This Row],[Existing Fixture Code]], Table7[[FIXTURE CODE]:[Baseline Fixture Code]], 8, FALSE)="N", VLOOKUP(ReviewCalcs[[#This Row],[Existing Fixture Code]], Table7[[FIXTURE CODE]:[Baseline Fixture Code]], 9, FALSE), ReviewCalcs[[#This Row],[Existing Fixture Code]])</f>
        <v>#N/A</v>
      </c>
      <c r="BN101" s="118" t="e">
        <f>INDEX(Table7[WATT/ FIXT], MATCH(ReviewCalcs[Baseline Fixture Code], Table7[FIXTURE CODE], 0))</f>
        <v>#N/A</v>
      </c>
      <c r="BO101" s="118">
        <f>IFERROR((ReviewCalcs[[#This Row],[Existing Fixture Quantity]]*ReviewCalcs[[#This Row],[Baseline Fixture Watts]]/1000-ReviewCalcs[[#This Row],[Proposed Fixture Quantity]]*ReviewCalcs[[#This Row],[Proposed Fixture Watts]]/1000)*ReviewCalcs[[#This Row],[Existing CF]]*ReviewCalcs[[#This Row],[IEFD]], 0)</f>
        <v>0</v>
      </c>
      <c r="BP1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1" s="118">
        <f>IF(ReviewCalcs[[#This Row],[Existing CF]]=ReviewCalcs[[#This Row],[Proposed CF]], 0, ReviewCalcs[[#This Row],[Proposed Fixture Quantity]]*ReviewCalcs[[#This Row],[Proposed Fixture Watts]]/1000*ReviewCalcs[[#This Row],[Proposed CF]]*ReviewCalcs[[#This Row],[IEFD]])</f>
        <v>0</v>
      </c>
      <c r="BR101" s="118">
        <f>IFERROR(ReviewCalcs[[#This Row],[Proposed Fixture Quantity]]*ReviewCalcs[[#This Row],[Proposed Fixture Watts]]/1000*(ReviewCalcs[[#This Row],[Existing PAF]]-ReviewCalcs[[#This Row],[Proposed PAF]])*ReviewCalcs[[#This Row],[AOH]]*ReviewCalcs[[#This Row],[IEFE]],0)</f>
        <v>0</v>
      </c>
      <c r="BS101" s="118">
        <f>ReviewCalcs[[#This Row],[Incentive Fixture Demand Savings (kW)]]+ReviewCalcs[[#This Row],[Incentive Control Demand Savings (kW)]]</f>
        <v>0</v>
      </c>
      <c r="BT101" s="118">
        <f>ReviewCalcs[[#This Row],[Incentive Fixture Energy Savings (kWh)]]+ReviewCalcs[[#This Row],[Incentive Control Energy Savings (kWh)]]</f>
        <v>0</v>
      </c>
      <c r="BU101" s="73"/>
    </row>
    <row r="102" spans="1:73" ht="30" customHeight="1">
      <c r="A102" s="68">
        <v>99</v>
      </c>
      <c r="B102" s="96">
        <f>VLOOKUP(ReviewCalcs[[#This Row],[Project Index]], ProjectInput[], D$1, FALSE)</f>
        <v>0</v>
      </c>
      <c r="C102" s="97">
        <f>VLOOKUP(ReviewCalcs[[#This Row],[Project Index]], ProjectInput[], E$1, FALSE)</f>
        <v>0</v>
      </c>
      <c r="D102" s="97">
        <f>VLOOKUP(ReviewCalcs[[#This Row],[Project Index]], ProjectInput[], F$1, FALSE)</f>
        <v>0</v>
      </c>
      <c r="E102" s="97">
        <f>VLOOKUP(ReviewCalcs[[#This Row],[Project Index]], ProjectInput[], G$1, FALSE)</f>
        <v>0</v>
      </c>
      <c r="F102" s="97">
        <f>VLOOKUP(ReviewCalcs[[#This Row],[Project Index]], ProjectInput[], H$1, FALSE)</f>
        <v>0</v>
      </c>
      <c r="G102" s="98" t="str">
        <f>VLOOKUP(ReviewCalcs[[#This Row],[Project Index]], ProjectInput[], I$1, FALSE)</f>
        <v/>
      </c>
      <c r="H102" s="96">
        <f>VLOOKUP(ReviewCalcs[[#This Row],[Project Index]], ProjectInput[], J$1, FALSE)</f>
        <v>0</v>
      </c>
      <c r="I102" s="97">
        <f>VLOOKUP(ReviewCalcs[[#This Row],[Project Index]], ProjectInput[], K$1, FALSE)</f>
        <v>0</v>
      </c>
      <c r="J102" s="97">
        <f>VLOOKUP(ReviewCalcs[[#This Row],[Project Index]], ProjectInput[], L$1, FALSE)</f>
        <v>0</v>
      </c>
      <c r="K102" s="97">
        <f>VLOOKUP(ReviewCalcs[[#This Row],[Project Index]], ProjectInput[], M$1, FALSE)</f>
        <v>0</v>
      </c>
      <c r="L102" s="97">
        <f>VLOOKUP(ReviewCalcs[[#This Row],[Project Index]], ProjectInput[], N$1, FALSE)</f>
        <v>0</v>
      </c>
      <c r="M102" s="98" t="str">
        <f>VLOOKUP(ReviewCalcs[[#This Row],[Project Index]], ProjectInput[], O$1, FALSE)</f>
        <v/>
      </c>
      <c r="N102" s="96">
        <f>VLOOKUP(ReviewCalcs[[#This Row],[Project Index]], ProjectInput[], P$1, FALSE)</f>
        <v>0</v>
      </c>
      <c r="O102" s="97">
        <f>VLOOKUP(ReviewCalcs[[#This Row],[Project Index]], ProjectInput[], Q$1, FALSE)</f>
        <v>0</v>
      </c>
      <c r="P102" s="97">
        <f>VLOOKUP(ReviewCalcs[[#This Row],[Project Index]], ProjectInput[], R$1, FALSE)</f>
        <v>0</v>
      </c>
      <c r="Q102" s="97">
        <f>VLOOKUP(ReviewCalcs[[#This Row],[Project Index]], ProjectInput[], S$1, FALSE)</f>
        <v>0</v>
      </c>
      <c r="R102" s="97">
        <f>VLOOKUP(ReviewCalcs[[#This Row],[Project Index]], ProjectInput[], T$1, FALSE)</f>
        <v>0</v>
      </c>
      <c r="S102" s="97">
        <f>VLOOKUP(ReviewCalcs[[#This Row],[Project Index]], ProjectInput[], U$1, FALSE)</f>
        <v>0</v>
      </c>
      <c r="T102" s="97">
        <f>VLOOKUP(ReviewCalcs[[#This Row],[Project Index]], ProjectInput[], V$1, FALSE)</f>
        <v>0</v>
      </c>
      <c r="U102" s="97">
        <f>VLOOKUP(ReviewCalcs[[#This Row],[Project Index]], ProjectInput[], W$1, FALSE)</f>
        <v>0</v>
      </c>
      <c r="V102" s="98" t="str">
        <f>VLOOKUP(ReviewCalcs[[#This Row],[Project Index]], ProjectInput[], X$1, FALSE)</f>
        <v/>
      </c>
      <c r="W1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2" s="75" t="e">
        <f>IF(VLOOKUP(ReviewCalcs[[#This Row],[Proposed Fixture Code]], Table7[[FIXTURE CODE]:[Baseline Fixture Code]], 8, FALSE)="N", "ERROR", "PASS")</f>
        <v>#N/A</v>
      </c>
      <c r="Y1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2" s="75" t="e">
        <f>IF(OR(ReviewCalcs[[#This Row],[Baseline Fixture Watts]]&gt;=ReviewCalcs[[#This Row],[Proposed Fixture Watts]],ReviewCalcs[[#This Row],[Existing Fixture Watts]]&gt;=ReviewCalcs[[#This Row],[Proposed Fixture Watts]] ), "PASS", "ERROR")</f>
        <v>#N/A</v>
      </c>
      <c r="AA102" s="69" t="e">
        <f>VLOOKUP(ReviewCalcs[[#This Row],[Space Conditions]], Table_365[], 5, FALSE)</f>
        <v>#N/A</v>
      </c>
      <c r="AB102" s="68" t="str">
        <f>ReviewCalcs[[#This Row],[Annual Hours]]</f>
        <v/>
      </c>
      <c r="AC102" s="68" t="e">
        <f>VLOOKUP(ReviewCalcs[[#This Row],[Space Conditions]], Table_365[], 6, FALSE)</f>
        <v>#N/A</v>
      </c>
      <c r="AD102" s="68">
        <f>IF(ReviewCalcs[[#This Row],[Existing Control(s)]]='Tables &amp; Ranges'!$A$25, VLOOKUP(ReviewCalcs[[#This Row],[Building/Space Type]], Table_364[], 3, FALSE), CF_Contols)</f>
        <v>0.26</v>
      </c>
      <c r="AE102" s="68" t="e">
        <f>VLOOKUP(ReviewCalcs[[#This Row],[Existing Control(s)]], Table_358[], 2, FALSE)</f>
        <v>#N/A</v>
      </c>
      <c r="AF102" s="68">
        <f>IF(ReviewCalcs[[#This Row],[Proposed Control(s)]]='Tables &amp; Ranges'!$A$25, VLOOKUP(ReviewCalcs[[#This Row],[Building/Space Type]], Table_364[], 3, FALSE), CF_Contols)</f>
        <v>0.26</v>
      </c>
      <c r="AG102" s="68" t="e">
        <f>VLOOKUP(ReviewCalcs[[#This Row],[Proposed Control(s)]], Table_358[], 2, FALSE)</f>
        <v>#N/A</v>
      </c>
      <c r="AH102" s="68">
        <f>IFERROR((ReviewCalcs[[#This Row],[Existing Fixture Quantity]]*ReviewCalcs[[#This Row],[Existing Fixture Watts]]/1000)*ReviewCalcs[[#This Row],[Existing CF]]*ReviewCalcs[[#This Row],[IEFD]], 0)</f>
        <v>0</v>
      </c>
      <c r="AI102" s="68">
        <f>IFERROR((ReviewCalcs[[#This Row],[Proposed Fixture Quantity]]*ReviewCalcs[[#This Row],[Proposed Fixture Watts]]/1000)*ReviewCalcs[[#This Row],[Existing CF]]*ReviewCalcs[[#This Row],[IEFD]], 0)</f>
        <v>0</v>
      </c>
      <c r="AJ102" s="118">
        <f>IFERROR((ReviewCalcs[[#This Row],[Existing Fixture Quantity]]*ReviewCalcs[[#This Row],[Existing Fixture Watts]]/1000-ReviewCalcs[[#This Row],[Proposed Fixture Quantity]]*ReviewCalcs[[#This Row],[Proposed Fixture Watts]]/1000)*ReviewCalcs[[#This Row],[Existing CF]]*ReviewCalcs[[#This Row],[IEFD]], 0)</f>
        <v>0</v>
      </c>
      <c r="AK102" s="118">
        <f>IFERROR((ReviewCalcs[[#This Row],[Existing Fixture Quantity]]*ReviewCalcs[[#This Row],[Existing Fixture Watts]]/1000)*ReviewCalcs[[#This Row],[AOH]]*ReviewCalcs[[#This Row],[IEFE]]*ReviewCalcs[[#This Row],[Existing PAF]], 0)</f>
        <v>0</v>
      </c>
      <c r="AL102" s="118">
        <f>IFERROR((ReviewCalcs[[#This Row],[Proposed Fixture Quantity]]*ReviewCalcs[[#This Row],[Proposed Fixture Watts]]/1000)*ReviewCalcs[[#This Row],[AOH]]*ReviewCalcs[[#This Row],[IEFE]]*ReviewCalcs[[#This Row],[Existing PAF]], 0)</f>
        <v>0</v>
      </c>
      <c r="AM1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2" s="118">
        <f>ReviewCalcs[[#This Row],[Fixture Existing Energy (kWh)]]*Avg_KWh_Rate</f>
        <v>0</v>
      </c>
      <c r="AO102" s="118">
        <f>ReviewCalcs[[#This Row],[Fixture Proposed Energy (kWh)]]*Avg_KWh_Rate</f>
        <v>0</v>
      </c>
      <c r="AP102" s="70">
        <f>ReviewCalcs[[#This Row],[Fixture Energy Savings]]*Avg_KWh_Rate</f>
        <v>0</v>
      </c>
      <c r="AQ102" s="129" t="e">
        <f>ReviewCalcs[[#This Row],[Existing Fixture Quantity]]*ReviewCalcs[[#This Row],[Existing Fixture Watts]]/1000*ReviewCalcs[[#This Row],[Existing CF]]*ReviewCalcs[[#This Row],[IEFD]]</f>
        <v>#VALUE!</v>
      </c>
      <c r="AR102" s="129" t="e">
        <f>ReviewCalcs[[#This Row],[Proposed Fixture Quantity]]*ReviewCalcs[[#This Row],[Proposed Fixture Watts]]/1000*ReviewCalcs[[#This Row],[Proposed CF]]*ReviewCalcs[[#This Row],[IEFD]]</f>
        <v>#VALUE!</v>
      </c>
      <c r="AS102" s="118">
        <f>IF(ReviewCalcs[[#This Row],[Existing CF]]=ReviewCalcs[[#This Row],[Proposed CF]], 0, ReviewCalcs[[#This Row],[Proposed Fixture Quantity]]*ReviewCalcs[[#This Row],[Proposed Fixture Watts]]/1000*ReviewCalcs[[#This Row],[Proposed CF]]*ReviewCalcs[[#This Row],[IEFD]])</f>
        <v>0</v>
      </c>
      <c r="AT102" s="118">
        <f>IFERROR(ReviewCalcs[[#This Row],[Existing Fixture Quantity]]*ReviewCalcs[[#This Row],[Existing Fixture Watts]]/1000*ReviewCalcs[[#This Row],[Existing PAF]]*ReviewCalcs[[#This Row],[AOH]]*ReviewCalcs[[#This Row],[IEFE]], 0)</f>
        <v>0</v>
      </c>
      <c r="AU102" s="118">
        <f>IFERROR(ReviewCalcs[[#This Row],[Proposed Fixture Quantity]]*ReviewCalcs[[#This Row],[Proposed Fixture Watts]]/1000*ReviewCalcs[[#This Row],[Proposed PAF]]*ReviewCalcs[[#This Row],[AOH]]*ReviewCalcs[[#This Row],[IEFE]], 0)</f>
        <v>0</v>
      </c>
      <c r="AV102" s="118">
        <f>IFERROR(ReviewCalcs[[#This Row],[Proposed Fixture Quantity]]*ReviewCalcs[[#This Row],[Proposed Fixture Watts]]/1000*(ReviewCalcs[[#This Row],[Existing PAF]]-ReviewCalcs[[#This Row],[Proposed PAF]])*ReviewCalcs[[#This Row],[AOH]]*ReviewCalcs[[#This Row],[IEFE]], 0)</f>
        <v>0</v>
      </c>
      <c r="AW102" s="118">
        <f>ReviewCalcs[[#This Row],[Control Existing Energy (kWh)]]*kWh_Incentive_Rate</f>
        <v>0</v>
      </c>
      <c r="AX102" s="118">
        <f>ReviewCalcs[[#This Row],[Control Proposed Energy (kWh)]]*kWh_Incentive_Rate</f>
        <v>0</v>
      </c>
      <c r="AY102" s="70">
        <f>ReviewCalcs[[#This Row],[Control Energy Savings (kWh)]]*kWh_Incentive_Rate</f>
        <v>0</v>
      </c>
      <c r="AZ102" s="70" t="e">
        <f>ReviewCalcs[[#This Row],[Fixture Existing Demand (kW)]]+ReviewCalcs[[#This Row],[Control Existing Demand (kW)]]</f>
        <v>#VALUE!</v>
      </c>
      <c r="BA102" s="70" t="e">
        <f>ReviewCalcs[[#This Row],[Fixture Proposed Demand (kW)]]+ReviewCalcs[[#This Row],[Control Proposed Demand (kW)]]</f>
        <v>#VALUE!</v>
      </c>
      <c r="BB102" s="118">
        <f>ReviewCalcs[[#This Row],[Fixture Demand Savings (kW)]]+ReviewCalcs[[#This Row],[Control Demand Savings (kW)]]</f>
        <v>0</v>
      </c>
      <c r="BC102" s="118">
        <f>ReviewCalcs[[#This Row],[Fixture Existing Energy (kWh)]]+ReviewCalcs[[#This Row],[Control Existing Energy (kWh)]]</f>
        <v>0</v>
      </c>
      <c r="BD102" s="118">
        <f>ReviewCalcs[[#This Row],[Fixture Proposed Energy (kWh)]]+ReviewCalcs[[#This Row],[Control Proposed Energy (kWh)]]</f>
        <v>0</v>
      </c>
      <c r="BE102" s="118">
        <f>ReviewCalcs[[#This Row],[Fixture Energy Savings]]+ReviewCalcs[[#This Row],[Control Energy Savings (kWh)]]</f>
        <v>0</v>
      </c>
      <c r="BF102" s="118">
        <f>ReviewCalcs[[#This Row],[Fixture Existing Cost ($)]]+ReviewCalcs[[#This Row],[Control Existing Cost ($)]]</f>
        <v>0</v>
      </c>
      <c r="BG102" s="118">
        <f>ReviewCalcs[[#This Row],[Fixture Proposed Cost ($)]]+ReviewCalcs[[#This Row],[Controls Proposed Cost ($)]]</f>
        <v>0</v>
      </c>
      <c r="BH102" s="70">
        <f>ReviewCalcs[[#This Row],[Total Energy Savings (kWh)]]*Avg_KWh_Rate</f>
        <v>0</v>
      </c>
      <c r="BI1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2" s="70">
        <f>ReviewCalcs[[#This Row],[Retrofit Cost]]</f>
        <v>0</v>
      </c>
      <c r="BK102" s="70">
        <f>ReviewCalcs[[#This Row],[Retrofit Cost]]-ReviewCalcs[[#This Row],[Incentive ($)]]</f>
        <v>0</v>
      </c>
      <c r="BL102" s="118" t="e">
        <f>IFERROR(ReviewCalcs[[#This Row],[Net Project Cost ($)]]/ReviewCalcs[[#This Row],[Fixture Energy Cost Savings ($)]], #N/A)</f>
        <v>#N/A</v>
      </c>
      <c r="BM102" s="118" t="e">
        <f>IF(VLOOKUP(ReviewCalcs[[#This Row],[Existing Fixture Code]], Table7[[FIXTURE CODE]:[Baseline Fixture Code]], 8, FALSE)="N", VLOOKUP(ReviewCalcs[[#This Row],[Existing Fixture Code]], Table7[[FIXTURE CODE]:[Baseline Fixture Code]], 9, FALSE), ReviewCalcs[[#This Row],[Existing Fixture Code]])</f>
        <v>#N/A</v>
      </c>
      <c r="BN102" s="118" t="e">
        <f>INDEX(Table7[WATT/ FIXT], MATCH(ReviewCalcs[Baseline Fixture Code], Table7[FIXTURE CODE], 0))</f>
        <v>#N/A</v>
      </c>
      <c r="BO102" s="118">
        <f>IFERROR((ReviewCalcs[[#This Row],[Existing Fixture Quantity]]*ReviewCalcs[[#This Row],[Baseline Fixture Watts]]/1000-ReviewCalcs[[#This Row],[Proposed Fixture Quantity]]*ReviewCalcs[[#This Row],[Proposed Fixture Watts]]/1000)*ReviewCalcs[[#This Row],[Existing CF]]*ReviewCalcs[[#This Row],[IEFD]], 0)</f>
        <v>0</v>
      </c>
      <c r="BP1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2" s="118">
        <f>IF(ReviewCalcs[[#This Row],[Existing CF]]=ReviewCalcs[[#This Row],[Proposed CF]], 0, ReviewCalcs[[#This Row],[Proposed Fixture Quantity]]*ReviewCalcs[[#This Row],[Proposed Fixture Watts]]/1000*ReviewCalcs[[#This Row],[Proposed CF]]*ReviewCalcs[[#This Row],[IEFD]])</f>
        <v>0</v>
      </c>
      <c r="BR102" s="118">
        <f>IFERROR(ReviewCalcs[[#This Row],[Proposed Fixture Quantity]]*ReviewCalcs[[#This Row],[Proposed Fixture Watts]]/1000*(ReviewCalcs[[#This Row],[Existing PAF]]-ReviewCalcs[[#This Row],[Proposed PAF]])*ReviewCalcs[[#This Row],[AOH]]*ReviewCalcs[[#This Row],[IEFE]],0)</f>
        <v>0</v>
      </c>
      <c r="BS102" s="118">
        <f>ReviewCalcs[[#This Row],[Incentive Fixture Demand Savings (kW)]]+ReviewCalcs[[#This Row],[Incentive Control Demand Savings (kW)]]</f>
        <v>0</v>
      </c>
      <c r="BT102" s="118">
        <f>ReviewCalcs[[#This Row],[Incentive Fixture Energy Savings (kWh)]]+ReviewCalcs[[#This Row],[Incentive Control Energy Savings (kWh)]]</f>
        <v>0</v>
      </c>
      <c r="BU102" s="73"/>
    </row>
    <row r="103" spans="1:73" ht="30" customHeight="1">
      <c r="A103" s="68">
        <v>100</v>
      </c>
      <c r="B103" s="96">
        <f>VLOOKUP(ReviewCalcs[[#This Row],[Project Index]], ProjectInput[], D$1, FALSE)</f>
        <v>0</v>
      </c>
      <c r="C103" s="97">
        <f>VLOOKUP(ReviewCalcs[[#This Row],[Project Index]], ProjectInput[], E$1, FALSE)</f>
        <v>0</v>
      </c>
      <c r="D103" s="97">
        <f>VLOOKUP(ReviewCalcs[[#This Row],[Project Index]], ProjectInput[], F$1, FALSE)</f>
        <v>0</v>
      </c>
      <c r="E103" s="97">
        <f>VLOOKUP(ReviewCalcs[[#This Row],[Project Index]], ProjectInput[], G$1, FALSE)</f>
        <v>0</v>
      </c>
      <c r="F103" s="97">
        <f>VLOOKUP(ReviewCalcs[[#This Row],[Project Index]], ProjectInput[], H$1, FALSE)</f>
        <v>0</v>
      </c>
      <c r="G103" s="98" t="str">
        <f>VLOOKUP(ReviewCalcs[[#This Row],[Project Index]], ProjectInput[], I$1, FALSE)</f>
        <v/>
      </c>
      <c r="H103" s="96">
        <f>VLOOKUP(ReviewCalcs[[#This Row],[Project Index]], ProjectInput[], J$1, FALSE)</f>
        <v>0</v>
      </c>
      <c r="I103" s="97">
        <f>VLOOKUP(ReviewCalcs[[#This Row],[Project Index]], ProjectInput[], K$1, FALSE)</f>
        <v>0</v>
      </c>
      <c r="J103" s="97">
        <f>VLOOKUP(ReviewCalcs[[#This Row],[Project Index]], ProjectInput[], L$1, FALSE)</f>
        <v>0</v>
      </c>
      <c r="K103" s="97">
        <f>VLOOKUP(ReviewCalcs[[#This Row],[Project Index]], ProjectInput[], M$1, FALSE)</f>
        <v>0</v>
      </c>
      <c r="L103" s="97">
        <f>VLOOKUP(ReviewCalcs[[#This Row],[Project Index]], ProjectInput[], N$1, FALSE)</f>
        <v>0</v>
      </c>
      <c r="M103" s="98" t="str">
        <f>VLOOKUP(ReviewCalcs[[#This Row],[Project Index]], ProjectInput[], O$1, FALSE)</f>
        <v/>
      </c>
      <c r="N103" s="96">
        <f>VLOOKUP(ReviewCalcs[[#This Row],[Project Index]], ProjectInput[], P$1, FALSE)</f>
        <v>0</v>
      </c>
      <c r="O103" s="97">
        <f>VLOOKUP(ReviewCalcs[[#This Row],[Project Index]], ProjectInput[], Q$1, FALSE)</f>
        <v>0</v>
      </c>
      <c r="P103" s="97">
        <f>VLOOKUP(ReviewCalcs[[#This Row],[Project Index]], ProjectInput[], R$1, FALSE)</f>
        <v>0</v>
      </c>
      <c r="Q103" s="97">
        <f>VLOOKUP(ReviewCalcs[[#This Row],[Project Index]], ProjectInput[], S$1, FALSE)</f>
        <v>0</v>
      </c>
      <c r="R103" s="97">
        <f>VLOOKUP(ReviewCalcs[[#This Row],[Project Index]], ProjectInput[], T$1, FALSE)</f>
        <v>0</v>
      </c>
      <c r="S103" s="97">
        <f>VLOOKUP(ReviewCalcs[[#This Row],[Project Index]], ProjectInput[], U$1, FALSE)</f>
        <v>0</v>
      </c>
      <c r="T103" s="97">
        <f>VLOOKUP(ReviewCalcs[[#This Row],[Project Index]], ProjectInput[], V$1, FALSE)</f>
        <v>0</v>
      </c>
      <c r="U103" s="97">
        <f>VLOOKUP(ReviewCalcs[[#This Row],[Project Index]], ProjectInput[], W$1, FALSE)</f>
        <v>0</v>
      </c>
      <c r="V103" s="98" t="str">
        <f>VLOOKUP(ReviewCalcs[[#This Row],[Project Index]], ProjectInput[], X$1, FALSE)</f>
        <v/>
      </c>
      <c r="W1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3" s="75" t="e">
        <f>IF(VLOOKUP(ReviewCalcs[[#This Row],[Proposed Fixture Code]], Table7[[FIXTURE CODE]:[Baseline Fixture Code]], 8, FALSE)="N", "ERROR", "PASS")</f>
        <v>#N/A</v>
      </c>
      <c r="Y1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3" s="75" t="e">
        <f>IF(OR(ReviewCalcs[[#This Row],[Baseline Fixture Watts]]&gt;=ReviewCalcs[[#This Row],[Proposed Fixture Watts]],ReviewCalcs[[#This Row],[Existing Fixture Watts]]&gt;=ReviewCalcs[[#This Row],[Proposed Fixture Watts]] ), "PASS", "ERROR")</f>
        <v>#N/A</v>
      </c>
      <c r="AA103" s="69" t="e">
        <f>VLOOKUP(ReviewCalcs[[#This Row],[Space Conditions]], Table_365[], 5, FALSE)</f>
        <v>#N/A</v>
      </c>
      <c r="AB103" s="68" t="str">
        <f>ReviewCalcs[[#This Row],[Annual Hours]]</f>
        <v/>
      </c>
      <c r="AC103" s="68" t="e">
        <f>VLOOKUP(ReviewCalcs[[#This Row],[Space Conditions]], Table_365[], 6, FALSE)</f>
        <v>#N/A</v>
      </c>
      <c r="AD103" s="68">
        <f>IF(ReviewCalcs[[#This Row],[Existing Control(s)]]='Tables &amp; Ranges'!$A$25, VLOOKUP(ReviewCalcs[[#This Row],[Building/Space Type]], Table_364[], 3, FALSE), CF_Contols)</f>
        <v>0.26</v>
      </c>
      <c r="AE103" s="68" t="e">
        <f>VLOOKUP(ReviewCalcs[[#This Row],[Existing Control(s)]], Table_358[], 2, FALSE)</f>
        <v>#N/A</v>
      </c>
      <c r="AF103" s="68">
        <f>IF(ReviewCalcs[[#This Row],[Proposed Control(s)]]='Tables &amp; Ranges'!$A$25, VLOOKUP(ReviewCalcs[[#This Row],[Building/Space Type]], Table_364[], 3, FALSE), CF_Contols)</f>
        <v>0.26</v>
      </c>
      <c r="AG103" s="68" t="e">
        <f>VLOOKUP(ReviewCalcs[[#This Row],[Proposed Control(s)]], Table_358[], 2, FALSE)</f>
        <v>#N/A</v>
      </c>
      <c r="AH103" s="68">
        <f>IFERROR((ReviewCalcs[[#This Row],[Existing Fixture Quantity]]*ReviewCalcs[[#This Row],[Existing Fixture Watts]]/1000)*ReviewCalcs[[#This Row],[Existing CF]]*ReviewCalcs[[#This Row],[IEFD]], 0)</f>
        <v>0</v>
      </c>
      <c r="AI103" s="68">
        <f>IFERROR((ReviewCalcs[[#This Row],[Proposed Fixture Quantity]]*ReviewCalcs[[#This Row],[Proposed Fixture Watts]]/1000)*ReviewCalcs[[#This Row],[Existing CF]]*ReviewCalcs[[#This Row],[IEFD]], 0)</f>
        <v>0</v>
      </c>
      <c r="AJ103" s="118">
        <f>IFERROR((ReviewCalcs[[#This Row],[Existing Fixture Quantity]]*ReviewCalcs[[#This Row],[Existing Fixture Watts]]/1000-ReviewCalcs[[#This Row],[Proposed Fixture Quantity]]*ReviewCalcs[[#This Row],[Proposed Fixture Watts]]/1000)*ReviewCalcs[[#This Row],[Existing CF]]*ReviewCalcs[[#This Row],[IEFD]], 0)</f>
        <v>0</v>
      </c>
      <c r="AK103" s="118">
        <f>IFERROR((ReviewCalcs[[#This Row],[Existing Fixture Quantity]]*ReviewCalcs[[#This Row],[Existing Fixture Watts]]/1000)*ReviewCalcs[[#This Row],[AOH]]*ReviewCalcs[[#This Row],[IEFE]]*ReviewCalcs[[#This Row],[Existing PAF]], 0)</f>
        <v>0</v>
      </c>
      <c r="AL103" s="118">
        <f>IFERROR((ReviewCalcs[[#This Row],[Proposed Fixture Quantity]]*ReviewCalcs[[#This Row],[Proposed Fixture Watts]]/1000)*ReviewCalcs[[#This Row],[AOH]]*ReviewCalcs[[#This Row],[IEFE]]*ReviewCalcs[[#This Row],[Existing PAF]], 0)</f>
        <v>0</v>
      </c>
      <c r="AM1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3" s="118">
        <f>ReviewCalcs[[#This Row],[Fixture Existing Energy (kWh)]]*Avg_KWh_Rate</f>
        <v>0</v>
      </c>
      <c r="AO103" s="118">
        <f>ReviewCalcs[[#This Row],[Fixture Proposed Energy (kWh)]]*Avg_KWh_Rate</f>
        <v>0</v>
      </c>
      <c r="AP103" s="70">
        <f>ReviewCalcs[[#This Row],[Fixture Energy Savings]]*Avg_KWh_Rate</f>
        <v>0</v>
      </c>
      <c r="AQ103" s="129" t="e">
        <f>ReviewCalcs[[#This Row],[Existing Fixture Quantity]]*ReviewCalcs[[#This Row],[Existing Fixture Watts]]/1000*ReviewCalcs[[#This Row],[Existing CF]]*ReviewCalcs[[#This Row],[IEFD]]</f>
        <v>#VALUE!</v>
      </c>
      <c r="AR103" s="129" t="e">
        <f>ReviewCalcs[[#This Row],[Proposed Fixture Quantity]]*ReviewCalcs[[#This Row],[Proposed Fixture Watts]]/1000*ReviewCalcs[[#This Row],[Proposed CF]]*ReviewCalcs[[#This Row],[IEFD]]</f>
        <v>#VALUE!</v>
      </c>
      <c r="AS103" s="118">
        <f>IF(ReviewCalcs[[#This Row],[Existing CF]]=ReviewCalcs[[#This Row],[Proposed CF]], 0, ReviewCalcs[[#This Row],[Proposed Fixture Quantity]]*ReviewCalcs[[#This Row],[Proposed Fixture Watts]]/1000*ReviewCalcs[[#This Row],[Proposed CF]]*ReviewCalcs[[#This Row],[IEFD]])</f>
        <v>0</v>
      </c>
      <c r="AT103" s="118">
        <f>IFERROR(ReviewCalcs[[#This Row],[Existing Fixture Quantity]]*ReviewCalcs[[#This Row],[Existing Fixture Watts]]/1000*ReviewCalcs[[#This Row],[Existing PAF]]*ReviewCalcs[[#This Row],[AOH]]*ReviewCalcs[[#This Row],[IEFE]], 0)</f>
        <v>0</v>
      </c>
      <c r="AU103" s="118">
        <f>IFERROR(ReviewCalcs[[#This Row],[Proposed Fixture Quantity]]*ReviewCalcs[[#This Row],[Proposed Fixture Watts]]/1000*ReviewCalcs[[#This Row],[Proposed PAF]]*ReviewCalcs[[#This Row],[AOH]]*ReviewCalcs[[#This Row],[IEFE]], 0)</f>
        <v>0</v>
      </c>
      <c r="AV103" s="118">
        <f>IFERROR(ReviewCalcs[[#This Row],[Proposed Fixture Quantity]]*ReviewCalcs[[#This Row],[Proposed Fixture Watts]]/1000*(ReviewCalcs[[#This Row],[Existing PAF]]-ReviewCalcs[[#This Row],[Proposed PAF]])*ReviewCalcs[[#This Row],[AOH]]*ReviewCalcs[[#This Row],[IEFE]], 0)</f>
        <v>0</v>
      </c>
      <c r="AW103" s="118">
        <f>ReviewCalcs[[#This Row],[Control Existing Energy (kWh)]]*kWh_Incentive_Rate</f>
        <v>0</v>
      </c>
      <c r="AX103" s="118">
        <f>ReviewCalcs[[#This Row],[Control Proposed Energy (kWh)]]*kWh_Incentive_Rate</f>
        <v>0</v>
      </c>
      <c r="AY103" s="70">
        <f>ReviewCalcs[[#This Row],[Control Energy Savings (kWh)]]*kWh_Incentive_Rate</f>
        <v>0</v>
      </c>
      <c r="AZ103" s="70" t="e">
        <f>ReviewCalcs[[#This Row],[Fixture Existing Demand (kW)]]+ReviewCalcs[[#This Row],[Control Existing Demand (kW)]]</f>
        <v>#VALUE!</v>
      </c>
      <c r="BA103" s="70" t="e">
        <f>ReviewCalcs[[#This Row],[Fixture Proposed Demand (kW)]]+ReviewCalcs[[#This Row],[Control Proposed Demand (kW)]]</f>
        <v>#VALUE!</v>
      </c>
      <c r="BB103" s="118">
        <f>ReviewCalcs[[#This Row],[Fixture Demand Savings (kW)]]+ReviewCalcs[[#This Row],[Control Demand Savings (kW)]]</f>
        <v>0</v>
      </c>
      <c r="BC103" s="118">
        <f>ReviewCalcs[[#This Row],[Fixture Existing Energy (kWh)]]+ReviewCalcs[[#This Row],[Control Existing Energy (kWh)]]</f>
        <v>0</v>
      </c>
      <c r="BD103" s="118">
        <f>ReviewCalcs[[#This Row],[Fixture Proposed Energy (kWh)]]+ReviewCalcs[[#This Row],[Control Proposed Energy (kWh)]]</f>
        <v>0</v>
      </c>
      <c r="BE103" s="118">
        <f>ReviewCalcs[[#This Row],[Fixture Energy Savings]]+ReviewCalcs[[#This Row],[Control Energy Savings (kWh)]]</f>
        <v>0</v>
      </c>
      <c r="BF103" s="118">
        <f>ReviewCalcs[[#This Row],[Fixture Existing Cost ($)]]+ReviewCalcs[[#This Row],[Control Existing Cost ($)]]</f>
        <v>0</v>
      </c>
      <c r="BG103" s="118">
        <f>ReviewCalcs[[#This Row],[Fixture Proposed Cost ($)]]+ReviewCalcs[[#This Row],[Controls Proposed Cost ($)]]</f>
        <v>0</v>
      </c>
      <c r="BH103" s="70">
        <f>ReviewCalcs[[#This Row],[Total Energy Savings (kWh)]]*Avg_KWh_Rate</f>
        <v>0</v>
      </c>
      <c r="BI1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3" s="70">
        <f>ReviewCalcs[[#This Row],[Retrofit Cost]]</f>
        <v>0</v>
      </c>
      <c r="BK103" s="70">
        <f>ReviewCalcs[[#This Row],[Retrofit Cost]]-ReviewCalcs[[#This Row],[Incentive ($)]]</f>
        <v>0</v>
      </c>
      <c r="BL103" s="118" t="e">
        <f>IFERROR(ReviewCalcs[[#This Row],[Net Project Cost ($)]]/ReviewCalcs[[#This Row],[Fixture Energy Cost Savings ($)]], #N/A)</f>
        <v>#N/A</v>
      </c>
      <c r="BM103" s="118" t="e">
        <f>IF(VLOOKUP(ReviewCalcs[[#This Row],[Existing Fixture Code]], Table7[[FIXTURE CODE]:[Baseline Fixture Code]], 8, FALSE)="N", VLOOKUP(ReviewCalcs[[#This Row],[Existing Fixture Code]], Table7[[FIXTURE CODE]:[Baseline Fixture Code]], 9, FALSE), ReviewCalcs[[#This Row],[Existing Fixture Code]])</f>
        <v>#N/A</v>
      </c>
      <c r="BN103" s="118" t="e">
        <f>INDEX(Table7[WATT/ FIXT], MATCH(ReviewCalcs[Baseline Fixture Code], Table7[FIXTURE CODE], 0))</f>
        <v>#N/A</v>
      </c>
      <c r="BO103" s="118">
        <f>IFERROR((ReviewCalcs[[#This Row],[Existing Fixture Quantity]]*ReviewCalcs[[#This Row],[Baseline Fixture Watts]]/1000-ReviewCalcs[[#This Row],[Proposed Fixture Quantity]]*ReviewCalcs[[#This Row],[Proposed Fixture Watts]]/1000)*ReviewCalcs[[#This Row],[Existing CF]]*ReviewCalcs[[#This Row],[IEFD]], 0)</f>
        <v>0</v>
      </c>
      <c r="BP1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3" s="118">
        <f>IF(ReviewCalcs[[#This Row],[Existing CF]]=ReviewCalcs[[#This Row],[Proposed CF]], 0, ReviewCalcs[[#This Row],[Proposed Fixture Quantity]]*ReviewCalcs[[#This Row],[Proposed Fixture Watts]]/1000*ReviewCalcs[[#This Row],[Proposed CF]]*ReviewCalcs[[#This Row],[IEFD]])</f>
        <v>0</v>
      </c>
      <c r="BR103" s="118">
        <f>IFERROR(ReviewCalcs[[#This Row],[Proposed Fixture Quantity]]*ReviewCalcs[[#This Row],[Proposed Fixture Watts]]/1000*(ReviewCalcs[[#This Row],[Existing PAF]]-ReviewCalcs[[#This Row],[Proposed PAF]])*ReviewCalcs[[#This Row],[AOH]]*ReviewCalcs[[#This Row],[IEFE]],0)</f>
        <v>0</v>
      </c>
      <c r="BS103" s="118">
        <f>ReviewCalcs[[#This Row],[Incentive Fixture Demand Savings (kW)]]+ReviewCalcs[[#This Row],[Incentive Control Demand Savings (kW)]]</f>
        <v>0</v>
      </c>
      <c r="BT103" s="118">
        <f>ReviewCalcs[[#This Row],[Incentive Fixture Energy Savings (kWh)]]+ReviewCalcs[[#This Row],[Incentive Control Energy Savings (kWh)]]</f>
        <v>0</v>
      </c>
      <c r="BU103" s="73"/>
    </row>
    <row r="104" spans="1:73" ht="30" customHeight="1">
      <c r="A104" s="68">
        <v>101</v>
      </c>
      <c r="B104" s="96">
        <f>VLOOKUP(ReviewCalcs[[#This Row],[Project Index]], ProjectInput[], D$1, FALSE)</f>
        <v>0</v>
      </c>
      <c r="C104" s="97">
        <f>VLOOKUP(ReviewCalcs[[#This Row],[Project Index]], ProjectInput[], E$1, FALSE)</f>
        <v>0</v>
      </c>
      <c r="D104" s="97">
        <f>VLOOKUP(ReviewCalcs[[#This Row],[Project Index]], ProjectInput[], F$1, FALSE)</f>
        <v>0</v>
      </c>
      <c r="E104" s="97">
        <f>VLOOKUP(ReviewCalcs[[#This Row],[Project Index]], ProjectInput[], G$1, FALSE)</f>
        <v>0</v>
      </c>
      <c r="F104" s="97">
        <f>VLOOKUP(ReviewCalcs[[#This Row],[Project Index]], ProjectInput[], H$1, FALSE)</f>
        <v>0</v>
      </c>
      <c r="G104" s="98" t="str">
        <f>VLOOKUP(ReviewCalcs[[#This Row],[Project Index]], ProjectInput[], I$1, FALSE)</f>
        <v/>
      </c>
      <c r="H104" s="96">
        <f>VLOOKUP(ReviewCalcs[[#This Row],[Project Index]], ProjectInput[], J$1, FALSE)</f>
        <v>0</v>
      </c>
      <c r="I104" s="97">
        <f>VLOOKUP(ReviewCalcs[[#This Row],[Project Index]], ProjectInput[], K$1, FALSE)</f>
        <v>0</v>
      </c>
      <c r="J104" s="97">
        <f>VLOOKUP(ReviewCalcs[[#This Row],[Project Index]], ProjectInput[], L$1, FALSE)</f>
        <v>0</v>
      </c>
      <c r="K104" s="97">
        <f>VLOOKUP(ReviewCalcs[[#This Row],[Project Index]], ProjectInput[], M$1, FALSE)</f>
        <v>0</v>
      </c>
      <c r="L104" s="97">
        <f>VLOOKUP(ReviewCalcs[[#This Row],[Project Index]], ProjectInput[], N$1, FALSE)</f>
        <v>0</v>
      </c>
      <c r="M104" s="98" t="str">
        <f>VLOOKUP(ReviewCalcs[[#This Row],[Project Index]], ProjectInput[], O$1, FALSE)</f>
        <v/>
      </c>
      <c r="N104" s="96">
        <f>VLOOKUP(ReviewCalcs[[#This Row],[Project Index]], ProjectInput[], P$1, FALSE)</f>
        <v>0</v>
      </c>
      <c r="O104" s="97">
        <f>VLOOKUP(ReviewCalcs[[#This Row],[Project Index]], ProjectInput[], Q$1, FALSE)</f>
        <v>0</v>
      </c>
      <c r="P104" s="97">
        <f>VLOOKUP(ReviewCalcs[[#This Row],[Project Index]], ProjectInput[], R$1, FALSE)</f>
        <v>0</v>
      </c>
      <c r="Q104" s="97">
        <f>VLOOKUP(ReviewCalcs[[#This Row],[Project Index]], ProjectInput[], S$1, FALSE)</f>
        <v>0</v>
      </c>
      <c r="R104" s="97">
        <f>VLOOKUP(ReviewCalcs[[#This Row],[Project Index]], ProjectInput[], T$1, FALSE)</f>
        <v>0</v>
      </c>
      <c r="S104" s="97">
        <f>VLOOKUP(ReviewCalcs[[#This Row],[Project Index]], ProjectInput[], U$1, FALSE)</f>
        <v>0</v>
      </c>
      <c r="T104" s="97">
        <f>VLOOKUP(ReviewCalcs[[#This Row],[Project Index]], ProjectInput[], V$1, FALSE)</f>
        <v>0</v>
      </c>
      <c r="U104" s="97">
        <f>VLOOKUP(ReviewCalcs[[#This Row],[Project Index]], ProjectInput[], W$1, FALSE)</f>
        <v>0</v>
      </c>
      <c r="V104" s="98" t="str">
        <f>VLOOKUP(ReviewCalcs[[#This Row],[Project Index]], ProjectInput[], X$1, FALSE)</f>
        <v/>
      </c>
      <c r="W10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4" s="75" t="e">
        <f>IF(VLOOKUP(ReviewCalcs[[#This Row],[Proposed Fixture Code]], Table7[[FIXTURE CODE]:[Baseline Fixture Code]], 8, FALSE)="N", "ERROR", "PASS")</f>
        <v>#N/A</v>
      </c>
      <c r="Y10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4" s="75" t="e">
        <f>IF(OR(ReviewCalcs[[#This Row],[Baseline Fixture Watts]]&gt;=ReviewCalcs[[#This Row],[Proposed Fixture Watts]],ReviewCalcs[[#This Row],[Existing Fixture Watts]]&gt;=ReviewCalcs[[#This Row],[Proposed Fixture Watts]] ), "PASS", "ERROR")</f>
        <v>#N/A</v>
      </c>
      <c r="AA104" s="69" t="e">
        <f>VLOOKUP(ReviewCalcs[[#This Row],[Space Conditions]], Table_365[], 5, FALSE)</f>
        <v>#N/A</v>
      </c>
      <c r="AB104" s="68" t="str">
        <f>ReviewCalcs[[#This Row],[Annual Hours]]</f>
        <v/>
      </c>
      <c r="AC104" s="68" t="e">
        <f>VLOOKUP(ReviewCalcs[[#This Row],[Space Conditions]], Table_365[], 6, FALSE)</f>
        <v>#N/A</v>
      </c>
      <c r="AD104" s="68">
        <f>IF(ReviewCalcs[[#This Row],[Existing Control(s)]]='Tables &amp; Ranges'!$A$25, VLOOKUP(ReviewCalcs[[#This Row],[Building/Space Type]], Table_364[], 3, FALSE), CF_Contols)</f>
        <v>0.26</v>
      </c>
      <c r="AE104" s="68" t="e">
        <f>VLOOKUP(ReviewCalcs[[#This Row],[Existing Control(s)]], Table_358[], 2, FALSE)</f>
        <v>#N/A</v>
      </c>
      <c r="AF104" s="68">
        <f>IF(ReviewCalcs[[#This Row],[Proposed Control(s)]]='Tables &amp; Ranges'!$A$25, VLOOKUP(ReviewCalcs[[#This Row],[Building/Space Type]], Table_364[], 3, FALSE), CF_Contols)</f>
        <v>0.26</v>
      </c>
      <c r="AG104" s="68" t="e">
        <f>VLOOKUP(ReviewCalcs[[#This Row],[Proposed Control(s)]], Table_358[], 2, FALSE)</f>
        <v>#N/A</v>
      </c>
      <c r="AH104" s="68">
        <f>IFERROR((ReviewCalcs[[#This Row],[Existing Fixture Quantity]]*ReviewCalcs[[#This Row],[Existing Fixture Watts]]/1000)*ReviewCalcs[[#This Row],[Existing CF]]*ReviewCalcs[[#This Row],[IEFD]], 0)</f>
        <v>0</v>
      </c>
      <c r="AI104" s="68">
        <f>IFERROR((ReviewCalcs[[#This Row],[Proposed Fixture Quantity]]*ReviewCalcs[[#This Row],[Proposed Fixture Watts]]/1000)*ReviewCalcs[[#This Row],[Existing CF]]*ReviewCalcs[[#This Row],[IEFD]], 0)</f>
        <v>0</v>
      </c>
      <c r="AJ104" s="118">
        <f>IFERROR((ReviewCalcs[[#This Row],[Existing Fixture Quantity]]*ReviewCalcs[[#This Row],[Existing Fixture Watts]]/1000-ReviewCalcs[[#This Row],[Proposed Fixture Quantity]]*ReviewCalcs[[#This Row],[Proposed Fixture Watts]]/1000)*ReviewCalcs[[#This Row],[Existing CF]]*ReviewCalcs[[#This Row],[IEFD]], 0)</f>
        <v>0</v>
      </c>
      <c r="AK104" s="118">
        <f>IFERROR((ReviewCalcs[[#This Row],[Existing Fixture Quantity]]*ReviewCalcs[[#This Row],[Existing Fixture Watts]]/1000)*ReviewCalcs[[#This Row],[AOH]]*ReviewCalcs[[#This Row],[IEFE]]*ReviewCalcs[[#This Row],[Existing PAF]], 0)</f>
        <v>0</v>
      </c>
      <c r="AL104" s="118">
        <f>IFERROR((ReviewCalcs[[#This Row],[Proposed Fixture Quantity]]*ReviewCalcs[[#This Row],[Proposed Fixture Watts]]/1000)*ReviewCalcs[[#This Row],[AOH]]*ReviewCalcs[[#This Row],[IEFE]]*ReviewCalcs[[#This Row],[Existing PAF]], 0)</f>
        <v>0</v>
      </c>
      <c r="AM10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4" s="118">
        <f>ReviewCalcs[[#This Row],[Fixture Existing Energy (kWh)]]*Avg_KWh_Rate</f>
        <v>0</v>
      </c>
      <c r="AO104" s="118">
        <f>ReviewCalcs[[#This Row],[Fixture Proposed Energy (kWh)]]*Avg_KWh_Rate</f>
        <v>0</v>
      </c>
      <c r="AP104" s="70">
        <f>ReviewCalcs[[#This Row],[Fixture Energy Savings]]*Avg_KWh_Rate</f>
        <v>0</v>
      </c>
      <c r="AQ104" s="129" t="e">
        <f>ReviewCalcs[[#This Row],[Existing Fixture Quantity]]*ReviewCalcs[[#This Row],[Existing Fixture Watts]]/1000*ReviewCalcs[[#This Row],[Existing CF]]*ReviewCalcs[[#This Row],[IEFD]]</f>
        <v>#VALUE!</v>
      </c>
      <c r="AR104" s="129" t="e">
        <f>ReviewCalcs[[#This Row],[Proposed Fixture Quantity]]*ReviewCalcs[[#This Row],[Proposed Fixture Watts]]/1000*ReviewCalcs[[#This Row],[Proposed CF]]*ReviewCalcs[[#This Row],[IEFD]]</f>
        <v>#VALUE!</v>
      </c>
      <c r="AS104" s="118">
        <f>IF(ReviewCalcs[[#This Row],[Existing CF]]=ReviewCalcs[[#This Row],[Proposed CF]], 0, ReviewCalcs[[#This Row],[Proposed Fixture Quantity]]*ReviewCalcs[[#This Row],[Proposed Fixture Watts]]/1000*ReviewCalcs[[#This Row],[Proposed CF]]*ReviewCalcs[[#This Row],[IEFD]])</f>
        <v>0</v>
      </c>
      <c r="AT104" s="118">
        <f>IFERROR(ReviewCalcs[[#This Row],[Existing Fixture Quantity]]*ReviewCalcs[[#This Row],[Existing Fixture Watts]]/1000*ReviewCalcs[[#This Row],[Existing PAF]]*ReviewCalcs[[#This Row],[AOH]]*ReviewCalcs[[#This Row],[IEFE]], 0)</f>
        <v>0</v>
      </c>
      <c r="AU104" s="118">
        <f>IFERROR(ReviewCalcs[[#This Row],[Proposed Fixture Quantity]]*ReviewCalcs[[#This Row],[Proposed Fixture Watts]]/1000*ReviewCalcs[[#This Row],[Proposed PAF]]*ReviewCalcs[[#This Row],[AOH]]*ReviewCalcs[[#This Row],[IEFE]], 0)</f>
        <v>0</v>
      </c>
      <c r="AV104" s="118">
        <f>IFERROR(ReviewCalcs[[#This Row],[Proposed Fixture Quantity]]*ReviewCalcs[[#This Row],[Proposed Fixture Watts]]/1000*(ReviewCalcs[[#This Row],[Existing PAF]]-ReviewCalcs[[#This Row],[Proposed PAF]])*ReviewCalcs[[#This Row],[AOH]]*ReviewCalcs[[#This Row],[IEFE]], 0)</f>
        <v>0</v>
      </c>
      <c r="AW104" s="118">
        <f>ReviewCalcs[[#This Row],[Control Existing Energy (kWh)]]*kWh_Incentive_Rate</f>
        <v>0</v>
      </c>
      <c r="AX104" s="118">
        <f>ReviewCalcs[[#This Row],[Control Proposed Energy (kWh)]]*kWh_Incentive_Rate</f>
        <v>0</v>
      </c>
      <c r="AY104" s="70">
        <f>ReviewCalcs[[#This Row],[Control Energy Savings (kWh)]]*kWh_Incentive_Rate</f>
        <v>0</v>
      </c>
      <c r="AZ104" s="70" t="e">
        <f>ReviewCalcs[[#This Row],[Fixture Existing Demand (kW)]]+ReviewCalcs[[#This Row],[Control Existing Demand (kW)]]</f>
        <v>#VALUE!</v>
      </c>
      <c r="BA104" s="70" t="e">
        <f>ReviewCalcs[[#This Row],[Fixture Proposed Demand (kW)]]+ReviewCalcs[[#This Row],[Control Proposed Demand (kW)]]</f>
        <v>#VALUE!</v>
      </c>
      <c r="BB104" s="118">
        <f>ReviewCalcs[[#This Row],[Fixture Demand Savings (kW)]]+ReviewCalcs[[#This Row],[Control Demand Savings (kW)]]</f>
        <v>0</v>
      </c>
      <c r="BC104" s="118">
        <f>ReviewCalcs[[#This Row],[Fixture Existing Energy (kWh)]]+ReviewCalcs[[#This Row],[Control Existing Energy (kWh)]]</f>
        <v>0</v>
      </c>
      <c r="BD104" s="118">
        <f>ReviewCalcs[[#This Row],[Fixture Proposed Energy (kWh)]]+ReviewCalcs[[#This Row],[Control Proposed Energy (kWh)]]</f>
        <v>0</v>
      </c>
      <c r="BE104" s="118">
        <f>ReviewCalcs[[#This Row],[Fixture Energy Savings]]+ReviewCalcs[[#This Row],[Control Energy Savings (kWh)]]</f>
        <v>0</v>
      </c>
      <c r="BF104" s="118">
        <f>ReviewCalcs[[#This Row],[Fixture Existing Cost ($)]]+ReviewCalcs[[#This Row],[Control Existing Cost ($)]]</f>
        <v>0</v>
      </c>
      <c r="BG104" s="118">
        <f>ReviewCalcs[[#This Row],[Fixture Proposed Cost ($)]]+ReviewCalcs[[#This Row],[Controls Proposed Cost ($)]]</f>
        <v>0</v>
      </c>
      <c r="BH104" s="70">
        <f>ReviewCalcs[[#This Row],[Total Energy Savings (kWh)]]*Avg_KWh_Rate</f>
        <v>0</v>
      </c>
      <c r="BI10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4" s="70">
        <f>ReviewCalcs[[#This Row],[Retrofit Cost]]</f>
        <v>0</v>
      </c>
      <c r="BK104" s="70">
        <f>ReviewCalcs[[#This Row],[Retrofit Cost]]-ReviewCalcs[[#This Row],[Incentive ($)]]</f>
        <v>0</v>
      </c>
      <c r="BL104" s="118" t="e">
        <f>IFERROR(ReviewCalcs[[#This Row],[Net Project Cost ($)]]/ReviewCalcs[[#This Row],[Fixture Energy Cost Savings ($)]], #N/A)</f>
        <v>#N/A</v>
      </c>
      <c r="BM104" s="118" t="e">
        <f>IF(VLOOKUP(ReviewCalcs[[#This Row],[Existing Fixture Code]], Table7[[FIXTURE CODE]:[Baseline Fixture Code]], 8, FALSE)="N", VLOOKUP(ReviewCalcs[[#This Row],[Existing Fixture Code]], Table7[[FIXTURE CODE]:[Baseline Fixture Code]], 9, FALSE), ReviewCalcs[[#This Row],[Existing Fixture Code]])</f>
        <v>#N/A</v>
      </c>
      <c r="BN104" s="118" t="e">
        <f>INDEX(Table7[WATT/ FIXT], MATCH(ReviewCalcs[Baseline Fixture Code], Table7[FIXTURE CODE], 0))</f>
        <v>#N/A</v>
      </c>
      <c r="BO104" s="118">
        <f>IFERROR((ReviewCalcs[[#This Row],[Existing Fixture Quantity]]*ReviewCalcs[[#This Row],[Baseline Fixture Watts]]/1000-ReviewCalcs[[#This Row],[Proposed Fixture Quantity]]*ReviewCalcs[[#This Row],[Proposed Fixture Watts]]/1000)*ReviewCalcs[[#This Row],[Existing CF]]*ReviewCalcs[[#This Row],[IEFD]], 0)</f>
        <v>0</v>
      </c>
      <c r="BP10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4" s="118">
        <f>IF(ReviewCalcs[[#This Row],[Existing CF]]=ReviewCalcs[[#This Row],[Proposed CF]], 0, ReviewCalcs[[#This Row],[Proposed Fixture Quantity]]*ReviewCalcs[[#This Row],[Proposed Fixture Watts]]/1000*ReviewCalcs[[#This Row],[Proposed CF]]*ReviewCalcs[[#This Row],[IEFD]])</f>
        <v>0</v>
      </c>
      <c r="BR104" s="118">
        <f>IFERROR(ReviewCalcs[[#This Row],[Proposed Fixture Quantity]]*ReviewCalcs[[#This Row],[Proposed Fixture Watts]]/1000*(ReviewCalcs[[#This Row],[Existing PAF]]-ReviewCalcs[[#This Row],[Proposed PAF]])*ReviewCalcs[[#This Row],[AOH]]*ReviewCalcs[[#This Row],[IEFE]],0)</f>
        <v>0</v>
      </c>
      <c r="BS104" s="118">
        <f>ReviewCalcs[[#This Row],[Incentive Fixture Demand Savings (kW)]]+ReviewCalcs[[#This Row],[Incentive Control Demand Savings (kW)]]</f>
        <v>0</v>
      </c>
      <c r="BT104" s="118">
        <f>ReviewCalcs[[#This Row],[Incentive Fixture Energy Savings (kWh)]]+ReviewCalcs[[#This Row],[Incentive Control Energy Savings (kWh)]]</f>
        <v>0</v>
      </c>
      <c r="BU104" s="73"/>
    </row>
    <row r="105" spans="1:73" ht="30" customHeight="1">
      <c r="A105" s="68">
        <v>102</v>
      </c>
      <c r="B105" s="96">
        <f>VLOOKUP(ReviewCalcs[[#This Row],[Project Index]], ProjectInput[], D$1, FALSE)</f>
        <v>0</v>
      </c>
      <c r="C105" s="97">
        <f>VLOOKUP(ReviewCalcs[[#This Row],[Project Index]], ProjectInput[], E$1, FALSE)</f>
        <v>0</v>
      </c>
      <c r="D105" s="97">
        <f>VLOOKUP(ReviewCalcs[[#This Row],[Project Index]], ProjectInput[], F$1, FALSE)</f>
        <v>0</v>
      </c>
      <c r="E105" s="97">
        <f>VLOOKUP(ReviewCalcs[[#This Row],[Project Index]], ProjectInput[], G$1, FALSE)</f>
        <v>0</v>
      </c>
      <c r="F105" s="97">
        <f>VLOOKUP(ReviewCalcs[[#This Row],[Project Index]], ProjectInput[], H$1, FALSE)</f>
        <v>0</v>
      </c>
      <c r="G105" s="98" t="str">
        <f>VLOOKUP(ReviewCalcs[[#This Row],[Project Index]], ProjectInput[], I$1, FALSE)</f>
        <v/>
      </c>
      <c r="H105" s="96">
        <f>VLOOKUP(ReviewCalcs[[#This Row],[Project Index]], ProjectInput[], J$1, FALSE)</f>
        <v>0</v>
      </c>
      <c r="I105" s="97">
        <f>VLOOKUP(ReviewCalcs[[#This Row],[Project Index]], ProjectInput[], K$1, FALSE)</f>
        <v>0</v>
      </c>
      <c r="J105" s="97">
        <f>VLOOKUP(ReviewCalcs[[#This Row],[Project Index]], ProjectInput[], L$1, FALSE)</f>
        <v>0</v>
      </c>
      <c r="K105" s="97">
        <f>VLOOKUP(ReviewCalcs[[#This Row],[Project Index]], ProjectInput[], M$1, FALSE)</f>
        <v>0</v>
      </c>
      <c r="L105" s="97">
        <f>VLOOKUP(ReviewCalcs[[#This Row],[Project Index]], ProjectInput[], N$1, FALSE)</f>
        <v>0</v>
      </c>
      <c r="M105" s="98" t="str">
        <f>VLOOKUP(ReviewCalcs[[#This Row],[Project Index]], ProjectInput[], O$1, FALSE)</f>
        <v/>
      </c>
      <c r="N105" s="96">
        <f>VLOOKUP(ReviewCalcs[[#This Row],[Project Index]], ProjectInput[], P$1, FALSE)</f>
        <v>0</v>
      </c>
      <c r="O105" s="97">
        <f>VLOOKUP(ReviewCalcs[[#This Row],[Project Index]], ProjectInput[], Q$1, FALSE)</f>
        <v>0</v>
      </c>
      <c r="P105" s="97">
        <f>VLOOKUP(ReviewCalcs[[#This Row],[Project Index]], ProjectInput[], R$1, FALSE)</f>
        <v>0</v>
      </c>
      <c r="Q105" s="97">
        <f>VLOOKUP(ReviewCalcs[[#This Row],[Project Index]], ProjectInput[], S$1, FALSE)</f>
        <v>0</v>
      </c>
      <c r="R105" s="97">
        <f>VLOOKUP(ReviewCalcs[[#This Row],[Project Index]], ProjectInput[], T$1, FALSE)</f>
        <v>0</v>
      </c>
      <c r="S105" s="97">
        <f>VLOOKUP(ReviewCalcs[[#This Row],[Project Index]], ProjectInput[], U$1, FALSE)</f>
        <v>0</v>
      </c>
      <c r="T105" s="97">
        <f>VLOOKUP(ReviewCalcs[[#This Row],[Project Index]], ProjectInput[], V$1, FALSE)</f>
        <v>0</v>
      </c>
      <c r="U105" s="97">
        <f>VLOOKUP(ReviewCalcs[[#This Row],[Project Index]], ProjectInput[], W$1, FALSE)</f>
        <v>0</v>
      </c>
      <c r="V105" s="98" t="str">
        <f>VLOOKUP(ReviewCalcs[[#This Row],[Project Index]], ProjectInput[], X$1, FALSE)</f>
        <v/>
      </c>
      <c r="W10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5" s="75" t="e">
        <f>IF(VLOOKUP(ReviewCalcs[[#This Row],[Proposed Fixture Code]], Table7[[FIXTURE CODE]:[Baseline Fixture Code]], 8, FALSE)="N", "ERROR", "PASS")</f>
        <v>#N/A</v>
      </c>
      <c r="Y10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5" s="75" t="e">
        <f>IF(OR(ReviewCalcs[[#This Row],[Baseline Fixture Watts]]&gt;=ReviewCalcs[[#This Row],[Proposed Fixture Watts]],ReviewCalcs[[#This Row],[Existing Fixture Watts]]&gt;=ReviewCalcs[[#This Row],[Proposed Fixture Watts]] ), "PASS", "ERROR")</f>
        <v>#N/A</v>
      </c>
      <c r="AA105" s="69" t="e">
        <f>VLOOKUP(ReviewCalcs[[#This Row],[Space Conditions]], Table_365[], 5, FALSE)</f>
        <v>#N/A</v>
      </c>
      <c r="AB105" s="68" t="str">
        <f>ReviewCalcs[[#This Row],[Annual Hours]]</f>
        <v/>
      </c>
      <c r="AC105" s="68" t="e">
        <f>VLOOKUP(ReviewCalcs[[#This Row],[Space Conditions]], Table_365[], 6, FALSE)</f>
        <v>#N/A</v>
      </c>
      <c r="AD105" s="68">
        <f>IF(ReviewCalcs[[#This Row],[Existing Control(s)]]='Tables &amp; Ranges'!$A$25, VLOOKUP(ReviewCalcs[[#This Row],[Building/Space Type]], Table_364[], 3, FALSE), CF_Contols)</f>
        <v>0.26</v>
      </c>
      <c r="AE105" s="68" t="e">
        <f>VLOOKUP(ReviewCalcs[[#This Row],[Existing Control(s)]], Table_358[], 2, FALSE)</f>
        <v>#N/A</v>
      </c>
      <c r="AF105" s="68">
        <f>IF(ReviewCalcs[[#This Row],[Proposed Control(s)]]='Tables &amp; Ranges'!$A$25, VLOOKUP(ReviewCalcs[[#This Row],[Building/Space Type]], Table_364[], 3, FALSE), CF_Contols)</f>
        <v>0.26</v>
      </c>
      <c r="AG105" s="68" t="e">
        <f>VLOOKUP(ReviewCalcs[[#This Row],[Proposed Control(s)]], Table_358[], 2, FALSE)</f>
        <v>#N/A</v>
      </c>
      <c r="AH105" s="68">
        <f>IFERROR((ReviewCalcs[[#This Row],[Existing Fixture Quantity]]*ReviewCalcs[[#This Row],[Existing Fixture Watts]]/1000)*ReviewCalcs[[#This Row],[Existing CF]]*ReviewCalcs[[#This Row],[IEFD]], 0)</f>
        <v>0</v>
      </c>
      <c r="AI105" s="68">
        <f>IFERROR((ReviewCalcs[[#This Row],[Proposed Fixture Quantity]]*ReviewCalcs[[#This Row],[Proposed Fixture Watts]]/1000)*ReviewCalcs[[#This Row],[Existing CF]]*ReviewCalcs[[#This Row],[IEFD]], 0)</f>
        <v>0</v>
      </c>
      <c r="AJ105" s="118">
        <f>IFERROR((ReviewCalcs[[#This Row],[Existing Fixture Quantity]]*ReviewCalcs[[#This Row],[Existing Fixture Watts]]/1000-ReviewCalcs[[#This Row],[Proposed Fixture Quantity]]*ReviewCalcs[[#This Row],[Proposed Fixture Watts]]/1000)*ReviewCalcs[[#This Row],[Existing CF]]*ReviewCalcs[[#This Row],[IEFD]], 0)</f>
        <v>0</v>
      </c>
      <c r="AK105" s="118">
        <f>IFERROR((ReviewCalcs[[#This Row],[Existing Fixture Quantity]]*ReviewCalcs[[#This Row],[Existing Fixture Watts]]/1000)*ReviewCalcs[[#This Row],[AOH]]*ReviewCalcs[[#This Row],[IEFE]]*ReviewCalcs[[#This Row],[Existing PAF]], 0)</f>
        <v>0</v>
      </c>
      <c r="AL105" s="118">
        <f>IFERROR((ReviewCalcs[[#This Row],[Proposed Fixture Quantity]]*ReviewCalcs[[#This Row],[Proposed Fixture Watts]]/1000)*ReviewCalcs[[#This Row],[AOH]]*ReviewCalcs[[#This Row],[IEFE]]*ReviewCalcs[[#This Row],[Existing PAF]], 0)</f>
        <v>0</v>
      </c>
      <c r="AM10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5" s="118">
        <f>ReviewCalcs[[#This Row],[Fixture Existing Energy (kWh)]]*Avg_KWh_Rate</f>
        <v>0</v>
      </c>
      <c r="AO105" s="118">
        <f>ReviewCalcs[[#This Row],[Fixture Proposed Energy (kWh)]]*Avg_KWh_Rate</f>
        <v>0</v>
      </c>
      <c r="AP105" s="70">
        <f>ReviewCalcs[[#This Row],[Fixture Energy Savings]]*Avg_KWh_Rate</f>
        <v>0</v>
      </c>
      <c r="AQ105" s="129" t="e">
        <f>ReviewCalcs[[#This Row],[Existing Fixture Quantity]]*ReviewCalcs[[#This Row],[Existing Fixture Watts]]/1000*ReviewCalcs[[#This Row],[Existing CF]]*ReviewCalcs[[#This Row],[IEFD]]</f>
        <v>#VALUE!</v>
      </c>
      <c r="AR105" s="129" t="e">
        <f>ReviewCalcs[[#This Row],[Proposed Fixture Quantity]]*ReviewCalcs[[#This Row],[Proposed Fixture Watts]]/1000*ReviewCalcs[[#This Row],[Proposed CF]]*ReviewCalcs[[#This Row],[IEFD]]</f>
        <v>#VALUE!</v>
      </c>
      <c r="AS105" s="118">
        <f>IF(ReviewCalcs[[#This Row],[Existing CF]]=ReviewCalcs[[#This Row],[Proposed CF]], 0, ReviewCalcs[[#This Row],[Proposed Fixture Quantity]]*ReviewCalcs[[#This Row],[Proposed Fixture Watts]]/1000*ReviewCalcs[[#This Row],[Proposed CF]]*ReviewCalcs[[#This Row],[IEFD]])</f>
        <v>0</v>
      </c>
      <c r="AT105" s="118">
        <f>IFERROR(ReviewCalcs[[#This Row],[Existing Fixture Quantity]]*ReviewCalcs[[#This Row],[Existing Fixture Watts]]/1000*ReviewCalcs[[#This Row],[Existing PAF]]*ReviewCalcs[[#This Row],[AOH]]*ReviewCalcs[[#This Row],[IEFE]], 0)</f>
        <v>0</v>
      </c>
      <c r="AU105" s="118">
        <f>IFERROR(ReviewCalcs[[#This Row],[Proposed Fixture Quantity]]*ReviewCalcs[[#This Row],[Proposed Fixture Watts]]/1000*ReviewCalcs[[#This Row],[Proposed PAF]]*ReviewCalcs[[#This Row],[AOH]]*ReviewCalcs[[#This Row],[IEFE]], 0)</f>
        <v>0</v>
      </c>
      <c r="AV105" s="118">
        <f>IFERROR(ReviewCalcs[[#This Row],[Proposed Fixture Quantity]]*ReviewCalcs[[#This Row],[Proposed Fixture Watts]]/1000*(ReviewCalcs[[#This Row],[Existing PAF]]-ReviewCalcs[[#This Row],[Proposed PAF]])*ReviewCalcs[[#This Row],[AOH]]*ReviewCalcs[[#This Row],[IEFE]], 0)</f>
        <v>0</v>
      </c>
      <c r="AW105" s="118">
        <f>ReviewCalcs[[#This Row],[Control Existing Energy (kWh)]]*kWh_Incentive_Rate</f>
        <v>0</v>
      </c>
      <c r="AX105" s="118">
        <f>ReviewCalcs[[#This Row],[Control Proposed Energy (kWh)]]*kWh_Incentive_Rate</f>
        <v>0</v>
      </c>
      <c r="AY105" s="70">
        <f>ReviewCalcs[[#This Row],[Control Energy Savings (kWh)]]*kWh_Incentive_Rate</f>
        <v>0</v>
      </c>
      <c r="AZ105" s="70" t="e">
        <f>ReviewCalcs[[#This Row],[Fixture Existing Demand (kW)]]+ReviewCalcs[[#This Row],[Control Existing Demand (kW)]]</f>
        <v>#VALUE!</v>
      </c>
      <c r="BA105" s="70" t="e">
        <f>ReviewCalcs[[#This Row],[Fixture Proposed Demand (kW)]]+ReviewCalcs[[#This Row],[Control Proposed Demand (kW)]]</f>
        <v>#VALUE!</v>
      </c>
      <c r="BB105" s="118">
        <f>ReviewCalcs[[#This Row],[Fixture Demand Savings (kW)]]+ReviewCalcs[[#This Row],[Control Demand Savings (kW)]]</f>
        <v>0</v>
      </c>
      <c r="BC105" s="118">
        <f>ReviewCalcs[[#This Row],[Fixture Existing Energy (kWh)]]+ReviewCalcs[[#This Row],[Control Existing Energy (kWh)]]</f>
        <v>0</v>
      </c>
      <c r="BD105" s="118">
        <f>ReviewCalcs[[#This Row],[Fixture Proposed Energy (kWh)]]+ReviewCalcs[[#This Row],[Control Proposed Energy (kWh)]]</f>
        <v>0</v>
      </c>
      <c r="BE105" s="118">
        <f>ReviewCalcs[[#This Row],[Fixture Energy Savings]]+ReviewCalcs[[#This Row],[Control Energy Savings (kWh)]]</f>
        <v>0</v>
      </c>
      <c r="BF105" s="118">
        <f>ReviewCalcs[[#This Row],[Fixture Existing Cost ($)]]+ReviewCalcs[[#This Row],[Control Existing Cost ($)]]</f>
        <v>0</v>
      </c>
      <c r="BG105" s="118">
        <f>ReviewCalcs[[#This Row],[Fixture Proposed Cost ($)]]+ReviewCalcs[[#This Row],[Controls Proposed Cost ($)]]</f>
        <v>0</v>
      </c>
      <c r="BH105" s="70">
        <f>ReviewCalcs[[#This Row],[Total Energy Savings (kWh)]]*Avg_KWh_Rate</f>
        <v>0</v>
      </c>
      <c r="BI10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5" s="70">
        <f>ReviewCalcs[[#This Row],[Retrofit Cost]]</f>
        <v>0</v>
      </c>
      <c r="BK105" s="70">
        <f>ReviewCalcs[[#This Row],[Retrofit Cost]]-ReviewCalcs[[#This Row],[Incentive ($)]]</f>
        <v>0</v>
      </c>
      <c r="BL105" s="118" t="e">
        <f>IFERROR(ReviewCalcs[[#This Row],[Net Project Cost ($)]]/ReviewCalcs[[#This Row],[Fixture Energy Cost Savings ($)]], #N/A)</f>
        <v>#N/A</v>
      </c>
      <c r="BM105" s="118" t="e">
        <f>IF(VLOOKUP(ReviewCalcs[[#This Row],[Existing Fixture Code]], Table7[[FIXTURE CODE]:[Baseline Fixture Code]], 8, FALSE)="N", VLOOKUP(ReviewCalcs[[#This Row],[Existing Fixture Code]], Table7[[FIXTURE CODE]:[Baseline Fixture Code]], 9, FALSE), ReviewCalcs[[#This Row],[Existing Fixture Code]])</f>
        <v>#N/A</v>
      </c>
      <c r="BN105" s="118" t="e">
        <f>INDEX(Table7[WATT/ FIXT], MATCH(ReviewCalcs[Baseline Fixture Code], Table7[FIXTURE CODE], 0))</f>
        <v>#N/A</v>
      </c>
      <c r="BO105" s="118">
        <f>IFERROR((ReviewCalcs[[#This Row],[Existing Fixture Quantity]]*ReviewCalcs[[#This Row],[Baseline Fixture Watts]]/1000-ReviewCalcs[[#This Row],[Proposed Fixture Quantity]]*ReviewCalcs[[#This Row],[Proposed Fixture Watts]]/1000)*ReviewCalcs[[#This Row],[Existing CF]]*ReviewCalcs[[#This Row],[IEFD]], 0)</f>
        <v>0</v>
      </c>
      <c r="BP10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5" s="118">
        <f>IF(ReviewCalcs[[#This Row],[Existing CF]]=ReviewCalcs[[#This Row],[Proposed CF]], 0, ReviewCalcs[[#This Row],[Proposed Fixture Quantity]]*ReviewCalcs[[#This Row],[Proposed Fixture Watts]]/1000*ReviewCalcs[[#This Row],[Proposed CF]]*ReviewCalcs[[#This Row],[IEFD]])</f>
        <v>0</v>
      </c>
      <c r="BR105" s="118">
        <f>IFERROR(ReviewCalcs[[#This Row],[Proposed Fixture Quantity]]*ReviewCalcs[[#This Row],[Proposed Fixture Watts]]/1000*(ReviewCalcs[[#This Row],[Existing PAF]]-ReviewCalcs[[#This Row],[Proposed PAF]])*ReviewCalcs[[#This Row],[AOH]]*ReviewCalcs[[#This Row],[IEFE]],0)</f>
        <v>0</v>
      </c>
      <c r="BS105" s="118">
        <f>ReviewCalcs[[#This Row],[Incentive Fixture Demand Savings (kW)]]+ReviewCalcs[[#This Row],[Incentive Control Demand Savings (kW)]]</f>
        <v>0</v>
      </c>
      <c r="BT105" s="118">
        <f>ReviewCalcs[[#This Row],[Incentive Fixture Energy Savings (kWh)]]+ReviewCalcs[[#This Row],[Incentive Control Energy Savings (kWh)]]</f>
        <v>0</v>
      </c>
      <c r="BU105" s="73"/>
    </row>
    <row r="106" spans="1:73" ht="30" customHeight="1">
      <c r="A106" s="68">
        <v>103</v>
      </c>
      <c r="B106" s="96">
        <f>VLOOKUP(ReviewCalcs[[#This Row],[Project Index]], ProjectInput[], D$1, FALSE)</f>
        <v>0</v>
      </c>
      <c r="C106" s="97">
        <f>VLOOKUP(ReviewCalcs[[#This Row],[Project Index]], ProjectInput[], E$1, FALSE)</f>
        <v>0</v>
      </c>
      <c r="D106" s="97">
        <f>VLOOKUP(ReviewCalcs[[#This Row],[Project Index]], ProjectInput[], F$1, FALSE)</f>
        <v>0</v>
      </c>
      <c r="E106" s="97">
        <f>VLOOKUP(ReviewCalcs[[#This Row],[Project Index]], ProjectInput[], G$1, FALSE)</f>
        <v>0</v>
      </c>
      <c r="F106" s="97">
        <f>VLOOKUP(ReviewCalcs[[#This Row],[Project Index]], ProjectInput[], H$1, FALSE)</f>
        <v>0</v>
      </c>
      <c r="G106" s="98" t="str">
        <f>VLOOKUP(ReviewCalcs[[#This Row],[Project Index]], ProjectInput[], I$1, FALSE)</f>
        <v/>
      </c>
      <c r="H106" s="96">
        <f>VLOOKUP(ReviewCalcs[[#This Row],[Project Index]], ProjectInput[], J$1, FALSE)</f>
        <v>0</v>
      </c>
      <c r="I106" s="97">
        <f>VLOOKUP(ReviewCalcs[[#This Row],[Project Index]], ProjectInput[], K$1, FALSE)</f>
        <v>0</v>
      </c>
      <c r="J106" s="97">
        <f>VLOOKUP(ReviewCalcs[[#This Row],[Project Index]], ProjectInput[], L$1, FALSE)</f>
        <v>0</v>
      </c>
      <c r="K106" s="97">
        <f>VLOOKUP(ReviewCalcs[[#This Row],[Project Index]], ProjectInput[], M$1, FALSE)</f>
        <v>0</v>
      </c>
      <c r="L106" s="97">
        <f>VLOOKUP(ReviewCalcs[[#This Row],[Project Index]], ProjectInput[], N$1, FALSE)</f>
        <v>0</v>
      </c>
      <c r="M106" s="98" t="str">
        <f>VLOOKUP(ReviewCalcs[[#This Row],[Project Index]], ProjectInput[], O$1, FALSE)</f>
        <v/>
      </c>
      <c r="N106" s="96">
        <f>VLOOKUP(ReviewCalcs[[#This Row],[Project Index]], ProjectInput[], P$1, FALSE)</f>
        <v>0</v>
      </c>
      <c r="O106" s="97">
        <f>VLOOKUP(ReviewCalcs[[#This Row],[Project Index]], ProjectInput[], Q$1, FALSE)</f>
        <v>0</v>
      </c>
      <c r="P106" s="97">
        <f>VLOOKUP(ReviewCalcs[[#This Row],[Project Index]], ProjectInput[], R$1, FALSE)</f>
        <v>0</v>
      </c>
      <c r="Q106" s="97">
        <f>VLOOKUP(ReviewCalcs[[#This Row],[Project Index]], ProjectInput[], S$1, FALSE)</f>
        <v>0</v>
      </c>
      <c r="R106" s="97">
        <f>VLOOKUP(ReviewCalcs[[#This Row],[Project Index]], ProjectInput[], T$1, FALSE)</f>
        <v>0</v>
      </c>
      <c r="S106" s="97">
        <f>VLOOKUP(ReviewCalcs[[#This Row],[Project Index]], ProjectInput[], U$1, FALSE)</f>
        <v>0</v>
      </c>
      <c r="T106" s="97">
        <f>VLOOKUP(ReviewCalcs[[#This Row],[Project Index]], ProjectInput[], V$1, FALSE)</f>
        <v>0</v>
      </c>
      <c r="U106" s="97">
        <f>VLOOKUP(ReviewCalcs[[#This Row],[Project Index]], ProjectInput[], W$1, FALSE)</f>
        <v>0</v>
      </c>
      <c r="V106" s="98" t="str">
        <f>VLOOKUP(ReviewCalcs[[#This Row],[Project Index]], ProjectInput[], X$1, FALSE)</f>
        <v/>
      </c>
      <c r="W10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6" s="75" t="e">
        <f>IF(VLOOKUP(ReviewCalcs[[#This Row],[Proposed Fixture Code]], Table7[[FIXTURE CODE]:[Baseline Fixture Code]], 8, FALSE)="N", "ERROR", "PASS")</f>
        <v>#N/A</v>
      </c>
      <c r="Y10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6" s="75" t="e">
        <f>IF(OR(ReviewCalcs[[#This Row],[Baseline Fixture Watts]]&gt;=ReviewCalcs[[#This Row],[Proposed Fixture Watts]],ReviewCalcs[[#This Row],[Existing Fixture Watts]]&gt;=ReviewCalcs[[#This Row],[Proposed Fixture Watts]] ), "PASS", "ERROR")</f>
        <v>#N/A</v>
      </c>
      <c r="AA106" s="69" t="e">
        <f>VLOOKUP(ReviewCalcs[[#This Row],[Space Conditions]], Table_365[], 5, FALSE)</f>
        <v>#N/A</v>
      </c>
      <c r="AB106" s="68" t="str">
        <f>ReviewCalcs[[#This Row],[Annual Hours]]</f>
        <v/>
      </c>
      <c r="AC106" s="68" t="e">
        <f>VLOOKUP(ReviewCalcs[[#This Row],[Space Conditions]], Table_365[], 6, FALSE)</f>
        <v>#N/A</v>
      </c>
      <c r="AD106" s="68">
        <f>IF(ReviewCalcs[[#This Row],[Existing Control(s)]]='Tables &amp; Ranges'!$A$25, VLOOKUP(ReviewCalcs[[#This Row],[Building/Space Type]], Table_364[], 3, FALSE), CF_Contols)</f>
        <v>0.26</v>
      </c>
      <c r="AE106" s="68" t="e">
        <f>VLOOKUP(ReviewCalcs[[#This Row],[Existing Control(s)]], Table_358[], 2, FALSE)</f>
        <v>#N/A</v>
      </c>
      <c r="AF106" s="68">
        <f>IF(ReviewCalcs[[#This Row],[Proposed Control(s)]]='Tables &amp; Ranges'!$A$25, VLOOKUP(ReviewCalcs[[#This Row],[Building/Space Type]], Table_364[], 3, FALSE), CF_Contols)</f>
        <v>0.26</v>
      </c>
      <c r="AG106" s="68" t="e">
        <f>VLOOKUP(ReviewCalcs[[#This Row],[Proposed Control(s)]], Table_358[], 2, FALSE)</f>
        <v>#N/A</v>
      </c>
      <c r="AH106" s="68">
        <f>IFERROR((ReviewCalcs[[#This Row],[Existing Fixture Quantity]]*ReviewCalcs[[#This Row],[Existing Fixture Watts]]/1000)*ReviewCalcs[[#This Row],[Existing CF]]*ReviewCalcs[[#This Row],[IEFD]], 0)</f>
        <v>0</v>
      </c>
      <c r="AI106" s="68">
        <f>IFERROR((ReviewCalcs[[#This Row],[Proposed Fixture Quantity]]*ReviewCalcs[[#This Row],[Proposed Fixture Watts]]/1000)*ReviewCalcs[[#This Row],[Existing CF]]*ReviewCalcs[[#This Row],[IEFD]], 0)</f>
        <v>0</v>
      </c>
      <c r="AJ106" s="118">
        <f>IFERROR((ReviewCalcs[[#This Row],[Existing Fixture Quantity]]*ReviewCalcs[[#This Row],[Existing Fixture Watts]]/1000-ReviewCalcs[[#This Row],[Proposed Fixture Quantity]]*ReviewCalcs[[#This Row],[Proposed Fixture Watts]]/1000)*ReviewCalcs[[#This Row],[Existing CF]]*ReviewCalcs[[#This Row],[IEFD]], 0)</f>
        <v>0</v>
      </c>
      <c r="AK106" s="118">
        <f>IFERROR((ReviewCalcs[[#This Row],[Existing Fixture Quantity]]*ReviewCalcs[[#This Row],[Existing Fixture Watts]]/1000)*ReviewCalcs[[#This Row],[AOH]]*ReviewCalcs[[#This Row],[IEFE]]*ReviewCalcs[[#This Row],[Existing PAF]], 0)</f>
        <v>0</v>
      </c>
      <c r="AL106" s="118">
        <f>IFERROR((ReviewCalcs[[#This Row],[Proposed Fixture Quantity]]*ReviewCalcs[[#This Row],[Proposed Fixture Watts]]/1000)*ReviewCalcs[[#This Row],[AOH]]*ReviewCalcs[[#This Row],[IEFE]]*ReviewCalcs[[#This Row],[Existing PAF]], 0)</f>
        <v>0</v>
      </c>
      <c r="AM10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6" s="118">
        <f>ReviewCalcs[[#This Row],[Fixture Existing Energy (kWh)]]*Avg_KWh_Rate</f>
        <v>0</v>
      </c>
      <c r="AO106" s="118">
        <f>ReviewCalcs[[#This Row],[Fixture Proposed Energy (kWh)]]*Avg_KWh_Rate</f>
        <v>0</v>
      </c>
      <c r="AP106" s="70">
        <f>ReviewCalcs[[#This Row],[Fixture Energy Savings]]*Avg_KWh_Rate</f>
        <v>0</v>
      </c>
      <c r="AQ106" s="129" t="e">
        <f>ReviewCalcs[[#This Row],[Existing Fixture Quantity]]*ReviewCalcs[[#This Row],[Existing Fixture Watts]]/1000*ReviewCalcs[[#This Row],[Existing CF]]*ReviewCalcs[[#This Row],[IEFD]]</f>
        <v>#VALUE!</v>
      </c>
      <c r="AR106" s="129" t="e">
        <f>ReviewCalcs[[#This Row],[Proposed Fixture Quantity]]*ReviewCalcs[[#This Row],[Proposed Fixture Watts]]/1000*ReviewCalcs[[#This Row],[Proposed CF]]*ReviewCalcs[[#This Row],[IEFD]]</f>
        <v>#VALUE!</v>
      </c>
      <c r="AS106" s="118">
        <f>IF(ReviewCalcs[[#This Row],[Existing CF]]=ReviewCalcs[[#This Row],[Proposed CF]], 0, ReviewCalcs[[#This Row],[Proposed Fixture Quantity]]*ReviewCalcs[[#This Row],[Proposed Fixture Watts]]/1000*ReviewCalcs[[#This Row],[Proposed CF]]*ReviewCalcs[[#This Row],[IEFD]])</f>
        <v>0</v>
      </c>
      <c r="AT106" s="118">
        <f>IFERROR(ReviewCalcs[[#This Row],[Existing Fixture Quantity]]*ReviewCalcs[[#This Row],[Existing Fixture Watts]]/1000*ReviewCalcs[[#This Row],[Existing PAF]]*ReviewCalcs[[#This Row],[AOH]]*ReviewCalcs[[#This Row],[IEFE]], 0)</f>
        <v>0</v>
      </c>
      <c r="AU106" s="118">
        <f>IFERROR(ReviewCalcs[[#This Row],[Proposed Fixture Quantity]]*ReviewCalcs[[#This Row],[Proposed Fixture Watts]]/1000*ReviewCalcs[[#This Row],[Proposed PAF]]*ReviewCalcs[[#This Row],[AOH]]*ReviewCalcs[[#This Row],[IEFE]], 0)</f>
        <v>0</v>
      </c>
      <c r="AV106" s="118">
        <f>IFERROR(ReviewCalcs[[#This Row],[Proposed Fixture Quantity]]*ReviewCalcs[[#This Row],[Proposed Fixture Watts]]/1000*(ReviewCalcs[[#This Row],[Existing PAF]]-ReviewCalcs[[#This Row],[Proposed PAF]])*ReviewCalcs[[#This Row],[AOH]]*ReviewCalcs[[#This Row],[IEFE]], 0)</f>
        <v>0</v>
      </c>
      <c r="AW106" s="118">
        <f>ReviewCalcs[[#This Row],[Control Existing Energy (kWh)]]*kWh_Incentive_Rate</f>
        <v>0</v>
      </c>
      <c r="AX106" s="118">
        <f>ReviewCalcs[[#This Row],[Control Proposed Energy (kWh)]]*kWh_Incentive_Rate</f>
        <v>0</v>
      </c>
      <c r="AY106" s="70">
        <f>ReviewCalcs[[#This Row],[Control Energy Savings (kWh)]]*kWh_Incentive_Rate</f>
        <v>0</v>
      </c>
      <c r="AZ106" s="70" t="e">
        <f>ReviewCalcs[[#This Row],[Fixture Existing Demand (kW)]]+ReviewCalcs[[#This Row],[Control Existing Demand (kW)]]</f>
        <v>#VALUE!</v>
      </c>
      <c r="BA106" s="70" t="e">
        <f>ReviewCalcs[[#This Row],[Fixture Proposed Demand (kW)]]+ReviewCalcs[[#This Row],[Control Proposed Demand (kW)]]</f>
        <v>#VALUE!</v>
      </c>
      <c r="BB106" s="118">
        <f>ReviewCalcs[[#This Row],[Fixture Demand Savings (kW)]]+ReviewCalcs[[#This Row],[Control Demand Savings (kW)]]</f>
        <v>0</v>
      </c>
      <c r="BC106" s="118">
        <f>ReviewCalcs[[#This Row],[Fixture Existing Energy (kWh)]]+ReviewCalcs[[#This Row],[Control Existing Energy (kWh)]]</f>
        <v>0</v>
      </c>
      <c r="BD106" s="118">
        <f>ReviewCalcs[[#This Row],[Fixture Proposed Energy (kWh)]]+ReviewCalcs[[#This Row],[Control Proposed Energy (kWh)]]</f>
        <v>0</v>
      </c>
      <c r="BE106" s="118">
        <f>ReviewCalcs[[#This Row],[Fixture Energy Savings]]+ReviewCalcs[[#This Row],[Control Energy Savings (kWh)]]</f>
        <v>0</v>
      </c>
      <c r="BF106" s="118">
        <f>ReviewCalcs[[#This Row],[Fixture Existing Cost ($)]]+ReviewCalcs[[#This Row],[Control Existing Cost ($)]]</f>
        <v>0</v>
      </c>
      <c r="BG106" s="118">
        <f>ReviewCalcs[[#This Row],[Fixture Proposed Cost ($)]]+ReviewCalcs[[#This Row],[Controls Proposed Cost ($)]]</f>
        <v>0</v>
      </c>
      <c r="BH106" s="70">
        <f>ReviewCalcs[[#This Row],[Total Energy Savings (kWh)]]*Avg_KWh_Rate</f>
        <v>0</v>
      </c>
      <c r="BI10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6" s="70">
        <f>ReviewCalcs[[#This Row],[Retrofit Cost]]</f>
        <v>0</v>
      </c>
      <c r="BK106" s="70">
        <f>ReviewCalcs[[#This Row],[Retrofit Cost]]-ReviewCalcs[[#This Row],[Incentive ($)]]</f>
        <v>0</v>
      </c>
      <c r="BL106" s="118" t="e">
        <f>IFERROR(ReviewCalcs[[#This Row],[Net Project Cost ($)]]/ReviewCalcs[[#This Row],[Fixture Energy Cost Savings ($)]], #N/A)</f>
        <v>#N/A</v>
      </c>
      <c r="BM106" s="118" t="e">
        <f>IF(VLOOKUP(ReviewCalcs[[#This Row],[Existing Fixture Code]], Table7[[FIXTURE CODE]:[Baseline Fixture Code]], 8, FALSE)="N", VLOOKUP(ReviewCalcs[[#This Row],[Existing Fixture Code]], Table7[[FIXTURE CODE]:[Baseline Fixture Code]], 9, FALSE), ReviewCalcs[[#This Row],[Existing Fixture Code]])</f>
        <v>#N/A</v>
      </c>
      <c r="BN106" s="118" t="e">
        <f>INDEX(Table7[WATT/ FIXT], MATCH(ReviewCalcs[Baseline Fixture Code], Table7[FIXTURE CODE], 0))</f>
        <v>#N/A</v>
      </c>
      <c r="BO106" s="118">
        <f>IFERROR((ReviewCalcs[[#This Row],[Existing Fixture Quantity]]*ReviewCalcs[[#This Row],[Baseline Fixture Watts]]/1000-ReviewCalcs[[#This Row],[Proposed Fixture Quantity]]*ReviewCalcs[[#This Row],[Proposed Fixture Watts]]/1000)*ReviewCalcs[[#This Row],[Existing CF]]*ReviewCalcs[[#This Row],[IEFD]], 0)</f>
        <v>0</v>
      </c>
      <c r="BP10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6" s="118">
        <f>IF(ReviewCalcs[[#This Row],[Existing CF]]=ReviewCalcs[[#This Row],[Proposed CF]], 0, ReviewCalcs[[#This Row],[Proposed Fixture Quantity]]*ReviewCalcs[[#This Row],[Proposed Fixture Watts]]/1000*ReviewCalcs[[#This Row],[Proposed CF]]*ReviewCalcs[[#This Row],[IEFD]])</f>
        <v>0</v>
      </c>
      <c r="BR106" s="118">
        <f>IFERROR(ReviewCalcs[[#This Row],[Proposed Fixture Quantity]]*ReviewCalcs[[#This Row],[Proposed Fixture Watts]]/1000*(ReviewCalcs[[#This Row],[Existing PAF]]-ReviewCalcs[[#This Row],[Proposed PAF]])*ReviewCalcs[[#This Row],[AOH]]*ReviewCalcs[[#This Row],[IEFE]],0)</f>
        <v>0</v>
      </c>
      <c r="BS106" s="118">
        <f>ReviewCalcs[[#This Row],[Incentive Fixture Demand Savings (kW)]]+ReviewCalcs[[#This Row],[Incentive Control Demand Savings (kW)]]</f>
        <v>0</v>
      </c>
      <c r="BT106" s="118">
        <f>ReviewCalcs[[#This Row],[Incentive Fixture Energy Savings (kWh)]]+ReviewCalcs[[#This Row],[Incentive Control Energy Savings (kWh)]]</f>
        <v>0</v>
      </c>
      <c r="BU106" s="73"/>
    </row>
    <row r="107" spans="1:73" ht="30" customHeight="1">
      <c r="A107" s="68">
        <v>104</v>
      </c>
      <c r="B107" s="96">
        <f>VLOOKUP(ReviewCalcs[[#This Row],[Project Index]], ProjectInput[], D$1, FALSE)</f>
        <v>0</v>
      </c>
      <c r="C107" s="97">
        <f>VLOOKUP(ReviewCalcs[[#This Row],[Project Index]], ProjectInput[], E$1, FALSE)</f>
        <v>0</v>
      </c>
      <c r="D107" s="97">
        <f>VLOOKUP(ReviewCalcs[[#This Row],[Project Index]], ProjectInput[], F$1, FALSE)</f>
        <v>0</v>
      </c>
      <c r="E107" s="97">
        <f>VLOOKUP(ReviewCalcs[[#This Row],[Project Index]], ProjectInput[], G$1, FALSE)</f>
        <v>0</v>
      </c>
      <c r="F107" s="97">
        <f>VLOOKUP(ReviewCalcs[[#This Row],[Project Index]], ProjectInput[], H$1, FALSE)</f>
        <v>0</v>
      </c>
      <c r="G107" s="98" t="str">
        <f>VLOOKUP(ReviewCalcs[[#This Row],[Project Index]], ProjectInput[], I$1, FALSE)</f>
        <v/>
      </c>
      <c r="H107" s="96">
        <f>VLOOKUP(ReviewCalcs[[#This Row],[Project Index]], ProjectInput[], J$1, FALSE)</f>
        <v>0</v>
      </c>
      <c r="I107" s="97">
        <f>VLOOKUP(ReviewCalcs[[#This Row],[Project Index]], ProjectInput[], K$1, FALSE)</f>
        <v>0</v>
      </c>
      <c r="J107" s="97">
        <f>VLOOKUP(ReviewCalcs[[#This Row],[Project Index]], ProjectInput[], L$1, FALSE)</f>
        <v>0</v>
      </c>
      <c r="K107" s="97">
        <f>VLOOKUP(ReviewCalcs[[#This Row],[Project Index]], ProjectInput[], M$1, FALSE)</f>
        <v>0</v>
      </c>
      <c r="L107" s="97">
        <f>VLOOKUP(ReviewCalcs[[#This Row],[Project Index]], ProjectInput[], N$1, FALSE)</f>
        <v>0</v>
      </c>
      <c r="M107" s="98" t="str">
        <f>VLOOKUP(ReviewCalcs[[#This Row],[Project Index]], ProjectInput[], O$1, FALSE)</f>
        <v/>
      </c>
      <c r="N107" s="96">
        <f>VLOOKUP(ReviewCalcs[[#This Row],[Project Index]], ProjectInput[], P$1, FALSE)</f>
        <v>0</v>
      </c>
      <c r="O107" s="97">
        <f>VLOOKUP(ReviewCalcs[[#This Row],[Project Index]], ProjectInput[], Q$1, FALSE)</f>
        <v>0</v>
      </c>
      <c r="P107" s="97">
        <f>VLOOKUP(ReviewCalcs[[#This Row],[Project Index]], ProjectInput[], R$1, FALSE)</f>
        <v>0</v>
      </c>
      <c r="Q107" s="97">
        <f>VLOOKUP(ReviewCalcs[[#This Row],[Project Index]], ProjectInput[], S$1, FALSE)</f>
        <v>0</v>
      </c>
      <c r="R107" s="97">
        <f>VLOOKUP(ReviewCalcs[[#This Row],[Project Index]], ProjectInput[], T$1, FALSE)</f>
        <v>0</v>
      </c>
      <c r="S107" s="97">
        <f>VLOOKUP(ReviewCalcs[[#This Row],[Project Index]], ProjectInput[], U$1, FALSE)</f>
        <v>0</v>
      </c>
      <c r="T107" s="97">
        <f>VLOOKUP(ReviewCalcs[[#This Row],[Project Index]], ProjectInput[], V$1, FALSE)</f>
        <v>0</v>
      </c>
      <c r="U107" s="97">
        <f>VLOOKUP(ReviewCalcs[[#This Row],[Project Index]], ProjectInput[], W$1, FALSE)</f>
        <v>0</v>
      </c>
      <c r="V107" s="98" t="str">
        <f>VLOOKUP(ReviewCalcs[[#This Row],[Project Index]], ProjectInput[], X$1, FALSE)</f>
        <v/>
      </c>
      <c r="W10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7" s="75" t="e">
        <f>IF(VLOOKUP(ReviewCalcs[[#This Row],[Proposed Fixture Code]], Table7[[FIXTURE CODE]:[Baseline Fixture Code]], 8, FALSE)="N", "ERROR", "PASS")</f>
        <v>#N/A</v>
      </c>
      <c r="Y10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7" s="75" t="e">
        <f>IF(OR(ReviewCalcs[[#This Row],[Baseline Fixture Watts]]&gt;=ReviewCalcs[[#This Row],[Proposed Fixture Watts]],ReviewCalcs[[#This Row],[Existing Fixture Watts]]&gt;=ReviewCalcs[[#This Row],[Proposed Fixture Watts]] ), "PASS", "ERROR")</f>
        <v>#N/A</v>
      </c>
      <c r="AA107" s="69" t="e">
        <f>VLOOKUP(ReviewCalcs[[#This Row],[Space Conditions]], Table_365[], 5, FALSE)</f>
        <v>#N/A</v>
      </c>
      <c r="AB107" s="68" t="str">
        <f>ReviewCalcs[[#This Row],[Annual Hours]]</f>
        <v/>
      </c>
      <c r="AC107" s="68" t="e">
        <f>VLOOKUP(ReviewCalcs[[#This Row],[Space Conditions]], Table_365[], 6, FALSE)</f>
        <v>#N/A</v>
      </c>
      <c r="AD107" s="68">
        <f>IF(ReviewCalcs[[#This Row],[Existing Control(s)]]='Tables &amp; Ranges'!$A$25, VLOOKUP(ReviewCalcs[[#This Row],[Building/Space Type]], Table_364[], 3, FALSE), CF_Contols)</f>
        <v>0.26</v>
      </c>
      <c r="AE107" s="68" t="e">
        <f>VLOOKUP(ReviewCalcs[[#This Row],[Existing Control(s)]], Table_358[], 2, FALSE)</f>
        <v>#N/A</v>
      </c>
      <c r="AF107" s="68">
        <f>IF(ReviewCalcs[[#This Row],[Proposed Control(s)]]='Tables &amp; Ranges'!$A$25, VLOOKUP(ReviewCalcs[[#This Row],[Building/Space Type]], Table_364[], 3, FALSE), CF_Contols)</f>
        <v>0.26</v>
      </c>
      <c r="AG107" s="68" t="e">
        <f>VLOOKUP(ReviewCalcs[[#This Row],[Proposed Control(s)]], Table_358[], 2, FALSE)</f>
        <v>#N/A</v>
      </c>
      <c r="AH107" s="68">
        <f>IFERROR((ReviewCalcs[[#This Row],[Existing Fixture Quantity]]*ReviewCalcs[[#This Row],[Existing Fixture Watts]]/1000)*ReviewCalcs[[#This Row],[Existing CF]]*ReviewCalcs[[#This Row],[IEFD]], 0)</f>
        <v>0</v>
      </c>
      <c r="AI107" s="68">
        <f>IFERROR((ReviewCalcs[[#This Row],[Proposed Fixture Quantity]]*ReviewCalcs[[#This Row],[Proposed Fixture Watts]]/1000)*ReviewCalcs[[#This Row],[Existing CF]]*ReviewCalcs[[#This Row],[IEFD]], 0)</f>
        <v>0</v>
      </c>
      <c r="AJ107" s="118">
        <f>IFERROR((ReviewCalcs[[#This Row],[Existing Fixture Quantity]]*ReviewCalcs[[#This Row],[Existing Fixture Watts]]/1000-ReviewCalcs[[#This Row],[Proposed Fixture Quantity]]*ReviewCalcs[[#This Row],[Proposed Fixture Watts]]/1000)*ReviewCalcs[[#This Row],[Existing CF]]*ReviewCalcs[[#This Row],[IEFD]], 0)</f>
        <v>0</v>
      </c>
      <c r="AK107" s="118">
        <f>IFERROR((ReviewCalcs[[#This Row],[Existing Fixture Quantity]]*ReviewCalcs[[#This Row],[Existing Fixture Watts]]/1000)*ReviewCalcs[[#This Row],[AOH]]*ReviewCalcs[[#This Row],[IEFE]]*ReviewCalcs[[#This Row],[Existing PAF]], 0)</f>
        <v>0</v>
      </c>
      <c r="AL107" s="118">
        <f>IFERROR((ReviewCalcs[[#This Row],[Proposed Fixture Quantity]]*ReviewCalcs[[#This Row],[Proposed Fixture Watts]]/1000)*ReviewCalcs[[#This Row],[AOH]]*ReviewCalcs[[#This Row],[IEFE]]*ReviewCalcs[[#This Row],[Existing PAF]], 0)</f>
        <v>0</v>
      </c>
      <c r="AM10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7" s="118">
        <f>ReviewCalcs[[#This Row],[Fixture Existing Energy (kWh)]]*Avg_KWh_Rate</f>
        <v>0</v>
      </c>
      <c r="AO107" s="118">
        <f>ReviewCalcs[[#This Row],[Fixture Proposed Energy (kWh)]]*Avg_KWh_Rate</f>
        <v>0</v>
      </c>
      <c r="AP107" s="70">
        <f>ReviewCalcs[[#This Row],[Fixture Energy Savings]]*Avg_KWh_Rate</f>
        <v>0</v>
      </c>
      <c r="AQ107" s="129" t="e">
        <f>ReviewCalcs[[#This Row],[Existing Fixture Quantity]]*ReviewCalcs[[#This Row],[Existing Fixture Watts]]/1000*ReviewCalcs[[#This Row],[Existing CF]]*ReviewCalcs[[#This Row],[IEFD]]</f>
        <v>#VALUE!</v>
      </c>
      <c r="AR107" s="129" t="e">
        <f>ReviewCalcs[[#This Row],[Proposed Fixture Quantity]]*ReviewCalcs[[#This Row],[Proposed Fixture Watts]]/1000*ReviewCalcs[[#This Row],[Proposed CF]]*ReviewCalcs[[#This Row],[IEFD]]</f>
        <v>#VALUE!</v>
      </c>
      <c r="AS107" s="118">
        <f>IF(ReviewCalcs[[#This Row],[Existing CF]]=ReviewCalcs[[#This Row],[Proposed CF]], 0, ReviewCalcs[[#This Row],[Proposed Fixture Quantity]]*ReviewCalcs[[#This Row],[Proposed Fixture Watts]]/1000*ReviewCalcs[[#This Row],[Proposed CF]]*ReviewCalcs[[#This Row],[IEFD]])</f>
        <v>0</v>
      </c>
      <c r="AT107" s="118">
        <f>IFERROR(ReviewCalcs[[#This Row],[Existing Fixture Quantity]]*ReviewCalcs[[#This Row],[Existing Fixture Watts]]/1000*ReviewCalcs[[#This Row],[Existing PAF]]*ReviewCalcs[[#This Row],[AOH]]*ReviewCalcs[[#This Row],[IEFE]], 0)</f>
        <v>0</v>
      </c>
      <c r="AU107" s="118">
        <f>IFERROR(ReviewCalcs[[#This Row],[Proposed Fixture Quantity]]*ReviewCalcs[[#This Row],[Proposed Fixture Watts]]/1000*ReviewCalcs[[#This Row],[Proposed PAF]]*ReviewCalcs[[#This Row],[AOH]]*ReviewCalcs[[#This Row],[IEFE]], 0)</f>
        <v>0</v>
      </c>
      <c r="AV107" s="118">
        <f>IFERROR(ReviewCalcs[[#This Row],[Proposed Fixture Quantity]]*ReviewCalcs[[#This Row],[Proposed Fixture Watts]]/1000*(ReviewCalcs[[#This Row],[Existing PAF]]-ReviewCalcs[[#This Row],[Proposed PAF]])*ReviewCalcs[[#This Row],[AOH]]*ReviewCalcs[[#This Row],[IEFE]], 0)</f>
        <v>0</v>
      </c>
      <c r="AW107" s="118">
        <f>ReviewCalcs[[#This Row],[Control Existing Energy (kWh)]]*kWh_Incentive_Rate</f>
        <v>0</v>
      </c>
      <c r="AX107" s="118">
        <f>ReviewCalcs[[#This Row],[Control Proposed Energy (kWh)]]*kWh_Incentive_Rate</f>
        <v>0</v>
      </c>
      <c r="AY107" s="70">
        <f>ReviewCalcs[[#This Row],[Control Energy Savings (kWh)]]*kWh_Incentive_Rate</f>
        <v>0</v>
      </c>
      <c r="AZ107" s="70" t="e">
        <f>ReviewCalcs[[#This Row],[Fixture Existing Demand (kW)]]+ReviewCalcs[[#This Row],[Control Existing Demand (kW)]]</f>
        <v>#VALUE!</v>
      </c>
      <c r="BA107" s="70" t="e">
        <f>ReviewCalcs[[#This Row],[Fixture Proposed Demand (kW)]]+ReviewCalcs[[#This Row],[Control Proposed Demand (kW)]]</f>
        <v>#VALUE!</v>
      </c>
      <c r="BB107" s="118">
        <f>ReviewCalcs[[#This Row],[Fixture Demand Savings (kW)]]+ReviewCalcs[[#This Row],[Control Demand Savings (kW)]]</f>
        <v>0</v>
      </c>
      <c r="BC107" s="118">
        <f>ReviewCalcs[[#This Row],[Fixture Existing Energy (kWh)]]+ReviewCalcs[[#This Row],[Control Existing Energy (kWh)]]</f>
        <v>0</v>
      </c>
      <c r="BD107" s="118">
        <f>ReviewCalcs[[#This Row],[Fixture Proposed Energy (kWh)]]+ReviewCalcs[[#This Row],[Control Proposed Energy (kWh)]]</f>
        <v>0</v>
      </c>
      <c r="BE107" s="118">
        <f>ReviewCalcs[[#This Row],[Fixture Energy Savings]]+ReviewCalcs[[#This Row],[Control Energy Savings (kWh)]]</f>
        <v>0</v>
      </c>
      <c r="BF107" s="118">
        <f>ReviewCalcs[[#This Row],[Fixture Existing Cost ($)]]+ReviewCalcs[[#This Row],[Control Existing Cost ($)]]</f>
        <v>0</v>
      </c>
      <c r="BG107" s="118">
        <f>ReviewCalcs[[#This Row],[Fixture Proposed Cost ($)]]+ReviewCalcs[[#This Row],[Controls Proposed Cost ($)]]</f>
        <v>0</v>
      </c>
      <c r="BH107" s="70">
        <f>ReviewCalcs[[#This Row],[Total Energy Savings (kWh)]]*Avg_KWh_Rate</f>
        <v>0</v>
      </c>
      <c r="BI10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7" s="70">
        <f>ReviewCalcs[[#This Row],[Retrofit Cost]]</f>
        <v>0</v>
      </c>
      <c r="BK107" s="70">
        <f>ReviewCalcs[[#This Row],[Retrofit Cost]]-ReviewCalcs[[#This Row],[Incentive ($)]]</f>
        <v>0</v>
      </c>
      <c r="BL107" s="118" t="e">
        <f>IFERROR(ReviewCalcs[[#This Row],[Net Project Cost ($)]]/ReviewCalcs[[#This Row],[Fixture Energy Cost Savings ($)]], #N/A)</f>
        <v>#N/A</v>
      </c>
      <c r="BM107" s="118" t="e">
        <f>IF(VLOOKUP(ReviewCalcs[[#This Row],[Existing Fixture Code]], Table7[[FIXTURE CODE]:[Baseline Fixture Code]], 8, FALSE)="N", VLOOKUP(ReviewCalcs[[#This Row],[Existing Fixture Code]], Table7[[FIXTURE CODE]:[Baseline Fixture Code]], 9, FALSE), ReviewCalcs[[#This Row],[Existing Fixture Code]])</f>
        <v>#N/A</v>
      </c>
      <c r="BN107" s="118" t="e">
        <f>INDEX(Table7[WATT/ FIXT], MATCH(ReviewCalcs[Baseline Fixture Code], Table7[FIXTURE CODE], 0))</f>
        <v>#N/A</v>
      </c>
      <c r="BO107" s="118">
        <f>IFERROR((ReviewCalcs[[#This Row],[Existing Fixture Quantity]]*ReviewCalcs[[#This Row],[Baseline Fixture Watts]]/1000-ReviewCalcs[[#This Row],[Proposed Fixture Quantity]]*ReviewCalcs[[#This Row],[Proposed Fixture Watts]]/1000)*ReviewCalcs[[#This Row],[Existing CF]]*ReviewCalcs[[#This Row],[IEFD]], 0)</f>
        <v>0</v>
      </c>
      <c r="BP10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7" s="118">
        <f>IF(ReviewCalcs[[#This Row],[Existing CF]]=ReviewCalcs[[#This Row],[Proposed CF]], 0, ReviewCalcs[[#This Row],[Proposed Fixture Quantity]]*ReviewCalcs[[#This Row],[Proposed Fixture Watts]]/1000*ReviewCalcs[[#This Row],[Proposed CF]]*ReviewCalcs[[#This Row],[IEFD]])</f>
        <v>0</v>
      </c>
      <c r="BR107" s="118">
        <f>IFERROR(ReviewCalcs[[#This Row],[Proposed Fixture Quantity]]*ReviewCalcs[[#This Row],[Proposed Fixture Watts]]/1000*(ReviewCalcs[[#This Row],[Existing PAF]]-ReviewCalcs[[#This Row],[Proposed PAF]])*ReviewCalcs[[#This Row],[AOH]]*ReviewCalcs[[#This Row],[IEFE]],0)</f>
        <v>0</v>
      </c>
      <c r="BS107" s="118">
        <f>ReviewCalcs[[#This Row],[Incentive Fixture Demand Savings (kW)]]+ReviewCalcs[[#This Row],[Incentive Control Demand Savings (kW)]]</f>
        <v>0</v>
      </c>
      <c r="BT107" s="118">
        <f>ReviewCalcs[[#This Row],[Incentive Fixture Energy Savings (kWh)]]+ReviewCalcs[[#This Row],[Incentive Control Energy Savings (kWh)]]</f>
        <v>0</v>
      </c>
      <c r="BU107" s="73"/>
    </row>
    <row r="108" spans="1:73" ht="30" customHeight="1">
      <c r="A108" s="68">
        <v>105</v>
      </c>
      <c r="B108" s="96">
        <f>VLOOKUP(ReviewCalcs[[#This Row],[Project Index]], ProjectInput[], D$1, FALSE)</f>
        <v>0</v>
      </c>
      <c r="C108" s="97">
        <f>VLOOKUP(ReviewCalcs[[#This Row],[Project Index]], ProjectInput[], E$1, FALSE)</f>
        <v>0</v>
      </c>
      <c r="D108" s="97">
        <f>VLOOKUP(ReviewCalcs[[#This Row],[Project Index]], ProjectInput[], F$1, FALSE)</f>
        <v>0</v>
      </c>
      <c r="E108" s="97">
        <f>VLOOKUP(ReviewCalcs[[#This Row],[Project Index]], ProjectInput[], G$1, FALSE)</f>
        <v>0</v>
      </c>
      <c r="F108" s="97">
        <f>VLOOKUP(ReviewCalcs[[#This Row],[Project Index]], ProjectInput[], H$1, FALSE)</f>
        <v>0</v>
      </c>
      <c r="G108" s="98" t="str">
        <f>VLOOKUP(ReviewCalcs[[#This Row],[Project Index]], ProjectInput[], I$1, FALSE)</f>
        <v/>
      </c>
      <c r="H108" s="96">
        <f>VLOOKUP(ReviewCalcs[[#This Row],[Project Index]], ProjectInput[], J$1, FALSE)</f>
        <v>0</v>
      </c>
      <c r="I108" s="97">
        <f>VLOOKUP(ReviewCalcs[[#This Row],[Project Index]], ProjectInput[], K$1, FALSE)</f>
        <v>0</v>
      </c>
      <c r="J108" s="97">
        <f>VLOOKUP(ReviewCalcs[[#This Row],[Project Index]], ProjectInput[], L$1, FALSE)</f>
        <v>0</v>
      </c>
      <c r="K108" s="97">
        <f>VLOOKUP(ReviewCalcs[[#This Row],[Project Index]], ProjectInput[], M$1, FALSE)</f>
        <v>0</v>
      </c>
      <c r="L108" s="97">
        <f>VLOOKUP(ReviewCalcs[[#This Row],[Project Index]], ProjectInput[], N$1, FALSE)</f>
        <v>0</v>
      </c>
      <c r="M108" s="98" t="str">
        <f>VLOOKUP(ReviewCalcs[[#This Row],[Project Index]], ProjectInput[], O$1, FALSE)</f>
        <v/>
      </c>
      <c r="N108" s="96">
        <f>VLOOKUP(ReviewCalcs[[#This Row],[Project Index]], ProjectInput[], P$1, FALSE)</f>
        <v>0</v>
      </c>
      <c r="O108" s="97">
        <f>VLOOKUP(ReviewCalcs[[#This Row],[Project Index]], ProjectInput[], Q$1, FALSE)</f>
        <v>0</v>
      </c>
      <c r="P108" s="97">
        <f>VLOOKUP(ReviewCalcs[[#This Row],[Project Index]], ProjectInput[], R$1, FALSE)</f>
        <v>0</v>
      </c>
      <c r="Q108" s="97">
        <f>VLOOKUP(ReviewCalcs[[#This Row],[Project Index]], ProjectInput[], S$1, FALSE)</f>
        <v>0</v>
      </c>
      <c r="R108" s="97">
        <f>VLOOKUP(ReviewCalcs[[#This Row],[Project Index]], ProjectInput[], T$1, FALSE)</f>
        <v>0</v>
      </c>
      <c r="S108" s="97">
        <f>VLOOKUP(ReviewCalcs[[#This Row],[Project Index]], ProjectInput[], U$1, FALSE)</f>
        <v>0</v>
      </c>
      <c r="T108" s="97">
        <f>VLOOKUP(ReviewCalcs[[#This Row],[Project Index]], ProjectInput[], V$1, FALSE)</f>
        <v>0</v>
      </c>
      <c r="U108" s="97">
        <f>VLOOKUP(ReviewCalcs[[#This Row],[Project Index]], ProjectInput[], W$1, FALSE)</f>
        <v>0</v>
      </c>
      <c r="V108" s="98" t="str">
        <f>VLOOKUP(ReviewCalcs[[#This Row],[Project Index]], ProjectInput[], X$1, FALSE)</f>
        <v/>
      </c>
      <c r="W10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8" s="75" t="e">
        <f>IF(VLOOKUP(ReviewCalcs[[#This Row],[Proposed Fixture Code]], Table7[[FIXTURE CODE]:[Baseline Fixture Code]], 8, FALSE)="N", "ERROR", "PASS")</f>
        <v>#N/A</v>
      </c>
      <c r="Y10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8" s="75" t="e">
        <f>IF(OR(ReviewCalcs[[#This Row],[Baseline Fixture Watts]]&gt;=ReviewCalcs[[#This Row],[Proposed Fixture Watts]],ReviewCalcs[[#This Row],[Existing Fixture Watts]]&gt;=ReviewCalcs[[#This Row],[Proposed Fixture Watts]] ), "PASS", "ERROR")</f>
        <v>#N/A</v>
      </c>
      <c r="AA108" s="69" t="e">
        <f>VLOOKUP(ReviewCalcs[[#This Row],[Space Conditions]], Table_365[], 5, FALSE)</f>
        <v>#N/A</v>
      </c>
      <c r="AB108" s="68" t="str">
        <f>ReviewCalcs[[#This Row],[Annual Hours]]</f>
        <v/>
      </c>
      <c r="AC108" s="68" t="e">
        <f>VLOOKUP(ReviewCalcs[[#This Row],[Space Conditions]], Table_365[], 6, FALSE)</f>
        <v>#N/A</v>
      </c>
      <c r="AD108" s="68">
        <f>IF(ReviewCalcs[[#This Row],[Existing Control(s)]]='Tables &amp; Ranges'!$A$25, VLOOKUP(ReviewCalcs[[#This Row],[Building/Space Type]], Table_364[], 3, FALSE), CF_Contols)</f>
        <v>0.26</v>
      </c>
      <c r="AE108" s="68" t="e">
        <f>VLOOKUP(ReviewCalcs[[#This Row],[Existing Control(s)]], Table_358[], 2, FALSE)</f>
        <v>#N/A</v>
      </c>
      <c r="AF108" s="68">
        <f>IF(ReviewCalcs[[#This Row],[Proposed Control(s)]]='Tables &amp; Ranges'!$A$25, VLOOKUP(ReviewCalcs[[#This Row],[Building/Space Type]], Table_364[], 3, FALSE), CF_Contols)</f>
        <v>0.26</v>
      </c>
      <c r="AG108" s="68" t="e">
        <f>VLOOKUP(ReviewCalcs[[#This Row],[Proposed Control(s)]], Table_358[], 2, FALSE)</f>
        <v>#N/A</v>
      </c>
      <c r="AH108" s="68">
        <f>IFERROR((ReviewCalcs[[#This Row],[Existing Fixture Quantity]]*ReviewCalcs[[#This Row],[Existing Fixture Watts]]/1000)*ReviewCalcs[[#This Row],[Existing CF]]*ReviewCalcs[[#This Row],[IEFD]], 0)</f>
        <v>0</v>
      </c>
      <c r="AI108" s="68">
        <f>IFERROR((ReviewCalcs[[#This Row],[Proposed Fixture Quantity]]*ReviewCalcs[[#This Row],[Proposed Fixture Watts]]/1000)*ReviewCalcs[[#This Row],[Existing CF]]*ReviewCalcs[[#This Row],[IEFD]], 0)</f>
        <v>0</v>
      </c>
      <c r="AJ108" s="118">
        <f>IFERROR((ReviewCalcs[[#This Row],[Existing Fixture Quantity]]*ReviewCalcs[[#This Row],[Existing Fixture Watts]]/1000-ReviewCalcs[[#This Row],[Proposed Fixture Quantity]]*ReviewCalcs[[#This Row],[Proposed Fixture Watts]]/1000)*ReviewCalcs[[#This Row],[Existing CF]]*ReviewCalcs[[#This Row],[IEFD]], 0)</f>
        <v>0</v>
      </c>
      <c r="AK108" s="118">
        <f>IFERROR((ReviewCalcs[[#This Row],[Existing Fixture Quantity]]*ReviewCalcs[[#This Row],[Existing Fixture Watts]]/1000)*ReviewCalcs[[#This Row],[AOH]]*ReviewCalcs[[#This Row],[IEFE]]*ReviewCalcs[[#This Row],[Existing PAF]], 0)</f>
        <v>0</v>
      </c>
      <c r="AL108" s="118">
        <f>IFERROR((ReviewCalcs[[#This Row],[Proposed Fixture Quantity]]*ReviewCalcs[[#This Row],[Proposed Fixture Watts]]/1000)*ReviewCalcs[[#This Row],[AOH]]*ReviewCalcs[[#This Row],[IEFE]]*ReviewCalcs[[#This Row],[Existing PAF]], 0)</f>
        <v>0</v>
      </c>
      <c r="AM10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8" s="118">
        <f>ReviewCalcs[[#This Row],[Fixture Existing Energy (kWh)]]*Avg_KWh_Rate</f>
        <v>0</v>
      </c>
      <c r="AO108" s="118">
        <f>ReviewCalcs[[#This Row],[Fixture Proposed Energy (kWh)]]*Avg_KWh_Rate</f>
        <v>0</v>
      </c>
      <c r="AP108" s="70">
        <f>ReviewCalcs[[#This Row],[Fixture Energy Savings]]*Avg_KWh_Rate</f>
        <v>0</v>
      </c>
      <c r="AQ108" s="129" t="e">
        <f>ReviewCalcs[[#This Row],[Existing Fixture Quantity]]*ReviewCalcs[[#This Row],[Existing Fixture Watts]]/1000*ReviewCalcs[[#This Row],[Existing CF]]*ReviewCalcs[[#This Row],[IEFD]]</f>
        <v>#VALUE!</v>
      </c>
      <c r="AR108" s="129" t="e">
        <f>ReviewCalcs[[#This Row],[Proposed Fixture Quantity]]*ReviewCalcs[[#This Row],[Proposed Fixture Watts]]/1000*ReviewCalcs[[#This Row],[Proposed CF]]*ReviewCalcs[[#This Row],[IEFD]]</f>
        <v>#VALUE!</v>
      </c>
      <c r="AS108" s="118">
        <f>IF(ReviewCalcs[[#This Row],[Existing CF]]=ReviewCalcs[[#This Row],[Proposed CF]], 0, ReviewCalcs[[#This Row],[Proposed Fixture Quantity]]*ReviewCalcs[[#This Row],[Proposed Fixture Watts]]/1000*ReviewCalcs[[#This Row],[Proposed CF]]*ReviewCalcs[[#This Row],[IEFD]])</f>
        <v>0</v>
      </c>
      <c r="AT108" s="118">
        <f>IFERROR(ReviewCalcs[[#This Row],[Existing Fixture Quantity]]*ReviewCalcs[[#This Row],[Existing Fixture Watts]]/1000*ReviewCalcs[[#This Row],[Existing PAF]]*ReviewCalcs[[#This Row],[AOH]]*ReviewCalcs[[#This Row],[IEFE]], 0)</f>
        <v>0</v>
      </c>
      <c r="AU108" s="118">
        <f>IFERROR(ReviewCalcs[[#This Row],[Proposed Fixture Quantity]]*ReviewCalcs[[#This Row],[Proposed Fixture Watts]]/1000*ReviewCalcs[[#This Row],[Proposed PAF]]*ReviewCalcs[[#This Row],[AOH]]*ReviewCalcs[[#This Row],[IEFE]], 0)</f>
        <v>0</v>
      </c>
      <c r="AV108" s="118">
        <f>IFERROR(ReviewCalcs[[#This Row],[Proposed Fixture Quantity]]*ReviewCalcs[[#This Row],[Proposed Fixture Watts]]/1000*(ReviewCalcs[[#This Row],[Existing PAF]]-ReviewCalcs[[#This Row],[Proposed PAF]])*ReviewCalcs[[#This Row],[AOH]]*ReviewCalcs[[#This Row],[IEFE]], 0)</f>
        <v>0</v>
      </c>
      <c r="AW108" s="118">
        <f>ReviewCalcs[[#This Row],[Control Existing Energy (kWh)]]*kWh_Incentive_Rate</f>
        <v>0</v>
      </c>
      <c r="AX108" s="118">
        <f>ReviewCalcs[[#This Row],[Control Proposed Energy (kWh)]]*kWh_Incentive_Rate</f>
        <v>0</v>
      </c>
      <c r="AY108" s="70">
        <f>ReviewCalcs[[#This Row],[Control Energy Savings (kWh)]]*kWh_Incentive_Rate</f>
        <v>0</v>
      </c>
      <c r="AZ108" s="70" t="e">
        <f>ReviewCalcs[[#This Row],[Fixture Existing Demand (kW)]]+ReviewCalcs[[#This Row],[Control Existing Demand (kW)]]</f>
        <v>#VALUE!</v>
      </c>
      <c r="BA108" s="70" t="e">
        <f>ReviewCalcs[[#This Row],[Fixture Proposed Demand (kW)]]+ReviewCalcs[[#This Row],[Control Proposed Demand (kW)]]</f>
        <v>#VALUE!</v>
      </c>
      <c r="BB108" s="118">
        <f>ReviewCalcs[[#This Row],[Fixture Demand Savings (kW)]]+ReviewCalcs[[#This Row],[Control Demand Savings (kW)]]</f>
        <v>0</v>
      </c>
      <c r="BC108" s="118">
        <f>ReviewCalcs[[#This Row],[Fixture Existing Energy (kWh)]]+ReviewCalcs[[#This Row],[Control Existing Energy (kWh)]]</f>
        <v>0</v>
      </c>
      <c r="BD108" s="118">
        <f>ReviewCalcs[[#This Row],[Fixture Proposed Energy (kWh)]]+ReviewCalcs[[#This Row],[Control Proposed Energy (kWh)]]</f>
        <v>0</v>
      </c>
      <c r="BE108" s="118">
        <f>ReviewCalcs[[#This Row],[Fixture Energy Savings]]+ReviewCalcs[[#This Row],[Control Energy Savings (kWh)]]</f>
        <v>0</v>
      </c>
      <c r="BF108" s="118">
        <f>ReviewCalcs[[#This Row],[Fixture Existing Cost ($)]]+ReviewCalcs[[#This Row],[Control Existing Cost ($)]]</f>
        <v>0</v>
      </c>
      <c r="BG108" s="118">
        <f>ReviewCalcs[[#This Row],[Fixture Proposed Cost ($)]]+ReviewCalcs[[#This Row],[Controls Proposed Cost ($)]]</f>
        <v>0</v>
      </c>
      <c r="BH108" s="70">
        <f>ReviewCalcs[[#This Row],[Total Energy Savings (kWh)]]*Avg_KWh_Rate</f>
        <v>0</v>
      </c>
      <c r="BI10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8" s="70">
        <f>ReviewCalcs[[#This Row],[Retrofit Cost]]</f>
        <v>0</v>
      </c>
      <c r="BK108" s="70">
        <f>ReviewCalcs[[#This Row],[Retrofit Cost]]-ReviewCalcs[[#This Row],[Incentive ($)]]</f>
        <v>0</v>
      </c>
      <c r="BL108" s="118" t="e">
        <f>IFERROR(ReviewCalcs[[#This Row],[Net Project Cost ($)]]/ReviewCalcs[[#This Row],[Fixture Energy Cost Savings ($)]], #N/A)</f>
        <v>#N/A</v>
      </c>
      <c r="BM108" s="118" t="e">
        <f>IF(VLOOKUP(ReviewCalcs[[#This Row],[Existing Fixture Code]], Table7[[FIXTURE CODE]:[Baseline Fixture Code]], 8, FALSE)="N", VLOOKUP(ReviewCalcs[[#This Row],[Existing Fixture Code]], Table7[[FIXTURE CODE]:[Baseline Fixture Code]], 9, FALSE), ReviewCalcs[[#This Row],[Existing Fixture Code]])</f>
        <v>#N/A</v>
      </c>
      <c r="BN108" s="118" t="e">
        <f>INDEX(Table7[WATT/ FIXT], MATCH(ReviewCalcs[Baseline Fixture Code], Table7[FIXTURE CODE], 0))</f>
        <v>#N/A</v>
      </c>
      <c r="BO108" s="118">
        <f>IFERROR((ReviewCalcs[[#This Row],[Existing Fixture Quantity]]*ReviewCalcs[[#This Row],[Baseline Fixture Watts]]/1000-ReviewCalcs[[#This Row],[Proposed Fixture Quantity]]*ReviewCalcs[[#This Row],[Proposed Fixture Watts]]/1000)*ReviewCalcs[[#This Row],[Existing CF]]*ReviewCalcs[[#This Row],[IEFD]], 0)</f>
        <v>0</v>
      </c>
      <c r="BP10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8" s="118">
        <f>IF(ReviewCalcs[[#This Row],[Existing CF]]=ReviewCalcs[[#This Row],[Proposed CF]], 0, ReviewCalcs[[#This Row],[Proposed Fixture Quantity]]*ReviewCalcs[[#This Row],[Proposed Fixture Watts]]/1000*ReviewCalcs[[#This Row],[Proposed CF]]*ReviewCalcs[[#This Row],[IEFD]])</f>
        <v>0</v>
      </c>
      <c r="BR108" s="118">
        <f>IFERROR(ReviewCalcs[[#This Row],[Proposed Fixture Quantity]]*ReviewCalcs[[#This Row],[Proposed Fixture Watts]]/1000*(ReviewCalcs[[#This Row],[Existing PAF]]-ReviewCalcs[[#This Row],[Proposed PAF]])*ReviewCalcs[[#This Row],[AOH]]*ReviewCalcs[[#This Row],[IEFE]],0)</f>
        <v>0</v>
      </c>
      <c r="BS108" s="118">
        <f>ReviewCalcs[[#This Row],[Incentive Fixture Demand Savings (kW)]]+ReviewCalcs[[#This Row],[Incentive Control Demand Savings (kW)]]</f>
        <v>0</v>
      </c>
      <c r="BT108" s="118">
        <f>ReviewCalcs[[#This Row],[Incentive Fixture Energy Savings (kWh)]]+ReviewCalcs[[#This Row],[Incentive Control Energy Savings (kWh)]]</f>
        <v>0</v>
      </c>
      <c r="BU108" s="73"/>
    </row>
    <row r="109" spans="1:73" ht="30" customHeight="1">
      <c r="A109" s="68">
        <v>106</v>
      </c>
      <c r="B109" s="96">
        <f>VLOOKUP(ReviewCalcs[[#This Row],[Project Index]], ProjectInput[], D$1, FALSE)</f>
        <v>0</v>
      </c>
      <c r="C109" s="97">
        <f>VLOOKUP(ReviewCalcs[[#This Row],[Project Index]], ProjectInput[], E$1, FALSE)</f>
        <v>0</v>
      </c>
      <c r="D109" s="97">
        <f>VLOOKUP(ReviewCalcs[[#This Row],[Project Index]], ProjectInput[], F$1, FALSE)</f>
        <v>0</v>
      </c>
      <c r="E109" s="97">
        <f>VLOOKUP(ReviewCalcs[[#This Row],[Project Index]], ProjectInput[], G$1, FALSE)</f>
        <v>0</v>
      </c>
      <c r="F109" s="97">
        <f>VLOOKUP(ReviewCalcs[[#This Row],[Project Index]], ProjectInput[], H$1, FALSE)</f>
        <v>0</v>
      </c>
      <c r="G109" s="98" t="str">
        <f>VLOOKUP(ReviewCalcs[[#This Row],[Project Index]], ProjectInput[], I$1, FALSE)</f>
        <v/>
      </c>
      <c r="H109" s="96">
        <f>VLOOKUP(ReviewCalcs[[#This Row],[Project Index]], ProjectInput[], J$1, FALSE)</f>
        <v>0</v>
      </c>
      <c r="I109" s="97">
        <f>VLOOKUP(ReviewCalcs[[#This Row],[Project Index]], ProjectInput[], K$1, FALSE)</f>
        <v>0</v>
      </c>
      <c r="J109" s="97">
        <f>VLOOKUP(ReviewCalcs[[#This Row],[Project Index]], ProjectInput[], L$1, FALSE)</f>
        <v>0</v>
      </c>
      <c r="K109" s="97">
        <f>VLOOKUP(ReviewCalcs[[#This Row],[Project Index]], ProjectInput[], M$1, FALSE)</f>
        <v>0</v>
      </c>
      <c r="L109" s="97">
        <f>VLOOKUP(ReviewCalcs[[#This Row],[Project Index]], ProjectInput[], N$1, FALSE)</f>
        <v>0</v>
      </c>
      <c r="M109" s="98" t="str">
        <f>VLOOKUP(ReviewCalcs[[#This Row],[Project Index]], ProjectInput[], O$1, FALSE)</f>
        <v/>
      </c>
      <c r="N109" s="96">
        <f>VLOOKUP(ReviewCalcs[[#This Row],[Project Index]], ProjectInput[], P$1, FALSE)</f>
        <v>0</v>
      </c>
      <c r="O109" s="97">
        <f>VLOOKUP(ReviewCalcs[[#This Row],[Project Index]], ProjectInput[], Q$1, FALSE)</f>
        <v>0</v>
      </c>
      <c r="P109" s="97">
        <f>VLOOKUP(ReviewCalcs[[#This Row],[Project Index]], ProjectInput[], R$1, FALSE)</f>
        <v>0</v>
      </c>
      <c r="Q109" s="97">
        <f>VLOOKUP(ReviewCalcs[[#This Row],[Project Index]], ProjectInput[], S$1, FALSE)</f>
        <v>0</v>
      </c>
      <c r="R109" s="97">
        <f>VLOOKUP(ReviewCalcs[[#This Row],[Project Index]], ProjectInput[], T$1, FALSE)</f>
        <v>0</v>
      </c>
      <c r="S109" s="97">
        <f>VLOOKUP(ReviewCalcs[[#This Row],[Project Index]], ProjectInput[], U$1, FALSE)</f>
        <v>0</v>
      </c>
      <c r="T109" s="97">
        <f>VLOOKUP(ReviewCalcs[[#This Row],[Project Index]], ProjectInput[], V$1, FALSE)</f>
        <v>0</v>
      </c>
      <c r="U109" s="97">
        <f>VLOOKUP(ReviewCalcs[[#This Row],[Project Index]], ProjectInput[], W$1, FALSE)</f>
        <v>0</v>
      </c>
      <c r="V109" s="98" t="str">
        <f>VLOOKUP(ReviewCalcs[[#This Row],[Project Index]], ProjectInput[], X$1, FALSE)</f>
        <v/>
      </c>
      <c r="W10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09" s="75" t="e">
        <f>IF(VLOOKUP(ReviewCalcs[[#This Row],[Proposed Fixture Code]], Table7[[FIXTURE CODE]:[Baseline Fixture Code]], 8, FALSE)="N", "ERROR", "PASS")</f>
        <v>#N/A</v>
      </c>
      <c r="Y10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09" s="75" t="e">
        <f>IF(OR(ReviewCalcs[[#This Row],[Baseline Fixture Watts]]&gt;=ReviewCalcs[[#This Row],[Proposed Fixture Watts]],ReviewCalcs[[#This Row],[Existing Fixture Watts]]&gt;=ReviewCalcs[[#This Row],[Proposed Fixture Watts]] ), "PASS", "ERROR")</f>
        <v>#N/A</v>
      </c>
      <c r="AA109" s="69" t="e">
        <f>VLOOKUP(ReviewCalcs[[#This Row],[Space Conditions]], Table_365[], 5, FALSE)</f>
        <v>#N/A</v>
      </c>
      <c r="AB109" s="68" t="str">
        <f>ReviewCalcs[[#This Row],[Annual Hours]]</f>
        <v/>
      </c>
      <c r="AC109" s="68" t="e">
        <f>VLOOKUP(ReviewCalcs[[#This Row],[Space Conditions]], Table_365[], 6, FALSE)</f>
        <v>#N/A</v>
      </c>
      <c r="AD109" s="68">
        <f>IF(ReviewCalcs[[#This Row],[Existing Control(s)]]='Tables &amp; Ranges'!$A$25, VLOOKUP(ReviewCalcs[[#This Row],[Building/Space Type]], Table_364[], 3, FALSE), CF_Contols)</f>
        <v>0.26</v>
      </c>
      <c r="AE109" s="68" t="e">
        <f>VLOOKUP(ReviewCalcs[[#This Row],[Existing Control(s)]], Table_358[], 2, FALSE)</f>
        <v>#N/A</v>
      </c>
      <c r="AF109" s="68">
        <f>IF(ReviewCalcs[[#This Row],[Proposed Control(s)]]='Tables &amp; Ranges'!$A$25, VLOOKUP(ReviewCalcs[[#This Row],[Building/Space Type]], Table_364[], 3, FALSE), CF_Contols)</f>
        <v>0.26</v>
      </c>
      <c r="AG109" s="68" t="e">
        <f>VLOOKUP(ReviewCalcs[[#This Row],[Proposed Control(s)]], Table_358[], 2, FALSE)</f>
        <v>#N/A</v>
      </c>
      <c r="AH109" s="68">
        <f>IFERROR((ReviewCalcs[[#This Row],[Existing Fixture Quantity]]*ReviewCalcs[[#This Row],[Existing Fixture Watts]]/1000)*ReviewCalcs[[#This Row],[Existing CF]]*ReviewCalcs[[#This Row],[IEFD]], 0)</f>
        <v>0</v>
      </c>
      <c r="AI109" s="68">
        <f>IFERROR((ReviewCalcs[[#This Row],[Proposed Fixture Quantity]]*ReviewCalcs[[#This Row],[Proposed Fixture Watts]]/1000)*ReviewCalcs[[#This Row],[Existing CF]]*ReviewCalcs[[#This Row],[IEFD]], 0)</f>
        <v>0</v>
      </c>
      <c r="AJ109" s="118">
        <f>IFERROR((ReviewCalcs[[#This Row],[Existing Fixture Quantity]]*ReviewCalcs[[#This Row],[Existing Fixture Watts]]/1000-ReviewCalcs[[#This Row],[Proposed Fixture Quantity]]*ReviewCalcs[[#This Row],[Proposed Fixture Watts]]/1000)*ReviewCalcs[[#This Row],[Existing CF]]*ReviewCalcs[[#This Row],[IEFD]], 0)</f>
        <v>0</v>
      </c>
      <c r="AK109" s="118">
        <f>IFERROR((ReviewCalcs[[#This Row],[Existing Fixture Quantity]]*ReviewCalcs[[#This Row],[Existing Fixture Watts]]/1000)*ReviewCalcs[[#This Row],[AOH]]*ReviewCalcs[[#This Row],[IEFE]]*ReviewCalcs[[#This Row],[Existing PAF]], 0)</f>
        <v>0</v>
      </c>
      <c r="AL109" s="118">
        <f>IFERROR((ReviewCalcs[[#This Row],[Proposed Fixture Quantity]]*ReviewCalcs[[#This Row],[Proposed Fixture Watts]]/1000)*ReviewCalcs[[#This Row],[AOH]]*ReviewCalcs[[#This Row],[IEFE]]*ReviewCalcs[[#This Row],[Existing PAF]], 0)</f>
        <v>0</v>
      </c>
      <c r="AM10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09" s="118">
        <f>ReviewCalcs[[#This Row],[Fixture Existing Energy (kWh)]]*Avg_KWh_Rate</f>
        <v>0</v>
      </c>
      <c r="AO109" s="118">
        <f>ReviewCalcs[[#This Row],[Fixture Proposed Energy (kWh)]]*Avg_KWh_Rate</f>
        <v>0</v>
      </c>
      <c r="AP109" s="70">
        <f>ReviewCalcs[[#This Row],[Fixture Energy Savings]]*Avg_KWh_Rate</f>
        <v>0</v>
      </c>
      <c r="AQ109" s="129" t="e">
        <f>ReviewCalcs[[#This Row],[Existing Fixture Quantity]]*ReviewCalcs[[#This Row],[Existing Fixture Watts]]/1000*ReviewCalcs[[#This Row],[Existing CF]]*ReviewCalcs[[#This Row],[IEFD]]</f>
        <v>#VALUE!</v>
      </c>
      <c r="AR109" s="129" t="e">
        <f>ReviewCalcs[[#This Row],[Proposed Fixture Quantity]]*ReviewCalcs[[#This Row],[Proposed Fixture Watts]]/1000*ReviewCalcs[[#This Row],[Proposed CF]]*ReviewCalcs[[#This Row],[IEFD]]</f>
        <v>#VALUE!</v>
      </c>
      <c r="AS109" s="118">
        <f>IF(ReviewCalcs[[#This Row],[Existing CF]]=ReviewCalcs[[#This Row],[Proposed CF]], 0, ReviewCalcs[[#This Row],[Proposed Fixture Quantity]]*ReviewCalcs[[#This Row],[Proposed Fixture Watts]]/1000*ReviewCalcs[[#This Row],[Proposed CF]]*ReviewCalcs[[#This Row],[IEFD]])</f>
        <v>0</v>
      </c>
      <c r="AT109" s="118">
        <f>IFERROR(ReviewCalcs[[#This Row],[Existing Fixture Quantity]]*ReviewCalcs[[#This Row],[Existing Fixture Watts]]/1000*ReviewCalcs[[#This Row],[Existing PAF]]*ReviewCalcs[[#This Row],[AOH]]*ReviewCalcs[[#This Row],[IEFE]], 0)</f>
        <v>0</v>
      </c>
      <c r="AU109" s="118">
        <f>IFERROR(ReviewCalcs[[#This Row],[Proposed Fixture Quantity]]*ReviewCalcs[[#This Row],[Proposed Fixture Watts]]/1000*ReviewCalcs[[#This Row],[Proposed PAF]]*ReviewCalcs[[#This Row],[AOH]]*ReviewCalcs[[#This Row],[IEFE]], 0)</f>
        <v>0</v>
      </c>
      <c r="AV109" s="118">
        <f>IFERROR(ReviewCalcs[[#This Row],[Proposed Fixture Quantity]]*ReviewCalcs[[#This Row],[Proposed Fixture Watts]]/1000*(ReviewCalcs[[#This Row],[Existing PAF]]-ReviewCalcs[[#This Row],[Proposed PAF]])*ReviewCalcs[[#This Row],[AOH]]*ReviewCalcs[[#This Row],[IEFE]], 0)</f>
        <v>0</v>
      </c>
      <c r="AW109" s="118">
        <f>ReviewCalcs[[#This Row],[Control Existing Energy (kWh)]]*kWh_Incentive_Rate</f>
        <v>0</v>
      </c>
      <c r="AX109" s="118">
        <f>ReviewCalcs[[#This Row],[Control Proposed Energy (kWh)]]*kWh_Incentive_Rate</f>
        <v>0</v>
      </c>
      <c r="AY109" s="70">
        <f>ReviewCalcs[[#This Row],[Control Energy Savings (kWh)]]*kWh_Incentive_Rate</f>
        <v>0</v>
      </c>
      <c r="AZ109" s="70" t="e">
        <f>ReviewCalcs[[#This Row],[Fixture Existing Demand (kW)]]+ReviewCalcs[[#This Row],[Control Existing Demand (kW)]]</f>
        <v>#VALUE!</v>
      </c>
      <c r="BA109" s="70" t="e">
        <f>ReviewCalcs[[#This Row],[Fixture Proposed Demand (kW)]]+ReviewCalcs[[#This Row],[Control Proposed Demand (kW)]]</f>
        <v>#VALUE!</v>
      </c>
      <c r="BB109" s="118">
        <f>ReviewCalcs[[#This Row],[Fixture Demand Savings (kW)]]+ReviewCalcs[[#This Row],[Control Demand Savings (kW)]]</f>
        <v>0</v>
      </c>
      <c r="BC109" s="118">
        <f>ReviewCalcs[[#This Row],[Fixture Existing Energy (kWh)]]+ReviewCalcs[[#This Row],[Control Existing Energy (kWh)]]</f>
        <v>0</v>
      </c>
      <c r="BD109" s="118">
        <f>ReviewCalcs[[#This Row],[Fixture Proposed Energy (kWh)]]+ReviewCalcs[[#This Row],[Control Proposed Energy (kWh)]]</f>
        <v>0</v>
      </c>
      <c r="BE109" s="118">
        <f>ReviewCalcs[[#This Row],[Fixture Energy Savings]]+ReviewCalcs[[#This Row],[Control Energy Savings (kWh)]]</f>
        <v>0</v>
      </c>
      <c r="BF109" s="118">
        <f>ReviewCalcs[[#This Row],[Fixture Existing Cost ($)]]+ReviewCalcs[[#This Row],[Control Existing Cost ($)]]</f>
        <v>0</v>
      </c>
      <c r="BG109" s="118">
        <f>ReviewCalcs[[#This Row],[Fixture Proposed Cost ($)]]+ReviewCalcs[[#This Row],[Controls Proposed Cost ($)]]</f>
        <v>0</v>
      </c>
      <c r="BH109" s="70">
        <f>ReviewCalcs[[#This Row],[Total Energy Savings (kWh)]]*Avg_KWh_Rate</f>
        <v>0</v>
      </c>
      <c r="BI10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09" s="70">
        <f>ReviewCalcs[[#This Row],[Retrofit Cost]]</f>
        <v>0</v>
      </c>
      <c r="BK109" s="70">
        <f>ReviewCalcs[[#This Row],[Retrofit Cost]]-ReviewCalcs[[#This Row],[Incentive ($)]]</f>
        <v>0</v>
      </c>
      <c r="BL109" s="118" t="e">
        <f>IFERROR(ReviewCalcs[[#This Row],[Net Project Cost ($)]]/ReviewCalcs[[#This Row],[Fixture Energy Cost Savings ($)]], #N/A)</f>
        <v>#N/A</v>
      </c>
      <c r="BM109" s="118" t="e">
        <f>IF(VLOOKUP(ReviewCalcs[[#This Row],[Existing Fixture Code]], Table7[[FIXTURE CODE]:[Baseline Fixture Code]], 8, FALSE)="N", VLOOKUP(ReviewCalcs[[#This Row],[Existing Fixture Code]], Table7[[FIXTURE CODE]:[Baseline Fixture Code]], 9, FALSE), ReviewCalcs[[#This Row],[Existing Fixture Code]])</f>
        <v>#N/A</v>
      </c>
      <c r="BN109" s="118" t="e">
        <f>INDEX(Table7[WATT/ FIXT], MATCH(ReviewCalcs[Baseline Fixture Code], Table7[FIXTURE CODE], 0))</f>
        <v>#N/A</v>
      </c>
      <c r="BO109" s="118">
        <f>IFERROR((ReviewCalcs[[#This Row],[Existing Fixture Quantity]]*ReviewCalcs[[#This Row],[Baseline Fixture Watts]]/1000-ReviewCalcs[[#This Row],[Proposed Fixture Quantity]]*ReviewCalcs[[#This Row],[Proposed Fixture Watts]]/1000)*ReviewCalcs[[#This Row],[Existing CF]]*ReviewCalcs[[#This Row],[IEFD]], 0)</f>
        <v>0</v>
      </c>
      <c r="BP10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09" s="118">
        <f>IF(ReviewCalcs[[#This Row],[Existing CF]]=ReviewCalcs[[#This Row],[Proposed CF]], 0, ReviewCalcs[[#This Row],[Proposed Fixture Quantity]]*ReviewCalcs[[#This Row],[Proposed Fixture Watts]]/1000*ReviewCalcs[[#This Row],[Proposed CF]]*ReviewCalcs[[#This Row],[IEFD]])</f>
        <v>0</v>
      </c>
      <c r="BR109" s="118">
        <f>IFERROR(ReviewCalcs[[#This Row],[Proposed Fixture Quantity]]*ReviewCalcs[[#This Row],[Proposed Fixture Watts]]/1000*(ReviewCalcs[[#This Row],[Existing PAF]]-ReviewCalcs[[#This Row],[Proposed PAF]])*ReviewCalcs[[#This Row],[AOH]]*ReviewCalcs[[#This Row],[IEFE]],0)</f>
        <v>0</v>
      </c>
      <c r="BS109" s="118">
        <f>ReviewCalcs[[#This Row],[Incentive Fixture Demand Savings (kW)]]+ReviewCalcs[[#This Row],[Incentive Control Demand Savings (kW)]]</f>
        <v>0</v>
      </c>
      <c r="BT109" s="118">
        <f>ReviewCalcs[[#This Row],[Incentive Fixture Energy Savings (kWh)]]+ReviewCalcs[[#This Row],[Incentive Control Energy Savings (kWh)]]</f>
        <v>0</v>
      </c>
      <c r="BU109" s="73"/>
    </row>
    <row r="110" spans="1:73" ht="30" customHeight="1">
      <c r="A110" s="68">
        <v>107</v>
      </c>
      <c r="B110" s="96">
        <f>VLOOKUP(ReviewCalcs[[#This Row],[Project Index]], ProjectInput[], D$1, FALSE)</f>
        <v>0</v>
      </c>
      <c r="C110" s="97">
        <f>VLOOKUP(ReviewCalcs[[#This Row],[Project Index]], ProjectInput[], E$1, FALSE)</f>
        <v>0</v>
      </c>
      <c r="D110" s="97">
        <f>VLOOKUP(ReviewCalcs[[#This Row],[Project Index]], ProjectInput[], F$1, FALSE)</f>
        <v>0</v>
      </c>
      <c r="E110" s="97">
        <f>VLOOKUP(ReviewCalcs[[#This Row],[Project Index]], ProjectInput[], G$1, FALSE)</f>
        <v>0</v>
      </c>
      <c r="F110" s="97">
        <f>VLOOKUP(ReviewCalcs[[#This Row],[Project Index]], ProjectInput[], H$1, FALSE)</f>
        <v>0</v>
      </c>
      <c r="G110" s="98" t="str">
        <f>VLOOKUP(ReviewCalcs[[#This Row],[Project Index]], ProjectInput[], I$1, FALSE)</f>
        <v/>
      </c>
      <c r="H110" s="96">
        <f>VLOOKUP(ReviewCalcs[[#This Row],[Project Index]], ProjectInput[], J$1, FALSE)</f>
        <v>0</v>
      </c>
      <c r="I110" s="97">
        <f>VLOOKUP(ReviewCalcs[[#This Row],[Project Index]], ProjectInput[], K$1, FALSE)</f>
        <v>0</v>
      </c>
      <c r="J110" s="97">
        <f>VLOOKUP(ReviewCalcs[[#This Row],[Project Index]], ProjectInput[], L$1, FALSE)</f>
        <v>0</v>
      </c>
      <c r="K110" s="97">
        <f>VLOOKUP(ReviewCalcs[[#This Row],[Project Index]], ProjectInput[], M$1, FALSE)</f>
        <v>0</v>
      </c>
      <c r="L110" s="97">
        <f>VLOOKUP(ReviewCalcs[[#This Row],[Project Index]], ProjectInput[], N$1, FALSE)</f>
        <v>0</v>
      </c>
      <c r="M110" s="98" t="str">
        <f>VLOOKUP(ReviewCalcs[[#This Row],[Project Index]], ProjectInput[], O$1, FALSE)</f>
        <v/>
      </c>
      <c r="N110" s="96">
        <f>VLOOKUP(ReviewCalcs[[#This Row],[Project Index]], ProjectInput[], P$1, FALSE)</f>
        <v>0</v>
      </c>
      <c r="O110" s="97">
        <f>VLOOKUP(ReviewCalcs[[#This Row],[Project Index]], ProjectInput[], Q$1, FALSE)</f>
        <v>0</v>
      </c>
      <c r="P110" s="97">
        <f>VLOOKUP(ReviewCalcs[[#This Row],[Project Index]], ProjectInput[], R$1, FALSE)</f>
        <v>0</v>
      </c>
      <c r="Q110" s="97">
        <f>VLOOKUP(ReviewCalcs[[#This Row],[Project Index]], ProjectInput[], S$1, FALSE)</f>
        <v>0</v>
      </c>
      <c r="R110" s="97">
        <f>VLOOKUP(ReviewCalcs[[#This Row],[Project Index]], ProjectInput[], T$1, FALSE)</f>
        <v>0</v>
      </c>
      <c r="S110" s="97">
        <f>VLOOKUP(ReviewCalcs[[#This Row],[Project Index]], ProjectInput[], U$1, FALSE)</f>
        <v>0</v>
      </c>
      <c r="T110" s="97">
        <f>VLOOKUP(ReviewCalcs[[#This Row],[Project Index]], ProjectInput[], V$1, FALSE)</f>
        <v>0</v>
      </c>
      <c r="U110" s="97">
        <f>VLOOKUP(ReviewCalcs[[#This Row],[Project Index]], ProjectInput[], W$1, FALSE)</f>
        <v>0</v>
      </c>
      <c r="V110" s="98" t="str">
        <f>VLOOKUP(ReviewCalcs[[#This Row],[Project Index]], ProjectInput[], X$1, FALSE)</f>
        <v/>
      </c>
      <c r="W1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0" s="75" t="e">
        <f>IF(VLOOKUP(ReviewCalcs[[#This Row],[Proposed Fixture Code]], Table7[[FIXTURE CODE]:[Baseline Fixture Code]], 8, FALSE)="N", "ERROR", "PASS")</f>
        <v>#N/A</v>
      </c>
      <c r="Y1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0" s="75" t="e">
        <f>IF(OR(ReviewCalcs[[#This Row],[Baseline Fixture Watts]]&gt;=ReviewCalcs[[#This Row],[Proposed Fixture Watts]],ReviewCalcs[[#This Row],[Existing Fixture Watts]]&gt;=ReviewCalcs[[#This Row],[Proposed Fixture Watts]] ), "PASS", "ERROR")</f>
        <v>#N/A</v>
      </c>
      <c r="AA110" s="69" t="e">
        <f>VLOOKUP(ReviewCalcs[[#This Row],[Space Conditions]], Table_365[], 5, FALSE)</f>
        <v>#N/A</v>
      </c>
      <c r="AB110" s="68" t="str">
        <f>ReviewCalcs[[#This Row],[Annual Hours]]</f>
        <v/>
      </c>
      <c r="AC110" s="68" t="e">
        <f>VLOOKUP(ReviewCalcs[[#This Row],[Space Conditions]], Table_365[], 6, FALSE)</f>
        <v>#N/A</v>
      </c>
      <c r="AD110" s="68">
        <f>IF(ReviewCalcs[[#This Row],[Existing Control(s)]]='Tables &amp; Ranges'!$A$25, VLOOKUP(ReviewCalcs[[#This Row],[Building/Space Type]], Table_364[], 3, FALSE), CF_Contols)</f>
        <v>0.26</v>
      </c>
      <c r="AE110" s="68" t="e">
        <f>VLOOKUP(ReviewCalcs[[#This Row],[Existing Control(s)]], Table_358[], 2, FALSE)</f>
        <v>#N/A</v>
      </c>
      <c r="AF110" s="68">
        <f>IF(ReviewCalcs[[#This Row],[Proposed Control(s)]]='Tables &amp; Ranges'!$A$25, VLOOKUP(ReviewCalcs[[#This Row],[Building/Space Type]], Table_364[], 3, FALSE), CF_Contols)</f>
        <v>0.26</v>
      </c>
      <c r="AG110" s="68" t="e">
        <f>VLOOKUP(ReviewCalcs[[#This Row],[Proposed Control(s)]], Table_358[], 2, FALSE)</f>
        <v>#N/A</v>
      </c>
      <c r="AH110" s="68">
        <f>IFERROR((ReviewCalcs[[#This Row],[Existing Fixture Quantity]]*ReviewCalcs[[#This Row],[Existing Fixture Watts]]/1000)*ReviewCalcs[[#This Row],[Existing CF]]*ReviewCalcs[[#This Row],[IEFD]], 0)</f>
        <v>0</v>
      </c>
      <c r="AI110" s="68">
        <f>IFERROR((ReviewCalcs[[#This Row],[Proposed Fixture Quantity]]*ReviewCalcs[[#This Row],[Proposed Fixture Watts]]/1000)*ReviewCalcs[[#This Row],[Existing CF]]*ReviewCalcs[[#This Row],[IEFD]], 0)</f>
        <v>0</v>
      </c>
      <c r="AJ110" s="118">
        <f>IFERROR((ReviewCalcs[[#This Row],[Existing Fixture Quantity]]*ReviewCalcs[[#This Row],[Existing Fixture Watts]]/1000-ReviewCalcs[[#This Row],[Proposed Fixture Quantity]]*ReviewCalcs[[#This Row],[Proposed Fixture Watts]]/1000)*ReviewCalcs[[#This Row],[Existing CF]]*ReviewCalcs[[#This Row],[IEFD]], 0)</f>
        <v>0</v>
      </c>
      <c r="AK110" s="118">
        <f>IFERROR((ReviewCalcs[[#This Row],[Existing Fixture Quantity]]*ReviewCalcs[[#This Row],[Existing Fixture Watts]]/1000)*ReviewCalcs[[#This Row],[AOH]]*ReviewCalcs[[#This Row],[IEFE]]*ReviewCalcs[[#This Row],[Existing PAF]], 0)</f>
        <v>0</v>
      </c>
      <c r="AL110" s="118">
        <f>IFERROR((ReviewCalcs[[#This Row],[Proposed Fixture Quantity]]*ReviewCalcs[[#This Row],[Proposed Fixture Watts]]/1000)*ReviewCalcs[[#This Row],[AOH]]*ReviewCalcs[[#This Row],[IEFE]]*ReviewCalcs[[#This Row],[Existing PAF]], 0)</f>
        <v>0</v>
      </c>
      <c r="AM1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0" s="118">
        <f>ReviewCalcs[[#This Row],[Fixture Existing Energy (kWh)]]*Avg_KWh_Rate</f>
        <v>0</v>
      </c>
      <c r="AO110" s="118">
        <f>ReviewCalcs[[#This Row],[Fixture Proposed Energy (kWh)]]*Avg_KWh_Rate</f>
        <v>0</v>
      </c>
      <c r="AP110" s="70">
        <f>ReviewCalcs[[#This Row],[Fixture Energy Savings]]*Avg_KWh_Rate</f>
        <v>0</v>
      </c>
      <c r="AQ110" s="129" t="e">
        <f>ReviewCalcs[[#This Row],[Existing Fixture Quantity]]*ReviewCalcs[[#This Row],[Existing Fixture Watts]]/1000*ReviewCalcs[[#This Row],[Existing CF]]*ReviewCalcs[[#This Row],[IEFD]]</f>
        <v>#VALUE!</v>
      </c>
      <c r="AR110" s="129" t="e">
        <f>ReviewCalcs[[#This Row],[Proposed Fixture Quantity]]*ReviewCalcs[[#This Row],[Proposed Fixture Watts]]/1000*ReviewCalcs[[#This Row],[Proposed CF]]*ReviewCalcs[[#This Row],[IEFD]]</f>
        <v>#VALUE!</v>
      </c>
      <c r="AS110" s="118">
        <f>IF(ReviewCalcs[[#This Row],[Existing CF]]=ReviewCalcs[[#This Row],[Proposed CF]], 0, ReviewCalcs[[#This Row],[Proposed Fixture Quantity]]*ReviewCalcs[[#This Row],[Proposed Fixture Watts]]/1000*ReviewCalcs[[#This Row],[Proposed CF]]*ReviewCalcs[[#This Row],[IEFD]])</f>
        <v>0</v>
      </c>
      <c r="AT110" s="118">
        <f>IFERROR(ReviewCalcs[[#This Row],[Existing Fixture Quantity]]*ReviewCalcs[[#This Row],[Existing Fixture Watts]]/1000*ReviewCalcs[[#This Row],[Existing PAF]]*ReviewCalcs[[#This Row],[AOH]]*ReviewCalcs[[#This Row],[IEFE]], 0)</f>
        <v>0</v>
      </c>
      <c r="AU110" s="118">
        <f>IFERROR(ReviewCalcs[[#This Row],[Proposed Fixture Quantity]]*ReviewCalcs[[#This Row],[Proposed Fixture Watts]]/1000*ReviewCalcs[[#This Row],[Proposed PAF]]*ReviewCalcs[[#This Row],[AOH]]*ReviewCalcs[[#This Row],[IEFE]], 0)</f>
        <v>0</v>
      </c>
      <c r="AV110" s="118">
        <f>IFERROR(ReviewCalcs[[#This Row],[Proposed Fixture Quantity]]*ReviewCalcs[[#This Row],[Proposed Fixture Watts]]/1000*(ReviewCalcs[[#This Row],[Existing PAF]]-ReviewCalcs[[#This Row],[Proposed PAF]])*ReviewCalcs[[#This Row],[AOH]]*ReviewCalcs[[#This Row],[IEFE]], 0)</f>
        <v>0</v>
      </c>
      <c r="AW110" s="118">
        <f>ReviewCalcs[[#This Row],[Control Existing Energy (kWh)]]*kWh_Incentive_Rate</f>
        <v>0</v>
      </c>
      <c r="AX110" s="118">
        <f>ReviewCalcs[[#This Row],[Control Proposed Energy (kWh)]]*kWh_Incentive_Rate</f>
        <v>0</v>
      </c>
      <c r="AY110" s="70">
        <f>ReviewCalcs[[#This Row],[Control Energy Savings (kWh)]]*kWh_Incentive_Rate</f>
        <v>0</v>
      </c>
      <c r="AZ110" s="70" t="e">
        <f>ReviewCalcs[[#This Row],[Fixture Existing Demand (kW)]]+ReviewCalcs[[#This Row],[Control Existing Demand (kW)]]</f>
        <v>#VALUE!</v>
      </c>
      <c r="BA110" s="70" t="e">
        <f>ReviewCalcs[[#This Row],[Fixture Proposed Demand (kW)]]+ReviewCalcs[[#This Row],[Control Proposed Demand (kW)]]</f>
        <v>#VALUE!</v>
      </c>
      <c r="BB110" s="118">
        <f>ReviewCalcs[[#This Row],[Fixture Demand Savings (kW)]]+ReviewCalcs[[#This Row],[Control Demand Savings (kW)]]</f>
        <v>0</v>
      </c>
      <c r="BC110" s="118">
        <f>ReviewCalcs[[#This Row],[Fixture Existing Energy (kWh)]]+ReviewCalcs[[#This Row],[Control Existing Energy (kWh)]]</f>
        <v>0</v>
      </c>
      <c r="BD110" s="118">
        <f>ReviewCalcs[[#This Row],[Fixture Proposed Energy (kWh)]]+ReviewCalcs[[#This Row],[Control Proposed Energy (kWh)]]</f>
        <v>0</v>
      </c>
      <c r="BE110" s="118">
        <f>ReviewCalcs[[#This Row],[Fixture Energy Savings]]+ReviewCalcs[[#This Row],[Control Energy Savings (kWh)]]</f>
        <v>0</v>
      </c>
      <c r="BF110" s="118">
        <f>ReviewCalcs[[#This Row],[Fixture Existing Cost ($)]]+ReviewCalcs[[#This Row],[Control Existing Cost ($)]]</f>
        <v>0</v>
      </c>
      <c r="BG110" s="118">
        <f>ReviewCalcs[[#This Row],[Fixture Proposed Cost ($)]]+ReviewCalcs[[#This Row],[Controls Proposed Cost ($)]]</f>
        <v>0</v>
      </c>
      <c r="BH110" s="70">
        <f>ReviewCalcs[[#This Row],[Total Energy Savings (kWh)]]*Avg_KWh_Rate</f>
        <v>0</v>
      </c>
      <c r="BI1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0" s="70">
        <f>ReviewCalcs[[#This Row],[Retrofit Cost]]</f>
        <v>0</v>
      </c>
      <c r="BK110" s="70">
        <f>ReviewCalcs[[#This Row],[Retrofit Cost]]-ReviewCalcs[[#This Row],[Incentive ($)]]</f>
        <v>0</v>
      </c>
      <c r="BL110" s="118" t="e">
        <f>IFERROR(ReviewCalcs[[#This Row],[Net Project Cost ($)]]/ReviewCalcs[[#This Row],[Fixture Energy Cost Savings ($)]], #N/A)</f>
        <v>#N/A</v>
      </c>
      <c r="BM110" s="118" t="e">
        <f>IF(VLOOKUP(ReviewCalcs[[#This Row],[Existing Fixture Code]], Table7[[FIXTURE CODE]:[Baseline Fixture Code]], 8, FALSE)="N", VLOOKUP(ReviewCalcs[[#This Row],[Existing Fixture Code]], Table7[[FIXTURE CODE]:[Baseline Fixture Code]], 9, FALSE), ReviewCalcs[[#This Row],[Existing Fixture Code]])</f>
        <v>#N/A</v>
      </c>
      <c r="BN110" s="118" t="e">
        <f>INDEX(Table7[WATT/ FIXT], MATCH(ReviewCalcs[Baseline Fixture Code], Table7[FIXTURE CODE], 0))</f>
        <v>#N/A</v>
      </c>
      <c r="BO110" s="118">
        <f>IFERROR((ReviewCalcs[[#This Row],[Existing Fixture Quantity]]*ReviewCalcs[[#This Row],[Baseline Fixture Watts]]/1000-ReviewCalcs[[#This Row],[Proposed Fixture Quantity]]*ReviewCalcs[[#This Row],[Proposed Fixture Watts]]/1000)*ReviewCalcs[[#This Row],[Existing CF]]*ReviewCalcs[[#This Row],[IEFD]], 0)</f>
        <v>0</v>
      </c>
      <c r="BP1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0" s="118">
        <f>IF(ReviewCalcs[[#This Row],[Existing CF]]=ReviewCalcs[[#This Row],[Proposed CF]], 0, ReviewCalcs[[#This Row],[Proposed Fixture Quantity]]*ReviewCalcs[[#This Row],[Proposed Fixture Watts]]/1000*ReviewCalcs[[#This Row],[Proposed CF]]*ReviewCalcs[[#This Row],[IEFD]])</f>
        <v>0</v>
      </c>
      <c r="BR110" s="118">
        <f>IFERROR(ReviewCalcs[[#This Row],[Proposed Fixture Quantity]]*ReviewCalcs[[#This Row],[Proposed Fixture Watts]]/1000*(ReviewCalcs[[#This Row],[Existing PAF]]-ReviewCalcs[[#This Row],[Proposed PAF]])*ReviewCalcs[[#This Row],[AOH]]*ReviewCalcs[[#This Row],[IEFE]],0)</f>
        <v>0</v>
      </c>
      <c r="BS110" s="118">
        <f>ReviewCalcs[[#This Row],[Incentive Fixture Demand Savings (kW)]]+ReviewCalcs[[#This Row],[Incentive Control Demand Savings (kW)]]</f>
        <v>0</v>
      </c>
      <c r="BT110" s="118">
        <f>ReviewCalcs[[#This Row],[Incentive Fixture Energy Savings (kWh)]]+ReviewCalcs[[#This Row],[Incentive Control Energy Savings (kWh)]]</f>
        <v>0</v>
      </c>
      <c r="BU110" s="73"/>
    </row>
    <row r="111" spans="1:73" ht="30" customHeight="1">
      <c r="A111" s="68">
        <v>108</v>
      </c>
      <c r="B111" s="96">
        <f>VLOOKUP(ReviewCalcs[[#This Row],[Project Index]], ProjectInput[], D$1, FALSE)</f>
        <v>0</v>
      </c>
      <c r="C111" s="97">
        <f>VLOOKUP(ReviewCalcs[[#This Row],[Project Index]], ProjectInput[], E$1, FALSE)</f>
        <v>0</v>
      </c>
      <c r="D111" s="97">
        <f>VLOOKUP(ReviewCalcs[[#This Row],[Project Index]], ProjectInput[], F$1, FALSE)</f>
        <v>0</v>
      </c>
      <c r="E111" s="97">
        <f>VLOOKUP(ReviewCalcs[[#This Row],[Project Index]], ProjectInput[], G$1, FALSE)</f>
        <v>0</v>
      </c>
      <c r="F111" s="97">
        <f>VLOOKUP(ReviewCalcs[[#This Row],[Project Index]], ProjectInput[], H$1, FALSE)</f>
        <v>0</v>
      </c>
      <c r="G111" s="98" t="str">
        <f>VLOOKUP(ReviewCalcs[[#This Row],[Project Index]], ProjectInput[], I$1, FALSE)</f>
        <v/>
      </c>
      <c r="H111" s="96">
        <f>VLOOKUP(ReviewCalcs[[#This Row],[Project Index]], ProjectInput[], J$1, FALSE)</f>
        <v>0</v>
      </c>
      <c r="I111" s="97">
        <f>VLOOKUP(ReviewCalcs[[#This Row],[Project Index]], ProjectInput[], K$1, FALSE)</f>
        <v>0</v>
      </c>
      <c r="J111" s="97">
        <f>VLOOKUP(ReviewCalcs[[#This Row],[Project Index]], ProjectInput[], L$1, FALSE)</f>
        <v>0</v>
      </c>
      <c r="K111" s="97">
        <f>VLOOKUP(ReviewCalcs[[#This Row],[Project Index]], ProjectInput[], M$1, FALSE)</f>
        <v>0</v>
      </c>
      <c r="L111" s="97">
        <f>VLOOKUP(ReviewCalcs[[#This Row],[Project Index]], ProjectInput[], N$1, FALSE)</f>
        <v>0</v>
      </c>
      <c r="M111" s="98" t="str">
        <f>VLOOKUP(ReviewCalcs[[#This Row],[Project Index]], ProjectInput[], O$1, FALSE)</f>
        <v/>
      </c>
      <c r="N111" s="96">
        <f>VLOOKUP(ReviewCalcs[[#This Row],[Project Index]], ProjectInput[], P$1, FALSE)</f>
        <v>0</v>
      </c>
      <c r="O111" s="97">
        <f>VLOOKUP(ReviewCalcs[[#This Row],[Project Index]], ProjectInput[], Q$1, FALSE)</f>
        <v>0</v>
      </c>
      <c r="P111" s="97">
        <f>VLOOKUP(ReviewCalcs[[#This Row],[Project Index]], ProjectInput[], R$1, FALSE)</f>
        <v>0</v>
      </c>
      <c r="Q111" s="97">
        <f>VLOOKUP(ReviewCalcs[[#This Row],[Project Index]], ProjectInput[], S$1, FALSE)</f>
        <v>0</v>
      </c>
      <c r="R111" s="97">
        <f>VLOOKUP(ReviewCalcs[[#This Row],[Project Index]], ProjectInput[], T$1, FALSE)</f>
        <v>0</v>
      </c>
      <c r="S111" s="97">
        <f>VLOOKUP(ReviewCalcs[[#This Row],[Project Index]], ProjectInput[], U$1, FALSE)</f>
        <v>0</v>
      </c>
      <c r="T111" s="97">
        <f>VLOOKUP(ReviewCalcs[[#This Row],[Project Index]], ProjectInput[], V$1, FALSE)</f>
        <v>0</v>
      </c>
      <c r="U111" s="97">
        <f>VLOOKUP(ReviewCalcs[[#This Row],[Project Index]], ProjectInput[], W$1, FALSE)</f>
        <v>0</v>
      </c>
      <c r="V111" s="98" t="str">
        <f>VLOOKUP(ReviewCalcs[[#This Row],[Project Index]], ProjectInput[], X$1, FALSE)</f>
        <v/>
      </c>
      <c r="W1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1" s="75" t="e">
        <f>IF(VLOOKUP(ReviewCalcs[[#This Row],[Proposed Fixture Code]], Table7[[FIXTURE CODE]:[Baseline Fixture Code]], 8, FALSE)="N", "ERROR", "PASS")</f>
        <v>#N/A</v>
      </c>
      <c r="Y1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1" s="75" t="e">
        <f>IF(OR(ReviewCalcs[[#This Row],[Baseline Fixture Watts]]&gt;=ReviewCalcs[[#This Row],[Proposed Fixture Watts]],ReviewCalcs[[#This Row],[Existing Fixture Watts]]&gt;=ReviewCalcs[[#This Row],[Proposed Fixture Watts]] ), "PASS", "ERROR")</f>
        <v>#N/A</v>
      </c>
      <c r="AA111" s="69" t="e">
        <f>VLOOKUP(ReviewCalcs[[#This Row],[Space Conditions]], Table_365[], 5, FALSE)</f>
        <v>#N/A</v>
      </c>
      <c r="AB111" s="68" t="str">
        <f>ReviewCalcs[[#This Row],[Annual Hours]]</f>
        <v/>
      </c>
      <c r="AC111" s="68" t="e">
        <f>VLOOKUP(ReviewCalcs[[#This Row],[Space Conditions]], Table_365[], 6, FALSE)</f>
        <v>#N/A</v>
      </c>
      <c r="AD111" s="68">
        <f>IF(ReviewCalcs[[#This Row],[Existing Control(s)]]='Tables &amp; Ranges'!$A$25, VLOOKUP(ReviewCalcs[[#This Row],[Building/Space Type]], Table_364[], 3, FALSE), CF_Contols)</f>
        <v>0.26</v>
      </c>
      <c r="AE111" s="68" t="e">
        <f>VLOOKUP(ReviewCalcs[[#This Row],[Existing Control(s)]], Table_358[], 2, FALSE)</f>
        <v>#N/A</v>
      </c>
      <c r="AF111" s="68">
        <f>IF(ReviewCalcs[[#This Row],[Proposed Control(s)]]='Tables &amp; Ranges'!$A$25, VLOOKUP(ReviewCalcs[[#This Row],[Building/Space Type]], Table_364[], 3, FALSE), CF_Contols)</f>
        <v>0.26</v>
      </c>
      <c r="AG111" s="68" t="e">
        <f>VLOOKUP(ReviewCalcs[[#This Row],[Proposed Control(s)]], Table_358[], 2, FALSE)</f>
        <v>#N/A</v>
      </c>
      <c r="AH111" s="68">
        <f>IFERROR((ReviewCalcs[[#This Row],[Existing Fixture Quantity]]*ReviewCalcs[[#This Row],[Existing Fixture Watts]]/1000)*ReviewCalcs[[#This Row],[Existing CF]]*ReviewCalcs[[#This Row],[IEFD]], 0)</f>
        <v>0</v>
      </c>
      <c r="AI111" s="68">
        <f>IFERROR((ReviewCalcs[[#This Row],[Proposed Fixture Quantity]]*ReviewCalcs[[#This Row],[Proposed Fixture Watts]]/1000)*ReviewCalcs[[#This Row],[Existing CF]]*ReviewCalcs[[#This Row],[IEFD]], 0)</f>
        <v>0</v>
      </c>
      <c r="AJ111" s="118">
        <f>IFERROR((ReviewCalcs[[#This Row],[Existing Fixture Quantity]]*ReviewCalcs[[#This Row],[Existing Fixture Watts]]/1000-ReviewCalcs[[#This Row],[Proposed Fixture Quantity]]*ReviewCalcs[[#This Row],[Proposed Fixture Watts]]/1000)*ReviewCalcs[[#This Row],[Existing CF]]*ReviewCalcs[[#This Row],[IEFD]], 0)</f>
        <v>0</v>
      </c>
      <c r="AK111" s="118">
        <f>IFERROR((ReviewCalcs[[#This Row],[Existing Fixture Quantity]]*ReviewCalcs[[#This Row],[Existing Fixture Watts]]/1000)*ReviewCalcs[[#This Row],[AOH]]*ReviewCalcs[[#This Row],[IEFE]]*ReviewCalcs[[#This Row],[Existing PAF]], 0)</f>
        <v>0</v>
      </c>
      <c r="AL111" s="118">
        <f>IFERROR((ReviewCalcs[[#This Row],[Proposed Fixture Quantity]]*ReviewCalcs[[#This Row],[Proposed Fixture Watts]]/1000)*ReviewCalcs[[#This Row],[AOH]]*ReviewCalcs[[#This Row],[IEFE]]*ReviewCalcs[[#This Row],[Existing PAF]], 0)</f>
        <v>0</v>
      </c>
      <c r="AM1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1" s="118">
        <f>ReviewCalcs[[#This Row],[Fixture Existing Energy (kWh)]]*Avg_KWh_Rate</f>
        <v>0</v>
      </c>
      <c r="AO111" s="118">
        <f>ReviewCalcs[[#This Row],[Fixture Proposed Energy (kWh)]]*Avg_KWh_Rate</f>
        <v>0</v>
      </c>
      <c r="AP111" s="70">
        <f>ReviewCalcs[[#This Row],[Fixture Energy Savings]]*Avg_KWh_Rate</f>
        <v>0</v>
      </c>
      <c r="AQ111" s="129" t="e">
        <f>ReviewCalcs[[#This Row],[Existing Fixture Quantity]]*ReviewCalcs[[#This Row],[Existing Fixture Watts]]/1000*ReviewCalcs[[#This Row],[Existing CF]]*ReviewCalcs[[#This Row],[IEFD]]</f>
        <v>#VALUE!</v>
      </c>
      <c r="AR111" s="129" t="e">
        <f>ReviewCalcs[[#This Row],[Proposed Fixture Quantity]]*ReviewCalcs[[#This Row],[Proposed Fixture Watts]]/1000*ReviewCalcs[[#This Row],[Proposed CF]]*ReviewCalcs[[#This Row],[IEFD]]</f>
        <v>#VALUE!</v>
      </c>
      <c r="AS111" s="118">
        <f>IF(ReviewCalcs[[#This Row],[Existing CF]]=ReviewCalcs[[#This Row],[Proposed CF]], 0, ReviewCalcs[[#This Row],[Proposed Fixture Quantity]]*ReviewCalcs[[#This Row],[Proposed Fixture Watts]]/1000*ReviewCalcs[[#This Row],[Proposed CF]]*ReviewCalcs[[#This Row],[IEFD]])</f>
        <v>0</v>
      </c>
      <c r="AT111" s="118">
        <f>IFERROR(ReviewCalcs[[#This Row],[Existing Fixture Quantity]]*ReviewCalcs[[#This Row],[Existing Fixture Watts]]/1000*ReviewCalcs[[#This Row],[Existing PAF]]*ReviewCalcs[[#This Row],[AOH]]*ReviewCalcs[[#This Row],[IEFE]], 0)</f>
        <v>0</v>
      </c>
      <c r="AU111" s="118">
        <f>IFERROR(ReviewCalcs[[#This Row],[Proposed Fixture Quantity]]*ReviewCalcs[[#This Row],[Proposed Fixture Watts]]/1000*ReviewCalcs[[#This Row],[Proposed PAF]]*ReviewCalcs[[#This Row],[AOH]]*ReviewCalcs[[#This Row],[IEFE]], 0)</f>
        <v>0</v>
      </c>
      <c r="AV111" s="118">
        <f>IFERROR(ReviewCalcs[[#This Row],[Proposed Fixture Quantity]]*ReviewCalcs[[#This Row],[Proposed Fixture Watts]]/1000*(ReviewCalcs[[#This Row],[Existing PAF]]-ReviewCalcs[[#This Row],[Proposed PAF]])*ReviewCalcs[[#This Row],[AOH]]*ReviewCalcs[[#This Row],[IEFE]], 0)</f>
        <v>0</v>
      </c>
      <c r="AW111" s="118">
        <f>ReviewCalcs[[#This Row],[Control Existing Energy (kWh)]]*kWh_Incentive_Rate</f>
        <v>0</v>
      </c>
      <c r="AX111" s="118">
        <f>ReviewCalcs[[#This Row],[Control Proposed Energy (kWh)]]*kWh_Incentive_Rate</f>
        <v>0</v>
      </c>
      <c r="AY111" s="70">
        <f>ReviewCalcs[[#This Row],[Control Energy Savings (kWh)]]*kWh_Incentive_Rate</f>
        <v>0</v>
      </c>
      <c r="AZ111" s="70" t="e">
        <f>ReviewCalcs[[#This Row],[Fixture Existing Demand (kW)]]+ReviewCalcs[[#This Row],[Control Existing Demand (kW)]]</f>
        <v>#VALUE!</v>
      </c>
      <c r="BA111" s="70" t="e">
        <f>ReviewCalcs[[#This Row],[Fixture Proposed Demand (kW)]]+ReviewCalcs[[#This Row],[Control Proposed Demand (kW)]]</f>
        <v>#VALUE!</v>
      </c>
      <c r="BB111" s="118">
        <f>ReviewCalcs[[#This Row],[Fixture Demand Savings (kW)]]+ReviewCalcs[[#This Row],[Control Demand Savings (kW)]]</f>
        <v>0</v>
      </c>
      <c r="BC111" s="118">
        <f>ReviewCalcs[[#This Row],[Fixture Existing Energy (kWh)]]+ReviewCalcs[[#This Row],[Control Existing Energy (kWh)]]</f>
        <v>0</v>
      </c>
      <c r="BD111" s="118">
        <f>ReviewCalcs[[#This Row],[Fixture Proposed Energy (kWh)]]+ReviewCalcs[[#This Row],[Control Proposed Energy (kWh)]]</f>
        <v>0</v>
      </c>
      <c r="BE111" s="118">
        <f>ReviewCalcs[[#This Row],[Fixture Energy Savings]]+ReviewCalcs[[#This Row],[Control Energy Savings (kWh)]]</f>
        <v>0</v>
      </c>
      <c r="BF111" s="118">
        <f>ReviewCalcs[[#This Row],[Fixture Existing Cost ($)]]+ReviewCalcs[[#This Row],[Control Existing Cost ($)]]</f>
        <v>0</v>
      </c>
      <c r="BG111" s="118">
        <f>ReviewCalcs[[#This Row],[Fixture Proposed Cost ($)]]+ReviewCalcs[[#This Row],[Controls Proposed Cost ($)]]</f>
        <v>0</v>
      </c>
      <c r="BH111" s="70">
        <f>ReviewCalcs[[#This Row],[Total Energy Savings (kWh)]]*Avg_KWh_Rate</f>
        <v>0</v>
      </c>
      <c r="BI1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1" s="70">
        <f>ReviewCalcs[[#This Row],[Retrofit Cost]]</f>
        <v>0</v>
      </c>
      <c r="BK111" s="70">
        <f>ReviewCalcs[[#This Row],[Retrofit Cost]]-ReviewCalcs[[#This Row],[Incentive ($)]]</f>
        <v>0</v>
      </c>
      <c r="BL111" s="118" t="e">
        <f>IFERROR(ReviewCalcs[[#This Row],[Net Project Cost ($)]]/ReviewCalcs[[#This Row],[Fixture Energy Cost Savings ($)]], #N/A)</f>
        <v>#N/A</v>
      </c>
      <c r="BM111" s="118" t="e">
        <f>IF(VLOOKUP(ReviewCalcs[[#This Row],[Existing Fixture Code]], Table7[[FIXTURE CODE]:[Baseline Fixture Code]], 8, FALSE)="N", VLOOKUP(ReviewCalcs[[#This Row],[Existing Fixture Code]], Table7[[FIXTURE CODE]:[Baseline Fixture Code]], 9, FALSE), ReviewCalcs[[#This Row],[Existing Fixture Code]])</f>
        <v>#N/A</v>
      </c>
      <c r="BN111" s="118" t="e">
        <f>INDEX(Table7[WATT/ FIXT], MATCH(ReviewCalcs[Baseline Fixture Code], Table7[FIXTURE CODE], 0))</f>
        <v>#N/A</v>
      </c>
      <c r="BO111" s="118">
        <f>IFERROR((ReviewCalcs[[#This Row],[Existing Fixture Quantity]]*ReviewCalcs[[#This Row],[Baseline Fixture Watts]]/1000-ReviewCalcs[[#This Row],[Proposed Fixture Quantity]]*ReviewCalcs[[#This Row],[Proposed Fixture Watts]]/1000)*ReviewCalcs[[#This Row],[Existing CF]]*ReviewCalcs[[#This Row],[IEFD]], 0)</f>
        <v>0</v>
      </c>
      <c r="BP1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1" s="118">
        <f>IF(ReviewCalcs[[#This Row],[Existing CF]]=ReviewCalcs[[#This Row],[Proposed CF]], 0, ReviewCalcs[[#This Row],[Proposed Fixture Quantity]]*ReviewCalcs[[#This Row],[Proposed Fixture Watts]]/1000*ReviewCalcs[[#This Row],[Proposed CF]]*ReviewCalcs[[#This Row],[IEFD]])</f>
        <v>0</v>
      </c>
      <c r="BR111" s="118">
        <f>IFERROR(ReviewCalcs[[#This Row],[Proposed Fixture Quantity]]*ReviewCalcs[[#This Row],[Proposed Fixture Watts]]/1000*(ReviewCalcs[[#This Row],[Existing PAF]]-ReviewCalcs[[#This Row],[Proposed PAF]])*ReviewCalcs[[#This Row],[AOH]]*ReviewCalcs[[#This Row],[IEFE]],0)</f>
        <v>0</v>
      </c>
      <c r="BS111" s="118">
        <f>ReviewCalcs[[#This Row],[Incentive Fixture Demand Savings (kW)]]+ReviewCalcs[[#This Row],[Incentive Control Demand Savings (kW)]]</f>
        <v>0</v>
      </c>
      <c r="BT111" s="118">
        <f>ReviewCalcs[[#This Row],[Incentive Fixture Energy Savings (kWh)]]+ReviewCalcs[[#This Row],[Incentive Control Energy Savings (kWh)]]</f>
        <v>0</v>
      </c>
      <c r="BU111" s="73"/>
    </row>
    <row r="112" spans="1:73" ht="30" customHeight="1">
      <c r="A112" s="68">
        <v>109</v>
      </c>
      <c r="B112" s="96">
        <f>VLOOKUP(ReviewCalcs[[#This Row],[Project Index]], ProjectInput[], D$1, FALSE)</f>
        <v>0</v>
      </c>
      <c r="C112" s="97">
        <f>VLOOKUP(ReviewCalcs[[#This Row],[Project Index]], ProjectInput[], E$1, FALSE)</f>
        <v>0</v>
      </c>
      <c r="D112" s="97">
        <f>VLOOKUP(ReviewCalcs[[#This Row],[Project Index]], ProjectInput[], F$1, FALSE)</f>
        <v>0</v>
      </c>
      <c r="E112" s="97">
        <f>VLOOKUP(ReviewCalcs[[#This Row],[Project Index]], ProjectInput[], G$1, FALSE)</f>
        <v>0</v>
      </c>
      <c r="F112" s="97">
        <f>VLOOKUP(ReviewCalcs[[#This Row],[Project Index]], ProjectInput[], H$1, FALSE)</f>
        <v>0</v>
      </c>
      <c r="G112" s="98" t="str">
        <f>VLOOKUP(ReviewCalcs[[#This Row],[Project Index]], ProjectInput[], I$1, FALSE)</f>
        <v/>
      </c>
      <c r="H112" s="96">
        <f>VLOOKUP(ReviewCalcs[[#This Row],[Project Index]], ProjectInput[], J$1, FALSE)</f>
        <v>0</v>
      </c>
      <c r="I112" s="97">
        <f>VLOOKUP(ReviewCalcs[[#This Row],[Project Index]], ProjectInput[], K$1, FALSE)</f>
        <v>0</v>
      </c>
      <c r="J112" s="97">
        <f>VLOOKUP(ReviewCalcs[[#This Row],[Project Index]], ProjectInput[], L$1, FALSE)</f>
        <v>0</v>
      </c>
      <c r="K112" s="97">
        <f>VLOOKUP(ReviewCalcs[[#This Row],[Project Index]], ProjectInput[], M$1, FALSE)</f>
        <v>0</v>
      </c>
      <c r="L112" s="97">
        <f>VLOOKUP(ReviewCalcs[[#This Row],[Project Index]], ProjectInput[], N$1, FALSE)</f>
        <v>0</v>
      </c>
      <c r="M112" s="98" t="str">
        <f>VLOOKUP(ReviewCalcs[[#This Row],[Project Index]], ProjectInput[], O$1, FALSE)</f>
        <v/>
      </c>
      <c r="N112" s="96">
        <f>VLOOKUP(ReviewCalcs[[#This Row],[Project Index]], ProjectInput[], P$1, FALSE)</f>
        <v>0</v>
      </c>
      <c r="O112" s="97">
        <f>VLOOKUP(ReviewCalcs[[#This Row],[Project Index]], ProjectInput[], Q$1, FALSE)</f>
        <v>0</v>
      </c>
      <c r="P112" s="97">
        <f>VLOOKUP(ReviewCalcs[[#This Row],[Project Index]], ProjectInput[], R$1, FALSE)</f>
        <v>0</v>
      </c>
      <c r="Q112" s="97">
        <f>VLOOKUP(ReviewCalcs[[#This Row],[Project Index]], ProjectInput[], S$1, FALSE)</f>
        <v>0</v>
      </c>
      <c r="R112" s="97">
        <f>VLOOKUP(ReviewCalcs[[#This Row],[Project Index]], ProjectInput[], T$1, FALSE)</f>
        <v>0</v>
      </c>
      <c r="S112" s="97">
        <f>VLOOKUP(ReviewCalcs[[#This Row],[Project Index]], ProjectInput[], U$1, FALSE)</f>
        <v>0</v>
      </c>
      <c r="T112" s="97">
        <f>VLOOKUP(ReviewCalcs[[#This Row],[Project Index]], ProjectInput[], V$1, FALSE)</f>
        <v>0</v>
      </c>
      <c r="U112" s="97">
        <f>VLOOKUP(ReviewCalcs[[#This Row],[Project Index]], ProjectInput[], W$1, FALSE)</f>
        <v>0</v>
      </c>
      <c r="V112" s="98" t="str">
        <f>VLOOKUP(ReviewCalcs[[#This Row],[Project Index]], ProjectInput[], X$1, FALSE)</f>
        <v/>
      </c>
      <c r="W1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2" s="75" t="e">
        <f>IF(VLOOKUP(ReviewCalcs[[#This Row],[Proposed Fixture Code]], Table7[[FIXTURE CODE]:[Baseline Fixture Code]], 8, FALSE)="N", "ERROR", "PASS")</f>
        <v>#N/A</v>
      </c>
      <c r="Y1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2" s="75" t="e">
        <f>IF(OR(ReviewCalcs[[#This Row],[Baseline Fixture Watts]]&gt;=ReviewCalcs[[#This Row],[Proposed Fixture Watts]],ReviewCalcs[[#This Row],[Existing Fixture Watts]]&gt;=ReviewCalcs[[#This Row],[Proposed Fixture Watts]] ), "PASS", "ERROR")</f>
        <v>#N/A</v>
      </c>
      <c r="AA112" s="69" t="e">
        <f>VLOOKUP(ReviewCalcs[[#This Row],[Space Conditions]], Table_365[], 5, FALSE)</f>
        <v>#N/A</v>
      </c>
      <c r="AB112" s="68" t="str">
        <f>ReviewCalcs[[#This Row],[Annual Hours]]</f>
        <v/>
      </c>
      <c r="AC112" s="68" t="e">
        <f>VLOOKUP(ReviewCalcs[[#This Row],[Space Conditions]], Table_365[], 6, FALSE)</f>
        <v>#N/A</v>
      </c>
      <c r="AD112" s="68">
        <f>IF(ReviewCalcs[[#This Row],[Existing Control(s)]]='Tables &amp; Ranges'!$A$25, VLOOKUP(ReviewCalcs[[#This Row],[Building/Space Type]], Table_364[], 3, FALSE), CF_Contols)</f>
        <v>0.26</v>
      </c>
      <c r="AE112" s="68" t="e">
        <f>VLOOKUP(ReviewCalcs[[#This Row],[Existing Control(s)]], Table_358[], 2, FALSE)</f>
        <v>#N/A</v>
      </c>
      <c r="AF112" s="68">
        <f>IF(ReviewCalcs[[#This Row],[Proposed Control(s)]]='Tables &amp; Ranges'!$A$25, VLOOKUP(ReviewCalcs[[#This Row],[Building/Space Type]], Table_364[], 3, FALSE), CF_Contols)</f>
        <v>0.26</v>
      </c>
      <c r="AG112" s="68" t="e">
        <f>VLOOKUP(ReviewCalcs[[#This Row],[Proposed Control(s)]], Table_358[], 2, FALSE)</f>
        <v>#N/A</v>
      </c>
      <c r="AH112" s="68">
        <f>IFERROR((ReviewCalcs[[#This Row],[Existing Fixture Quantity]]*ReviewCalcs[[#This Row],[Existing Fixture Watts]]/1000)*ReviewCalcs[[#This Row],[Existing CF]]*ReviewCalcs[[#This Row],[IEFD]], 0)</f>
        <v>0</v>
      </c>
      <c r="AI112" s="68">
        <f>IFERROR((ReviewCalcs[[#This Row],[Proposed Fixture Quantity]]*ReviewCalcs[[#This Row],[Proposed Fixture Watts]]/1000)*ReviewCalcs[[#This Row],[Existing CF]]*ReviewCalcs[[#This Row],[IEFD]], 0)</f>
        <v>0</v>
      </c>
      <c r="AJ112" s="118">
        <f>IFERROR((ReviewCalcs[[#This Row],[Existing Fixture Quantity]]*ReviewCalcs[[#This Row],[Existing Fixture Watts]]/1000-ReviewCalcs[[#This Row],[Proposed Fixture Quantity]]*ReviewCalcs[[#This Row],[Proposed Fixture Watts]]/1000)*ReviewCalcs[[#This Row],[Existing CF]]*ReviewCalcs[[#This Row],[IEFD]], 0)</f>
        <v>0</v>
      </c>
      <c r="AK112" s="118">
        <f>IFERROR((ReviewCalcs[[#This Row],[Existing Fixture Quantity]]*ReviewCalcs[[#This Row],[Existing Fixture Watts]]/1000)*ReviewCalcs[[#This Row],[AOH]]*ReviewCalcs[[#This Row],[IEFE]]*ReviewCalcs[[#This Row],[Existing PAF]], 0)</f>
        <v>0</v>
      </c>
      <c r="AL112" s="118">
        <f>IFERROR((ReviewCalcs[[#This Row],[Proposed Fixture Quantity]]*ReviewCalcs[[#This Row],[Proposed Fixture Watts]]/1000)*ReviewCalcs[[#This Row],[AOH]]*ReviewCalcs[[#This Row],[IEFE]]*ReviewCalcs[[#This Row],[Existing PAF]], 0)</f>
        <v>0</v>
      </c>
      <c r="AM1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2" s="118">
        <f>ReviewCalcs[[#This Row],[Fixture Existing Energy (kWh)]]*Avg_KWh_Rate</f>
        <v>0</v>
      </c>
      <c r="AO112" s="118">
        <f>ReviewCalcs[[#This Row],[Fixture Proposed Energy (kWh)]]*Avg_KWh_Rate</f>
        <v>0</v>
      </c>
      <c r="AP112" s="70">
        <f>ReviewCalcs[[#This Row],[Fixture Energy Savings]]*Avg_KWh_Rate</f>
        <v>0</v>
      </c>
      <c r="AQ112" s="129" t="e">
        <f>ReviewCalcs[[#This Row],[Existing Fixture Quantity]]*ReviewCalcs[[#This Row],[Existing Fixture Watts]]/1000*ReviewCalcs[[#This Row],[Existing CF]]*ReviewCalcs[[#This Row],[IEFD]]</f>
        <v>#VALUE!</v>
      </c>
      <c r="AR112" s="129" t="e">
        <f>ReviewCalcs[[#This Row],[Proposed Fixture Quantity]]*ReviewCalcs[[#This Row],[Proposed Fixture Watts]]/1000*ReviewCalcs[[#This Row],[Proposed CF]]*ReviewCalcs[[#This Row],[IEFD]]</f>
        <v>#VALUE!</v>
      </c>
      <c r="AS112" s="118">
        <f>IF(ReviewCalcs[[#This Row],[Existing CF]]=ReviewCalcs[[#This Row],[Proposed CF]], 0, ReviewCalcs[[#This Row],[Proposed Fixture Quantity]]*ReviewCalcs[[#This Row],[Proposed Fixture Watts]]/1000*ReviewCalcs[[#This Row],[Proposed CF]]*ReviewCalcs[[#This Row],[IEFD]])</f>
        <v>0</v>
      </c>
      <c r="AT112" s="118">
        <f>IFERROR(ReviewCalcs[[#This Row],[Existing Fixture Quantity]]*ReviewCalcs[[#This Row],[Existing Fixture Watts]]/1000*ReviewCalcs[[#This Row],[Existing PAF]]*ReviewCalcs[[#This Row],[AOH]]*ReviewCalcs[[#This Row],[IEFE]], 0)</f>
        <v>0</v>
      </c>
      <c r="AU112" s="118">
        <f>IFERROR(ReviewCalcs[[#This Row],[Proposed Fixture Quantity]]*ReviewCalcs[[#This Row],[Proposed Fixture Watts]]/1000*ReviewCalcs[[#This Row],[Proposed PAF]]*ReviewCalcs[[#This Row],[AOH]]*ReviewCalcs[[#This Row],[IEFE]], 0)</f>
        <v>0</v>
      </c>
      <c r="AV112" s="118">
        <f>IFERROR(ReviewCalcs[[#This Row],[Proposed Fixture Quantity]]*ReviewCalcs[[#This Row],[Proposed Fixture Watts]]/1000*(ReviewCalcs[[#This Row],[Existing PAF]]-ReviewCalcs[[#This Row],[Proposed PAF]])*ReviewCalcs[[#This Row],[AOH]]*ReviewCalcs[[#This Row],[IEFE]], 0)</f>
        <v>0</v>
      </c>
      <c r="AW112" s="118">
        <f>ReviewCalcs[[#This Row],[Control Existing Energy (kWh)]]*kWh_Incentive_Rate</f>
        <v>0</v>
      </c>
      <c r="AX112" s="118">
        <f>ReviewCalcs[[#This Row],[Control Proposed Energy (kWh)]]*kWh_Incentive_Rate</f>
        <v>0</v>
      </c>
      <c r="AY112" s="70">
        <f>ReviewCalcs[[#This Row],[Control Energy Savings (kWh)]]*kWh_Incentive_Rate</f>
        <v>0</v>
      </c>
      <c r="AZ112" s="70" t="e">
        <f>ReviewCalcs[[#This Row],[Fixture Existing Demand (kW)]]+ReviewCalcs[[#This Row],[Control Existing Demand (kW)]]</f>
        <v>#VALUE!</v>
      </c>
      <c r="BA112" s="70" t="e">
        <f>ReviewCalcs[[#This Row],[Fixture Proposed Demand (kW)]]+ReviewCalcs[[#This Row],[Control Proposed Demand (kW)]]</f>
        <v>#VALUE!</v>
      </c>
      <c r="BB112" s="118">
        <f>ReviewCalcs[[#This Row],[Fixture Demand Savings (kW)]]+ReviewCalcs[[#This Row],[Control Demand Savings (kW)]]</f>
        <v>0</v>
      </c>
      <c r="BC112" s="118">
        <f>ReviewCalcs[[#This Row],[Fixture Existing Energy (kWh)]]+ReviewCalcs[[#This Row],[Control Existing Energy (kWh)]]</f>
        <v>0</v>
      </c>
      <c r="BD112" s="118">
        <f>ReviewCalcs[[#This Row],[Fixture Proposed Energy (kWh)]]+ReviewCalcs[[#This Row],[Control Proposed Energy (kWh)]]</f>
        <v>0</v>
      </c>
      <c r="BE112" s="118">
        <f>ReviewCalcs[[#This Row],[Fixture Energy Savings]]+ReviewCalcs[[#This Row],[Control Energy Savings (kWh)]]</f>
        <v>0</v>
      </c>
      <c r="BF112" s="118">
        <f>ReviewCalcs[[#This Row],[Fixture Existing Cost ($)]]+ReviewCalcs[[#This Row],[Control Existing Cost ($)]]</f>
        <v>0</v>
      </c>
      <c r="BG112" s="118">
        <f>ReviewCalcs[[#This Row],[Fixture Proposed Cost ($)]]+ReviewCalcs[[#This Row],[Controls Proposed Cost ($)]]</f>
        <v>0</v>
      </c>
      <c r="BH112" s="70">
        <f>ReviewCalcs[[#This Row],[Total Energy Savings (kWh)]]*Avg_KWh_Rate</f>
        <v>0</v>
      </c>
      <c r="BI1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2" s="70">
        <f>ReviewCalcs[[#This Row],[Retrofit Cost]]</f>
        <v>0</v>
      </c>
      <c r="BK112" s="70">
        <f>ReviewCalcs[[#This Row],[Retrofit Cost]]-ReviewCalcs[[#This Row],[Incentive ($)]]</f>
        <v>0</v>
      </c>
      <c r="BL112" s="118" t="e">
        <f>IFERROR(ReviewCalcs[[#This Row],[Net Project Cost ($)]]/ReviewCalcs[[#This Row],[Fixture Energy Cost Savings ($)]], #N/A)</f>
        <v>#N/A</v>
      </c>
      <c r="BM112" s="118" t="e">
        <f>IF(VLOOKUP(ReviewCalcs[[#This Row],[Existing Fixture Code]], Table7[[FIXTURE CODE]:[Baseline Fixture Code]], 8, FALSE)="N", VLOOKUP(ReviewCalcs[[#This Row],[Existing Fixture Code]], Table7[[FIXTURE CODE]:[Baseline Fixture Code]], 9, FALSE), ReviewCalcs[[#This Row],[Existing Fixture Code]])</f>
        <v>#N/A</v>
      </c>
      <c r="BN112" s="118" t="e">
        <f>INDEX(Table7[WATT/ FIXT], MATCH(ReviewCalcs[Baseline Fixture Code], Table7[FIXTURE CODE], 0))</f>
        <v>#N/A</v>
      </c>
      <c r="BO112" s="118">
        <f>IFERROR((ReviewCalcs[[#This Row],[Existing Fixture Quantity]]*ReviewCalcs[[#This Row],[Baseline Fixture Watts]]/1000-ReviewCalcs[[#This Row],[Proposed Fixture Quantity]]*ReviewCalcs[[#This Row],[Proposed Fixture Watts]]/1000)*ReviewCalcs[[#This Row],[Existing CF]]*ReviewCalcs[[#This Row],[IEFD]], 0)</f>
        <v>0</v>
      </c>
      <c r="BP1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2" s="118">
        <f>IF(ReviewCalcs[[#This Row],[Existing CF]]=ReviewCalcs[[#This Row],[Proposed CF]], 0, ReviewCalcs[[#This Row],[Proposed Fixture Quantity]]*ReviewCalcs[[#This Row],[Proposed Fixture Watts]]/1000*ReviewCalcs[[#This Row],[Proposed CF]]*ReviewCalcs[[#This Row],[IEFD]])</f>
        <v>0</v>
      </c>
      <c r="BR112" s="118">
        <f>IFERROR(ReviewCalcs[[#This Row],[Proposed Fixture Quantity]]*ReviewCalcs[[#This Row],[Proposed Fixture Watts]]/1000*(ReviewCalcs[[#This Row],[Existing PAF]]-ReviewCalcs[[#This Row],[Proposed PAF]])*ReviewCalcs[[#This Row],[AOH]]*ReviewCalcs[[#This Row],[IEFE]],0)</f>
        <v>0</v>
      </c>
      <c r="BS112" s="118">
        <f>ReviewCalcs[[#This Row],[Incentive Fixture Demand Savings (kW)]]+ReviewCalcs[[#This Row],[Incentive Control Demand Savings (kW)]]</f>
        <v>0</v>
      </c>
      <c r="BT112" s="118">
        <f>ReviewCalcs[[#This Row],[Incentive Fixture Energy Savings (kWh)]]+ReviewCalcs[[#This Row],[Incentive Control Energy Savings (kWh)]]</f>
        <v>0</v>
      </c>
      <c r="BU112" s="73"/>
    </row>
    <row r="113" spans="1:73" ht="30" customHeight="1">
      <c r="A113" s="68">
        <v>110</v>
      </c>
      <c r="B113" s="96">
        <f>VLOOKUP(ReviewCalcs[[#This Row],[Project Index]], ProjectInput[], D$1, FALSE)</f>
        <v>0</v>
      </c>
      <c r="C113" s="97">
        <f>VLOOKUP(ReviewCalcs[[#This Row],[Project Index]], ProjectInput[], E$1, FALSE)</f>
        <v>0</v>
      </c>
      <c r="D113" s="97">
        <f>VLOOKUP(ReviewCalcs[[#This Row],[Project Index]], ProjectInput[], F$1, FALSE)</f>
        <v>0</v>
      </c>
      <c r="E113" s="97">
        <f>VLOOKUP(ReviewCalcs[[#This Row],[Project Index]], ProjectInput[], G$1, FALSE)</f>
        <v>0</v>
      </c>
      <c r="F113" s="97">
        <f>VLOOKUP(ReviewCalcs[[#This Row],[Project Index]], ProjectInput[], H$1, FALSE)</f>
        <v>0</v>
      </c>
      <c r="G113" s="98" t="str">
        <f>VLOOKUP(ReviewCalcs[[#This Row],[Project Index]], ProjectInput[], I$1, FALSE)</f>
        <v/>
      </c>
      <c r="H113" s="96">
        <f>VLOOKUP(ReviewCalcs[[#This Row],[Project Index]], ProjectInput[], J$1, FALSE)</f>
        <v>0</v>
      </c>
      <c r="I113" s="97">
        <f>VLOOKUP(ReviewCalcs[[#This Row],[Project Index]], ProjectInput[], K$1, FALSE)</f>
        <v>0</v>
      </c>
      <c r="J113" s="97">
        <f>VLOOKUP(ReviewCalcs[[#This Row],[Project Index]], ProjectInput[], L$1, FALSE)</f>
        <v>0</v>
      </c>
      <c r="K113" s="97">
        <f>VLOOKUP(ReviewCalcs[[#This Row],[Project Index]], ProjectInput[], M$1, FALSE)</f>
        <v>0</v>
      </c>
      <c r="L113" s="97">
        <f>VLOOKUP(ReviewCalcs[[#This Row],[Project Index]], ProjectInput[], N$1, FALSE)</f>
        <v>0</v>
      </c>
      <c r="M113" s="98" t="str">
        <f>VLOOKUP(ReviewCalcs[[#This Row],[Project Index]], ProjectInput[], O$1, FALSE)</f>
        <v/>
      </c>
      <c r="N113" s="96">
        <f>VLOOKUP(ReviewCalcs[[#This Row],[Project Index]], ProjectInput[], P$1, FALSE)</f>
        <v>0</v>
      </c>
      <c r="O113" s="97">
        <f>VLOOKUP(ReviewCalcs[[#This Row],[Project Index]], ProjectInput[], Q$1, FALSE)</f>
        <v>0</v>
      </c>
      <c r="P113" s="97">
        <f>VLOOKUP(ReviewCalcs[[#This Row],[Project Index]], ProjectInput[], R$1, FALSE)</f>
        <v>0</v>
      </c>
      <c r="Q113" s="97">
        <f>VLOOKUP(ReviewCalcs[[#This Row],[Project Index]], ProjectInput[], S$1, FALSE)</f>
        <v>0</v>
      </c>
      <c r="R113" s="97">
        <f>VLOOKUP(ReviewCalcs[[#This Row],[Project Index]], ProjectInput[], T$1, FALSE)</f>
        <v>0</v>
      </c>
      <c r="S113" s="97">
        <f>VLOOKUP(ReviewCalcs[[#This Row],[Project Index]], ProjectInput[], U$1, FALSE)</f>
        <v>0</v>
      </c>
      <c r="T113" s="97">
        <f>VLOOKUP(ReviewCalcs[[#This Row],[Project Index]], ProjectInput[], V$1, FALSE)</f>
        <v>0</v>
      </c>
      <c r="U113" s="97">
        <f>VLOOKUP(ReviewCalcs[[#This Row],[Project Index]], ProjectInput[], W$1, FALSE)</f>
        <v>0</v>
      </c>
      <c r="V113" s="98" t="str">
        <f>VLOOKUP(ReviewCalcs[[#This Row],[Project Index]], ProjectInput[], X$1, FALSE)</f>
        <v/>
      </c>
      <c r="W1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3" s="75" t="e">
        <f>IF(VLOOKUP(ReviewCalcs[[#This Row],[Proposed Fixture Code]], Table7[[FIXTURE CODE]:[Baseline Fixture Code]], 8, FALSE)="N", "ERROR", "PASS")</f>
        <v>#N/A</v>
      </c>
      <c r="Y1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3" s="75" t="e">
        <f>IF(OR(ReviewCalcs[[#This Row],[Baseline Fixture Watts]]&gt;=ReviewCalcs[[#This Row],[Proposed Fixture Watts]],ReviewCalcs[[#This Row],[Existing Fixture Watts]]&gt;=ReviewCalcs[[#This Row],[Proposed Fixture Watts]] ), "PASS", "ERROR")</f>
        <v>#N/A</v>
      </c>
      <c r="AA113" s="69" t="e">
        <f>VLOOKUP(ReviewCalcs[[#This Row],[Space Conditions]], Table_365[], 5, FALSE)</f>
        <v>#N/A</v>
      </c>
      <c r="AB113" s="68" t="str">
        <f>ReviewCalcs[[#This Row],[Annual Hours]]</f>
        <v/>
      </c>
      <c r="AC113" s="68" t="e">
        <f>VLOOKUP(ReviewCalcs[[#This Row],[Space Conditions]], Table_365[], 6, FALSE)</f>
        <v>#N/A</v>
      </c>
      <c r="AD113" s="68">
        <f>IF(ReviewCalcs[[#This Row],[Existing Control(s)]]='Tables &amp; Ranges'!$A$25, VLOOKUP(ReviewCalcs[[#This Row],[Building/Space Type]], Table_364[], 3, FALSE), CF_Contols)</f>
        <v>0.26</v>
      </c>
      <c r="AE113" s="68" t="e">
        <f>VLOOKUP(ReviewCalcs[[#This Row],[Existing Control(s)]], Table_358[], 2, FALSE)</f>
        <v>#N/A</v>
      </c>
      <c r="AF113" s="68">
        <f>IF(ReviewCalcs[[#This Row],[Proposed Control(s)]]='Tables &amp; Ranges'!$A$25, VLOOKUP(ReviewCalcs[[#This Row],[Building/Space Type]], Table_364[], 3, FALSE), CF_Contols)</f>
        <v>0.26</v>
      </c>
      <c r="AG113" s="68" t="e">
        <f>VLOOKUP(ReviewCalcs[[#This Row],[Proposed Control(s)]], Table_358[], 2, FALSE)</f>
        <v>#N/A</v>
      </c>
      <c r="AH113" s="68">
        <f>IFERROR((ReviewCalcs[[#This Row],[Existing Fixture Quantity]]*ReviewCalcs[[#This Row],[Existing Fixture Watts]]/1000)*ReviewCalcs[[#This Row],[Existing CF]]*ReviewCalcs[[#This Row],[IEFD]], 0)</f>
        <v>0</v>
      </c>
      <c r="AI113" s="68">
        <f>IFERROR((ReviewCalcs[[#This Row],[Proposed Fixture Quantity]]*ReviewCalcs[[#This Row],[Proposed Fixture Watts]]/1000)*ReviewCalcs[[#This Row],[Existing CF]]*ReviewCalcs[[#This Row],[IEFD]], 0)</f>
        <v>0</v>
      </c>
      <c r="AJ113" s="118">
        <f>IFERROR((ReviewCalcs[[#This Row],[Existing Fixture Quantity]]*ReviewCalcs[[#This Row],[Existing Fixture Watts]]/1000-ReviewCalcs[[#This Row],[Proposed Fixture Quantity]]*ReviewCalcs[[#This Row],[Proposed Fixture Watts]]/1000)*ReviewCalcs[[#This Row],[Existing CF]]*ReviewCalcs[[#This Row],[IEFD]], 0)</f>
        <v>0</v>
      </c>
      <c r="AK113" s="118">
        <f>IFERROR((ReviewCalcs[[#This Row],[Existing Fixture Quantity]]*ReviewCalcs[[#This Row],[Existing Fixture Watts]]/1000)*ReviewCalcs[[#This Row],[AOH]]*ReviewCalcs[[#This Row],[IEFE]]*ReviewCalcs[[#This Row],[Existing PAF]], 0)</f>
        <v>0</v>
      </c>
      <c r="AL113" s="118">
        <f>IFERROR((ReviewCalcs[[#This Row],[Proposed Fixture Quantity]]*ReviewCalcs[[#This Row],[Proposed Fixture Watts]]/1000)*ReviewCalcs[[#This Row],[AOH]]*ReviewCalcs[[#This Row],[IEFE]]*ReviewCalcs[[#This Row],[Existing PAF]], 0)</f>
        <v>0</v>
      </c>
      <c r="AM1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3" s="118">
        <f>ReviewCalcs[[#This Row],[Fixture Existing Energy (kWh)]]*Avg_KWh_Rate</f>
        <v>0</v>
      </c>
      <c r="AO113" s="118">
        <f>ReviewCalcs[[#This Row],[Fixture Proposed Energy (kWh)]]*Avg_KWh_Rate</f>
        <v>0</v>
      </c>
      <c r="AP113" s="70">
        <f>ReviewCalcs[[#This Row],[Fixture Energy Savings]]*Avg_KWh_Rate</f>
        <v>0</v>
      </c>
      <c r="AQ113" s="129" t="e">
        <f>ReviewCalcs[[#This Row],[Existing Fixture Quantity]]*ReviewCalcs[[#This Row],[Existing Fixture Watts]]/1000*ReviewCalcs[[#This Row],[Existing CF]]*ReviewCalcs[[#This Row],[IEFD]]</f>
        <v>#VALUE!</v>
      </c>
      <c r="AR113" s="129" t="e">
        <f>ReviewCalcs[[#This Row],[Proposed Fixture Quantity]]*ReviewCalcs[[#This Row],[Proposed Fixture Watts]]/1000*ReviewCalcs[[#This Row],[Proposed CF]]*ReviewCalcs[[#This Row],[IEFD]]</f>
        <v>#VALUE!</v>
      </c>
      <c r="AS113" s="118">
        <f>IF(ReviewCalcs[[#This Row],[Existing CF]]=ReviewCalcs[[#This Row],[Proposed CF]], 0, ReviewCalcs[[#This Row],[Proposed Fixture Quantity]]*ReviewCalcs[[#This Row],[Proposed Fixture Watts]]/1000*ReviewCalcs[[#This Row],[Proposed CF]]*ReviewCalcs[[#This Row],[IEFD]])</f>
        <v>0</v>
      </c>
      <c r="AT113" s="118">
        <f>IFERROR(ReviewCalcs[[#This Row],[Existing Fixture Quantity]]*ReviewCalcs[[#This Row],[Existing Fixture Watts]]/1000*ReviewCalcs[[#This Row],[Existing PAF]]*ReviewCalcs[[#This Row],[AOH]]*ReviewCalcs[[#This Row],[IEFE]], 0)</f>
        <v>0</v>
      </c>
      <c r="AU113" s="118">
        <f>IFERROR(ReviewCalcs[[#This Row],[Proposed Fixture Quantity]]*ReviewCalcs[[#This Row],[Proposed Fixture Watts]]/1000*ReviewCalcs[[#This Row],[Proposed PAF]]*ReviewCalcs[[#This Row],[AOH]]*ReviewCalcs[[#This Row],[IEFE]], 0)</f>
        <v>0</v>
      </c>
      <c r="AV113" s="118">
        <f>IFERROR(ReviewCalcs[[#This Row],[Proposed Fixture Quantity]]*ReviewCalcs[[#This Row],[Proposed Fixture Watts]]/1000*(ReviewCalcs[[#This Row],[Existing PAF]]-ReviewCalcs[[#This Row],[Proposed PAF]])*ReviewCalcs[[#This Row],[AOH]]*ReviewCalcs[[#This Row],[IEFE]], 0)</f>
        <v>0</v>
      </c>
      <c r="AW113" s="118">
        <f>ReviewCalcs[[#This Row],[Control Existing Energy (kWh)]]*kWh_Incentive_Rate</f>
        <v>0</v>
      </c>
      <c r="AX113" s="118">
        <f>ReviewCalcs[[#This Row],[Control Proposed Energy (kWh)]]*kWh_Incentive_Rate</f>
        <v>0</v>
      </c>
      <c r="AY113" s="70">
        <f>ReviewCalcs[[#This Row],[Control Energy Savings (kWh)]]*kWh_Incentive_Rate</f>
        <v>0</v>
      </c>
      <c r="AZ113" s="70" t="e">
        <f>ReviewCalcs[[#This Row],[Fixture Existing Demand (kW)]]+ReviewCalcs[[#This Row],[Control Existing Demand (kW)]]</f>
        <v>#VALUE!</v>
      </c>
      <c r="BA113" s="70" t="e">
        <f>ReviewCalcs[[#This Row],[Fixture Proposed Demand (kW)]]+ReviewCalcs[[#This Row],[Control Proposed Demand (kW)]]</f>
        <v>#VALUE!</v>
      </c>
      <c r="BB113" s="118">
        <f>ReviewCalcs[[#This Row],[Fixture Demand Savings (kW)]]+ReviewCalcs[[#This Row],[Control Demand Savings (kW)]]</f>
        <v>0</v>
      </c>
      <c r="BC113" s="118">
        <f>ReviewCalcs[[#This Row],[Fixture Existing Energy (kWh)]]+ReviewCalcs[[#This Row],[Control Existing Energy (kWh)]]</f>
        <v>0</v>
      </c>
      <c r="BD113" s="118">
        <f>ReviewCalcs[[#This Row],[Fixture Proposed Energy (kWh)]]+ReviewCalcs[[#This Row],[Control Proposed Energy (kWh)]]</f>
        <v>0</v>
      </c>
      <c r="BE113" s="118">
        <f>ReviewCalcs[[#This Row],[Fixture Energy Savings]]+ReviewCalcs[[#This Row],[Control Energy Savings (kWh)]]</f>
        <v>0</v>
      </c>
      <c r="BF113" s="118">
        <f>ReviewCalcs[[#This Row],[Fixture Existing Cost ($)]]+ReviewCalcs[[#This Row],[Control Existing Cost ($)]]</f>
        <v>0</v>
      </c>
      <c r="BG113" s="118">
        <f>ReviewCalcs[[#This Row],[Fixture Proposed Cost ($)]]+ReviewCalcs[[#This Row],[Controls Proposed Cost ($)]]</f>
        <v>0</v>
      </c>
      <c r="BH113" s="70">
        <f>ReviewCalcs[[#This Row],[Total Energy Savings (kWh)]]*Avg_KWh_Rate</f>
        <v>0</v>
      </c>
      <c r="BI1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3" s="70">
        <f>ReviewCalcs[[#This Row],[Retrofit Cost]]</f>
        <v>0</v>
      </c>
      <c r="BK113" s="70">
        <f>ReviewCalcs[[#This Row],[Retrofit Cost]]-ReviewCalcs[[#This Row],[Incentive ($)]]</f>
        <v>0</v>
      </c>
      <c r="BL113" s="118" t="e">
        <f>IFERROR(ReviewCalcs[[#This Row],[Net Project Cost ($)]]/ReviewCalcs[[#This Row],[Fixture Energy Cost Savings ($)]], #N/A)</f>
        <v>#N/A</v>
      </c>
      <c r="BM113" s="118" t="e">
        <f>IF(VLOOKUP(ReviewCalcs[[#This Row],[Existing Fixture Code]], Table7[[FIXTURE CODE]:[Baseline Fixture Code]], 8, FALSE)="N", VLOOKUP(ReviewCalcs[[#This Row],[Existing Fixture Code]], Table7[[FIXTURE CODE]:[Baseline Fixture Code]], 9, FALSE), ReviewCalcs[[#This Row],[Existing Fixture Code]])</f>
        <v>#N/A</v>
      </c>
      <c r="BN113" s="118" t="e">
        <f>INDEX(Table7[WATT/ FIXT], MATCH(ReviewCalcs[Baseline Fixture Code], Table7[FIXTURE CODE], 0))</f>
        <v>#N/A</v>
      </c>
      <c r="BO113" s="118">
        <f>IFERROR((ReviewCalcs[[#This Row],[Existing Fixture Quantity]]*ReviewCalcs[[#This Row],[Baseline Fixture Watts]]/1000-ReviewCalcs[[#This Row],[Proposed Fixture Quantity]]*ReviewCalcs[[#This Row],[Proposed Fixture Watts]]/1000)*ReviewCalcs[[#This Row],[Existing CF]]*ReviewCalcs[[#This Row],[IEFD]], 0)</f>
        <v>0</v>
      </c>
      <c r="BP1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3" s="118">
        <f>IF(ReviewCalcs[[#This Row],[Existing CF]]=ReviewCalcs[[#This Row],[Proposed CF]], 0, ReviewCalcs[[#This Row],[Proposed Fixture Quantity]]*ReviewCalcs[[#This Row],[Proposed Fixture Watts]]/1000*ReviewCalcs[[#This Row],[Proposed CF]]*ReviewCalcs[[#This Row],[IEFD]])</f>
        <v>0</v>
      </c>
      <c r="BR113" s="118">
        <f>IFERROR(ReviewCalcs[[#This Row],[Proposed Fixture Quantity]]*ReviewCalcs[[#This Row],[Proposed Fixture Watts]]/1000*(ReviewCalcs[[#This Row],[Existing PAF]]-ReviewCalcs[[#This Row],[Proposed PAF]])*ReviewCalcs[[#This Row],[AOH]]*ReviewCalcs[[#This Row],[IEFE]],0)</f>
        <v>0</v>
      </c>
      <c r="BS113" s="118">
        <f>ReviewCalcs[[#This Row],[Incentive Fixture Demand Savings (kW)]]+ReviewCalcs[[#This Row],[Incentive Control Demand Savings (kW)]]</f>
        <v>0</v>
      </c>
      <c r="BT113" s="118">
        <f>ReviewCalcs[[#This Row],[Incentive Fixture Energy Savings (kWh)]]+ReviewCalcs[[#This Row],[Incentive Control Energy Savings (kWh)]]</f>
        <v>0</v>
      </c>
      <c r="BU113" s="73"/>
    </row>
    <row r="114" spans="1:73" ht="30" customHeight="1">
      <c r="A114" s="68">
        <v>111</v>
      </c>
      <c r="B114" s="96">
        <f>VLOOKUP(ReviewCalcs[[#This Row],[Project Index]], ProjectInput[], D$1, FALSE)</f>
        <v>0</v>
      </c>
      <c r="C114" s="97">
        <f>VLOOKUP(ReviewCalcs[[#This Row],[Project Index]], ProjectInput[], E$1, FALSE)</f>
        <v>0</v>
      </c>
      <c r="D114" s="97">
        <f>VLOOKUP(ReviewCalcs[[#This Row],[Project Index]], ProjectInput[], F$1, FALSE)</f>
        <v>0</v>
      </c>
      <c r="E114" s="97">
        <f>VLOOKUP(ReviewCalcs[[#This Row],[Project Index]], ProjectInput[], G$1, FALSE)</f>
        <v>0</v>
      </c>
      <c r="F114" s="97">
        <f>VLOOKUP(ReviewCalcs[[#This Row],[Project Index]], ProjectInput[], H$1, FALSE)</f>
        <v>0</v>
      </c>
      <c r="G114" s="98" t="str">
        <f>VLOOKUP(ReviewCalcs[[#This Row],[Project Index]], ProjectInput[], I$1, FALSE)</f>
        <v/>
      </c>
      <c r="H114" s="96">
        <f>VLOOKUP(ReviewCalcs[[#This Row],[Project Index]], ProjectInput[], J$1, FALSE)</f>
        <v>0</v>
      </c>
      <c r="I114" s="97">
        <f>VLOOKUP(ReviewCalcs[[#This Row],[Project Index]], ProjectInput[], K$1, FALSE)</f>
        <v>0</v>
      </c>
      <c r="J114" s="97">
        <f>VLOOKUP(ReviewCalcs[[#This Row],[Project Index]], ProjectInput[], L$1, FALSE)</f>
        <v>0</v>
      </c>
      <c r="K114" s="97">
        <f>VLOOKUP(ReviewCalcs[[#This Row],[Project Index]], ProjectInput[], M$1, FALSE)</f>
        <v>0</v>
      </c>
      <c r="L114" s="97">
        <f>VLOOKUP(ReviewCalcs[[#This Row],[Project Index]], ProjectInput[], N$1, FALSE)</f>
        <v>0</v>
      </c>
      <c r="M114" s="98" t="str">
        <f>VLOOKUP(ReviewCalcs[[#This Row],[Project Index]], ProjectInput[], O$1, FALSE)</f>
        <v/>
      </c>
      <c r="N114" s="96">
        <f>VLOOKUP(ReviewCalcs[[#This Row],[Project Index]], ProjectInput[], P$1, FALSE)</f>
        <v>0</v>
      </c>
      <c r="O114" s="97">
        <f>VLOOKUP(ReviewCalcs[[#This Row],[Project Index]], ProjectInput[], Q$1, FALSE)</f>
        <v>0</v>
      </c>
      <c r="P114" s="97">
        <f>VLOOKUP(ReviewCalcs[[#This Row],[Project Index]], ProjectInput[], R$1, FALSE)</f>
        <v>0</v>
      </c>
      <c r="Q114" s="97">
        <f>VLOOKUP(ReviewCalcs[[#This Row],[Project Index]], ProjectInput[], S$1, FALSE)</f>
        <v>0</v>
      </c>
      <c r="R114" s="97">
        <f>VLOOKUP(ReviewCalcs[[#This Row],[Project Index]], ProjectInput[], T$1, FALSE)</f>
        <v>0</v>
      </c>
      <c r="S114" s="97">
        <f>VLOOKUP(ReviewCalcs[[#This Row],[Project Index]], ProjectInput[], U$1, FALSE)</f>
        <v>0</v>
      </c>
      <c r="T114" s="97">
        <f>VLOOKUP(ReviewCalcs[[#This Row],[Project Index]], ProjectInput[], V$1, FALSE)</f>
        <v>0</v>
      </c>
      <c r="U114" s="97">
        <f>VLOOKUP(ReviewCalcs[[#This Row],[Project Index]], ProjectInput[], W$1, FALSE)</f>
        <v>0</v>
      </c>
      <c r="V114" s="98" t="str">
        <f>VLOOKUP(ReviewCalcs[[#This Row],[Project Index]], ProjectInput[], X$1, FALSE)</f>
        <v/>
      </c>
      <c r="W1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4" s="75" t="e">
        <f>IF(VLOOKUP(ReviewCalcs[[#This Row],[Proposed Fixture Code]], Table7[[FIXTURE CODE]:[Baseline Fixture Code]], 8, FALSE)="N", "ERROR", "PASS")</f>
        <v>#N/A</v>
      </c>
      <c r="Y1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4" s="75" t="e">
        <f>IF(OR(ReviewCalcs[[#This Row],[Baseline Fixture Watts]]&gt;=ReviewCalcs[[#This Row],[Proposed Fixture Watts]],ReviewCalcs[[#This Row],[Existing Fixture Watts]]&gt;=ReviewCalcs[[#This Row],[Proposed Fixture Watts]] ), "PASS", "ERROR")</f>
        <v>#N/A</v>
      </c>
      <c r="AA114" s="69" t="e">
        <f>VLOOKUP(ReviewCalcs[[#This Row],[Space Conditions]], Table_365[], 5, FALSE)</f>
        <v>#N/A</v>
      </c>
      <c r="AB114" s="68" t="str">
        <f>ReviewCalcs[[#This Row],[Annual Hours]]</f>
        <v/>
      </c>
      <c r="AC114" s="68" t="e">
        <f>VLOOKUP(ReviewCalcs[[#This Row],[Space Conditions]], Table_365[], 6, FALSE)</f>
        <v>#N/A</v>
      </c>
      <c r="AD114" s="68">
        <f>IF(ReviewCalcs[[#This Row],[Existing Control(s)]]='Tables &amp; Ranges'!$A$25, VLOOKUP(ReviewCalcs[[#This Row],[Building/Space Type]], Table_364[], 3, FALSE), CF_Contols)</f>
        <v>0.26</v>
      </c>
      <c r="AE114" s="68" t="e">
        <f>VLOOKUP(ReviewCalcs[[#This Row],[Existing Control(s)]], Table_358[], 2, FALSE)</f>
        <v>#N/A</v>
      </c>
      <c r="AF114" s="68">
        <f>IF(ReviewCalcs[[#This Row],[Proposed Control(s)]]='Tables &amp; Ranges'!$A$25, VLOOKUP(ReviewCalcs[[#This Row],[Building/Space Type]], Table_364[], 3, FALSE), CF_Contols)</f>
        <v>0.26</v>
      </c>
      <c r="AG114" s="68" t="e">
        <f>VLOOKUP(ReviewCalcs[[#This Row],[Proposed Control(s)]], Table_358[], 2, FALSE)</f>
        <v>#N/A</v>
      </c>
      <c r="AH114" s="68">
        <f>IFERROR((ReviewCalcs[[#This Row],[Existing Fixture Quantity]]*ReviewCalcs[[#This Row],[Existing Fixture Watts]]/1000)*ReviewCalcs[[#This Row],[Existing CF]]*ReviewCalcs[[#This Row],[IEFD]], 0)</f>
        <v>0</v>
      </c>
      <c r="AI114" s="68">
        <f>IFERROR((ReviewCalcs[[#This Row],[Proposed Fixture Quantity]]*ReviewCalcs[[#This Row],[Proposed Fixture Watts]]/1000)*ReviewCalcs[[#This Row],[Existing CF]]*ReviewCalcs[[#This Row],[IEFD]], 0)</f>
        <v>0</v>
      </c>
      <c r="AJ114" s="118">
        <f>IFERROR((ReviewCalcs[[#This Row],[Existing Fixture Quantity]]*ReviewCalcs[[#This Row],[Existing Fixture Watts]]/1000-ReviewCalcs[[#This Row],[Proposed Fixture Quantity]]*ReviewCalcs[[#This Row],[Proposed Fixture Watts]]/1000)*ReviewCalcs[[#This Row],[Existing CF]]*ReviewCalcs[[#This Row],[IEFD]], 0)</f>
        <v>0</v>
      </c>
      <c r="AK114" s="118">
        <f>IFERROR((ReviewCalcs[[#This Row],[Existing Fixture Quantity]]*ReviewCalcs[[#This Row],[Existing Fixture Watts]]/1000)*ReviewCalcs[[#This Row],[AOH]]*ReviewCalcs[[#This Row],[IEFE]]*ReviewCalcs[[#This Row],[Existing PAF]], 0)</f>
        <v>0</v>
      </c>
      <c r="AL114" s="118">
        <f>IFERROR((ReviewCalcs[[#This Row],[Proposed Fixture Quantity]]*ReviewCalcs[[#This Row],[Proposed Fixture Watts]]/1000)*ReviewCalcs[[#This Row],[AOH]]*ReviewCalcs[[#This Row],[IEFE]]*ReviewCalcs[[#This Row],[Existing PAF]], 0)</f>
        <v>0</v>
      </c>
      <c r="AM1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4" s="118">
        <f>ReviewCalcs[[#This Row],[Fixture Existing Energy (kWh)]]*Avg_KWh_Rate</f>
        <v>0</v>
      </c>
      <c r="AO114" s="118">
        <f>ReviewCalcs[[#This Row],[Fixture Proposed Energy (kWh)]]*Avg_KWh_Rate</f>
        <v>0</v>
      </c>
      <c r="AP114" s="70">
        <f>ReviewCalcs[[#This Row],[Fixture Energy Savings]]*Avg_KWh_Rate</f>
        <v>0</v>
      </c>
      <c r="AQ114" s="129" t="e">
        <f>ReviewCalcs[[#This Row],[Existing Fixture Quantity]]*ReviewCalcs[[#This Row],[Existing Fixture Watts]]/1000*ReviewCalcs[[#This Row],[Existing CF]]*ReviewCalcs[[#This Row],[IEFD]]</f>
        <v>#VALUE!</v>
      </c>
      <c r="AR114" s="129" t="e">
        <f>ReviewCalcs[[#This Row],[Proposed Fixture Quantity]]*ReviewCalcs[[#This Row],[Proposed Fixture Watts]]/1000*ReviewCalcs[[#This Row],[Proposed CF]]*ReviewCalcs[[#This Row],[IEFD]]</f>
        <v>#VALUE!</v>
      </c>
      <c r="AS114" s="118">
        <f>IF(ReviewCalcs[[#This Row],[Existing CF]]=ReviewCalcs[[#This Row],[Proposed CF]], 0, ReviewCalcs[[#This Row],[Proposed Fixture Quantity]]*ReviewCalcs[[#This Row],[Proposed Fixture Watts]]/1000*ReviewCalcs[[#This Row],[Proposed CF]]*ReviewCalcs[[#This Row],[IEFD]])</f>
        <v>0</v>
      </c>
      <c r="AT114" s="118">
        <f>IFERROR(ReviewCalcs[[#This Row],[Existing Fixture Quantity]]*ReviewCalcs[[#This Row],[Existing Fixture Watts]]/1000*ReviewCalcs[[#This Row],[Existing PAF]]*ReviewCalcs[[#This Row],[AOH]]*ReviewCalcs[[#This Row],[IEFE]], 0)</f>
        <v>0</v>
      </c>
      <c r="AU114" s="118">
        <f>IFERROR(ReviewCalcs[[#This Row],[Proposed Fixture Quantity]]*ReviewCalcs[[#This Row],[Proposed Fixture Watts]]/1000*ReviewCalcs[[#This Row],[Proposed PAF]]*ReviewCalcs[[#This Row],[AOH]]*ReviewCalcs[[#This Row],[IEFE]], 0)</f>
        <v>0</v>
      </c>
      <c r="AV114" s="118">
        <f>IFERROR(ReviewCalcs[[#This Row],[Proposed Fixture Quantity]]*ReviewCalcs[[#This Row],[Proposed Fixture Watts]]/1000*(ReviewCalcs[[#This Row],[Existing PAF]]-ReviewCalcs[[#This Row],[Proposed PAF]])*ReviewCalcs[[#This Row],[AOH]]*ReviewCalcs[[#This Row],[IEFE]], 0)</f>
        <v>0</v>
      </c>
      <c r="AW114" s="118">
        <f>ReviewCalcs[[#This Row],[Control Existing Energy (kWh)]]*kWh_Incentive_Rate</f>
        <v>0</v>
      </c>
      <c r="AX114" s="118">
        <f>ReviewCalcs[[#This Row],[Control Proposed Energy (kWh)]]*kWh_Incentive_Rate</f>
        <v>0</v>
      </c>
      <c r="AY114" s="70">
        <f>ReviewCalcs[[#This Row],[Control Energy Savings (kWh)]]*kWh_Incentive_Rate</f>
        <v>0</v>
      </c>
      <c r="AZ114" s="70" t="e">
        <f>ReviewCalcs[[#This Row],[Fixture Existing Demand (kW)]]+ReviewCalcs[[#This Row],[Control Existing Demand (kW)]]</f>
        <v>#VALUE!</v>
      </c>
      <c r="BA114" s="70" t="e">
        <f>ReviewCalcs[[#This Row],[Fixture Proposed Demand (kW)]]+ReviewCalcs[[#This Row],[Control Proposed Demand (kW)]]</f>
        <v>#VALUE!</v>
      </c>
      <c r="BB114" s="118">
        <f>ReviewCalcs[[#This Row],[Fixture Demand Savings (kW)]]+ReviewCalcs[[#This Row],[Control Demand Savings (kW)]]</f>
        <v>0</v>
      </c>
      <c r="BC114" s="118">
        <f>ReviewCalcs[[#This Row],[Fixture Existing Energy (kWh)]]+ReviewCalcs[[#This Row],[Control Existing Energy (kWh)]]</f>
        <v>0</v>
      </c>
      <c r="BD114" s="118">
        <f>ReviewCalcs[[#This Row],[Fixture Proposed Energy (kWh)]]+ReviewCalcs[[#This Row],[Control Proposed Energy (kWh)]]</f>
        <v>0</v>
      </c>
      <c r="BE114" s="118">
        <f>ReviewCalcs[[#This Row],[Fixture Energy Savings]]+ReviewCalcs[[#This Row],[Control Energy Savings (kWh)]]</f>
        <v>0</v>
      </c>
      <c r="BF114" s="118">
        <f>ReviewCalcs[[#This Row],[Fixture Existing Cost ($)]]+ReviewCalcs[[#This Row],[Control Existing Cost ($)]]</f>
        <v>0</v>
      </c>
      <c r="BG114" s="118">
        <f>ReviewCalcs[[#This Row],[Fixture Proposed Cost ($)]]+ReviewCalcs[[#This Row],[Controls Proposed Cost ($)]]</f>
        <v>0</v>
      </c>
      <c r="BH114" s="70">
        <f>ReviewCalcs[[#This Row],[Total Energy Savings (kWh)]]*Avg_KWh_Rate</f>
        <v>0</v>
      </c>
      <c r="BI1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4" s="70">
        <f>ReviewCalcs[[#This Row],[Retrofit Cost]]</f>
        <v>0</v>
      </c>
      <c r="BK114" s="70">
        <f>ReviewCalcs[[#This Row],[Retrofit Cost]]-ReviewCalcs[[#This Row],[Incentive ($)]]</f>
        <v>0</v>
      </c>
      <c r="BL114" s="118" t="e">
        <f>IFERROR(ReviewCalcs[[#This Row],[Net Project Cost ($)]]/ReviewCalcs[[#This Row],[Fixture Energy Cost Savings ($)]], #N/A)</f>
        <v>#N/A</v>
      </c>
      <c r="BM114" s="118" t="e">
        <f>IF(VLOOKUP(ReviewCalcs[[#This Row],[Existing Fixture Code]], Table7[[FIXTURE CODE]:[Baseline Fixture Code]], 8, FALSE)="N", VLOOKUP(ReviewCalcs[[#This Row],[Existing Fixture Code]], Table7[[FIXTURE CODE]:[Baseline Fixture Code]], 9, FALSE), ReviewCalcs[[#This Row],[Existing Fixture Code]])</f>
        <v>#N/A</v>
      </c>
      <c r="BN114" s="118" t="e">
        <f>INDEX(Table7[WATT/ FIXT], MATCH(ReviewCalcs[Baseline Fixture Code], Table7[FIXTURE CODE], 0))</f>
        <v>#N/A</v>
      </c>
      <c r="BO114" s="118">
        <f>IFERROR((ReviewCalcs[[#This Row],[Existing Fixture Quantity]]*ReviewCalcs[[#This Row],[Baseline Fixture Watts]]/1000-ReviewCalcs[[#This Row],[Proposed Fixture Quantity]]*ReviewCalcs[[#This Row],[Proposed Fixture Watts]]/1000)*ReviewCalcs[[#This Row],[Existing CF]]*ReviewCalcs[[#This Row],[IEFD]], 0)</f>
        <v>0</v>
      </c>
      <c r="BP1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4" s="118">
        <f>IF(ReviewCalcs[[#This Row],[Existing CF]]=ReviewCalcs[[#This Row],[Proposed CF]], 0, ReviewCalcs[[#This Row],[Proposed Fixture Quantity]]*ReviewCalcs[[#This Row],[Proposed Fixture Watts]]/1000*ReviewCalcs[[#This Row],[Proposed CF]]*ReviewCalcs[[#This Row],[IEFD]])</f>
        <v>0</v>
      </c>
      <c r="BR114" s="118">
        <f>IFERROR(ReviewCalcs[[#This Row],[Proposed Fixture Quantity]]*ReviewCalcs[[#This Row],[Proposed Fixture Watts]]/1000*(ReviewCalcs[[#This Row],[Existing PAF]]-ReviewCalcs[[#This Row],[Proposed PAF]])*ReviewCalcs[[#This Row],[AOH]]*ReviewCalcs[[#This Row],[IEFE]],0)</f>
        <v>0</v>
      </c>
      <c r="BS114" s="118">
        <f>ReviewCalcs[[#This Row],[Incentive Fixture Demand Savings (kW)]]+ReviewCalcs[[#This Row],[Incentive Control Demand Savings (kW)]]</f>
        <v>0</v>
      </c>
      <c r="BT114" s="118">
        <f>ReviewCalcs[[#This Row],[Incentive Fixture Energy Savings (kWh)]]+ReviewCalcs[[#This Row],[Incentive Control Energy Savings (kWh)]]</f>
        <v>0</v>
      </c>
      <c r="BU114" s="73"/>
    </row>
    <row r="115" spans="1:73" ht="30" customHeight="1">
      <c r="A115" s="68">
        <v>112</v>
      </c>
      <c r="B115" s="96">
        <f>VLOOKUP(ReviewCalcs[[#This Row],[Project Index]], ProjectInput[], D$1, FALSE)</f>
        <v>0</v>
      </c>
      <c r="C115" s="97">
        <f>VLOOKUP(ReviewCalcs[[#This Row],[Project Index]], ProjectInput[], E$1, FALSE)</f>
        <v>0</v>
      </c>
      <c r="D115" s="97">
        <f>VLOOKUP(ReviewCalcs[[#This Row],[Project Index]], ProjectInput[], F$1, FALSE)</f>
        <v>0</v>
      </c>
      <c r="E115" s="97">
        <f>VLOOKUP(ReviewCalcs[[#This Row],[Project Index]], ProjectInput[], G$1, FALSE)</f>
        <v>0</v>
      </c>
      <c r="F115" s="97">
        <f>VLOOKUP(ReviewCalcs[[#This Row],[Project Index]], ProjectInput[], H$1, FALSE)</f>
        <v>0</v>
      </c>
      <c r="G115" s="98" t="str">
        <f>VLOOKUP(ReviewCalcs[[#This Row],[Project Index]], ProjectInput[], I$1, FALSE)</f>
        <v/>
      </c>
      <c r="H115" s="96">
        <f>VLOOKUP(ReviewCalcs[[#This Row],[Project Index]], ProjectInput[], J$1, FALSE)</f>
        <v>0</v>
      </c>
      <c r="I115" s="97">
        <f>VLOOKUP(ReviewCalcs[[#This Row],[Project Index]], ProjectInput[], K$1, FALSE)</f>
        <v>0</v>
      </c>
      <c r="J115" s="97">
        <f>VLOOKUP(ReviewCalcs[[#This Row],[Project Index]], ProjectInput[], L$1, FALSE)</f>
        <v>0</v>
      </c>
      <c r="K115" s="97">
        <f>VLOOKUP(ReviewCalcs[[#This Row],[Project Index]], ProjectInput[], M$1, FALSE)</f>
        <v>0</v>
      </c>
      <c r="L115" s="97">
        <f>VLOOKUP(ReviewCalcs[[#This Row],[Project Index]], ProjectInput[], N$1, FALSE)</f>
        <v>0</v>
      </c>
      <c r="M115" s="98" t="str">
        <f>VLOOKUP(ReviewCalcs[[#This Row],[Project Index]], ProjectInput[], O$1, FALSE)</f>
        <v/>
      </c>
      <c r="N115" s="96">
        <f>VLOOKUP(ReviewCalcs[[#This Row],[Project Index]], ProjectInput[], P$1, FALSE)</f>
        <v>0</v>
      </c>
      <c r="O115" s="97">
        <f>VLOOKUP(ReviewCalcs[[#This Row],[Project Index]], ProjectInput[], Q$1, FALSE)</f>
        <v>0</v>
      </c>
      <c r="P115" s="97">
        <f>VLOOKUP(ReviewCalcs[[#This Row],[Project Index]], ProjectInput[], R$1, FALSE)</f>
        <v>0</v>
      </c>
      <c r="Q115" s="97">
        <f>VLOOKUP(ReviewCalcs[[#This Row],[Project Index]], ProjectInput[], S$1, FALSE)</f>
        <v>0</v>
      </c>
      <c r="R115" s="97">
        <f>VLOOKUP(ReviewCalcs[[#This Row],[Project Index]], ProjectInput[], T$1, FALSE)</f>
        <v>0</v>
      </c>
      <c r="S115" s="97">
        <f>VLOOKUP(ReviewCalcs[[#This Row],[Project Index]], ProjectInput[], U$1, FALSE)</f>
        <v>0</v>
      </c>
      <c r="T115" s="97">
        <f>VLOOKUP(ReviewCalcs[[#This Row],[Project Index]], ProjectInput[], V$1, FALSE)</f>
        <v>0</v>
      </c>
      <c r="U115" s="97">
        <f>VLOOKUP(ReviewCalcs[[#This Row],[Project Index]], ProjectInput[], W$1, FALSE)</f>
        <v>0</v>
      </c>
      <c r="V115" s="98" t="str">
        <f>VLOOKUP(ReviewCalcs[[#This Row],[Project Index]], ProjectInput[], X$1, FALSE)</f>
        <v/>
      </c>
      <c r="W1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5" s="75" t="e">
        <f>IF(VLOOKUP(ReviewCalcs[[#This Row],[Proposed Fixture Code]], Table7[[FIXTURE CODE]:[Baseline Fixture Code]], 8, FALSE)="N", "ERROR", "PASS")</f>
        <v>#N/A</v>
      </c>
      <c r="Y1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5" s="75" t="e">
        <f>IF(OR(ReviewCalcs[[#This Row],[Baseline Fixture Watts]]&gt;=ReviewCalcs[[#This Row],[Proposed Fixture Watts]],ReviewCalcs[[#This Row],[Existing Fixture Watts]]&gt;=ReviewCalcs[[#This Row],[Proposed Fixture Watts]] ), "PASS", "ERROR")</f>
        <v>#N/A</v>
      </c>
      <c r="AA115" s="69" t="e">
        <f>VLOOKUP(ReviewCalcs[[#This Row],[Space Conditions]], Table_365[], 5, FALSE)</f>
        <v>#N/A</v>
      </c>
      <c r="AB115" s="68" t="str">
        <f>ReviewCalcs[[#This Row],[Annual Hours]]</f>
        <v/>
      </c>
      <c r="AC115" s="68" t="e">
        <f>VLOOKUP(ReviewCalcs[[#This Row],[Space Conditions]], Table_365[], 6, FALSE)</f>
        <v>#N/A</v>
      </c>
      <c r="AD115" s="68">
        <f>IF(ReviewCalcs[[#This Row],[Existing Control(s)]]='Tables &amp; Ranges'!$A$25, VLOOKUP(ReviewCalcs[[#This Row],[Building/Space Type]], Table_364[], 3, FALSE), CF_Contols)</f>
        <v>0.26</v>
      </c>
      <c r="AE115" s="68" t="e">
        <f>VLOOKUP(ReviewCalcs[[#This Row],[Existing Control(s)]], Table_358[], 2, FALSE)</f>
        <v>#N/A</v>
      </c>
      <c r="AF115" s="68">
        <f>IF(ReviewCalcs[[#This Row],[Proposed Control(s)]]='Tables &amp; Ranges'!$A$25, VLOOKUP(ReviewCalcs[[#This Row],[Building/Space Type]], Table_364[], 3, FALSE), CF_Contols)</f>
        <v>0.26</v>
      </c>
      <c r="AG115" s="68" t="e">
        <f>VLOOKUP(ReviewCalcs[[#This Row],[Proposed Control(s)]], Table_358[], 2, FALSE)</f>
        <v>#N/A</v>
      </c>
      <c r="AH115" s="68">
        <f>IFERROR((ReviewCalcs[[#This Row],[Existing Fixture Quantity]]*ReviewCalcs[[#This Row],[Existing Fixture Watts]]/1000)*ReviewCalcs[[#This Row],[Existing CF]]*ReviewCalcs[[#This Row],[IEFD]], 0)</f>
        <v>0</v>
      </c>
      <c r="AI115" s="68">
        <f>IFERROR((ReviewCalcs[[#This Row],[Proposed Fixture Quantity]]*ReviewCalcs[[#This Row],[Proposed Fixture Watts]]/1000)*ReviewCalcs[[#This Row],[Existing CF]]*ReviewCalcs[[#This Row],[IEFD]], 0)</f>
        <v>0</v>
      </c>
      <c r="AJ115" s="118">
        <f>IFERROR((ReviewCalcs[[#This Row],[Existing Fixture Quantity]]*ReviewCalcs[[#This Row],[Existing Fixture Watts]]/1000-ReviewCalcs[[#This Row],[Proposed Fixture Quantity]]*ReviewCalcs[[#This Row],[Proposed Fixture Watts]]/1000)*ReviewCalcs[[#This Row],[Existing CF]]*ReviewCalcs[[#This Row],[IEFD]], 0)</f>
        <v>0</v>
      </c>
      <c r="AK115" s="118">
        <f>IFERROR((ReviewCalcs[[#This Row],[Existing Fixture Quantity]]*ReviewCalcs[[#This Row],[Existing Fixture Watts]]/1000)*ReviewCalcs[[#This Row],[AOH]]*ReviewCalcs[[#This Row],[IEFE]]*ReviewCalcs[[#This Row],[Existing PAF]], 0)</f>
        <v>0</v>
      </c>
      <c r="AL115" s="118">
        <f>IFERROR((ReviewCalcs[[#This Row],[Proposed Fixture Quantity]]*ReviewCalcs[[#This Row],[Proposed Fixture Watts]]/1000)*ReviewCalcs[[#This Row],[AOH]]*ReviewCalcs[[#This Row],[IEFE]]*ReviewCalcs[[#This Row],[Existing PAF]], 0)</f>
        <v>0</v>
      </c>
      <c r="AM1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5" s="118">
        <f>ReviewCalcs[[#This Row],[Fixture Existing Energy (kWh)]]*Avg_KWh_Rate</f>
        <v>0</v>
      </c>
      <c r="AO115" s="118">
        <f>ReviewCalcs[[#This Row],[Fixture Proposed Energy (kWh)]]*Avg_KWh_Rate</f>
        <v>0</v>
      </c>
      <c r="AP115" s="70">
        <f>ReviewCalcs[[#This Row],[Fixture Energy Savings]]*Avg_KWh_Rate</f>
        <v>0</v>
      </c>
      <c r="AQ115" s="129" t="e">
        <f>ReviewCalcs[[#This Row],[Existing Fixture Quantity]]*ReviewCalcs[[#This Row],[Existing Fixture Watts]]/1000*ReviewCalcs[[#This Row],[Existing CF]]*ReviewCalcs[[#This Row],[IEFD]]</f>
        <v>#VALUE!</v>
      </c>
      <c r="AR115" s="129" t="e">
        <f>ReviewCalcs[[#This Row],[Proposed Fixture Quantity]]*ReviewCalcs[[#This Row],[Proposed Fixture Watts]]/1000*ReviewCalcs[[#This Row],[Proposed CF]]*ReviewCalcs[[#This Row],[IEFD]]</f>
        <v>#VALUE!</v>
      </c>
      <c r="AS115" s="118">
        <f>IF(ReviewCalcs[[#This Row],[Existing CF]]=ReviewCalcs[[#This Row],[Proposed CF]], 0, ReviewCalcs[[#This Row],[Proposed Fixture Quantity]]*ReviewCalcs[[#This Row],[Proposed Fixture Watts]]/1000*ReviewCalcs[[#This Row],[Proposed CF]]*ReviewCalcs[[#This Row],[IEFD]])</f>
        <v>0</v>
      </c>
      <c r="AT115" s="118">
        <f>IFERROR(ReviewCalcs[[#This Row],[Existing Fixture Quantity]]*ReviewCalcs[[#This Row],[Existing Fixture Watts]]/1000*ReviewCalcs[[#This Row],[Existing PAF]]*ReviewCalcs[[#This Row],[AOH]]*ReviewCalcs[[#This Row],[IEFE]], 0)</f>
        <v>0</v>
      </c>
      <c r="AU115" s="118">
        <f>IFERROR(ReviewCalcs[[#This Row],[Proposed Fixture Quantity]]*ReviewCalcs[[#This Row],[Proposed Fixture Watts]]/1000*ReviewCalcs[[#This Row],[Proposed PAF]]*ReviewCalcs[[#This Row],[AOH]]*ReviewCalcs[[#This Row],[IEFE]], 0)</f>
        <v>0</v>
      </c>
      <c r="AV115" s="118">
        <f>IFERROR(ReviewCalcs[[#This Row],[Proposed Fixture Quantity]]*ReviewCalcs[[#This Row],[Proposed Fixture Watts]]/1000*(ReviewCalcs[[#This Row],[Existing PAF]]-ReviewCalcs[[#This Row],[Proposed PAF]])*ReviewCalcs[[#This Row],[AOH]]*ReviewCalcs[[#This Row],[IEFE]], 0)</f>
        <v>0</v>
      </c>
      <c r="AW115" s="118">
        <f>ReviewCalcs[[#This Row],[Control Existing Energy (kWh)]]*kWh_Incentive_Rate</f>
        <v>0</v>
      </c>
      <c r="AX115" s="118">
        <f>ReviewCalcs[[#This Row],[Control Proposed Energy (kWh)]]*kWh_Incentive_Rate</f>
        <v>0</v>
      </c>
      <c r="AY115" s="70">
        <f>ReviewCalcs[[#This Row],[Control Energy Savings (kWh)]]*kWh_Incentive_Rate</f>
        <v>0</v>
      </c>
      <c r="AZ115" s="70" t="e">
        <f>ReviewCalcs[[#This Row],[Fixture Existing Demand (kW)]]+ReviewCalcs[[#This Row],[Control Existing Demand (kW)]]</f>
        <v>#VALUE!</v>
      </c>
      <c r="BA115" s="70" t="e">
        <f>ReviewCalcs[[#This Row],[Fixture Proposed Demand (kW)]]+ReviewCalcs[[#This Row],[Control Proposed Demand (kW)]]</f>
        <v>#VALUE!</v>
      </c>
      <c r="BB115" s="118">
        <f>ReviewCalcs[[#This Row],[Fixture Demand Savings (kW)]]+ReviewCalcs[[#This Row],[Control Demand Savings (kW)]]</f>
        <v>0</v>
      </c>
      <c r="BC115" s="118">
        <f>ReviewCalcs[[#This Row],[Fixture Existing Energy (kWh)]]+ReviewCalcs[[#This Row],[Control Existing Energy (kWh)]]</f>
        <v>0</v>
      </c>
      <c r="BD115" s="118">
        <f>ReviewCalcs[[#This Row],[Fixture Proposed Energy (kWh)]]+ReviewCalcs[[#This Row],[Control Proposed Energy (kWh)]]</f>
        <v>0</v>
      </c>
      <c r="BE115" s="118">
        <f>ReviewCalcs[[#This Row],[Fixture Energy Savings]]+ReviewCalcs[[#This Row],[Control Energy Savings (kWh)]]</f>
        <v>0</v>
      </c>
      <c r="BF115" s="118">
        <f>ReviewCalcs[[#This Row],[Fixture Existing Cost ($)]]+ReviewCalcs[[#This Row],[Control Existing Cost ($)]]</f>
        <v>0</v>
      </c>
      <c r="BG115" s="118">
        <f>ReviewCalcs[[#This Row],[Fixture Proposed Cost ($)]]+ReviewCalcs[[#This Row],[Controls Proposed Cost ($)]]</f>
        <v>0</v>
      </c>
      <c r="BH115" s="70">
        <f>ReviewCalcs[[#This Row],[Total Energy Savings (kWh)]]*Avg_KWh_Rate</f>
        <v>0</v>
      </c>
      <c r="BI1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5" s="70">
        <f>ReviewCalcs[[#This Row],[Retrofit Cost]]</f>
        <v>0</v>
      </c>
      <c r="BK115" s="70">
        <f>ReviewCalcs[[#This Row],[Retrofit Cost]]-ReviewCalcs[[#This Row],[Incentive ($)]]</f>
        <v>0</v>
      </c>
      <c r="BL115" s="118" t="e">
        <f>IFERROR(ReviewCalcs[[#This Row],[Net Project Cost ($)]]/ReviewCalcs[[#This Row],[Fixture Energy Cost Savings ($)]], #N/A)</f>
        <v>#N/A</v>
      </c>
      <c r="BM115" s="118" t="e">
        <f>IF(VLOOKUP(ReviewCalcs[[#This Row],[Existing Fixture Code]], Table7[[FIXTURE CODE]:[Baseline Fixture Code]], 8, FALSE)="N", VLOOKUP(ReviewCalcs[[#This Row],[Existing Fixture Code]], Table7[[FIXTURE CODE]:[Baseline Fixture Code]], 9, FALSE), ReviewCalcs[[#This Row],[Existing Fixture Code]])</f>
        <v>#N/A</v>
      </c>
      <c r="BN115" s="118" t="e">
        <f>INDEX(Table7[WATT/ FIXT], MATCH(ReviewCalcs[Baseline Fixture Code], Table7[FIXTURE CODE], 0))</f>
        <v>#N/A</v>
      </c>
      <c r="BO115" s="118">
        <f>IFERROR((ReviewCalcs[[#This Row],[Existing Fixture Quantity]]*ReviewCalcs[[#This Row],[Baseline Fixture Watts]]/1000-ReviewCalcs[[#This Row],[Proposed Fixture Quantity]]*ReviewCalcs[[#This Row],[Proposed Fixture Watts]]/1000)*ReviewCalcs[[#This Row],[Existing CF]]*ReviewCalcs[[#This Row],[IEFD]], 0)</f>
        <v>0</v>
      </c>
      <c r="BP1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5" s="118">
        <f>IF(ReviewCalcs[[#This Row],[Existing CF]]=ReviewCalcs[[#This Row],[Proposed CF]], 0, ReviewCalcs[[#This Row],[Proposed Fixture Quantity]]*ReviewCalcs[[#This Row],[Proposed Fixture Watts]]/1000*ReviewCalcs[[#This Row],[Proposed CF]]*ReviewCalcs[[#This Row],[IEFD]])</f>
        <v>0</v>
      </c>
      <c r="BR115" s="118">
        <f>IFERROR(ReviewCalcs[[#This Row],[Proposed Fixture Quantity]]*ReviewCalcs[[#This Row],[Proposed Fixture Watts]]/1000*(ReviewCalcs[[#This Row],[Existing PAF]]-ReviewCalcs[[#This Row],[Proposed PAF]])*ReviewCalcs[[#This Row],[AOH]]*ReviewCalcs[[#This Row],[IEFE]],0)</f>
        <v>0</v>
      </c>
      <c r="BS115" s="118">
        <f>ReviewCalcs[[#This Row],[Incentive Fixture Demand Savings (kW)]]+ReviewCalcs[[#This Row],[Incentive Control Demand Savings (kW)]]</f>
        <v>0</v>
      </c>
      <c r="BT115" s="118">
        <f>ReviewCalcs[[#This Row],[Incentive Fixture Energy Savings (kWh)]]+ReviewCalcs[[#This Row],[Incentive Control Energy Savings (kWh)]]</f>
        <v>0</v>
      </c>
      <c r="BU115" s="73"/>
    </row>
    <row r="116" spans="1:73" ht="30" customHeight="1">
      <c r="A116" s="68">
        <v>113</v>
      </c>
      <c r="B116" s="96">
        <f>VLOOKUP(ReviewCalcs[[#This Row],[Project Index]], ProjectInput[], D$1, FALSE)</f>
        <v>0</v>
      </c>
      <c r="C116" s="97">
        <f>VLOOKUP(ReviewCalcs[[#This Row],[Project Index]], ProjectInput[], E$1, FALSE)</f>
        <v>0</v>
      </c>
      <c r="D116" s="97">
        <f>VLOOKUP(ReviewCalcs[[#This Row],[Project Index]], ProjectInput[], F$1, FALSE)</f>
        <v>0</v>
      </c>
      <c r="E116" s="97">
        <f>VLOOKUP(ReviewCalcs[[#This Row],[Project Index]], ProjectInput[], G$1, FALSE)</f>
        <v>0</v>
      </c>
      <c r="F116" s="97">
        <f>VLOOKUP(ReviewCalcs[[#This Row],[Project Index]], ProjectInput[], H$1, FALSE)</f>
        <v>0</v>
      </c>
      <c r="G116" s="98" t="str">
        <f>VLOOKUP(ReviewCalcs[[#This Row],[Project Index]], ProjectInput[], I$1, FALSE)</f>
        <v/>
      </c>
      <c r="H116" s="96">
        <f>VLOOKUP(ReviewCalcs[[#This Row],[Project Index]], ProjectInput[], J$1, FALSE)</f>
        <v>0</v>
      </c>
      <c r="I116" s="97">
        <f>VLOOKUP(ReviewCalcs[[#This Row],[Project Index]], ProjectInput[], K$1, FALSE)</f>
        <v>0</v>
      </c>
      <c r="J116" s="97">
        <f>VLOOKUP(ReviewCalcs[[#This Row],[Project Index]], ProjectInput[], L$1, FALSE)</f>
        <v>0</v>
      </c>
      <c r="K116" s="97">
        <f>VLOOKUP(ReviewCalcs[[#This Row],[Project Index]], ProjectInput[], M$1, FALSE)</f>
        <v>0</v>
      </c>
      <c r="L116" s="97">
        <f>VLOOKUP(ReviewCalcs[[#This Row],[Project Index]], ProjectInput[], N$1, FALSE)</f>
        <v>0</v>
      </c>
      <c r="M116" s="98" t="str">
        <f>VLOOKUP(ReviewCalcs[[#This Row],[Project Index]], ProjectInput[], O$1, FALSE)</f>
        <v/>
      </c>
      <c r="N116" s="96">
        <f>VLOOKUP(ReviewCalcs[[#This Row],[Project Index]], ProjectInput[], P$1, FALSE)</f>
        <v>0</v>
      </c>
      <c r="O116" s="97">
        <f>VLOOKUP(ReviewCalcs[[#This Row],[Project Index]], ProjectInput[], Q$1, FALSE)</f>
        <v>0</v>
      </c>
      <c r="P116" s="97">
        <f>VLOOKUP(ReviewCalcs[[#This Row],[Project Index]], ProjectInput[], R$1, FALSE)</f>
        <v>0</v>
      </c>
      <c r="Q116" s="97">
        <f>VLOOKUP(ReviewCalcs[[#This Row],[Project Index]], ProjectInput[], S$1, FALSE)</f>
        <v>0</v>
      </c>
      <c r="R116" s="97">
        <f>VLOOKUP(ReviewCalcs[[#This Row],[Project Index]], ProjectInput[], T$1, FALSE)</f>
        <v>0</v>
      </c>
      <c r="S116" s="97">
        <f>VLOOKUP(ReviewCalcs[[#This Row],[Project Index]], ProjectInput[], U$1, FALSE)</f>
        <v>0</v>
      </c>
      <c r="T116" s="97">
        <f>VLOOKUP(ReviewCalcs[[#This Row],[Project Index]], ProjectInput[], V$1, FALSE)</f>
        <v>0</v>
      </c>
      <c r="U116" s="97">
        <f>VLOOKUP(ReviewCalcs[[#This Row],[Project Index]], ProjectInput[], W$1, FALSE)</f>
        <v>0</v>
      </c>
      <c r="V116" s="98" t="str">
        <f>VLOOKUP(ReviewCalcs[[#This Row],[Project Index]], ProjectInput[], X$1, FALSE)</f>
        <v/>
      </c>
      <c r="W1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6" s="75" t="e">
        <f>IF(VLOOKUP(ReviewCalcs[[#This Row],[Proposed Fixture Code]], Table7[[FIXTURE CODE]:[Baseline Fixture Code]], 8, FALSE)="N", "ERROR", "PASS")</f>
        <v>#N/A</v>
      </c>
      <c r="Y1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6" s="75" t="e">
        <f>IF(OR(ReviewCalcs[[#This Row],[Baseline Fixture Watts]]&gt;=ReviewCalcs[[#This Row],[Proposed Fixture Watts]],ReviewCalcs[[#This Row],[Existing Fixture Watts]]&gt;=ReviewCalcs[[#This Row],[Proposed Fixture Watts]] ), "PASS", "ERROR")</f>
        <v>#N/A</v>
      </c>
      <c r="AA116" s="69" t="e">
        <f>VLOOKUP(ReviewCalcs[[#This Row],[Space Conditions]], Table_365[], 5, FALSE)</f>
        <v>#N/A</v>
      </c>
      <c r="AB116" s="68" t="str">
        <f>ReviewCalcs[[#This Row],[Annual Hours]]</f>
        <v/>
      </c>
      <c r="AC116" s="68" t="e">
        <f>VLOOKUP(ReviewCalcs[[#This Row],[Space Conditions]], Table_365[], 6, FALSE)</f>
        <v>#N/A</v>
      </c>
      <c r="AD116" s="68">
        <f>IF(ReviewCalcs[[#This Row],[Existing Control(s)]]='Tables &amp; Ranges'!$A$25, VLOOKUP(ReviewCalcs[[#This Row],[Building/Space Type]], Table_364[], 3, FALSE), CF_Contols)</f>
        <v>0.26</v>
      </c>
      <c r="AE116" s="68" t="e">
        <f>VLOOKUP(ReviewCalcs[[#This Row],[Existing Control(s)]], Table_358[], 2, FALSE)</f>
        <v>#N/A</v>
      </c>
      <c r="AF116" s="68">
        <f>IF(ReviewCalcs[[#This Row],[Proposed Control(s)]]='Tables &amp; Ranges'!$A$25, VLOOKUP(ReviewCalcs[[#This Row],[Building/Space Type]], Table_364[], 3, FALSE), CF_Contols)</f>
        <v>0.26</v>
      </c>
      <c r="AG116" s="68" t="e">
        <f>VLOOKUP(ReviewCalcs[[#This Row],[Proposed Control(s)]], Table_358[], 2, FALSE)</f>
        <v>#N/A</v>
      </c>
      <c r="AH116" s="68">
        <f>IFERROR((ReviewCalcs[[#This Row],[Existing Fixture Quantity]]*ReviewCalcs[[#This Row],[Existing Fixture Watts]]/1000)*ReviewCalcs[[#This Row],[Existing CF]]*ReviewCalcs[[#This Row],[IEFD]], 0)</f>
        <v>0</v>
      </c>
      <c r="AI116" s="68">
        <f>IFERROR((ReviewCalcs[[#This Row],[Proposed Fixture Quantity]]*ReviewCalcs[[#This Row],[Proposed Fixture Watts]]/1000)*ReviewCalcs[[#This Row],[Existing CF]]*ReviewCalcs[[#This Row],[IEFD]], 0)</f>
        <v>0</v>
      </c>
      <c r="AJ116" s="118">
        <f>IFERROR((ReviewCalcs[[#This Row],[Existing Fixture Quantity]]*ReviewCalcs[[#This Row],[Existing Fixture Watts]]/1000-ReviewCalcs[[#This Row],[Proposed Fixture Quantity]]*ReviewCalcs[[#This Row],[Proposed Fixture Watts]]/1000)*ReviewCalcs[[#This Row],[Existing CF]]*ReviewCalcs[[#This Row],[IEFD]], 0)</f>
        <v>0</v>
      </c>
      <c r="AK116" s="118">
        <f>IFERROR((ReviewCalcs[[#This Row],[Existing Fixture Quantity]]*ReviewCalcs[[#This Row],[Existing Fixture Watts]]/1000)*ReviewCalcs[[#This Row],[AOH]]*ReviewCalcs[[#This Row],[IEFE]]*ReviewCalcs[[#This Row],[Existing PAF]], 0)</f>
        <v>0</v>
      </c>
      <c r="AL116" s="118">
        <f>IFERROR((ReviewCalcs[[#This Row],[Proposed Fixture Quantity]]*ReviewCalcs[[#This Row],[Proposed Fixture Watts]]/1000)*ReviewCalcs[[#This Row],[AOH]]*ReviewCalcs[[#This Row],[IEFE]]*ReviewCalcs[[#This Row],[Existing PAF]], 0)</f>
        <v>0</v>
      </c>
      <c r="AM1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6" s="118">
        <f>ReviewCalcs[[#This Row],[Fixture Existing Energy (kWh)]]*Avg_KWh_Rate</f>
        <v>0</v>
      </c>
      <c r="AO116" s="118">
        <f>ReviewCalcs[[#This Row],[Fixture Proposed Energy (kWh)]]*Avg_KWh_Rate</f>
        <v>0</v>
      </c>
      <c r="AP116" s="70">
        <f>ReviewCalcs[[#This Row],[Fixture Energy Savings]]*Avg_KWh_Rate</f>
        <v>0</v>
      </c>
      <c r="AQ116" s="129" t="e">
        <f>ReviewCalcs[[#This Row],[Existing Fixture Quantity]]*ReviewCalcs[[#This Row],[Existing Fixture Watts]]/1000*ReviewCalcs[[#This Row],[Existing CF]]*ReviewCalcs[[#This Row],[IEFD]]</f>
        <v>#VALUE!</v>
      </c>
      <c r="AR116" s="129" t="e">
        <f>ReviewCalcs[[#This Row],[Proposed Fixture Quantity]]*ReviewCalcs[[#This Row],[Proposed Fixture Watts]]/1000*ReviewCalcs[[#This Row],[Proposed CF]]*ReviewCalcs[[#This Row],[IEFD]]</f>
        <v>#VALUE!</v>
      </c>
      <c r="AS116" s="118">
        <f>IF(ReviewCalcs[[#This Row],[Existing CF]]=ReviewCalcs[[#This Row],[Proposed CF]], 0, ReviewCalcs[[#This Row],[Proposed Fixture Quantity]]*ReviewCalcs[[#This Row],[Proposed Fixture Watts]]/1000*ReviewCalcs[[#This Row],[Proposed CF]]*ReviewCalcs[[#This Row],[IEFD]])</f>
        <v>0</v>
      </c>
      <c r="AT116" s="118">
        <f>IFERROR(ReviewCalcs[[#This Row],[Existing Fixture Quantity]]*ReviewCalcs[[#This Row],[Existing Fixture Watts]]/1000*ReviewCalcs[[#This Row],[Existing PAF]]*ReviewCalcs[[#This Row],[AOH]]*ReviewCalcs[[#This Row],[IEFE]], 0)</f>
        <v>0</v>
      </c>
      <c r="AU116" s="118">
        <f>IFERROR(ReviewCalcs[[#This Row],[Proposed Fixture Quantity]]*ReviewCalcs[[#This Row],[Proposed Fixture Watts]]/1000*ReviewCalcs[[#This Row],[Proposed PAF]]*ReviewCalcs[[#This Row],[AOH]]*ReviewCalcs[[#This Row],[IEFE]], 0)</f>
        <v>0</v>
      </c>
      <c r="AV116" s="118">
        <f>IFERROR(ReviewCalcs[[#This Row],[Proposed Fixture Quantity]]*ReviewCalcs[[#This Row],[Proposed Fixture Watts]]/1000*(ReviewCalcs[[#This Row],[Existing PAF]]-ReviewCalcs[[#This Row],[Proposed PAF]])*ReviewCalcs[[#This Row],[AOH]]*ReviewCalcs[[#This Row],[IEFE]], 0)</f>
        <v>0</v>
      </c>
      <c r="AW116" s="118">
        <f>ReviewCalcs[[#This Row],[Control Existing Energy (kWh)]]*kWh_Incentive_Rate</f>
        <v>0</v>
      </c>
      <c r="AX116" s="118">
        <f>ReviewCalcs[[#This Row],[Control Proposed Energy (kWh)]]*kWh_Incentive_Rate</f>
        <v>0</v>
      </c>
      <c r="AY116" s="70">
        <f>ReviewCalcs[[#This Row],[Control Energy Savings (kWh)]]*kWh_Incentive_Rate</f>
        <v>0</v>
      </c>
      <c r="AZ116" s="70" t="e">
        <f>ReviewCalcs[[#This Row],[Fixture Existing Demand (kW)]]+ReviewCalcs[[#This Row],[Control Existing Demand (kW)]]</f>
        <v>#VALUE!</v>
      </c>
      <c r="BA116" s="70" t="e">
        <f>ReviewCalcs[[#This Row],[Fixture Proposed Demand (kW)]]+ReviewCalcs[[#This Row],[Control Proposed Demand (kW)]]</f>
        <v>#VALUE!</v>
      </c>
      <c r="BB116" s="118">
        <f>ReviewCalcs[[#This Row],[Fixture Demand Savings (kW)]]+ReviewCalcs[[#This Row],[Control Demand Savings (kW)]]</f>
        <v>0</v>
      </c>
      <c r="BC116" s="118">
        <f>ReviewCalcs[[#This Row],[Fixture Existing Energy (kWh)]]+ReviewCalcs[[#This Row],[Control Existing Energy (kWh)]]</f>
        <v>0</v>
      </c>
      <c r="BD116" s="118">
        <f>ReviewCalcs[[#This Row],[Fixture Proposed Energy (kWh)]]+ReviewCalcs[[#This Row],[Control Proposed Energy (kWh)]]</f>
        <v>0</v>
      </c>
      <c r="BE116" s="118">
        <f>ReviewCalcs[[#This Row],[Fixture Energy Savings]]+ReviewCalcs[[#This Row],[Control Energy Savings (kWh)]]</f>
        <v>0</v>
      </c>
      <c r="BF116" s="118">
        <f>ReviewCalcs[[#This Row],[Fixture Existing Cost ($)]]+ReviewCalcs[[#This Row],[Control Existing Cost ($)]]</f>
        <v>0</v>
      </c>
      <c r="BG116" s="118">
        <f>ReviewCalcs[[#This Row],[Fixture Proposed Cost ($)]]+ReviewCalcs[[#This Row],[Controls Proposed Cost ($)]]</f>
        <v>0</v>
      </c>
      <c r="BH116" s="70">
        <f>ReviewCalcs[[#This Row],[Total Energy Savings (kWh)]]*Avg_KWh_Rate</f>
        <v>0</v>
      </c>
      <c r="BI1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6" s="70">
        <f>ReviewCalcs[[#This Row],[Retrofit Cost]]</f>
        <v>0</v>
      </c>
      <c r="BK116" s="70">
        <f>ReviewCalcs[[#This Row],[Retrofit Cost]]-ReviewCalcs[[#This Row],[Incentive ($)]]</f>
        <v>0</v>
      </c>
      <c r="BL116" s="118" t="e">
        <f>IFERROR(ReviewCalcs[[#This Row],[Net Project Cost ($)]]/ReviewCalcs[[#This Row],[Fixture Energy Cost Savings ($)]], #N/A)</f>
        <v>#N/A</v>
      </c>
      <c r="BM116" s="118" t="e">
        <f>IF(VLOOKUP(ReviewCalcs[[#This Row],[Existing Fixture Code]], Table7[[FIXTURE CODE]:[Baseline Fixture Code]], 8, FALSE)="N", VLOOKUP(ReviewCalcs[[#This Row],[Existing Fixture Code]], Table7[[FIXTURE CODE]:[Baseline Fixture Code]], 9, FALSE), ReviewCalcs[[#This Row],[Existing Fixture Code]])</f>
        <v>#N/A</v>
      </c>
      <c r="BN116" s="118" t="e">
        <f>INDEX(Table7[WATT/ FIXT], MATCH(ReviewCalcs[Baseline Fixture Code], Table7[FIXTURE CODE], 0))</f>
        <v>#N/A</v>
      </c>
      <c r="BO116" s="118">
        <f>IFERROR((ReviewCalcs[[#This Row],[Existing Fixture Quantity]]*ReviewCalcs[[#This Row],[Baseline Fixture Watts]]/1000-ReviewCalcs[[#This Row],[Proposed Fixture Quantity]]*ReviewCalcs[[#This Row],[Proposed Fixture Watts]]/1000)*ReviewCalcs[[#This Row],[Existing CF]]*ReviewCalcs[[#This Row],[IEFD]], 0)</f>
        <v>0</v>
      </c>
      <c r="BP1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6" s="118">
        <f>IF(ReviewCalcs[[#This Row],[Existing CF]]=ReviewCalcs[[#This Row],[Proposed CF]], 0, ReviewCalcs[[#This Row],[Proposed Fixture Quantity]]*ReviewCalcs[[#This Row],[Proposed Fixture Watts]]/1000*ReviewCalcs[[#This Row],[Proposed CF]]*ReviewCalcs[[#This Row],[IEFD]])</f>
        <v>0</v>
      </c>
      <c r="BR116" s="118">
        <f>IFERROR(ReviewCalcs[[#This Row],[Proposed Fixture Quantity]]*ReviewCalcs[[#This Row],[Proposed Fixture Watts]]/1000*(ReviewCalcs[[#This Row],[Existing PAF]]-ReviewCalcs[[#This Row],[Proposed PAF]])*ReviewCalcs[[#This Row],[AOH]]*ReviewCalcs[[#This Row],[IEFE]],0)</f>
        <v>0</v>
      </c>
      <c r="BS116" s="118">
        <f>ReviewCalcs[[#This Row],[Incentive Fixture Demand Savings (kW)]]+ReviewCalcs[[#This Row],[Incentive Control Demand Savings (kW)]]</f>
        <v>0</v>
      </c>
      <c r="BT116" s="118">
        <f>ReviewCalcs[[#This Row],[Incentive Fixture Energy Savings (kWh)]]+ReviewCalcs[[#This Row],[Incentive Control Energy Savings (kWh)]]</f>
        <v>0</v>
      </c>
      <c r="BU116" s="73"/>
    </row>
    <row r="117" spans="1:73" ht="30" customHeight="1">
      <c r="A117" s="68">
        <v>114</v>
      </c>
      <c r="B117" s="96">
        <f>VLOOKUP(ReviewCalcs[[#This Row],[Project Index]], ProjectInput[], D$1, FALSE)</f>
        <v>0</v>
      </c>
      <c r="C117" s="97">
        <f>VLOOKUP(ReviewCalcs[[#This Row],[Project Index]], ProjectInput[], E$1, FALSE)</f>
        <v>0</v>
      </c>
      <c r="D117" s="97">
        <f>VLOOKUP(ReviewCalcs[[#This Row],[Project Index]], ProjectInput[], F$1, FALSE)</f>
        <v>0</v>
      </c>
      <c r="E117" s="97">
        <f>VLOOKUP(ReviewCalcs[[#This Row],[Project Index]], ProjectInput[], G$1, FALSE)</f>
        <v>0</v>
      </c>
      <c r="F117" s="97">
        <f>VLOOKUP(ReviewCalcs[[#This Row],[Project Index]], ProjectInput[], H$1, FALSE)</f>
        <v>0</v>
      </c>
      <c r="G117" s="98" t="str">
        <f>VLOOKUP(ReviewCalcs[[#This Row],[Project Index]], ProjectInput[], I$1, FALSE)</f>
        <v/>
      </c>
      <c r="H117" s="96">
        <f>VLOOKUP(ReviewCalcs[[#This Row],[Project Index]], ProjectInput[], J$1, FALSE)</f>
        <v>0</v>
      </c>
      <c r="I117" s="97">
        <f>VLOOKUP(ReviewCalcs[[#This Row],[Project Index]], ProjectInput[], K$1, FALSE)</f>
        <v>0</v>
      </c>
      <c r="J117" s="97">
        <f>VLOOKUP(ReviewCalcs[[#This Row],[Project Index]], ProjectInput[], L$1, FALSE)</f>
        <v>0</v>
      </c>
      <c r="K117" s="97">
        <f>VLOOKUP(ReviewCalcs[[#This Row],[Project Index]], ProjectInput[], M$1, FALSE)</f>
        <v>0</v>
      </c>
      <c r="L117" s="97">
        <f>VLOOKUP(ReviewCalcs[[#This Row],[Project Index]], ProjectInput[], N$1, FALSE)</f>
        <v>0</v>
      </c>
      <c r="M117" s="98" t="str">
        <f>VLOOKUP(ReviewCalcs[[#This Row],[Project Index]], ProjectInput[], O$1, FALSE)</f>
        <v/>
      </c>
      <c r="N117" s="96">
        <f>VLOOKUP(ReviewCalcs[[#This Row],[Project Index]], ProjectInput[], P$1, FALSE)</f>
        <v>0</v>
      </c>
      <c r="O117" s="97">
        <f>VLOOKUP(ReviewCalcs[[#This Row],[Project Index]], ProjectInput[], Q$1, FALSE)</f>
        <v>0</v>
      </c>
      <c r="P117" s="97">
        <f>VLOOKUP(ReviewCalcs[[#This Row],[Project Index]], ProjectInput[], R$1, FALSE)</f>
        <v>0</v>
      </c>
      <c r="Q117" s="97">
        <f>VLOOKUP(ReviewCalcs[[#This Row],[Project Index]], ProjectInput[], S$1, FALSE)</f>
        <v>0</v>
      </c>
      <c r="R117" s="97">
        <f>VLOOKUP(ReviewCalcs[[#This Row],[Project Index]], ProjectInput[], T$1, FALSE)</f>
        <v>0</v>
      </c>
      <c r="S117" s="97">
        <f>VLOOKUP(ReviewCalcs[[#This Row],[Project Index]], ProjectInput[], U$1, FALSE)</f>
        <v>0</v>
      </c>
      <c r="T117" s="97">
        <f>VLOOKUP(ReviewCalcs[[#This Row],[Project Index]], ProjectInput[], V$1, FALSE)</f>
        <v>0</v>
      </c>
      <c r="U117" s="97">
        <f>VLOOKUP(ReviewCalcs[[#This Row],[Project Index]], ProjectInput[], W$1, FALSE)</f>
        <v>0</v>
      </c>
      <c r="V117" s="98" t="str">
        <f>VLOOKUP(ReviewCalcs[[#This Row],[Project Index]], ProjectInput[], X$1, FALSE)</f>
        <v/>
      </c>
      <c r="W1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7" s="75" t="e">
        <f>IF(VLOOKUP(ReviewCalcs[[#This Row],[Proposed Fixture Code]], Table7[[FIXTURE CODE]:[Baseline Fixture Code]], 8, FALSE)="N", "ERROR", "PASS")</f>
        <v>#N/A</v>
      </c>
      <c r="Y1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7" s="75" t="e">
        <f>IF(OR(ReviewCalcs[[#This Row],[Baseline Fixture Watts]]&gt;=ReviewCalcs[[#This Row],[Proposed Fixture Watts]],ReviewCalcs[[#This Row],[Existing Fixture Watts]]&gt;=ReviewCalcs[[#This Row],[Proposed Fixture Watts]] ), "PASS", "ERROR")</f>
        <v>#N/A</v>
      </c>
      <c r="AA117" s="69" t="e">
        <f>VLOOKUP(ReviewCalcs[[#This Row],[Space Conditions]], Table_365[], 5, FALSE)</f>
        <v>#N/A</v>
      </c>
      <c r="AB117" s="68" t="str">
        <f>ReviewCalcs[[#This Row],[Annual Hours]]</f>
        <v/>
      </c>
      <c r="AC117" s="68" t="e">
        <f>VLOOKUP(ReviewCalcs[[#This Row],[Space Conditions]], Table_365[], 6, FALSE)</f>
        <v>#N/A</v>
      </c>
      <c r="AD117" s="68">
        <f>IF(ReviewCalcs[[#This Row],[Existing Control(s)]]='Tables &amp; Ranges'!$A$25, VLOOKUP(ReviewCalcs[[#This Row],[Building/Space Type]], Table_364[], 3, FALSE), CF_Contols)</f>
        <v>0.26</v>
      </c>
      <c r="AE117" s="68" t="e">
        <f>VLOOKUP(ReviewCalcs[[#This Row],[Existing Control(s)]], Table_358[], 2, FALSE)</f>
        <v>#N/A</v>
      </c>
      <c r="AF117" s="68">
        <f>IF(ReviewCalcs[[#This Row],[Proposed Control(s)]]='Tables &amp; Ranges'!$A$25, VLOOKUP(ReviewCalcs[[#This Row],[Building/Space Type]], Table_364[], 3, FALSE), CF_Contols)</f>
        <v>0.26</v>
      </c>
      <c r="AG117" s="68" t="e">
        <f>VLOOKUP(ReviewCalcs[[#This Row],[Proposed Control(s)]], Table_358[], 2, FALSE)</f>
        <v>#N/A</v>
      </c>
      <c r="AH117" s="68">
        <f>IFERROR((ReviewCalcs[[#This Row],[Existing Fixture Quantity]]*ReviewCalcs[[#This Row],[Existing Fixture Watts]]/1000)*ReviewCalcs[[#This Row],[Existing CF]]*ReviewCalcs[[#This Row],[IEFD]], 0)</f>
        <v>0</v>
      </c>
      <c r="AI117" s="68">
        <f>IFERROR((ReviewCalcs[[#This Row],[Proposed Fixture Quantity]]*ReviewCalcs[[#This Row],[Proposed Fixture Watts]]/1000)*ReviewCalcs[[#This Row],[Existing CF]]*ReviewCalcs[[#This Row],[IEFD]], 0)</f>
        <v>0</v>
      </c>
      <c r="AJ117" s="118">
        <f>IFERROR((ReviewCalcs[[#This Row],[Existing Fixture Quantity]]*ReviewCalcs[[#This Row],[Existing Fixture Watts]]/1000-ReviewCalcs[[#This Row],[Proposed Fixture Quantity]]*ReviewCalcs[[#This Row],[Proposed Fixture Watts]]/1000)*ReviewCalcs[[#This Row],[Existing CF]]*ReviewCalcs[[#This Row],[IEFD]], 0)</f>
        <v>0</v>
      </c>
      <c r="AK117" s="118">
        <f>IFERROR((ReviewCalcs[[#This Row],[Existing Fixture Quantity]]*ReviewCalcs[[#This Row],[Existing Fixture Watts]]/1000)*ReviewCalcs[[#This Row],[AOH]]*ReviewCalcs[[#This Row],[IEFE]]*ReviewCalcs[[#This Row],[Existing PAF]], 0)</f>
        <v>0</v>
      </c>
      <c r="AL117" s="118">
        <f>IFERROR((ReviewCalcs[[#This Row],[Proposed Fixture Quantity]]*ReviewCalcs[[#This Row],[Proposed Fixture Watts]]/1000)*ReviewCalcs[[#This Row],[AOH]]*ReviewCalcs[[#This Row],[IEFE]]*ReviewCalcs[[#This Row],[Existing PAF]], 0)</f>
        <v>0</v>
      </c>
      <c r="AM1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7" s="118">
        <f>ReviewCalcs[[#This Row],[Fixture Existing Energy (kWh)]]*Avg_KWh_Rate</f>
        <v>0</v>
      </c>
      <c r="AO117" s="118">
        <f>ReviewCalcs[[#This Row],[Fixture Proposed Energy (kWh)]]*Avg_KWh_Rate</f>
        <v>0</v>
      </c>
      <c r="AP117" s="70">
        <f>ReviewCalcs[[#This Row],[Fixture Energy Savings]]*Avg_KWh_Rate</f>
        <v>0</v>
      </c>
      <c r="AQ117" s="129" t="e">
        <f>ReviewCalcs[[#This Row],[Existing Fixture Quantity]]*ReviewCalcs[[#This Row],[Existing Fixture Watts]]/1000*ReviewCalcs[[#This Row],[Existing CF]]*ReviewCalcs[[#This Row],[IEFD]]</f>
        <v>#VALUE!</v>
      </c>
      <c r="AR117" s="129" t="e">
        <f>ReviewCalcs[[#This Row],[Proposed Fixture Quantity]]*ReviewCalcs[[#This Row],[Proposed Fixture Watts]]/1000*ReviewCalcs[[#This Row],[Proposed CF]]*ReviewCalcs[[#This Row],[IEFD]]</f>
        <v>#VALUE!</v>
      </c>
      <c r="AS117" s="118">
        <f>IF(ReviewCalcs[[#This Row],[Existing CF]]=ReviewCalcs[[#This Row],[Proposed CF]], 0, ReviewCalcs[[#This Row],[Proposed Fixture Quantity]]*ReviewCalcs[[#This Row],[Proposed Fixture Watts]]/1000*ReviewCalcs[[#This Row],[Proposed CF]]*ReviewCalcs[[#This Row],[IEFD]])</f>
        <v>0</v>
      </c>
      <c r="AT117" s="118">
        <f>IFERROR(ReviewCalcs[[#This Row],[Existing Fixture Quantity]]*ReviewCalcs[[#This Row],[Existing Fixture Watts]]/1000*ReviewCalcs[[#This Row],[Existing PAF]]*ReviewCalcs[[#This Row],[AOH]]*ReviewCalcs[[#This Row],[IEFE]], 0)</f>
        <v>0</v>
      </c>
      <c r="AU117" s="118">
        <f>IFERROR(ReviewCalcs[[#This Row],[Proposed Fixture Quantity]]*ReviewCalcs[[#This Row],[Proposed Fixture Watts]]/1000*ReviewCalcs[[#This Row],[Proposed PAF]]*ReviewCalcs[[#This Row],[AOH]]*ReviewCalcs[[#This Row],[IEFE]], 0)</f>
        <v>0</v>
      </c>
      <c r="AV117" s="118">
        <f>IFERROR(ReviewCalcs[[#This Row],[Proposed Fixture Quantity]]*ReviewCalcs[[#This Row],[Proposed Fixture Watts]]/1000*(ReviewCalcs[[#This Row],[Existing PAF]]-ReviewCalcs[[#This Row],[Proposed PAF]])*ReviewCalcs[[#This Row],[AOH]]*ReviewCalcs[[#This Row],[IEFE]], 0)</f>
        <v>0</v>
      </c>
      <c r="AW117" s="118">
        <f>ReviewCalcs[[#This Row],[Control Existing Energy (kWh)]]*kWh_Incentive_Rate</f>
        <v>0</v>
      </c>
      <c r="AX117" s="118">
        <f>ReviewCalcs[[#This Row],[Control Proposed Energy (kWh)]]*kWh_Incentive_Rate</f>
        <v>0</v>
      </c>
      <c r="AY117" s="70">
        <f>ReviewCalcs[[#This Row],[Control Energy Savings (kWh)]]*kWh_Incentive_Rate</f>
        <v>0</v>
      </c>
      <c r="AZ117" s="70" t="e">
        <f>ReviewCalcs[[#This Row],[Fixture Existing Demand (kW)]]+ReviewCalcs[[#This Row],[Control Existing Demand (kW)]]</f>
        <v>#VALUE!</v>
      </c>
      <c r="BA117" s="70" t="e">
        <f>ReviewCalcs[[#This Row],[Fixture Proposed Demand (kW)]]+ReviewCalcs[[#This Row],[Control Proposed Demand (kW)]]</f>
        <v>#VALUE!</v>
      </c>
      <c r="BB117" s="118">
        <f>ReviewCalcs[[#This Row],[Fixture Demand Savings (kW)]]+ReviewCalcs[[#This Row],[Control Demand Savings (kW)]]</f>
        <v>0</v>
      </c>
      <c r="BC117" s="118">
        <f>ReviewCalcs[[#This Row],[Fixture Existing Energy (kWh)]]+ReviewCalcs[[#This Row],[Control Existing Energy (kWh)]]</f>
        <v>0</v>
      </c>
      <c r="BD117" s="118">
        <f>ReviewCalcs[[#This Row],[Fixture Proposed Energy (kWh)]]+ReviewCalcs[[#This Row],[Control Proposed Energy (kWh)]]</f>
        <v>0</v>
      </c>
      <c r="BE117" s="118">
        <f>ReviewCalcs[[#This Row],[Fixture Energy Savings]]+ReviewCalcs[[#This Row],[Control Energy Savings (kWh)]]</f>
        <v>0</v>
      </c>
      <c r="BF117" s="118">
        <f>ReviewCalcs[[#This Row],[Fixture Existing Cost ($)]]+ReviewCalcs[[#This Row],[Control Existing Cost ($)]]</f>
        <v>0</v>
      </c>
      <c r="BG117" s="118">
        <f>ReviewCalcs[[#This Row],[Fixture Proposed Cost ($)]]+ReviewCalcs[[#This Row],[Controls Proposed Cost ($)]]</f>
        <v>0</v>
      </c>
      <c r="BH117" s="70">
        <f>ReviewCalcs[[#This Row],[Total Energy Savings (kWh)]]*Avg_KWh_Rate</f>
        <v>0</v>
      </c>
      <c r="BI1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7" s="70">
        <f>ReviewCalcs[[#This Row],[Retrofit Cost]]</f>
        <v>0</v>
      </c>
      <c r="BK117" s="70">
        <f>ReviewCalcs[[#This Row],[Retrofit Cost]]-ReviewCalcs[[#This Row],[Incentive ($)]]</f>
        <v>0</v>
      </c>
      <c r="BL117" s="118" t="e">
        <f>IFERROR(ReviewCalcs[[#This Row],[Net Project Cost ($)]]/ReviewCalcs[[#This Row],[Fixture Energy Cost Savings ($)]], #N/A)</f>
        <v>#N/A</v>
      </c>
      <c r="BM117" s="118" t="e">
        <f>IF(VLOOKUP(ReviewCalcs[[#This Row],[Existing Fixture Code]], Table7[[FIXTURE CODE]:[Baseline Fixture Code]], 8, FALSE)="N", VLOOKUP(ReviewCalcs[[#This Row],[Existing Fixture Code]], Table7[[FIXTURE CODE]:[Baseline Fixture Code]], 9, FALSE), ReviewCalcs[[#This Row],[Existing Fixture Code]])</f>
        <v>#N/A</v>
      </c>
      <c r="BN117" s="118" t="e">
        <f>INDEX(Table7[WATT/ FIXT], MATCH(ReviewCalcs[Baseline Fixture Code], Table7[FIXTURE CODE], 0))</f>
        <v>#N/A</v>
      </c>
      <c r="BO117" s="118">
        <f>IFERROR((ReviewCalcs[[#This Row],[Existing Fixture Quantity]]*ReviewCalcs[[#This Row],[Baseline Fixture Watts]]/1000-ReviewCalcs[[#This Row],[Proposed Fixture Quantity]]*ReviewCalcs[[#This Row],[Proposed Fixture Watts]]/1000)*ReviewCalcs[[#This Row],[Existing CF]]*ReviewCalcs[[#This Row],[IEFD]], 0)</f>
        <v>0</v>
      </c>
      <c r="BP1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7" s="118">
        <f>IF(ReviewCalcs[[#This Row],[Existing CF]]=ReviewCalcs[[#This Row],[Proposed CF]], 0, ReviewCalcs[[#This Row],[Proposed Fixture Quantity]]*ReviewCalcs[[#This Row],[Proposed Fixture Watts]]/1000*ReviewCalcs[[#This Row],[Proposed CF]]*ReviewCalcs[[#This Row],[IEFD]])</f>
        <v>0</v>
      </c>
      <c r="BR117" s="118">
        <f>IFERROR(ReviewCalcs[[#This Row],[Proposed Fixture Quantity]]*ReviewCalcs[[#This Row],[Proposed Fixture Watts]]/1000*(ReviewCalcs[[#This Row],[Existing PAF]]-ReviewCalcs[[#This Row],[Proposed PAF]])*ReviewCalcs[[#This Row],[AOH]]*ReviewCalcs[[#This Row],[IEFE]],0)</f>
        <v>0</v>
      </c>
      <c r="BS117" s="118">
        <f>ReviewCalcs[[#This Row],[Incentive Fixture Demand Savings (kW)]]+ReviewCalcs[[#This Row],[Incentive Control Demand Savings (kW)]]</f>
        <v>0</v>
      </c>
      <c r="BT117" s="118">
        <f>ReviewCalcs[[#This Row],[Incentive Fixture Energy Savings (kWh)]]+ReviewCalcs[[#This Row],[Incentive Control Energy Savings (kWh)]]</f>
        <v>0</v>
      </c>
      <c r="BU117" s="73"/>
    </row>
    <row r="118" spans="1:73" ht="30" customHeight="1">
      <c r="A118" s="68">
        <v>115</v>
      </c>
      <c r="B118" s="96">
        <f>VLOOKUP(ReviewCalcs[[#This Row],[Project Index]], ProjectInput[], D$1, FALSE)</f>
        <v>0</v>
      </c>
      <c r="C118" s="97">
        <f>VLOOKUP(ReviewCalcs[[#This Row],[Project Index]], ProjectInput[], E$1, FALSE)</f>
        <v>0</v>
      </c>
      <c r="D118" s="97">
        <f>VLOOKUP(ReviewCalcs[[#This Row],[Project Index]], ProjectInput[], F$1, FALSE)</f>
        <v>0</v>
      </c>
      <c r="E118" s="97">
        <f>VLOOKUP(ReviewCalcs[[#This Row],[Project Index]], ProjectInput[], G$1, FALSE)</f>
        <v>0</v>
      </c>
      <c r="F118" s="97">
        <f>VLOOKUP(ReviewCalcs[[#This Row],[Project Index]], ProjectInput[], H$1, FALSE)</f>
        <v>0</v>
      </c>
      <c r="G118" s="98" t="str">
        <f>VLOOKUP(ReviewCalcs[[#This Row],[Project Index]], ProjectInput[], I$1, FALSE)</f>
        <v/>
      </c>
      <c r="H118" s="96">
        <f>VLOOKUP(ReviewCalcs[[#This Row],[Project Index]], ProjectInput[], J$1, FALSE)</f>
        <v>0</v>
      </c>
      <c r="I118" s="97">
        <f>VLOOKUP(ReviewCalcs[[#This Row],[Project Index]], ProjectInput[], K$1, FALSE)</f>
        <v>0</v>
      </c>
      <c r="J118" s="97">
        <f>VLOOKUP(ReviewCalcs[[#This Row],[Project Index]], ProjectInput[], L$1, FALSE)</f>
        <v>0</v>
      </c>
      <c r="K118" s="97">
        <f>VLOOKUP(ReviewCalcs[[#This Row],[Project Index]], ProjectInput[], M$1, FALSE)</f>
        <v>0</v>
      </c>
      <c r="L118" s="97">
        <f>VLOOKUP(ReviewCalcs[[#This Row],[Project Index]], ProjectInput[], N$1, FALSE)</f>
        <v>0</v>
      </c>
      <c r="M118" s="98" t="str">
        <f>VLOOKUP(ReviewCalcs[[#This Row],[Project Index]], ProjectInput[], O$1, FALSE)</f>
        <v/>
      </c>
      <c r="N118" s="96">
        <f>VLOOKUP(ReviewCalcs[[#This Row],[Project Index]], ProjectInput[], P$1, FALSE)</f>
        <v>0</v>
      </c>
      <c r="O118" s="97">
        <f>VLOOKUP(ReviewCalcs[[#This Row],[Project Index]], ProjectInput[], Q$1, FALSE)</f>
        <v>0</v>
      </c>
      <c r="P118" s="97">
        <f>VLOOKUP(ReviewCalcs[[#This Row],[Project Index]], ProjectInput[], R$1, FALSE)</f>
        <v>0</v>
      </c>
      <c r="Q118" s="97">
        <f>VLOOKUP(ReviewCalcs[[#This Row],[Project Index]], ProjectInput[], S$1, FALSE)</f>
        <v>0</v>
      </c>
      <c r="R118" s="97">
        <f>VLOOKUP(ReviewCalcs[[#This Row],[Project Index]], ProjectInput[], T$1, FALSE)</f>
        <v>0</v>
      </c>
      <c r="S118" s="97">
        <f>VLOOKUP(ReviewCalcs[[#This Row],[Project Index]], ProjectInput[], U$1, FALSE)</f>
        <v>0</v>
      </c>
      <c r="T118" s="97">
        <f>VLOOKUP(ReviewCalcs[[#This Row],[Project Index]], ProjectInput[], V$1, FALSE)</f>
        <v>0</v>
      </c>
      <c r="U118" s="97">
        <f>VLOOKUP(ReviewCalcs[[#This Row],[Project Index]], ProjectInput[], W$1, FALSE)</f>
        <v>0</v>
      </c>
      <c r="V118" s="98" t="str">
        <f>VLOOKUP(ReviewCalcs[[#This Row],[Project Index]], ProjectInput[], X$1, FALSE)</f>
        <v/>
      </c>
      <c r="W1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8" s="75" t="e">
        <f>IF(VLOOKUP(ReviewCalcs[[#This Row],[Proposed Fixture Code]], Table7[[FIXTURE CODE]:[Baseline Fixture Code]], 8, FALSE)="N", "ERROR", "PASS")</f>
        <v>#N/A</v>
      </c>
      <c r="Y1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8" s="75" t="e">
        <f>IF(OR(ReviewCalcs[[#This Row],[Baseline Fixture Watts]]&gt;=ReviewCalcs[[#This Row],[Proposed Fixture Watts]],ReviewCalcs[[#This Row],[Existing Fixture Watts]]&gt;=ReviewCalcs[[#This Row],[Proposed Fixture Watts]] ), "PASS", "ERROR")</f>
        <v>#N/A</v>
      </c>
      <c r="AA118" s="69" t="e">
        <f>VLOOKUP(ReviewCalcs[[#This Row],[Space Conditions]], Table_365[], 5, FALSE)</f>
        <v>#N/A</v>
      </c>
      <c r="AB118" s="68" t="str">
        <f>ReviewCalcs[[#This Row],[Annual Hours]]</f>
        <v/>
      </c>
      <c r="AC118" s="68" t="e">
        <f>VLOOKUP(ReviewCalcs[[#This Row],[Space Conditions]], Table_365[], 6, FALSE)</f>
        <v>#N/A</v>
      </c>
      <c r="AD118" s="68">
        <f>IF(ReviewCalcs[[#This Row],[Existing Control(s)]]='Tables &amp; Ranges'!$A$25, VLOOKUP(ReviewCalcs[[#This Row],[Building/Space Type]], Table_364[], 3, FALSE), CF_Contols)</f>
        <v>0.26</v>
      </c>
      <c r="AE118" s="68" t="e">
        <f>VLOOKUP(ReviewCalcs[[#This Row],[Existing Control(s)]], Table_358[], 2, FALSE)</f>
        <v>#N/A</v>
      </c>
      <c r="AF118" s="68">
        <f>IF(ReviewCalcs[[#This Row],[Proposed Control(s)]]='Tables &amp; Ranges'!$A$25, VLOOKUP(ReviewCalcs[[#This Row],[Building/Space Type]], Table_364[], 3, FALSE), CF_Contols)</f>
        <v>0.26</v>
      </c>
      <c r="AG118" s="68" t="e">
        <f>VLOOKUP(ReviewCalcs[[#This Row],[Proposed Control(s)]], Table_358[], 2, FALSE)</f>
        <v>#N/A</v>
      </c>
      <c r="AH118" s="68">
        <f>IFERROR((ReviewCalcs[[#This Row],[Existing Fixture Quantity]]*ReviewCalcs[[#This Row],[Existing Fixture Watts]]/1000)*ReviewCalcs[[#This Row],[Existing CF]]*ReviewCalcs[[#This Row],[IEFD]], 0)</f>
        <v>0</v>
      </c>
      <c r="AI118" s="68">
        <f>IFERROR((ReviewCalcs[[#This Row],[Proposed Fixture Quantity]]*ReviewCalcs[[#This Row],[Proposed Fixture Watts]]/1000)*ReviewCalcs[[#This Row],[Existing CF]]*ReviewCalcs[[#This Row],[IEFD]], 0)</f>
        <v>0</v>
      </c>
      <c r="AJ118" s="118">
        <f>IFERROR((ReviewCalcs[[#This Row],[Existing Fixture Quantity]]*ReviewCalcs[[#This Row],[Existing Fixture Watts]]/1000-ReviewCalcs[[#This Row],[Proposed Fixture Quantity]]*ReviewCalcs[[#This Row],[Proposed Fixture Watts]]/1000)*ReviewCalcs[[#This Row],[Existing CF]]*ReviewCalcs[[#This Row],[IEFD]], 0)</f>
        <v>0</v>
      </c>
      <c r="AK118" s="118">
        <f>IFERROR((ReviewCalcs[[#This Row],[Existing Fixture Quantity]]*ReviewCalcs[[#This Row],[Existing Fixture Watts]]/1000)*ReviewCalcs[[#This Row],[AOH]]*ReviewCalcs[[#This Row],[IEFE]]*ReviewCalcs[[#This Row],[Existing PAF]], 0)</f>
        <v>0</v>
      </c>
      <c r="AL118" s="118">
        <f>IFERROR((ReviewCalcs[[#This Row],[Proposed Fixture Quantity]]*ReviewCalcs[[#This Row],[Proposed Fixture Watts]]/1000)*ReviewCalcs[[#This Row],[AOH]]*ReviewCalcs[[#This Row],[IEFE]]*ReviewCalcs[[#This Row],[Existing PAF]], 0)</f>
        <v>0</v>
      </c>
      <c r="AM1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8" s="118">
        <f>ReviewCalcs[[#This Row],[Fixture Existing Energy (kWh)]]*Avg_KWh_Rate</f>
        <v>0</v>
      </c>
      <c r="AO118" s="118">
        <f>ReviewCalcs[[#This Row],[Fixture Proposed Energy (kWh)]]*Avg_KWh_Rate</f>
        <v>0</v>
      </c>
      <c r="AP118" s="70">
        <f>ReviewCalcs[[#This Row],[Fixture Energy Savings]]*Avg_KWh_Rate</f>
        <v>0</v>
      </c>
      <c r="AQ118" s="129" t="e">
        <f>ReviewCalcs[[#This Row],[Existing Fixture Quantity]]*ReviewCalcs[[#This Row],[Existing Fixture Watts]]/1000*ReviewCalcs[[#This Row],[Existing CF]]*ReviewCalcs[[#This Row],[IEFD]]</f>
        <v>#VALUE!</v>
      </c>
      <c r="AR118" s="129" t="e">
        <f>ReviewCalcs[[#This Row],[Proposed Fixture Quantity]]*ReviewCalcs[[#This Row],[Proposed Fixture Watts]]/1000*ReviewCalcs[[#This Row],[Proposed CF]]*ReviewCalcs[[#This Row],[IEFD]]</f>
        <v>#VALUE!</v>
      </c>
      <c r="AS118" s="118">
        <f>IF(ReviewCalcs[[#This Row],[Existing CF]]=ReviewCalcs[[#This Row],[Proposed CF]], 0, ReviewCalcs[[#This Row],[Proposed Fixture Quantity]]*ReviewCalcs[[#This Row],[Proposed Fixture Watts]]/1000*ReviewCalcs[[#This Row],[Proposed CF]]*ReviewCalcs[[#This Row],[IEFD]])</f>
        <v>0</v>
      </c>
      <c r="AT118" s="118">
        <f>IFERROR(ReviewCalcs[[#This Row],[Existing Fixture Quantity]]*ReviewCalcs[[#This Row],[Existing Fixture Watts]]/1000*ReviewCalcs[[#This Row],[Existing PAF]]*ReviewCalcs[[#This Row],[AOH]]*ReviewCalcs[[#This Row],[IEFE]], 0)</f>
        <v>0</v>
      </c>
      <c r="AU118" s="118">
        <f>IFERROR(ReviewCalcs[[#This Row],[Proposed Fixture Quantity]]*ReviewCalcs[[#This Row],[Proposed Fixture Watts]]/1000*ReviewCalcs[[#This Row],[Proposed PAF]]*ReviewCalcs[[#This Row],[AOH]]*ReviewCalcs[[#This Row],[IEFE]], 0)</f>
        <v>0</v>
      </c>
      <c r="AV118" s="118">
        <f>IFERROR(ReviewCalcs[[#This Row],[Proposed Fixture Quantity]]*ReviewCalcs[[#This Row],[Proposed Fixture Watts]]/1000*(ReviewCalcs[[#This Row],[Existing PAF]]-ReviewCalcs[[#This Row],[Proposed PAF]])*ReviewCalcs[[#This Row],[AOH]]*ReviewCalcs[[#This Row],[IEFE]], 0)</f>
        <v>0</v>
      </c>
      <c r="AW118" s="118">
        <f>ReviewCalcs[[#This Row],[Control Existing Energy (kWh)]]*kWh_Incentive_Rate</f>
        <v>0</v>
      </c>
      <c r="AX118" s="118">
        <f>ReviewCalcs[[#This Row],[Control Proposed Energy (kWh)]]*kWh_Incentive_Rate</f>
        <v>0</v>
      </c>
      <c r="AY118" s="70">
        <f>ReviewCalcs[[#This Row],[Control Energy Savings (kWh)]]*kWh_Incentive_Rate</f>
        <v>0</v>
      </c>
      <c r="AZ118" s="70" t="e">
        <f>ReviewCalcs[[#This Row],[Fixture Existing Demand (kW)]]+ReviewCalcs[[#This Row],[Control Existing Demand (kW)]]</f>
        <v>#VALUE!</v>
      </c>
      <c r="BA118" s="70" t="e">
        <f>ReviewCalcs[[#This Row],[Fixture Proposed Demand (kW)]]+ReviewCalcs[[#This Row],[Control Proposed Demand (kW)]]</f>
        <v>#VALUE!</v>
      </c>
      <c r="BB118" s="118">
        <f>ReviewCalcs[[#This Row],[Fixture Demand Savings (kW)]]+ReviewCalcs[[#This Row],[Control Demand Savings (kW)]]</f>
        <v>0</v>
      </c>
      <c r="BC118" s="118">
        <f>ReviewCalcs[[#This Row],[Fixture Existing Energy (kWh)]]+ReviewCalcs[[#This Row],[Control Existing Energy (kWh)]]</f>
        <v>0</v>
      </c>
      <c r="BD118" s="118">
        <f>ReviewCalcs[[#This Row],[Fixture Proposed Energy (kWh)]]+ReviewCalcs[[#This Row],[Control Proposed Energy (kWh)]]</f>
        <v>0</v>
      </c>
      <c r="BE118" s="118">
        <f>ReviewCalcs[[#This Row],[Fixture Energy Savings]]+ReviewCalcs[[#This Row],[Control Energy Savings (kWh)]]</f>
        <v>0</v>
      </c>
      <c r="BF118" s="118">
        <f>ReviewCalcs[[#This Row],[Fixture Existing Cost ($)]]+ReviewCalcs[[#This Row],[Control Existing Cost ($)]]</f>
        <v>0</v>
      </c>
      <c r="BG118" s="118">
        <f>ReviewCalcs[[#This Row],[Fixture Proposed Cost ($)]]+ReviewCalcs[[#This Row],[Controls Proposed Cost ($)]]</f>
        <v>0</v>
      </c>
      <c r="BH118" s="70">
        <f>ReviewCalcs[[#This Row],[Total Energy Savings (kWh)]]*Avg_KWh_Rate</f>
        <v>0</v>
      </c>
      <c r="BI1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8" s="70">
        <f>ReviewCalcs[[#This Row],[Retrofit Cost]]</f>
        <v>0</v>
      </c>
      <c r="BK118" s="70">
        <f>ReviewCalcs[[#This Row],[Retrofit Cost]]-ReviewCalcs[[#This Row],[Incentive ($)]]</f>
        <v>0</v>
      </c>
      <c r="BL118" s="118" t="e">
        <f>IFERROR(ReviewCalcs[[#This Row],[Net Project Cost ($)]]/ReviewCalcs[[#This Row],[Fixture Energy Cost Savings ($)]], #N/A)</f>
        <v>#N/A</v>
      </c>
      <c r="BM118" s="118" t="e">
        <f>IF(VLOOKUP(ReviewCalcs[[#This Row],[Existing Fixture Code]], Table7[[FIXTURE CODE]:[Baseline Fixture Code]], 8, FALSE)="N", VLOOKUP(ReviewCalcs[[#This Row],[Existing Fixture Code]], Table7[[FIXTURE CODE]:[Baseline Fixture Code]], 9, FALSE), ReviewCalcs[[#This Row],[Existing Fixture Code]])</f>
        <v>#N/A</v>
      </c>
      <c r="BN118" s="118" t="e">
        <f>INDEX(Table7[WATT/ FIXT], MATCH(ReviewCalcs[Baseline Fixture Code], Table7[FIXTURE CODE], 0))</f>
        <v>#N/A</v>
      </c>
      <c r="BO118" s="118">
        <f>IFERROR((ReviewCalcs[[#This Row],[Existing Fixture Quantity]]*ReviewCalcs[[#This Row],[Baseline Fixture Watts]]/1000-ReviewCalcs[[#This Row],[Proposed Fixture Quantity]]*ReviewCalcs[[#This Row],[Proposed Fixture Watts]]/1000)*ReviewCalcs[[#This Row],[Existing CF]]*ReviewCalcs[[#This Row],[IEFD]], 0)</f>
        <v>0</v>
      </c>
      <c r="BP1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8" s="118">
        <f>IF(ReviewCalcs[[#This Row],[Existing CF]]=ReviewCalcs[[#This Row],[Proposed CF]], 0, ReviewCalcs[[#This Row],[Proposed Fixture Quantity]]*ReviewCalcs[[#This Row],[Proposed Fixture Watts]]/1000*ReviewCalcs[[#This Row],[Proposed CF]]*ReviewCalcs[[#This Row],[IEFD]])</f>
        <v>0</v>
      </c>
      <c r="BR118" s="118">
        <f>IFERROR(ReviewCalcs[[#This Row],[Proposed Fixture Quantity]]*ReviewCalcs[[#This Row],[Proposed Fixture Watts]]/1000*(ReviewCalcs[[#This Row],[Existing PAF]]-ReviewCalcs[[#This Row],[Proposed PAF]])*ReviewCalcs[[#This Row],[AOH]]*ReviewCalcs[[#This Row],[IEFE]],0)</f>
        <v>0</v>
      </c>
      <c r="BS118" s="118">
        <f>ReviewCalcs[[#This Row],[Incentive Fixture Demand Savings (kW)]]+ReviewCalcs[[#This Row],[Incentive Control Demand Savings (kW)]]</f>
        <v>0</v>
      </c>
      <c r="BT118" s="118">
        <f>ReviewCalcs[[#This Row],[Incentive Fixture Energy Savings (kWh)]]+ReviewCalcs[[#This Row],[Incentive Control Energy Savings (kWh)]]</f>
        <v>0</v>
      </c>
      <c r="BU118" s="73"/>
    </row>
    <row r="119" spans="1:73" ht="30" customHeight="1">
      <c r="A119" s="68">
        <v>116</v>
      </c>
      <c r="B119" s="96">
        <f>VLOOKUP(ReviewCalcs[[#This Row],[Project Index]], ProjectInput[], D$1, FALSE)</f>
        <v>0</v>
      </c>
      <c r="C119" s="97">
        <f>VLOOKUP(ReviewCalcs[[#This Row],[Project Index]], ProjectInput[], E$1, FALSE)</f>
        <v>0</v>
      </c>
      <c r="D119" s="97">
        <f>VLOOKUP(ReviewCalcs[[#This Row],[Project Index]], ProjectInput[], F$1, FALSE)</f>
        <v>0</v>
      </c>
      <c r="E119" s="97">
        <f>VLOOKUP(ReviewCalcs[[#This Row],[Project Index]], ProjectInput[], G$1, FALSE)</f>
        <v>0</v>
      </c>
      <c r="F119" s="97">
        <f>VLOOKUP(ReviewCalcs[[#This Row],[Project Index]], ProjectInput[], H$1, FALSE)</f>
        <v>0</v>
      </c>
      <c r="G119" s="98" t="str">
        <f>VLOOKUP(ReviewCalcs[[#This Row],[Project Index]], ProjectInput[], I$1, FALSE)</f>
        <v/>
      </c>
      <c r="H119" s="96">
        <f>VLOOKUP(ReviewCalcs[[#This Row],[Project Index]], ProjectInput[], J$1, FALSE)</f>
        <v>0</v>
      </c>
      <c r="I119" s="97">
        <f>VLOOKUP(ReviewCalcs[[#This Row],[Project Index]], ProjectInput[], K$1, FALSE)</f>
        <v>0</v>
      </c>
      <c r="J119" s="97">
        <f>VLOOKUP(ReviewCalcs[[#This Row],[Project Index]], ProjectInput[], L$1, FALSE)</f>
        <v>0</v>
      </c>
      <c r="K119" s="97">
        <f>VLOOKUP(ReviewCalcs[[#This Row],[Project Index]], ProjectInput[], M$1, FALSE)</f>
        <v>0</v>
      </c>
      <c r="L119" s="97">
        <f>VLOOKUP(ReviewCalcs[[#This Row],[Project Index]], ProjectInput[], N$1, FALSE)</f>
        <v>0</v>
      </c>
      <c r="M119" s="98" t="str">
        <f>VLOOKUP(ReviewCalcs[[#This Row],[Project Index]], ProjectInput[], O$1, FALSE)</f>
        <v/>
      </c>
      <c r="N119" s="96">
        <f>VLOOKUP(ReviewCalcs[[#This Row],[Project Index]], ProjectInput[], P$1, FALSE)</f>
        <v>0</v>
      </c>
      <c r="O119" s="97">
        <f>VLOOKUP(ReviewCalcs[[#This Row],[Project Index]], ProjectInput[], Q$1, FALSE)</f>
        <v>0</v>
      </c>
      <c r="P119" s="97">
        <f>VLOOKUP(ReviewCalcs[[#This Row],[Project Index]], ProjectInput[], R$1, FALSE)</f>
        <v>0</v>
      </c>
      <c r="Q119" s="97">
        <f>VLOOKUP(ReviewCalcs[[#This Row],[Project Index]], ProjectInput[], S$1, FALSE)</f>
        <v>0</v>
      </c>
      <c r="R119" s="97">
        <f>VLOOKUP(ReviewCalcs[[#This Row],[Project Index]], ProjectInput[], T$1, FALSE)</f>
        <v>0</v>
      </c>
      <c r="S119" s="97">
        <f>VLOOKUP(ReviewCalcs[[#This Row],[Project Index]], ProjectInput[], U$1, FALSE)</f>
        <v>0</v>
      </c>
      <c r="T119" s="97">
        <f>VLOOKUP(ReviewCalcs[[#This Row],[Project Index]], ProjectInput[], V$1, FALSE)</f>
        <v>0</v>
      </c>
      <c r="U119" s="97">
        <f>VLOOKUP(ReviewCalcs[[#This Row],[Project Index]], ProjectInput[], W$1, FALSE)</f>
        <v>0</v>
      </c>
      <c r="V119" s="98" t="str">
        <f>VLOOKUP(ReviewCalcs[[#This Row],[Project Index]], ProjectInput[], X$1, FALSE)</f>
        <v/>
      </c>
      <c r="W1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19" s="75" t="e">
        <f>IF(VLOOKUP(ReviewCalcs[[#This Row],[Proposed Fixture Code]], Table7[[FIXTURE CODE]:[Baseline Fixture Code]], 8, FALSE)="N", "ERROR", "PASS")</f>
        <v>#N/A</v>
      </c>
      <c r="Y1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19" s="75" t="e">
        <f>IF(OR(ReviewCalcs[[#This Row],[Baseline Fixture Watts]]&gt;=ReviewCalcs[[#This Row],[Proposed Fixture Watts]],ReviewCalcs[[#This Row],[Existing Fixture Watts]]&gt;=ReviewCalcs[[#This Row],[Proposed Fixture Watts]] ), "PASS", "ERROR")</f>
        <v>#N/A</v>
      </c>
      <c r="AA119" s="69" t="e">
        <f>VLOOKUP(ReviewCalcs[[#This Row],[Space Conditions]], Table_365[], 5, FALSE)</f>
        <v>#N/A</v>
      </c>
      <c r="AB119" s="68" t="str">
        <f>ReviewCalcs[[#This Row],[Annual Hours]]</f>
        <v/>
      </c>
      <c r="AC119" s="68" t="e">
        <f>VLOOKUP(ReviewCalcs[[#This Row],[Space Conditions]], Table_365[], 6, FALSE)</f>
        <v>#N/A</v>
      </c>
      <c r="AD119" s="68">
        <f>IF(ReviewCalcs[[#This Row],[Existing Control(s)]]='Tables &amp; Ranges'!$A$25, VLOOKUP(ReviewCalcs[[#This Row],[Building/Space Type]], Table_364[], 3, FALSE), CF_Contols)</f>
        <v>0.26</v>
      </c>
      <c r="AE119" s="68" t="e">
        <f>VLOOKUP(ReviewCalcs[[#This Row],[Existing Control(s)]], Table_358[], 2, FALSE)</f>
        <v>#N/A</v>
      </c>
      <c r="AF119" s="68">
        <f>IF(ReviewCalcs[[#This Row],[Proposed Control(s)]]='Tables &amp; Ranges'!$A$25, VLOOKUP(ReviewCalcs[[#This Row],[Building/Space Type]], Table_364[], 3, FALSE), CF_Contols)</f>
        <v>0.26</v>
      </c>
      <c r="AG119" s="68" t="e">
        <f>VLOOKUP(ReviewCalcs[[#This Row],[Proposed Control(s)]], Table_358[], 2, FALSE)</f>
        <v>#N/A</v>
      </c>
      <c r="AH119" s="68">
        <f>IFERROR((ReviewCalcs[[#This Row],[Existing Fixture Quantity]]*ReviewCalcs[[#This Row],[Existing Fixture Watts]]/1000)*ReviewCalcs[[#This Row],[Existing CF]]*ReviewCalcs[[#This Row],[IEFD]], 0)</f>
        <v>0</v>
      </c>
      <c r="AI119" s="68">
        <f>IFERROR((ReviewCalcs[[#This Row],[Proposed Fixture Quantity]]*ReviewCalcs[[#This Row],[Proposed Fixture Watts]]/1000)*ReviewCalcs[[#This Row],[Existing CF]]*ReviewCalcs[[#This Row],[IEFD]], 0)</f>
        <v>0</v>
      </c>
      <c r="AJ119" s="118">
        <f>IFERROR((ReviewCalcs[[#This Row],[Existing Fixture Quantity]]*ReviewCalcs[[#This Row],[Existing Fixture Watts]]/1000-ReviewCalcs[[#This Row],[Proposed Fixture Quantity]]*ReviewCalcs[[#This Row],[Proposed Fixture Watts]]/1000)*ReviewCalcs[[#This Row],[Existing CF]]*ReviewCalcs[[#This Row],[IEFD]], 0)</f>
        <v>0</v>
      </c>
      <c r="AK119" s="118">
        <f>IFERROR((ReviewCalcs[[#This Row],[Existing Fixture Quantity]]*ReviewCalcs[[#This Row],[Existing Fixture Watts]]/1000)*ReviewCalcs[[#This Row],[AOH]]*ReviewCalcs[[#This Row],[IEFE]]*ReviewCalcs[[#This Row],[Existing PAF]], 0)</f>
        <v>0</v>
      </c>
      <c r="AL119" s="118">
        <f>IFERROR((ReviewCalcs[[#This Row],[Proposed Fixture Quantity]]*ReviewCalcs[[#This Row],[Proposed Fixture Watts]]/1000)*ReviewCalcs[[#This Row],[AOH]]*ReviewCalcs[[#This Row],[IEFE]]*ReviewCalcs[[#This Row],[Existing PAF]], 0)</f>
        <v>0</v>
      </c>
      <c r="AM1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19" s="118">
        <f>ReviewCalcs[[#This Row],[Fixture Existing Energy (kWh)]]*Avg_KWh_Rate</f>
        <v>0</v>
      </c>
      <c r="AO119" s="118">
        <f>ReviewCalcs[[#This Row],[Fixture Proposed Energy (kWh)]]*Avg_KWh_Rate</f>
        <v>0</v>
      </c>
      <c r="AP119" s="70">
        <f>ReviewCalcs[[#This Row],[Fixture Energy Savings]]*Avg_KWh_Rate</f>
        <v>0</v>
      </c>
      <c r="AQ119" s="129" t="e">
        <f>ReviewCalcs[[#This Row],[Existing Fixture Quantity]]*ReviewCalcs[[#This Row],[Existing Fixture Watts]]/1000*ReviewCalcs[[#This Row],[Existing CF]]*ReviewCalcs[[#This Row],[IEFD]]</f>
        <v>#VALUE!</v>
      </c>
      <c r="AR119" s="129" t="e">
        <f>ReviewCalcs[[#This Row],[Proposed Fixture Quantity]]*ReviewCalcs[[#This Row],[Proposed Fixture Watts]]/1000*ReviewCalcs[[#This Row],[Proposed CF]]*ReviewCalcs[[#This Row],[IEFD]]</f>
        <v>#VALUE!</v>
      </c>
      <c r="AS119" s="118">
        <f>IF(ReviewCalcs[[#This Row],[Existing CF]]=ReviewCalcs[[#This Row],[Proposed CF]], 0, ReviewCalcs[[#This Row],[Proposed Fixture Quantity]]*ReviewCalcs[[#This Row],[Proposed Fixture Watts]]/1000*ReviewCalcs[[#This Row],[Proposed CF]]*ReviewCalcs[[#This Row],[IEFD]])</f>
        <v>0</v>
      </c>
      <c r="AT119" s="118">
        <f>IFERROR(ReviewCalcs[[#This Row],[Existing Fixture Quantity]]*ReviewCalcs[[#This Row],[Existing Fixture Watts]]/1000*ReviewCalcs[[#This Row],[Existing PAF]]*ReviewCalcs[[#This Row],[AOH]]*ReviewCalcs[[#This Row],[IEFE]], 0)</f>
        <v>0</v>
      </c>
      <c r="AU119" s="118">
        <f>IFERROR(ReviewCalcs[[#This Row],[Proposed Fixture Quantity]]*ReviewCalcs[[#This Row],[Proposed Fixture Watts]]/1000*ReviewCalcs[[#This Row],[Proposed PAF]]*ReviewCalcs[[#This Row],[AOH]]*ReviewCalcs[[#This Row],[IEFE]], 0)</f>
        <v>0</v>
      </c>
      <c r="AV119" s="118">
        <f>IFERROR(ReviewCalcs[[#This Row],[Proposed Fixture Quantity]]*ReviewCalcs[[#This Row],[Proposed Fixture Watts]]/1000*(ReviewCalcs[[#This Row],[Existing PAF]]-ReviewCalcs[[#This Row],[Proposed PAF]])*ReviewCalcs[[#This Row],[AOH]]*ReviewCalcs[[#This Row],[IEFE]], 0)</f>
        <v>0</v>
      </c>
      <c r="AW119" s="118">
        <f>ReviewCalcs[[#This Row],[Control Existing Energy (kWh)]]*kWh_Incentive_Rate</f>
        <v>0</v>
      </c>
      <c r="AX119" s="118">
        <f>ReviewCalcs[[#This Row],[Control Proposed Energy (kWh)]]*kWh_Incentive_Rate</f>
        <v>0</v>
      </c>
      <c r="AY119" s="70">
        <f>ReviewCalcs[[#This Row],[Control Energy Savings (kWh)]]*kWh_Incentive_Rate</f>
        <v>0</v>
      </c>
      <c r="AZ119" s="70" t="e">
        <f>ReviewCalcs[[#This Row],[Fixture Existing Demand (kW)]]+ReviewCalcs[[#This Row],[Control Existing Demand (kW)]]</f>
        <v>#VALUE!</v>
      </c>
      <c r="BA119" s="70" t="e">
        <f>ReviewCalcs[[#This Row],[Fixture Proposed Demand (kW)]]+ReviewCalcs[[#This Row],[Control Proposed Demand (kW)]]</f>
        <v>#VALUE!</v>
      </c>
      <c r="BB119" s="118">
        <f>ReviewCalcs[[#This Row],[Fixture Demand Savings (kW)]]+ReviewCalcs[[#This Row],[Control Demand Savings (kW)]]</f>
        <v>0</v>
      </c>
      <c r="BC119" s="118">
        <f>ReviewCalcs[[#This Row],[Fixture Existing Energy (kWh)]]+ReviewCalcs[[#This Row],[Control Existing Energy (kWh)]]</f>
        <v>0</v>
      </c>
      <c r="BD119" s="118">
        <f>ReviewCalcs[[#This Row],[Fixture Proposed Energy (kWh)]]+ReviewCalcs[[#This Row],[Control Proposed Energy (kWh)]]</f>
        <v>0</v>
      </c>
      <c r="BE119" s="118">
        <f>ReviewCalcs[[#This Row],[Fixture Energy Savings]]+ReviewCalcs[[#This Row],[Control Energy Savings (kWh)]]</f>
        <v>0</v>
      </c>
      <c r="BF119" s="118">
        <f>ReviewCalcs[[#This Row],[Fixture Existing Cost ($)]]+ReviewCalcs[[#This Row],[Control Existing Cost ($)]]</f>
        <v>0</v>
      </c>
      <c r="BG119" s="118">
        <f>ReviewCalcs[[#This Row],[Fixture Proposed Cost ($)]]+ReviewCalcs[[#This Row],[Controls Proposed Cost ($)]]</f>
        <v>0</v>
      </c>
      <c r="BH119" s="70">
        <f>ReviewCalcs[[#This Row],[Total Energy Savings (kWh)]]*Avg_KWh_Rate</f>
        <v>0</v>
      </c>
      <c r="BI1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19" s="70">
        <f>ReviewCalcs[[#This Row],[Retrofit Cost]]</f>
        <v>0</v>
      </c>
      <c r="BK119" s="70">
        <f>ReviewCalcs[[#This Row],[Retrofit Cost]]-ReviewCalcs[[#This Row],[Incentive ($)]]</f>
        <v>0</v>
      </c>
      <c r="BL119" s="118" t="e">
        <f>IFERROR(ReviewCalcs[[#This Row],[Net Project Cost ($)]]/ReviewCalcs[[#This Row],[Fixture Energy Cost Savings ($)]], #N/A)</f>
        <v>#N/A</v>
      </c>
      <c r="BM119" s="118" t="e">
        <f>IF(VLOOKUP(ReviewCalcs[[#This Row],[Existing Fixture Code]], Table7[[FIXTURE CODE]:[Baseline Fixture Code]], 8, FALSE)="N", VLOOKUP(ReviewCalcs[[#This Row],[Existing Fixture Code]], Table7[[FIXTURE CODE]:[Baseline Fixture Code]], 9, FALSE), ReviewCalcs[[#This Row],[Existing Fixture Code]])</f>
        <v>#N/A</v>
      </c>
      <c r="BN119" s="118" t="e">
        <f>INDEX(Table7[WATT/ FIXT], MATCH(ReviewCalcs[Baseline Fixture Code], Table7[FIXTURE CODE], 0))</f>
        <v>#N/A</v>
      </c>
      <c r="BO119" s="118">
        <f>IFERROR((ReviewCalcs[[#This Row],[Existing Fixture Quantity]]*ReviewCalcs[[#This Row],[Baseline Fixture Watts]]/1000-ReviewCalcs[[#This Row],[Proposed Fixture Quantity]]*ReviewCalcs[[#This Row],[Proposed Fixture Watts]]/1000)*ReviewCalcs[[#This Row],[Existing CF]]*ReviewCalcs[[#This Row],[IEFD]], 0)</f>
        <v>0</v>
      </c>
      <c r="BP1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19" s="118">
        <f>IF(ReviewCalcs[[#This Row],[Existing CF]]=ReviewCalcs[[#This Row],[Proposed CF]], 0, ReviewCalcs[[#This Row],[Proposed Fixture Quantity]]*ReviewCalcs[[#This Row],[Proposed Fixture Watts]]/1000*ReviewCalcs[[#This Row],[Proposed CF]]*ReviewCalcs[[#This Row],[IEFD]])</f>
        <v>0</v>
      </c>
      <c r="BR119" s="118">
        <f>IFERROR(ReviewCalcs[[#This Row],[Proposed Fixture Quantity]]*ReviewCalcs[[#This Row],[Proposed Fixture Watts]]/1000*(ReviewCalcs[[#This Row],[Existing PAF]]-ReviewCalcs[[#This Row],[Proposed PAF]])*ReviewCalcs[[#This Row],[AOH]]*ReviewCalcs[[#This Row],[IEFE]],0)</f>
        <v>0</v>
      </c>
      <c r="BS119" s="118">
        <f>ReviewCalcs[[#This Row],[Incentive Fixture Demand Savings (kW)]]+ReviewCalcs[[#This Row],[Incentive Control Demand Savings (kW)]]</f>
        <v>0</v>
      </c>
      <c r="BT119" s="118">
        <f>ReviewCalcs[[#This Row],[Incentive Fixture Energy Savings (kWh)]]+ReviewCalcs[[#This Row],[Incentive Control Energy Savings (kWh)]]</f>
        <v>0</v>
      </c>
      <c r="BU119" s="73"/>
    </row>
    <row r="120" spans="1:73" ht="30" customHeight="1">
      <c r="A120" s="68">
        <v>117</v>
      </c>
      <c r="B120" s="96">
        <f>VLOOKUP(ReviewCalcs[[#This Row],[Project Index]], ProjectInput[], D$1, FALSE)</f>
        <v>0</v>
      </c>
      <c r="C120" s="97">
        <f>VLOOKUP(ReviewCalcs[[#This Row],[Project Index]], ProjectInput[], E$1, FALSE)</f>
        <v>0</v>
      </c>
      <c r="D120" s="97">
        <f>VLOOKUP(ReviewCalcs[[#This Row],[Project Index]], ProjectInput[], F$1, FALSE)</f>
        <v>0</v>
      </c>
      <c r="E120" s="97">
        <f>VLOOKUP(ReviewCalcs[[#This Row],[Project Index]], ProjectInput[], G$1, FALSE)</f>
        <v>0</v>
      </c>
      <c r="F120" s="97">
        <f>VLOOKUP(ReviewCalcs[[#This Row],[Project Index]], ProjectInput[], H$1, FALSE)</f>
        <v>0</v>
      </c>
      <c r="G120" s="98" t="str">
        <f>VLOOKUP(ReviewCalcs[[#This Row],[Project Index]], ProjectInput[], I$1, FALSE)</f>
        <v/>
      </c>
      <c r="H120" s="96">
        <f>VLOOKUP(ReviewCalcs[[#This Row],[Project Index]], ProjectInput[], J$1, FALSE)</f>
        <v>0</v>
      </c>
      <c r="I120" s="97">
        <f>VLOOKUP(ReviewCalcs[[#This Row],[Project Index]], ProjectInput[], K$1, FALSE)</f>
        <v>0</v>
      </c>
      <c r="J120" s="97">
        <f>VLOOKUP(ReviewCalcs[[#This Row],[Project Index]], ProjectInput[], L$1, FALSE)</f>
        <v>0</v>
      </c>
      <c r="K120" s="97">
        <f>VLOOKUP(ReviewCalcs[[#This Row],[Project Index]], ProjectInput[], M$1, FALSE)</f>
        <v>0</v>
      </c>
      <c r="L120" s="97">
        <f>VLOOKUP(ReviewCalcs[[#This Row],[Project Index]], ProjectInput[], N$1, FALSE)</f>
        <v>0</v>
      </c>
      <c r="M120" s="98" t="str">
        <f>VLOOKUP(ReviewCalcs[[#This Row],[Project Index]], ProjectInput[], O$1, FALSE)</f>
        <v/>
      </c>
      <c r="N120" s="96">
        <f>VLOOKUP(ReviewCalcs[[#This Row],[Project Index]], ProjectInput[], P$1, FALSE)</f>
        <v>0</v>
      </c>
      <c r="O120" s="97">
        <f>VLOOKUP(ReviewCalcs[[#This Row],[Project Index]], ProjectInput[], Q$1, FALSE)</f>
        <v>0</v>
      </c>
      <c r="P120" s="97">
        <f>VLOOKUP(ReviewCalcs[[#This Row],[Project Index]], ProjectInput[], R$1, FALSE)</f>
        <v>0</v>
      </c>
      <c r="Q120" s="97">
        <f>VLOOKUP(ReviewCalcs[[#This Row],[Project Index]], ProjectInput[], S$1, FALSE)</f>
        <v>0</v>
      </c>
      <c r="R120" s="97">
        <f>VLOOKUP(ReviewCalcs[[#This Row],[Project Index]], ProjectInput[], T$1, FALSE)</f>
        <v>0</v>
      </c>
      <c r="S120" s="97">
        <f>VLOOKUP(ReviewCalcs[[#This Row],[Project Index]], ProjectInput[], U$1, FALSE)</f>
        <v>0</v>
      </c>
      <c r="T120" s="97">
        <f>VLOOKUP(ReviewCalcs[[#This Row],[Project Index]], ProjectInput[], V$1, FALSE)</f>
        <v>0</v>
      </c>
      <c r="U120" s="97">
        <f>VLOOKUP(ReviewCalcs[[#This Row],[Project Index]], ProjectInput[], W$1, FALSE)</f>
        <v>0</v>
      </c>
      <c r="V120" s="98" t="str">
        <f>VLOOKUP(ReviewCalcs[[#This Row],[Project Index]], ProjectInput[], X$1, FALSE)</f>
        <v/>
      </c>
      <c r="W1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0" s="75" t="e">
        <f>IF(VLOOKUP(ReviewCalcs[[#This Row],[Proposed Fixture Code]], Table7[[FIXTURE CODE]:[Baseline Fixture Code]], 8, FALSE)="N", "ERROR", "PASS")</f>
        <v>#N/A</v>
      </c>
      <c r="Y1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0" s="75" t="e">
        <f>IF(OR(ReviewCalcs[[#This Row],[Baseline Fixture Watts]]&gt;=ReviewCalcs[[#This Row],[Proposed Fixture Watts]],ReviewCalcs[[#This Row],[Existing Fixture Watts]]&gt;=ReviewCalcs[[#This Row],[Proposed Fixture Watts]] ), "PASS", "ERROR")</f>
        <v>#N/A</v>
      </c>
      <c r="AA120" s="69" t="e">
        <f>VLOOKUP(ReviewCalcs[[#This Row],[Space Conditions]], Table_365[], 5, FALSE)</f>
        <v>#N/A</v>
      </c>
      <c r="AB120" s="68" t="str">
        <f>ReviewCalcs[[#This Row],[Annual Hours]]</f>
        <v/>
      </c>
      <c r="AC120" s="68" t="e">
        <f>VLOOKUP(ReviewCalcs[[#This Row],[Space Conditions]], Table_365[], 6, FALSE)</f>
        <v>#N/A</v>
      </c>
      <c r="AD120" s="68">
        <f>IF(ReviewCalcs[[#This Row],[Existing Control(s)]]='Tables &amp; Ranges'!$A$25, VLOOKUP(ReviewCalcs[[#This Row],[Building/Space Type]], Table_364[], 3, FALSE), CF_Contols)</f>
        <v>0.26</v>
      </c>
      <c r="AE120" s="68" t="e">
        <f>VLOOKUP(ReviewCalcs[[#This Row],[Existing Control(s)]], Table_358[], 2, FALSE)</f>
        <v>#N/A</v>
      </c>
      <c r="AF120" s="68">
        <f>IF(ReviewCalcs[[#This Row],[Proposed Control(s)]]='Tables &amp; Ranges'!$A$25, VLOOKUP(ReviewCalcs[[#This Row],[Building/Space Type]], Table_364[], 3, FALSE), CF_Contols)</f>
        <v>0.26</v>
      </c>
      <c r="AG120" s="68" t="e">
        <f>VLOOKUP(ReviewCalcs[[#This Row],[Proposed Control(s)]], Table_358[], 2, FALSE)</f>
        <v>#N/A</v>
      </c>
      <c r="AH120" s="68">
        <f>IFERROR((ReviewCalcs[[#This Row],[Existing Fixture Quantity]]*ReviewCalcs[[#This Row],[Existing Fixture Watts]]/1000)*ReviewCalcs[[#This Row],[Existing CF]]*ReviewCalcs[[#This Row],[IEFD]], 0)</f>
        <v>0</v>
      </c>
      <c r="AI120" s="68">
        <f>IFERROR((ReviewCalcs[[#This Row],[Proposed Fixture Quantity]]*ReviewCalcs[[#This Row],[Proposed Fixture Watts]]/1000)*ReviewCalcs[[#This Row],[Existing CF]]*ReviewCalcs[[#This Row],[IEFD]], 0)</f>
        <v>0</v>
      </c>
      <c r="AJ120" s="118">
        <f>IFERROR((ReviewCalcs[[#This Row],[Existing Fixture Quantity]]*ReviewCalcs[[#This Row],[Existing Fixture Watts]]/1000-ReviewCalcs[[#This Row],[Proposed Fixture Quantity]]*ReviewCalcs[[#This Row],[Proposed Fixture Watts]]/1000)*ReviewCalcs[[#This Row],[Existing CF]]*ReviewCalcs[[#This Row],[IEFD]], 0)</f>
        <v>0</v>
      </c>
      <c r="AK120" s="118">
        <f>IFERROR((ReviewCalcs[[#This Row],[Existing Fixture Quantity]]*ReviewCalcs[[#This Row],[Existing Fixture Watts]]/1000)*ReviewCalcs[[#This Row],[AOH]]*ReviewCalcs[[#This Row],[IEFE]]*ReviewCalcs[[#This Row],[Existing PAF]], 0)</f>
        <v>0</v>
      </c>
      <c r="AL120" s="118">
        <f>IFERROR((ReviewCalcs[[#This Row],[Proposed Fixture Quantity]]*ReviewCalcs[[#This Row],[Proposed Fixture Watts]]/1000)*ReviewCalcs[[#This Row],[AOH]]*ReviewCalcs[[#This Row],[IEFE]]*ReviewCalcs[[#This Row],[Existing PAF]], 0)</f>
        <v>0</v>
      </c>
      <c r="AM1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0" s="118">
        <f>ReviewCalcs[[#This Row],[Fixture Existing Energy (kWh)]]*Avg_KWh_Rate</f>
        <v>0</v>
      </c>
      <c r="AO120" s="118">
        <f>ReviewCalcs[[#This Row],[Fixture Proposed Energy (kWh)]]*Avg_KWh_Rate</f>
        <v>0</v>
      </c>
      <c r="AP120" s="70">
        <f>ReviewCalcs[[#This Row],[Fixture Energy Savings]]*Avg_KWh_Rate</f>
        <v>0</v>
      </c>
      <c r="AQ120" s="129" t="e">
        <f>ReviewCalcs[[#This Row],[Existing Fixture Quantity]]*ReviewCalcs[[#This Row],[Existing Fixture Watts]]/1000*ReviewCalcs[[#This Row],[Existing CF]]*ReviewCalcs[[#This Row],[IEFD]]</f>
        <v>#VALUE!</v>
      </c>
      <c r="AR120" s="129" t="e">
        <f>ReviewCalcs[[#This Row],[Proposed Fixture Quantity]]*ReviewCalcs[[#This Row],[Proposed Fixture Watts]]/1000*ReviewCalcs[[#This Row],[Proposed CF]]*ReviewCalcs[[#This Row],[IEFD]]</f>
        <v>#VALUE!</v>
      </c>
      <c r="AS120" s="118">
        <f>IF(ReviewCalcs[[#This Row],[Existing CF]]=ReviewCalcs[[#This Row],[Proposed CF]], 0, ReviewCalcs[[#This Row],[Proposed Fixture Quantity]]*ReviewCalcs[[#This Row],[Proposed Fixture Watts]]/1000*ReviewCalcs[[#This Row],[Proposed CF]]*ReviewCalcs[[#This Row],[IEFD]])</f>
        <v>0</v>
      </c>
      <c r="AT120" s="118">
        <f>IFERROR(ReviewCalcs[[#This Row],[Existing Fixture Quantity]]*ReviewCalcs[[#This Row],[Existing Fixture Watts]]/1000*ReviewCalcs[[#This Row],[Existing PAF]]*ReviewCalcs[[#This Row],[AOH]]*ReviewCalcs[[#This Row],[IEFE]], 0)</f>
        <v>0</v>
      </c>
      <c r="AU120" s="118">
        <f>IFERROR(ReviewCalcs[[#This Row],[Proposed Fixture Quantity]]*ReviewCalcs[[#This Row],[Proposed Fixture Watts]]/1000*ReviewCalcs[[#This Row],[Proposed PAF]]*ReviewCalcs[[#This Row],[AOH]]*ReviewCalcs[[#This Row],[IEFE]], 0)</f>
        <v>0</v>
      </c>
      <c r="AV120" s="118">
        <f>IFERROR(ReviewCalcs[[#This Row],[Proposed Fixture Quantity]]*ReviewCalcs[[#This Row],[Proposed Fixture Watts]]/1000*(ReviewCalcs[[#This Row],[Existing PAF]]-ReviewCalcs[[#This Row],[Proposed PAF]])*ReviewCalcs[[#This Row],[AOH]]*ReviewCalcs[[#This Row],[IEFE]], 0)</f>
        <v>0</v>
      </c>
      <c r="AW120" s="118">
        <f>ReviewCalcs[[#This Row],[Control Existing Energy (kWh)]]*kWh_Incentive_Rate</f>
        <v>0</v>
      </c>
      <c r="AX120" s="118">
        <f>ReviewCalcs[[#This Row],[Control Proposed Energy (kWh)]]*kWh_Incentive_Rate</f>
        <v>0</v>
      </c>
      <c r="AY120" s="70">
        <f>ReviewCalcs[[#This Row],[Control Energy Savings (kWh)]]*kWh_Incentive_Rate</f>
        <v>0</v>
      </c>
      <c r="AZ120" s="70" t="e">
        <f>ReviewCalcs[[#This Row],[Fixture Existing Demand (kW)]]+ReviewCalcs[[#This Row],[Control Existing Demand (kW)]]</f>
        <v>#VALUE!</v>
      </c>
      <c r="BA120" s="70" t="e">
        <f>ReviewCalcs[[#This Row],[Fixture Proposed Demand (kW)]]+ReviewCalcs[[#This Row],[Control Proposed Demand (kW)]]</f>
        <v>#VALUE!</v>
      </c>
      <c r="BB120" s="118">
        <f>ReviewCalcs[[#This Row],[Fixture Demand Savings (kW)]]+ReviewCalcs[[#This Row],[Control Demand Savings (kW)]]</f>
        <v>0</v>
      </c>
      <c r="BC120" s="118">
        <f>ReviewCalcs[[#This Row],[Fixture Existing Energy (kWh)]]+ReviewCalcs[[#This Row],[Control Existing Energy (kWh)]]</f>
        <v>0</v>
      </c>
      <c r="BD120" s="118">
        <f>ReviewCalcs[[#This Row],[Fixture Proposed Energy (kWh)]]+ReviewCalcs[[#This Row],[Control Proposed Energy (kWh)]]</f>
        <v>0</v>
      </c>
      <c r="BE120" s="118">
        <f>ReviewCalcs[[#This Row],[Fixture Energy Savings]]+ReviewCalcs[[#This Row],[Control Energy Savings (kWh)]]</f>
        <v>0</v>
      </c>
      <c r="BF120" s="118">
        <f>ReviewCalcs[[#This Row],[Fixture Existing Cost ($)]]+ReviewCalcs[[#This Row],[Control Existing Cost ($)]]</f>
        <v>0</v>
      </c>
      <c r="BG120" s="118">
        <f>ReviewCalcs[[#This Row],[Fixture Proposed Cost ($)]]+ReviewCalcs[[#This Row],[Controls Proposed Cost ($)]]</f>
        <v>0</v>
      </c>
      <c r="BH120" s="70">
        <f>ReviewCalcs[[#This Row],[Total Energy Savings (kWh)]]*Avg_KWh_Rate</f>
        <v>0</v>
      </c>
      <c r="BI1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0" s="70">
        <f>ReviewCalcs[[#This Row],[Retrofit Cost]]</f>
        <v>0</v>
      </c>
      <c r="BK120" s="70">
        <f>ReviewCalcs[[#This Row],[Retrofit Cost]]-ReviewCalcs[[#This Row],[Incentive ($)]]</f>
        <v>0</v>
      </c>
      <c r="BL120" s="118" t="e">
        <f>IFERROR(ReviewCalcs[[#This Row],[Net Project Cost ($)]]/ReviewCalcs[[#This Row],[Fixture Energy Cost Savings ($)]], #N/A)</f>
        <v>#N/A</v>
      </c>
      <c r="BM120" s="118" t="e">
        <f>IF(VLOOKUP(ReviewCalcs[[#This Row],[Existing Fixture Code]], Table7[[FIXTURE CODE]:[Baseline Fixture Code]], 8, FALSE)="N", VLOOKUP(ReviewCalcs[[#This Row],[Existing Fixture Code]], Table7[[FIXTURE CODE]:[Baseline Fixture Code]], 9, FALSE), ReviewCalcs[[#This Row],[Existing Fixture Code]])</f>
        <v>#N/A</v>
      </c>
      <c r="BN120" s="118" t="e">
        <f>INDEX(Table7[WATT/ FIXT], MATCH(ReviewCalcs[Baseline Fixture Code], Table7[FIXTURE CODE], 0))</f>
        <v>#N/A</v>
      </c>
      <c r="BO120" s="118">
        <f>IFERROR((ReviewCalcs[[#This Row],[Existing Fixture Quantity]]*ReviewCalcs[[#This Row],[Baseline Fixture Watts]]/1000-ReviewCalcs[[#This Row],[Proposed Fixture Quantity]]*ReviewCalcs[[#This Row],[Proposed Fixture Watts]]/1000)*ReviewCalcs[[#This Row],[Existing CF]]*ReviewCalcs[[#This Row],[IEFD]], 0)</f>
        <v>0</v>
      </c>
      <c r="BP1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0" s="118">
        <f>IF(ReviewCalcs[[#This Row],[Existing CF]]=ReviewCalcs[[#This Row],[Proposed CF]], 0, ReviewCalcs[[#This Row],[Proposed Fixture Quantity]]*ReviewCalcs[[#This Row],[Proposed Fixture Watts]]/1000*ReviewCalcs[[#This Row],[Proposed CF]]*ReviewCalcs[[#This Row],[IEFD]])</f>
        <v>0</v>
      </c>
      <c r="BR120" s="118">
        <f>IFERROR(ReviewCalcs[[#This Row],[Proposed Fixture Quantity]]*ReviewCalcs[[#This Row],[Proposed Fixture Watts]]/1000*(ReviewCalcs[[#This Row],[Existing PAF]]-ReviewCalcs[[#This Row],[Proposed PAF]])*ReviewCalcs[[#This Row],[AOH]]*ReviewCalcs[[#This Row],[IEFE]],0)</f>
        <v>0</v>
      </c>
      <c r="BS120" s="118">
        <f>ReviewCalcs[[#This Row],[Incentive Fixture Demand Savings (kW)]]+ReviewCalcs[[#This Row],[Incentive Control Demand Savings (kW)]]</f>
        <v>0</v>
      </c>
      <c r="BT120" s="118">
        <f>ReviewCalcs[[#This Row],[Incentive Fixture Energy Savings (kWh)]]+ReviewCalcs[[#This Row],[Incentive Control Energy Savings (kWh)]]</f>
        <v>0</v>
      </c>
      <c r="BU120" s="73"/>
    </row>
    <row r="121" spans="1:73" ht="30" customHeight="1">
      <c r="A121" s="68">
        <v>118</v>
      </c>
      <c r="B121" s="96">
        <f>VLOOKUP(ReviewCalcs[[#This Row],[Project Index]], ProjectInput[], D$1, FALSE)</f>
        <v>0</v>
      </c>
      <c r="C121" s="97">
        <f>VLOOKUP(ReviewCalcs[[#This Row],[Project Index]], ProjectInput[], E$1, FALSE)</f>
        <v>0</v>
      </c>
      <c r="D121" s="97">
        <f>VLOOKUP(ReviewCalcs[[#This Row],[Project Index]], ProjectInput[], F$1, FALSE)</f>
        <v>0</v>
      </c>
      <c r="E121" s="97">
        <f>VLOOKUP(ReviewCalcs[[#This Row],[Project Index]], ProjectInput[], G$1, FALSE)</f>
        <v>0</v>
      </c>
      <c r="F121" s="97">
        <f>VLOOKUP(ReviewCalcs[[#This Row],[Project Index]], ProjectInput[], H$1, FALSE)</f>
        <v>0</v>
      </c>
      <c r="G121" s="98" t="str">
        <f>VLOOKUP(ReviewCalcs[[#This Row],[Project Index]], ProjectInput[], I$1, FALSE)</f>
        <v/>
      </c>
      <c r="H121" s="96">
        <f>VLOOKUP(ReviewCalcs[[#This Row],[Project Index]], ProjectInput[], J$1, FALSE)</f>
        <v>0</v>
      </c>
      <c r="I121" s="97">
        <f>VLOOKUP(ReviewCalcs[[#This Row],[Project Index]], ProjectInput[], K$1, FALSE)</f>
        <v>0</v>
      </c>
      <c r="J121" s="97">
        <f>VLOOKUP(ReviewCalcs[[#This Row],[Project Index]], ProjectInput[], L$1, FALSE)</f>
        <v>0</v>
      </c>
      <c r="K121" s="97">
        <f>VLOOKUP(ReviewCalcs[[#This Row],[Project Index]], ProjectInput[], M$1, FALSE)</f>
        <v>0</v>
      </c>
      <c r="L121" s="97">
        <f>VLOOKUP(ReviewCalcs[[#This Row],[Project Index]], ProjectInput[], N$1, FALSE)</f>
        <v>0</v>
      </c>
      <c r="M121" s="98" t="str">
        <f>VLOOKUP(ReviewCalcs[[#This Row],[Project Index]], ProjectInput[], O$1, FALSE)</f>
        <v/>
      </c>
      <c r="N121" s="96">
        <f>VLOOKUP(ReviewCalcs[[#This Row],[Project Index]], ProjectInput[], P$1, FALSE)</f>
        <v>0</v>
      </c>
      <c r="O121" s="97">
        <f>VLOOKUP(ReviewCalcs[[#This Row],[Project Index]], ProjectInput[], Q$1, FALSE)</f>
        <v>0</v>
      </c>
      <c r="P121" s="97">
        <f>VLOOKUP(ReviewCalcs[[#This Row],[Project Index]], ProjectInput[], R$1, FALSE)</f>
        <v>0</v>
      </c>
      <c r="Q121" s="97">
        <f>VLOOKUP(ReviewCalcs[[#This Row],[Project Index]], ProjectInput[], S$1, FALSE)</f>
        <v>0</v>
      </c>
      <c r="R121" s="97">
        <f>VLOOKUP(ReviewCalcs[[#This Row],[Project Index]], ProjectInput[], T$1, FALSE)</f>
        <v>0</v>
      </c>
      <c r="S121" s="97">
        <f>VLOOKUP(ReviewCalcs[[#This Row],[Project Index]], ProjectInput[], U$1, FALSE)</f>
        <v>0</v>
      </c>
      <c r="T121" s="97">
        <f>VLOOKUP(ReviewCalcs[[#This Row],[Project Index]], ProjectInput[], V$1, FALSE)</f>
        <v>0</v>
      </c>
      <c r="U121" s="97">
        <f>VLOOKUP(ReviewCalcs[[#This Row],[Project Index]], ProjectInput[], W$1, FALSE)</f>
        <v>0</v>
      </c>
      <c r="V121" s="98" t="str">
        <f>VLOOKUP(ReviewCalcs[[#This Row],[Project Index]], ProjectInput[], X$1, FALSE)</f>
        <v/>
      </c>
      <c r="W1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1" s="75" t="e">
        <f>IF(VLOOKUP(ReviewCalcs[[#This Row],[Proposed Fixture Code]], Table7[[FIXTURE CODE]:[Baseline Fixture Code]], 8, FALSE)="N", "ERROR", "PASS")</f>
        <v>#N/A</v>
      </c>
      <c r="Y1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1" s="75" t="e">
        <f>IF(OR(ReviewCalcs[[#This Row],[Baseline Fixture Watts]]&gt;=ReviewCalcs[[#This Row],[Proposed Fixture Watts]],ReviewCalcs[[#This Row],[Existing Fixture Watts]]&gt;=ReviewCalcs[[#This Row],[Proposed Fixture Watts]] ), "PASS", "ERROR")</f>
        <v>#N/A</v>
      </c>
      <c r="AA121" s="69" t="e">
        <f>VLOOKUP(ReviewCalcs[[#This Row],[Space Conditions]], Table_365[], 5, FALSE)</f>
        <v>#N/A</v>
      </c>
      <c r="AB121" s="68" t="str">
        <f>ReviewCalcs[[#This Row],[Annual Hours]]</f>
        <v/>
      </c>
      <c r="AC121" s="68" t="e">
        <f>VLOOKUP(ReviewCalcs[[#This Row],[Space Conditions]], Table_365[], 6, FALSE)</f>
        <v>#N/A</v>
      </c>
      <c r="AD121" s="68">
        <f>IF(ReviewCalcs[[#This Row],[Existing Control(s)]]='Tables &amp; Ranges'!$A$25, VLOOKUP(ReviewCalcs[[#This Row],[Building/Space Type]], Table_364[], 3, FALSE), CF_Contols)</f>
        <v>0.26</v>
      </c>
      <c r="AE121" s="68" t="e">
        <f>VLOOKUP(ReviewCalcs[[#This Row],[Existing Control(s)]], Table_358[], 2, FALSE)</f>
        <v>#N/A</v>
      </c>
      <c r="AF121" s="68">
        <f>IF(ReviewCalcs[[#This Row],[Proposed Control(s)]]='Tables &amp; Ranges'!$A$25, VLOOKUP(ReviewCalcs[[#This Row],[Building/Space Type]], Table_364[], 3, FALSE), CF_Contols)</f>
        <v>0.26</v>
      </c>
      <c r="AG121" s="68" t="e">
        <f>VLOOKUP(ReviewCalcs[[#This Row],[Proposed Control(s)]], Table_358[], 2, FALSE)</f>
        <v>#N/A</v>
      </c>
      <c r="AH121" s="68">
        <f>IFERROR((ReviewCalcs[[#This Row],[Existing Fixture Quantity]]*ReviewCalcs[[#This Row],[Existing Fixture Watts]]/1000)*ReviewCalcs[[#This Row],[Existing CF]]*ReviewCalcs[[#This Row],[IEFD]], 0)</f>
        <v>0</v>
      </c>
      <c r="AI121" s="68">
        <f>IFERROR((ReviewCalcs[[#This Row],[Proposed Fixture Quantity]]*ReviewCalcs[[#This Row],[Proposed Fixture Watts]]/1000)*ReviewCalcs[[#This Row],[Existing CF]]*ReviewCalcs[[#This Row],[IEFD]], 0)</f>
        <v>0</v>
      </c>
      <c r="AJ121" s="118">
        <f>IFERROR((ReviewCalcs[[#This Row],[Existing Fixture Quantity]]*ReviewCalcs[[#This Row],[Existing Fixture Watts]]/1000-ReviewCalcs[[#This Row],[Proposed Fixture Quantity]]*ReviewCalcs[[#This Row],[Proposed Fixture Watts]]/1000)*ReviewCalcs[[#This Row],[Existing CF]]*ReviewCalcs[[#This Row],[IEFD]], 0)</f>
        <v>0</v>
      </c>
      <c r="AK121" s="118">
        <f>IFERROR((ReviewCalcs[[#This Row],[Existing Fixture Quantity]]*ReviewCalcs[[#This Row],[Existing Fixture Watts]]/1000)*ReviewCalcs[[#This Row],[AOH]]*ReviewCalcs[[#This Row],[IEFE]]*ReviewCalcs[[#This Row],[Existing PAF]], 0)</f>
        <v>0</v>
      </c>
      <c r="AL121" s="118">
        <f>IFERROR((ReviewCalcs[[#This Row],[Proposed Fixture Quantity]]*ReviewCalcs[[#This Row],[Proposed Fixture Watts]]/1000)*ReviewCalcs[[#This Row],[AOH]]*ReviewCalcs[[#This Row],[IEFE]]*ReviewCalcs[[#This Row],[Existing PAF]], 0)</f>
        <v>0</v>
      </c>
      <c r="AM1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1" s="118">
        <f>ReviewCalcs[[#This Row],[Fixture Existing Energy (kWh)]]*Avg_KWh_Rate</f>
        <v>0</v>
      </c>
      <c r="AO121" s="118">
        <f>ReviewCalcs[[#This Row],[Fixture Proposed Energy (kWh)]]*Avg_KWh_Rate</f>
        <v>0</v>
      </c>
      <c r="AP121" s="70">
        <f>ReviewCalcs[[#This Row],[Fixture Energy Savings]]*Avg_KWh_Rate</f>
        <v>0</v>
      </c>
      <c r="AQ121" s="129" t="e">
        <f>ReviewCalcs[[#This Row],[Existing Fixture Quantity]]*ReviewCalcs[[#This Row],[Existing Fixture Watts]]/1000*ReviewCalcs[[#This Row],[Existing CF]]*ReviewCalcs[[#This Row],[IEFD]]</f>
        <v>#VALUE!</v>
      </c>
      <c r="AR121" s="129" t="e">
        <f>ReviewCalcs[[#This Row],[Proposed Fixture Quantity]]*ReviewCalcs[[#This Row],[Proposed Fixture Watts]]/1000*ReviewCalcs[[#This Row],[Proposed CF]]*ReviewCalcs[[#This Row],[IEFD]]</f>
        <v>#VALUE!</v>
      </c>
      <c r="AS121" s="118">
        <f>IF(ReviewCalcs[[#This Row],[Existing CF]]=ReviewCalcs[[#This Row],[Proposed CF]], 0, ReviewCalcs[[#This Row],[Proposed Fixture Quantity]]*ReviewCalcs[[#This Row],[Proposed Fixture Watts]]/1000*ReviewCalcs[[#This Row],[Proposed CF]]*ReviewCalcs[[#This Row],[IEFD]])</f>
        <v>0</v>
      </c>
      <c r="AT121" s="118">
        <f>IFERROR(ReviewCalcs[[#This Row],[Existing Fixture Quantity]]*ReviewCalcs[[#This Row],[Existing Fixture Watts]]/1000*ReviewCalcs[[#This Row],[Existing PAF]]*ReviewCalcs[[#This Row],[AOH]]*ReviewCalcs[[#This Row],[IEFE]], 0)</f>
        <v>0</v>
      </c>
      <c r="AU121" s="118">
        <f>IFERROR(ReviewCalcs[[#This Row],[Proposed Fixture Quantity]]*ReviewCalcs[[#This Row],[Proposed Fixture Watts]]/1000*ReviewCalcs[[#This Row],[Proposed PAF]]*ReviewCalcs[[#This Row],[AOH]]*ReviewCalcs[[#This Row],[IEFE]], 0)</f>
        <v>0</v>
      </c>
      <c r="AV121" s="118">
        <f>IFERROR(ReviewCalcs[[#This Row],[Proposed Fixture Quantity]]*ReviewCalcs[[#This Row],[Proposed Fixture Watts]]/1000*(ReviewCalcs[[#This Row],[Existing PAF]]-ReviewCalcs[[#This Row],[Proposed PAF]])*ReviewCalcs[[#This Row],[AOH]]*ReviewCalcs[[#This Row],[IEFE]], 0)</f>
        <v>0</v>
      </c>
      <c r="AW121" s="118">
        <f>ReviewCalcs[[#This Row],[Control Existing Energy (kWh)]]*kWh_Incentive_Rate</f>
        <v>0</v>
      </c>
      <c r="AX121" s="118">
        <f>ReviewCalcs[[#This Row],[Control Proposed Energy (kWh)]]*kWh_Incentive_Rate</f>
        <v>0</v>
      </c>
      <c r="AY121" s="70">
        <f>ReviewCalcs[[#This Row],[Control Energy Savings (kWh)]]*kWh_Incentive_Rate</f>
        <v>0</v>
      </c>
      <c r="AZ121" s="70" t="e">
        <f>ReviewCalcs[[#This Row],[Fixture Existing Demand (kW)]]+ReviewCalcs[[#This Row],[Control Existing Demand (kW)]]</f>
        <v>#VALUE!</v>
      </c>
      <c r="BA121" s="70" t="e">
        <f>ReviewCalcs[[#This Row],[Fixture Proposed Demand (kW)]]+ReviewCalcs[[#This Row],[Control Proposed Demand (kW)]]</f>
        <v>#VALUE!</v>
      </c>
      <c r="BB121" s="118">
        <f>ReviewCalcs[[#This Row],[Fixture Demand Savings (kW)]]+ReviewCalcs[[#This Row],[Control Demand Savings (kW)]]</f>
        <v>0</v>
      </c>
      <c r="BC121" s="118">
        <f>ReviewCalcs[[#This Row],[Fixture Existing Energy (kWh)]]+ReviewCalcs[[#This Row],[Control Existing Energy (kWh)]]</f>
        <v>0</v>
      </c>
      <c r="BD121" s="118">
        <f>ReviewCalcs[[#This Row],[Fixture Proposed Energy (kWh)]]+ReviewCalcs[[#This Row],[Control Proposed Energy (kWh)]]</f>
        <v>0</v>
      </c>
      <c r="BE121" s="118">
        <f>ReviewCalcs[[#This Row],[Fixture Energy Savings]]+ReviewCalcs[[#This Row],[Control Energy Savings (kWh)]]</f>
        <v>0</v>
      </c>
      <c r="BF121" s="118">
        <f>ReviewCalcs[[#This Row],[Fixture Existing Cost ($)]]+ReviewCalcs[[#This Row],[Control Existing Cost ($)]]</f>
        <v>0</v>
      </c>
      <c r="BG121" s="118">
        <f>ReviewCalcs[[#This Row],[Fixture Proposed Cost ($)]]+ReviewCalcs[[#This Row],[Controls Proposed Cost ($)]]</f>
        <v>0</v>
      </c>
      <c r="BH121" s="70">
        <f>ReviewCalcs[[#This Row],[Total Energy Savings (kWh)]]*Avg_KWh_Rate</f>
        <v>0</v>
      </c>
      <c r="BI1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1" s="70">
        <f>ReviewCalcs[[#This Row],[Retrofit Cost]]</f>
        <v>0</v>
      </c>
      <c r="BK121" s="70">
        <f>ReviewCalcs[[#This Row],[Retrofit Cost]]-ReviewCalcs[[#This Row],[Incentive ($)]]</f>
        <v>0</v>
      </c>
      <c r="BL121" s="118" t="e">
        <f>IFERROR(ReviewCalcs[[#This Row],[Net Project Cost ($)]]/ReviewCalcs[[#This Row],[Fixture Energy Cost Savings ($)]], #N/A)</f>
        <v>#N/A</v>
      </c>
      <c r="BM121" s="118" t="e">
        <f>IF(VLOOKUP(ReviewCalcs[[#This Row],[Existing Fixture Code]], Table7[[FIXTURE CODE]:[Baseline Fixture Code]], 8, FALSE)="N", VLOOKUP(ReviewCalcs[[#This Row],[Existing Fixture Code]], Table7[[FIXTURE CODE]:[Baseline Fixture Code]], 9, FALSE), ReviewCalcs[[#This Row],[Existing Fixture Code]])</f>
        <v>#N/A</v>
      </c>
      <c r="BN121" s="118" t="e">
        <f>INDEX(Table7[WATT/ FIXT], MATCH(ReviewCalcs[Baseline Fixture Code], Table7[FIXTURE CODE], 0))</f>
        <v>#N/A</v>
      </c>
      <c r="BO121" s="118">
        <f>IFERROR((ReviewCalcs[[#This Row],[Existing Fixture Quantity]]*ReviewCalcs[[#This Row],[Baseline Fixture Watts]]/1000-ReviewCalcs[[#This Row],[Proposed Fixture Quantity]]*ReviewCalcs[[#This Row],[Proposed Fixture Watts]]/1000)*ReviewCalcs[[#This Row],[Existing CF]]*ReviewCalcs[[#This Row],[IEFD]], 0)</f>
        <v>0</v>
      </c>
      <c r="BP1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1" s="118">
        <f>IF(ReviewCalcs[[#This Row],[Existing CF]]=ReviewCalcs[[#This Row],[Proposed CF]], 0, ReviewCalcs[[#This Row],[Proposed Fixture Quantity]]*ReviewCalcs[[#This Row],[Proposed Fixture Watts]]/1000*ReviewCalcs[[#This Row],[Proposed CF]]*ReviewCalcs[[#This Row],[IEFD]])</f>
        <v>0</v>
      </c>
      <c r="BR121" s="118">
        <f>IFERROR(ReviewCalcs[[#This Row],[Proposed Fixture Quantity]]*ReviewCalcs[[#This Row],[Proposed Fixture Watts]]/1000*(ReviewCalcs[[#This Row],[Existing PAF]]-ReviewCalcs[[#This Row],[Proposed PAF]])*ReviewCalcs[[#This Row],[AOH]]*ReviewCalcs[[#This Row],[IEFE]],0)</f>
        <v>0</v>
      </c>
      <c r="BS121" s="118">
        <f>ReviewCalcs[[#This Row],[Incentive Fixture Demand Savings (kW)]]+ReviewCalcs[[#This Row],[Incentive Control Demand Savings (kW)]]</f>
        <v>0</v>
      </c>
      <c r="BT121" s="118">
        <f>ReviewCalcs[[#This Row],[Incentive Fixture Energy Savings (kWh)]]+ReviewCalcs[[#This Row],[Incentive Control Energy Savings (kWh)]]</f>
        <v>0</v>
      </c>
      <c r="BU121" s="73"/>
    </row>
    <row r="122" spans="1:73" ht="30" customHeight="1">
      <c r="A122" s="68">
        <v>119</v>
      </c>
      <c r="B122" s="96">
        <f>VLOOKUP(ReviewCalcs[[#This Row],[Project Index]], ProjectInput[], D$1, FALSE)</f>
        <v>0</v>
      </c>
      <c r="C122" s="97">
        <f>VLOOKUP(ReviewCalcs[[#This Row],[Project Index]], ProjectInput[], E$1, FALSE)</f>
        <v>0</v>
      </c>
      <c r="D122" s="97">
        <f>VLOOKUP(ReviewCalcs[[#This Row],[Project Index]], ProjectInput[], F$1, FALSE)</f>
        <v>0</v>
      </c>
      <c r="E122" s="97">
        <f>VLOOKUP(ReviewCalcs[[#This Row],[Project Index]], ProjectInput[], G$1, FALSE)</f>
        <v>0</v>
      </c>
      <c r="F122" s="97">
        <f>VLOOKUP(ReviewCalcs[[#This Row],[Project Index]], ProjectInput[], H$1, FALSE)</f>
        <v>0</v>
      </c>
      <c r="G122" s="98" t="str">
        <f>VLOOKUP(ReviewCalcs[[#This Row],[Project Index]], ProjectInput[], I$1, FALSE)</f>
        <v/>
      </c>
      <c r="H122" s="96">
        <f>VLOOKUP(ReviewCalcs[[#This Row],[Project Index]], ProjectInput[], J$1, FALSE)</f>
        <v>0</v>
      </c>
      <c r="I122" s="97">
        <f>VLOOKUP(ReviewCalcs[[#This Row],[Project Index]], ProjectInput[], K$1, FALSE)</f>
        <v>0</v>
      </c>
      <c r="J122" s="97">
        <f>VLOOKUP(ReviewCalcs[[#This Row],[Project Index]], ProjectInput[], L$1, FALSE)</f>
        <v>0</v>
      </c>
      <c r="K122" s="97">
        <f>VLOOKUP(ReviewCalcs[[#This Row],[Project Index]], ProjectInput[], M$1, FALSE)</f>
        <v>0</v>
      </c>
      <c r="L122" s="97">
        <f>VLOOKUP(ReviewCalcs[[#This Row],[Project Index]], ProjectInput[], N$1, FALSE)</f>
        <v>0</v>
      </c>
      <c r="M122" s="98" t="str">
        <f>VLOOKUP(ReviewCalcs[[#This Row],[Project Index]], ProjectInput[], O$1, FALSE)</f>
        <v/>
      </c>
      <c r="N122" s="96">
        <f>VLOOKUP(ReviewCalcs[[#This Row],[Project Index]], ProjectInput[], P$1, FALSE)</f>
        <v>0</v>
      </c>
      <c r="O122" s="97">
        <f>VLOOKUP(ReviewCalcs[[#This Row],[Project Index]], ProjectInput[], Q$1, FALSE)</f>
        <v>0</v>
      </c>
      <c r="P122" s="97">
        <f>VLOOKUP(ReviewCalcs[[#This Row],[Project Index]], ProjectInput[], R$1, FALSE)</f>
        <v>0</v>
      </c>
      <c r="Q122" s="97">
        <f>VLOOKUP(ReviewCalcs[[#This Row],[Project Index]], ProjectInput[], S$1, FALSE)</f>
        <v>0</v>
      </c>
      <c r="R122" s="97">
        <f>VLOOKUP(ReviewCalcs[[#This Row],[Project Index]], ProjectInput[], T$1, FALSE)</f>
        <v>0</v>
      </c>
      <c r="S122" s="97">
        <f>VLOOKUP(ReviewCalcs[[#This Row],[Project Index]], ProjectInput[], U$1, FALSE)</f>
        <v>0</v>
      </c>
      <c r="T122" s="97">
        <f>VLOOKUP(ReviewCalcs[[#This Row],[Project Index]], ProjectInput[], V$1, FALSE)</f>
        <v>0</v>
      </c>
      <c r="U122" s="97">
        <f>VLOOKUP(ReviewCalcs[[#This Row],[Project Index]], ProjectInput[], W$1, FALSE)</f>
        <v>0</v>
      </c>
      <c r="V122" s="98" t="str">
        <f>VLOOKUP(ReviewCalcs[[#This Row],[Project Index]], ProjectInput[], X$1, FALSE)</f>
        <v/>
      </c>
      <c r="W1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2" s="75" t="e">
        <f>IF(VLOOKUP(ReviewCalcs[[#This Row],[Proposed Fixture Code]], Table7[[FIXTURE CODE]:[Baseline Fixture Code]], 8, FALSE)="N", "ERROR", "PASS")</f>
        <v>#N/A</v>
      </c>
      <c r="Y1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2" s="75" t="e">
        <f>IF(OR(ReviewCalcs[[#This Row],[Baseline Fixture Watts]]&gt;=ReviewCalcs[[#This Row],[Proposed Fixture Watts]],ReviewCalcs[[#This Row],[Existing Fixture Watts]]&gt;=ReviewCalcs[[#This Row],[Proposed Fixture Watts]] ), "PASS", "ERROR")</f>
        <v>#N/A</v>
      </c>
      <c r="AA122" s="69" t="e">
        <f>VLOOKUP(ReviewCalcs[[#This Row],[Space Conditions]], Table_365[], 5, FALSE)</f>
        <v>#N/A</v>
      </c>
      <c r="AB122" s="68" t="str">
        <f>ReviewCalcs[[#This Row],[Annual Hours]]</f>
        <v/>
      </c>
      <c r="AC122" s="68" t="e">
        <f>VLOOKUP(ReviewCalcs[[#This Row],[Space Conditions]], Table_365[], 6, FALSE)</f>
        <v>#N/A</v>
      </c>
      <c r="AD122" s="68">
        <f>IF(ReviewCalcs[[#This Row],[Existing Control(s)]]='Tables &amp; Ranges'!$A$25, VLOOKUP(ReviewCalcs[[#This Row],[Building/Space Type]], Table_364[], 3, FALSE), CF_Contols)</f>
        <v>0.26</v>
      </c>
      <c r="AE122" s="68" t="e">
        <f>VLOOKUP(ReviewCalcs[[#This Row],[Existing Control(s)]], Table_358[], 2, FALSE)</f>
        <v>#N/A</v>
      </c>
      <c r="AF122" s="68">
        <f>IF(ReviewCalcs[[#This Row],[Proposed Control(s)]]='Tables &amp; Ranges'!$A$25, VLOOKUP(ReviewCalcs[[#This Row],[Building/Space Type]], Table_364[], 3, FALSE), CF_Contols)</f>
        <v>0.26</v>
      </c>
      <c r="AG122" s="68" t="e">
        <f>VLOOKUP(ReviewCalcs[[#This Row],[Proposed Control(s)]], Table_358[], 2, FALSE)</f>
        <v>#N/A</v>
      </c>
      <c r="AH122" s="68">
        <f>IFERROR((ReviewCalcs[[#This Row],[Existing Fixture Quantity]]*ReviewCalcs[[#This Row],[Existing Fixture Watts]]/1000)*ReviewCalcs[[#This Row],[Existing CF]]*ReviewCalcs[[#This Row],[IEFD]], 0)</f>
        <v>0</v>
      </c>
      <c r="AI122" s="68">
        <f>IFERROR((ReviewCalcs[[#This Row],[Proposed Fixture Quantity]]*ReviewCalcs[[#This Row],[Proposed Fixture Watts]]/1000)*ReviewCalcs[[#This Row],[Existing CF]]*ReviewCalcs[[#This Row],[IEFD]], 0)</f>
        <v>0</v>
      </c>
      <c r="AJ122" s="118">
        <f>IFERROR((ReviewCalcs[[#This Row],[Existing Fixture Quantity]]*ReviewCalcs[[#This Row],[Existing Fixture Watts]]/1000-ReviewCalcs[[#This Row],[Proposed Fixture Quantity]]*ReviewCalcs[[#This Row],[Proposed Fixture Watts]]/1000)*ReviewCalcs[[#This Row],[Existing CF]]*ReviewCalcs[[#This Row],[IEFD]], 0)</f>
        <v>0</v>
      </c>
      <c r="AK122" s="118">
        <f>IFERROR((ReviewCalcs[[#This Row],[Existing Fixture Quantity]]*ReviewCalcs[[#This Row],[Existing Fixture Watts]]/1000)*ReviewCalcs[[#This Row],[AOH]]*ReviewCalcs[[#This Row],[IEFE]]*ReviewCalcs[[#This Row],[Existing PAF]], 0)</f>
        <v>0</v>
      </c>
      <c r="AL122" s="118">
        <f>IFERROR((ReviewCalcs[[#This Row],[Proposed Fixture Quantity]]*ReviewCalcs[[#This Row],[Proposed Fixture Watts]]/1000)*ReviewCalcs[[#This Row],[AOH]]*ReviewCalcs[[#This Row],[IEFE]]*ReviewCalcs[[#This Row],[Existing PAF]], 0)</f>
        <v>0</v>
      </c>
      <c r="AM1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2" s="118">
        <f>ReviewCalcs[[#This Row],[Fixture Existing Energy (kWh)]]*Avg_KWh_Rate</f>
        <v>0</v>
      </c>
      <c r="AO122" s="118">
        <f>ReviewCalcs[[#This Row],[Fixture Proposed Energy (kWh)]]*Avg_KWh_Rate</f>
        <v>0</v>
      </c>
      <c r="AP122" s="70">
        <f>ReviewCalcs[[#This Row],[Fixture Energy Savings]]*Avg_KWh_Rate</f>
        <v>0</v>
      </c>
      <c r="AQ122" s="129" t="e">
        <f>ReviewCalcs[[#This Row],[Existing Fixture Quantity]]*ReviewCalcs[[#This Row],[Existing Fixture Watts]]/1000*ReviewCalcs[[#This Row],[Existing CF]]*ReviewCalcs[[#This Row],[IEFD]]</f>
        <v>#VALUE!</v>
      </c>
      <c r="AR122" s="129" t="e">
        <f>ReviewCalcs[[#This Row],[Proposed Fixture Quantity]]*ReviewCalcs[[#This Row],[Proposed Fixture Watts]]/1000*ReviewCalcs[[#This Row],[Proposed CF]]*ReviewCalcs[[#This Row],[IEFD]]</f>
        <v>#VALUE!</v>
      </c>
      <c r="AS122" s="118">
        <f>IF(ReviewCalcs[[#This Row],[Existing CF]]=ReviewCalcs[[#This Row],[Proposed CF]], 0, ReviewCalcs[[#This Row],[Proposed Fixture Quantity]]*ReviewCalcs[[#This Row],[Proposed Fixture Watts]]/1000*ReviewCalcs[[#This Row],[Proposed CF]]*ReviewCalcs[[#This Row],[IEFD]])</f>
        <v>0</v>
      </c>
      <c r="AT122" s="118">
        <f>IFERROR(ReviewCalcs[[#This Row],[Existing Fixture Quantity]]*ReviewCalcs[[#This Row],[Existing Fixture Watts]]/1000*ReviewCalcs[[#This Row],[Existing PAF]]*ReviewCalcs[[#This Row],[AOH]]*ReviewCalcs[[#This Row],[IEFE]], 0)</f>
        <v>0</v>
      </c>
      <c r="AU122" s="118">
        <f>IFERROR(ReviewCalcs[[#This Row],[Proposed Fixture Quantity]]*ReviewCalcs[[#This Row],[Proposed Fixture Watts]]/1000*ReviewCalcs[[#This Row],[Proposed PAF]]*ReviewCalcs[[#This Row],[AOH]]*ReviewCalcs[[#This Row],[IEFE]], 0)</f>
        <v>0</v>
      </c>
      <c r="AV122" s="118">
        <f>IFERROR(ReviewCalcs[[#This Row],[Proposed Fixture Quantity]]*ReviewCalcs[[#This Row],[Proposed Fixture Watts]]/1000*(ReviewCalcs[[#This Row],[Existing PAF]]-ReviewCalcs[[#This Row],[Proposed PAF]])*ReviewCalcs[[#This Row],[AOH]]*ReviewCalcs[[#This Row],[IEFE]], 0)</f>
        <v>0</v>
      </c>
      <c r="AW122" s="118">
        <f>ReviewCalcs[[#This Row],[Control Existing Energy (kWh)]]*kWh_Incentive_Rate</f>
        <v>0</v>
      </c>
      <c r="AX122" s="118">
        <f>ReviewCalcs[[#This Row],[Control Proposed Energy (kWh)]]*kWh_Incentive_Rate</f>
        <v>0</v>
      </c>
      <c r="AY122" s="70">
        <f>ReviewCalcs[[#This Row],[Control Energy Savings (kWh)]]*kWh_Incentive_Rate</f>
        <v>0</v>
      </c>
      <c r="AZ122" s="70" t="e">
        <f>ReviewCalcs[[#This Row],[Fixture Existing Demand (kW)]]+ReviewCalcs[[#This Row],[Control Existing Demand (kW)]]</f>
        <v>#VALUE!</v>
      </c>
      <c r="BA122" s="70" t="e">
        <f>ReviewCalcs[[#This Row],[Fixture Proposed Demand (kW)]]+ReviewCalcs[[#This Row],[Control Proposed Demand (kW)]]</f>
        <v>#VALUE!</v>
      </c>
      <c r="BB122" s="118">
        <f>ReviewCalcs[[#This Row],[Fixture Demand Savings (kW)]]+ReviewCalcs[[#This Row],[Control Demand Savings (kW)]]</f>
        <v>0</v>
      </c>
      <c r="BC122" s="118">
        <f>ReviewCalcs[[#This Row],[Fixture Existing Energy (kWh)]]+ReviewCalcs[[#This Row],[Control Existing Energy (kWh)]]</f>
        <v>0</v>
      </c>
      <c r="BD122" s="118">
        <f>ReviewCalcs[[#This Row],[Fixture Proposed Energy (kWh)]]+ReviewCalcs[[#This Row],[Control Proposed Energy (kWh)]]</f>
        <v>0</v>
      </c>
      <c r="BE122" s="118">
        <f>ReviewCalcs[[#This Row],[Fixture Energy Savings]]+ReviewCalcs[[#This Row],[Control Energy Savings (kWh)]]</f>
        <v>0</v>
      </c>
      <c r="BF122" s="118">
        <f>ReviewCalcs[[#This Row],[Fixture Existing Cost ($)]]+ReviewCalcs[[#This Row],[Control Existing Cost ($)]]</f>
        <v>0</v>
      </c>
      <c r="BG122" s="118">
        <f>ReviewCalcs[[#This Row],[Fixture Proposed Cost ($)]]+ReviewCalcs[[#This Row],[Controls Proposed Cost ($)]]</f>
        <v>0</v>
      </c>
      <c r="BH122" s="70">
        <f>ReviewCalcs[[#This Row],[Total Energy Savings (kWh)]]*Avg_KWh_Rate</f>
        <v>0</v>
      </c>
      <c r="BI1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2" s="70">
        <f>ReviewCalcs[[#This Row],[Retrofit Cost]]</f>
        <v>0</v>
      </c>
      <c r="BK122" s="70">
        <f>ReviewCalcs[[#This Row],[Retrofit Cost]]-ReviewCalcs[[#This Row],[Incentive ($)]]</f>
        <v>0</v>
      </c>
      <c r="BL122" s="118" t="e">
        <f>IFERROR(ReviewCalcs[[#This Row],[Net Project Cost ($)]]/ReviewCalcs[[#This Row],[Fixture Energy Cost Savings ($)]], #N/A)</f>
        <v>#N/A</v>
      </c>
      <c r="BM122" s="118" t="e">
        <f>IF(VLOOKUP(ReviewCalcs[[#This Row],[Existing Fixture Code]], Table7[[FIXTURE CODE]:[Baseline Fixture Code]], 8, FALSE)="N", VLOOKUP(ReviewCalcs[[#This Row],[Existing Fixture Code]], Table7[[FIXTURE CODE]:[Baseline Fixture Code]], 9, FALSE), ReviewCalcs[[#This Row],[Existing Fixture Code]])</f>
        <v>#N/A</v>
      </c>
      <c r="BN122" s="118" t="e">
        <f>INDEX(Table7[WATT/ FIXT], MATCH(ReviewCalcs[Baseline Fixture Code], Table7[FIXTURE CODE], 0))</f>
        <v>#N/A</v>
      </c>
      <c r="BO122" s="118">
        <f>IFERROR((ReviewCalcs[[#This Row],[Existing Fixture Quantity]]*ReviewCalcs[[#This Row],[Baseline Fixture Watts]]/1000-ReviewCalcs[[#This Row],[Proposed Fixture Quantity]]*ReviewCalcs[[#This Row],[Proposed Fixture Watts]]/1000)*ReviewCalcs[[#This Row],[Existing CF]]*ReviewCalcs[[#This Row],[IEFD]], 0)</f>
        <v>0</v>
      </c>
      <c r="BP1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2" s="118">
        <f>IF(ReviewCalcs[[#This Row],[Existing CF]]=ReviewCalcs[[#This Row],[Proposed CF]], 0, ReviewCalcs[[#This Row],[Proposed Fixture Quantity]]*ReviewCalcs[[#This Row],[Proposed Fixture Watts]]/1000*ReviewCalcs[[#This Row],[Proposed CF]]*ReviewCalcs[[#This Row],[IEFD]])</f>
        <v>0</v>
      </c>
      <c r="BR122" s="118">
        <f>IFERROR(ReviewCalcs[[#This Row],[Proposed Fixture Quantity]]*ReviewCalcs[[#This Row],[Proposed Fixture Watts]]/1000*(ReviewCalcs[[#This Row],[Existing PAF]]-ReviewCalcs[[#This Row],[Proposed PAF]])*ReviewCalcs[[#This Row],[AOH]]*ReviewCalcs[[#This Row],[IEFE]],0)</f>
        <v>0</v>
      </c>
      <c r="BS122" s="118">
        <f>ReviewCalcs[[#This Row],[Incentive Fixture Demand Savings (kW)]]+ReviewCalcs[[#This Row],[Incentive Control Demand Savings (kW)]]</f>
        <v>0</v>
      </c>
      <c r="BT122" s="118">
        <f>ReviewCalcs[[#This Row],[Incentive Fixture Energy Savings (kWh)]]+ReviewCalcs[[#This Row],[Incentive Control Energy Savings (kWh)]]</f>
        <v>0</v>
      </c>
      <c r="BU122" s="73"/>
    </row>
    <row r="123" spans="1:73" ht="30" customHeight="1">
      <c r="A123" s="68">
        <v>120</v>
      </c>
      <c r="B123" s="96">
        <f>VLOOKUP(ReviewCalcs[[#This Row],[Project Index]], ProjectInput[], D$1, FALSE)</f>
        <v>0</v>
      </c>
      <c r="C123" s="97">
        <f>VLOOKUP(ReviewCalcs[[#This Row],[Project Index]], ProjectInput[], E$1, FALSE)</f>
        <v>0</v>
      </c>
      <c r="D123" s="97">
        <f>VLOOKUP(ReviewCalcs[[#This Row],[Project Index]], ProjectInput[], F$1, FALSE)</f>
        <v>0</v>
      </c>
      <c r="E123" s="97">
        <f>VLOOKUP(ReviewCalcs[[#This Row],[Project Index]], ProjectInput[], G$1, FALSE)</f>
        <v>0</v>
      </c>
      <c r="F123" s="97">
        <f>VLOOKUP(ReviewCalcs[[#This Row],[Project Index]], ProjectInput[], H$1, FALSE)</f>
        <v>0</v>
      </c>
      <c r="G123" s="98" t="str">
        <f>VLOOKUP(ReviewCalcs[[#This Row],[Project Index]], ProjectInput[], I$1, FALSE)</f>
        <v/>
      </c>
      <c r="H123" s="96">
        <f>VLOOKUP(ReviewCalcs[[#This Row],[Project Index]], ProjectInput[], J$1, FALSE)</f>
        <v>0</v>
      </c>
      <c r="I123" s="97">
        <f>VLOOKUP(ReviewCalcs[[#This Row],[Project Index]], ProjectInput[], K$1, FALSE)</f>
        <v>0</v>
      </c>
      <c r="J123" s="97">
        <f>VLOOKUP(ReviewCalcs[[#This Row],[Project Index]], ProjectInput[], L$1, FALSE)</f>
        <v>0</v>
      </c>
      <c r="K123" s="97">
        <f>VLOOKUP(ReviewCalcs[[#This Row],[Project Index]], ProjectInput[], M$1, FALSE)</f>
        <v>0</v>
      </c>
      <c r="L123" s="97">
        <f>VLOOKUP(ReviewCalcs[[#This Row],[Project Index]], ProjectInput[], N$1, FALSE)</f>
        <v>0</v>
      </c>
      <c r="M123" s="98" t="str">
        <f>VLOOKUP(ReviewCalcs[[#This Row],[Project Index]], ProjectInput[], O$1, FALSE)</f>
        <v/>
      </c>
      <c r="N123" s="96">
        <f>VLOOKUP(ReviewCalcs[[#This Row],[Project Index]], ProjectInput[], P$1, FALSE)</f>
        <v>0</v>
      </c>
      <c r="O123" s="97">
        <f>VLOOKUP(ReviewCalcs[[#This Row],[Project Index]], ProjectInput[], Q$1, FALSE)</f>
        <v>0</v>
      </c>
      <c r="P123" s="97">
        <f>VLOOKUP(ReviewCalcs[[#This Row],[Project Index]], ProjectInput[], R$1, FALSE)</f>
        <v>0</v>
      </c>
      <c r="Q123" s="97">
        <f>VLOOKUP(ReviewCalcs[[#This Row],[Project Index]], ProjectInput[], S$1, FALSE)</f>
        <v>0</v>
      </c>
      <c r="R123" s="97">
        <f>VLOOKUP(ReviewCalcs[[#This Row],[Project Index]], ProjectInput[], T$1, FALSE)</f>
        <v>0</v>
      </c>
      <c r="S123" s="97">
        <f>VLOOKUP(ReviewCalcs[[#This Row],[Project Index]], ProjectInput[], U$1, FALSE)</f>
        <v>0</v>
      </c>
      <c r="T123" s="97">
        <f>VLOOKUP(ReviewCalcs[[#This Row],[Project Index]], ProjectInput[], V$1, FALSE)</f>
        <v>0</v>
      </c>
      <c r="U123" s="97">
        <f>VLOOKUP(ReviewCalcs[[#This Row],[Project Index]], ProjectInput[], W$1, FALSE)</f>
        <v>0</v>
      </c>
      <c r="V123" s="98" t="str">
        <f>VLOOKUP(ReviewCalcs[[#This Row],[Project Index]], ProjectInput[], X$1, FALSE)</f>
        <v/>
      </c>
      <c r="W1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3" s="75" t="e">
        <f>IF(VLOOKUP(ReviewCalcs[[#This Row],[Proposed Fixture Code]], Table7[[FIXTURE CODE]:[Baseline Fixture Code]], 8, FALSE)="N", "ERROR", "PASS")</f>
        <v>#N/A</v>
      </c>
      <c r="Y1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3" s="75" t="e">
        <f>IF(OR(ReviewCalcs[[#This Row],[Baseline Fixture Watts]]&gt;=ReviewCalcs[[#This Row],[Proposed Fixture Watts]],ReviewCalcs[[#This Row],[Existing Fixture Watts]]&gt;=ReviewCalcs[[#This Row],[Proposed Fixture Watts]] ), "PASS", "ERROR")</f>
        <v>#N/A</v>
      </c>
      <c r="AA123" s="69" t="e">
        <f>VLOOKUP(ReviewCalcs[[#This Row],[Space Conditions]], Table_365[], 5, FALSE)</f>
        <v>#N/A</v>
      </c>
      <c r="AB123" s="68" t="str">
        <f>ReviewCalcs[[#This Row],[Annual Hours]]</f>
        <v/>
      </c>
      <c r="AC123" s="68" t="e">
        <f>VLOOKUP(ReviewCalcs[[#This Row],[Space Conditions]], Table_365[], 6, FALSE)</f>
        <v>#N/A</v>
      </c>
      <c r="AD123" s="68">
        <f>IF(ReviewCalcs[[#This Row],[Existing Control(s)]]='Tables &amp; Ranges'!$A$25, VLOOKUP(ReviewCalcs[[#This Row],[Building/Space Type]], Table_364[], 3, FALSE), CF_Contols)</f>
        <v>0.26</v>
      </c>
      <c r="AE123" s="68" t="e">
        <f>VLOOKUP(ReviewCalcs[[#This Row],[Existing Control(s)]], Table_358[], 2, FALSE)</f>
        <v>#N/A</v>
      </c>
      <c r="AF123" s="68">
        <f>IF(ReviewCalcs[[#This Row],[Proposed Control(s)]]='Tables &amp; Ranges'!$A$25, VLOOKUP(ReviewCalcs[[#This Row],[Building/Space Type]], Table_364[], 3, FALSE), CF_Contols)</f>
        <v>0.26</v>
      </c>
      <c r="AG123" s="68" t="e">
        <f>VLOOKUP(ReviewCalcs[[#This Row],[Proposed Control(s)]], Table_358[], 2, FALSE)</f>
        <v>#N/A</v>
      </c>
      <c r="AH123" s="68">
        <f>IFERROR((ReviewCalcs[[#This Row],[Existing Fixture Quantity]]*ReviewCalcs[[#This Row],[Existing Fixture Watts]]/1000)*ReviewCalcs[[#This Row],[Existing CF]]*ReviewCalcs[[#This Row],[IEFD]], 0)</f>
        <v>0</v>
      </c>
      <c r="AI123" s="68">
        <f>IFERROR((ReviewCalcs[[#This Row],[Proposed Fixture Quantity]]*ReviewCalcs[[#This Row],[Proposed Fixture Watts]]/1000)*ReviewCalcs[[#This Row],[Existing CF]]*ReviewCalcs[[#This Row],[IEFD]], 0)</f>
        <v>0</v>
      </c>
      <c r="AJ123" s="118">
        <f>IFERROR((ReviewCalcs[[#This Row],[Existing Fixture Quantity]]*ReviewCalcs[[#This Row],[Existing Fixture Watts]]/1000-ReviewCalcs[[#This Row],[Proposed Fixture Quantity]]*ReviewCalcs[[#This Row],[Proposed Fixture Watts]]/1000)*ReviewCalcs[[#This Row],[Existing CF]]*ReviewCalcs[[#This Row],[IEFD]], 0)</f>
        <v>0</v>
      </c>
      <c r="AK123" s="118">
        <f>IFERROR((ReviewCalcs[[#This Row],[Existing Fixture Quantity]]*ReviewCalcs[[#This Row],[Existing Fixture Watts]]/1000)*ReviewCalcs[[#This Row],[AOH]]*ReviewCalcs[[#This Row],[IEFE]]*ReviewCalcs[[#This Row],[Existing PAF]], 0)</f>
        <v>0</v>
      </c>
      <c r="AL123" s="118">
        <f>IFERROR((ReviewCalcs[[#This Row],[Proposed Fixture Quantity]]*ReviewCalcs[[#This Row],[Proposed Fixture Watts]]/1000)*ReviewCalcs[[#This Row],[AOH]]*ReviewCalcs[[#This Row],[IEFE]]*ReviewCalcs[[#This Row],[Existing PAF]], 0)</f>
        <v>0</v>
      </c>
      <c r="AM1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3" s="118">
        <f>ReviewCalcs[[#This Row],[Fixture Existing Energy (kWh)]]*Avg_KWh_Rate</f>
        <v>0</v>
      </c>
      <c r="AO123" s="118">
        <f>ReviewCalcs[[#This Row],[Fixture Proposed Energy (kWh)]]*Avg_KWh_Rate</f>
        <v>0</v>
      </c>
      <c r="AP123" s="70">
        <f>ReviewCalcs[[#This Row],[Fixture Energy Savings]]*Avg_KWh_Rate</f>
        <v>0</v>
      </c>
      <c r="AQ123" s="129" t="e">
        <f>ReviewCalcs[[#This Row],[Existing Fixture Quantity]]*ReviewCalcs[[#This Row],[Existing Fixture Watts]]/1000*ReviewCalcs[[#This Row],[Existing CF]]*ReviewCalcs[[#This Row],[IEFD]]</f>
        <v>#VALUE!</v>
      </c>
      <c r="AR123" s="129" t="e">
        <f>ReviewCalcs[[#This Row],[Proposed Fixture Quantity]]*ReviewCalcs[[#This Row],[Proposed Fixture Watts]]/1000*ReviewCalcs[[#This Row],[Proposed CF]]*ReviewCalcs[[#This Row],[IEFD]]</f>
        <v>#VALUE!</v>
      </c>
      <c r="AS123" s="118">
        <f>IF(ReviewCalcs[[#This Row],[Existing CF]]=ReviewCalcs[[#This Row],[Proposed CF]], 0, ReviewCalcs[[#This Row],[Proposed Fixture Quantity]]*ReviewCalcs[[#This Row],[Proposed Fixture Watts]]/1000*ReviewCalcs[[#This Row],[Proposed CF]]*ReviewCalcs[[#This Row],[IEFD]])</f>
        <v>0</v>
      </c>
      <c r="AT123" s="118">
        <f>IFERROR(ReviewCalcs[[#This Row],[Existing Fixture Quantity]]*ReviewCalcs[[#This Row],[Existing Fixture Watts]]/1000*ReviewCalcs[[#This Row],[Existing PAF]]*ReviewCalcs[[#This Row],[AOH]]*ReviewCalcs[[#This Row],[IEFE]], 0)</f>
        <v>0</v>
      </c>
      <c r="AU123" s="118">
        <f>IFERROR(ReviewCalcs[[#This Row],[Proposed Fixture Quantity]]*ReviewCalcs[[#This Row],[Proposed Fixture Watts]]/1000*ReviewCalcs[[#This Row],[Proposed PAF]]*ReviewCalcs[[#This Row],[AOH]]*ReviewCalcs[[#This Row],[IEFE]], 0)</f>
        <v>0</v>
      </c>
      <c r="AV123" s="118">
        <f>IFERROR(ReviewCalcs[[#This Row],[Proposed Fixture Quantity]]*ReviewCalcs[[#This Row],[Proposed Fixture Watts]]/1000*(ReviewCalcs[[#This Row],[Existing PAF]]-ReviewCalcs[[#This Row],[Proposed PAF]])*ReviewCalcs[[#This Row],[AOH]]*ReviewCalcs[[#This Row],[IEFE]], 0)</f>
        <v>0</v>
      </c>
      <c r="AW123" s="118">
        <f>ReviewCalcs[[#This Row],[Control Existing Energy (kWh)]]*kWh_Incentive_Rate</f>
        <v>0</v>
      </c>
      <c r="AX123" s="118">
        <f>ReviewCalcs[[#This Row],[Control Proposed Energy (kWh)]]*kWh_Incentive_Rate</f>
        <v>0</v>
      </c>
      <c r="AY123" s="70">
        <f>ReviewCalcs[[#This Row],[Control Energy Savings (kWh)]]*kWh_Incentive_Rate</f>
        <v>0</v>
      </c>
      <c r="AZ123" s="70" t="e">
        <f>ReviewCalcs[[#This Row],[Fixture Existing Demand (kW)]]+ReviewCalcs[[#This Row],[Control Existing Demand (kW)]]</f>
        <v>#VALUE!</v>
      </c>
      <c r="BA123" s="70" t="e">
        <f>ReviewCalcs[[#This Row],[Fixture Proposed Demand (kW)]]+ReviewCalcs[[#This Row],[Control Proposed Demand (kW)]]</f>
        <v>#VALUE!</v>
      </c>
      <c r="BB123" s="118">
        <f>ReviewCalcs[[#This Row],[Fixture Demand Savings (kW)]]+ReviewCalcs[[#This Row],[Control Demand Savings (kW)]]</f>
        <v>0</v>
      </c>
      <c r="BC123" s="118">
        <f>ReviewCalcs[[#This Row],[Fixture Existing Energy (kWh)]]+ReviewCalcs[[#This Row],[Control Existing Energy (kWh)]]</f>
        <v>0</v>
      </c>
      <c r="BD123" s="118">
        <f>ReviewCalcs[[#This Row],[Fixture Proposed Energy (kWh)]]+ReviewCalcs[[#This Row],[Control Proposed Energy (kWh)]]</f>
        <v>0</v>
      </c>
      <c r="BE123" s="118">
        <f>ReviewCalcs[[#This Row],[Fixture Energy Savings]]+ReviewCalcs[[#This Row],[Control Energy Savings (kWh)]]</f>
        <v>0</v>
      </c>
      <c r="BF123" s="118">
        <f>ReviewCalcs[[#This Row],[Fixture Existing Cost ($)]]+ReviewCalcs[[#This Row],[Control Existing Cost ($)]]</f>
        <v>0</v>
      </c>
      <c r="BG123" s="118">
        <f>ReviewCalcs[[#This Row],[Fixture Proposed Cost ($)]]+ReviewCalcs[[#This Row],[Controls Proposed Cost ($)]]</f>
        <v>0</v>
      </c>
      <c r="BH123" s="70">
        <f>ReviewCalcs[[#This Row],[Total Energy Savings (kWh)]]*Avg_KWh_Rate</f>
        <v>0</v>
      </c>
      <c r="BI1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3" s="70">
        <f>ReviewCalcs[[#This Row],[Retrofit Cost]]</f>
        <v>0</v>
      </c>
      <c r="BK123" s="70">
        <f>ReviewCalcs[[#This Row],[Retrofit Cost]]-ReviewCalcs[[#This Row],[Incentive ($)]]</f>
        <v>0</v>
      </c>
      <c r="BL123" s="118" t="e">
        <f>IFERROR(ReviewCalcs[[#This Row],[Net Project Cost ($)]]/ReviewCalcs[[#This Row],[Fixture Energy Cost Savings ($)]], #N/A)</f>
        <v>#N/A</v>
      </c>
      <c r="BM123" s="118" t="e">
        <f>IF(VLOOKUP(ReviewCalcs[[#This Row],[Existing Fixture Code]], Table7[[FIXTURE CODE]:[Baseline Fixture Code]], 8, FALSE)="N", VLOOKUP(ReviewCalcs[[#This Row],[Existing Fixture Code]], Table7[[FIXTURE CODE]:[Baseline Fixture Code]], 9, FALSE), ReviewCalcs[[#This Row],[Existing Fixture Code]])</f>
        <v>#N/A</v>
      </c>
      <c r="BN123" s="118" t="e">
        <f>INDEX(Table7[WATT/ FIXT], MATCH(ReviewCalcs[Baseline Fixture Code], Table7[FIXTURE CODE], 0))</f>
        <v>#N/A</v>
      </c>
      <c r="BO123" s="118">
        <f>IFERROR((ReviewCalcs[[#This Row],[Existing Fixture Quantity]]*ReviewCalcs[[#This Row],[Baseline Fixture Watts]]/1000-ReviewCalcs[[#This Row],[Proposed Fixture Quantity]]*ReviewCalcs[[#This Row],[Proposed Fixture Watts]]/1000)*ReviewCalcs[[#This Row],[Existing CF]]*ReviewCalcs[[#This Row],[IEFD]], 0)</f>
        <v>0</v>
      </c>
      <c r="BP1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3" s="118">
        <f>IF(ReviewCalcs[[#This Row],[Existing CF]]=ReviewCalcs[[#This Row],[Proposed CF]], 0, ReviewCalcs[[#This Row],[Proposed Fixture Quantity]]*ReviewCalcs[[#This Row],[Proposed Fixture Watts]]/1000*ReviewCalcs[[#This Row],[Proposed CF]]*ReviewCalcs[[#This Row],[IEFD]])</f>
        <v>0</v>
      </c>
      <c r="BR123" s="118">
        <f>IFERROR(ReviewCalcs[[#This Row],[Proposed Fixture Quantity]]*ReviewCalcs[[#This Row],[Proposed Fixture Watts]]/1000*(ReviewCalcs[[#This Row],[Existing PAF]]-ReviewCalcs[[#This Row],[Proposed PAF]])*ReviewCalcs[[#This Row],[AOH]]*ReviewCalcs[[#This Row],[IEFE]],0)</f>
        <v>0</v>
      </c>
      <c r="BS123" s="118">
        <f>ReviewCalcs[[#This Row],[Incentive Fixture Demand Savings (kW)]]+ReviewCalcs[[#This Row],[Incentive Control Demand Savings (kW)]]</f>
        <v>0</v>
      </c>
      <c r="BT123" s="118">
        <f>ReviewCalcs[[#This Row],[Incentive Fixture Energy Savings (kWh)]]+ReviewCalcs[[#This Row],[Incentive Control Energy Savings (kWh)]]</f>
        <v>0</v>
      </c>
      <c r="BU123" s="73"/>
    </row>
    <row r="124" spans="1:73" ht="30" customHeight="1">
      <c r="A124" s="68">
        <v>121</v>
      </c>
      <c r="B124" s="96">
        <f>VLOOKUP(ReviewCalcs[[#This Row],[Project Index]], ProjectInput[], D$1, FALSE)</f>
        <v>0</v>
      </c>
      <c r="C124" s="97">
        <f>VLOOKUP(ReviewCalcs[[#This Row],[Project Index]], ProjectInput[], E$1, FALSE)</f>
        <v>0</v>
      </c>
      <c r="D124" s="97">
        <f>VLOOKUP(ReviewCalcs[[#This Row],[Project Index]], ProjectInput[], F$1, FALSE)</f>
        <v>0</v>
      </c>
      <c r="E124" s="97">
        <f>VLOOKUP(ReviewCalcs[[#This Row],[Project Index]], ProjectInput[], G$1, FALSE)</f>
        <v>0</v>
      </c>
      <c r="F124" s="97">
        <f>VLOOKUP(ReviewCalcs[[#This Row],[Project Index]], ProjectInput[], H$1, FALSE)</f>
        <v>0</v>
      </c>
      <c r="G124" s="98" t="str">
        <f>VLOOKUP(ReviewCalcs[[#This Row],[Project Index]], ProjectInput[], I$1, FALSE)</f>
        <v/>
      </c>
      <c r="H124" s="96">
        <f>VLOOKUP(ReviewCalcs[[#This Row],[Project Index]], ProjectInput[], J$1, FALSE)</f>
        <v>0</v>
      </c>
      <c r="I124" s="97">
        <f>VLOOKUP(ReviewCalcs[[#This Row],[Project Index]], ProjectInput[], K$1, FALSE)</f>
        <v>0</v>
      </c>
      <c r="J124" s="97">
        <f>VLOOKUP(ReviewCalcs[[#This Row],[Project Index]], ProjectInput[], L$1, FALSE)</f>
        <v>0</v>
      </c>
      <c r="K124" s="97">
        <f>VLOOKUP(ReviewCalcs[[#This Row],[Project Index]], ProjectInput[], M$1, FALSE)</f>
        <v>0</v>
      </c>
      <c r="L124" s="97">
        <f>VLOOKUP(ReviewCalcs[[#This Row],[Project Index]], ProjectInput[], N$1, FALSE)</f>
        <v>0</v>
      </c>
      <c r="M124" s="98" t="str">
        <f>VLOOKUP(ReviewCalcs[[#This Row],[Project Index]], ProjectInput[], O$1, FALSE)</f>
        <v/>
      </c>
      <c r="N124" s="96">
        <f>VLOOKUP(ReviewCalcs[[#This Row],[Project Index]], ProjectInput[], P$1, FALSE)</f>
        <v>0</v>
      </c>
      <c r="O124" s="97">
        <f>VLOOKUP(ReviewCalcs[[#This Row],[Project Index]], ProjectInput[], Q$1, FALSE)</f>
        <v>0</v>
      </c>
      <c r="P124" s="97">
        <f>VLOOKUP(ReviewCalcs[[#This Row],[Project Index]], ProjectInput[], R$1, FALSE)</f>
        <v>0</v>
      </c>
      <c r="Q124" s="97">
        <f>VLOOKUP(ReviewCalcs[[#This Row],[Project Index]], ProjectInput[], S$1, FALSE)</f>
        <v>0</v>
      </c>
      <c r="R124" s="97">
        <f>VLOOKUP(ReviewCalcs[[#This Row],[Project Index]], ProjectInput[], T$1, FALSE)</f>
        <v>0</v>
      </c>
      <c r="S124" s="97">
        <f>VLOOKUP(ReviewCalcs[[#This Row],[Project Index]], ProjectInput[], U$1, FALSE)</f>
        <v>0</v>
      </c>
      <c r="T124" s="97">
        <f>VLOOKUP(ReviewCalcs[[#This Row],[Project Index]], ProjectInput[], V$1, FALSE)</f>
        <v>0</v>
      </c>
      <c r="U124" s="97">
        <f>VLOOKUP(ReviewCalcs[[#This Row],[Project Index]], ProjectInput[], W$1, FALSE)</f>
        <v>0</v>
      </c>
      <c r="V124" s="98" t="str">
        <f>VLOOKUP(ReviewCalcs[[#This Row],[Project Index]], ProjectInput[], X$1, FALSE)</f>
        <v/>
      </c>
      <c r="W1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4" s="75" t="e">
        <f>IF(VLOOKUP(ReviewCalcs[[#This Row],[Proposed Fixture Code]], Table7[[FIXTURE CODE]:[Baseline Fixture Code]], 8, FALSE)="N", "ERROR", "PASS")</f>
        <v>#N/A</v>
      </c>
      <c r="Y1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4" s="75" t="e">
        <f>IF(OR(ReviewCalcs[[#This Row],[Baseline Fixture Watts]]&gt;=ReviewCalcs[[#This Row],[Proposed Fixture Watts]],ReviewCalcs[[#This Row],[Existing Fixture Watts]]&gt;=ReviewCalcs[[#This Row],[Proposed Fixture Watts]] ), "PASS", "ERROR")</f>
        <v>#N/A</v>
      </c>
      <c r="AA124" s="69" t="e">
        <f>VLOOKUP(ReviewCalcs[[#This Row],[Space Conditions]], Table_365[], 5, FALSE)</f>
        <v>#N/A</v>
      </c>
      <c r="AB124" s="68" t="str">
        <f>ReviewCalcs[[#This Row],[Annual Hours]]</f>
        <v/>
      </c>
      <c r="AC124" s="68" t="e">
        <f>VLOOKUP(ReviewCalcs[[#This Row],[Space Conditions]], Table_365[], 6, FALSE)</f>
        <v>#N/A</v>
      </c>
      <c r="AD124" s="68">
        <f>IF(ReviewCalcs[[#This Row],[Existing Control(s)]]='Tables &amp; Ranges'!$A$25, VLOOKUP(ReviewCalcs[[#This Row],[Building/Space Type]], Table_364[], 3, FALSE), CF_Contols)</f>
        <v>0.26</v>
      </c>
      <c r="AE124" s="68" t="e">
        <f>VLOOKUP(ReviewCalcs[[#This Row],[Existing Control(s)]], Table_358[], 2, FALSE)</f>
        <v>#N/A</v>
      </c>
      <c r="AF124" s="68">
        <f>IF(ReviewCalcs[[#This Row],[Proposed Control(s)]]='Tables &amp; Ranges'!$A$25, VLOOKUP(ReviewCalcs[[#This Row],[Building/Space Type]], Table_364[], 3, FALSE), CF_Contols)</f>
        <v>0.26</v>
      </c>
      <c r="AG124" s="68" t="e">
        <f>VLOOKUP(ReviewCalcs[[#This Row],[Proposed Control(s)]], Table_358[], 2, FALSE)</f>
        <v>#N/A</v>
      </c>
      <c r="AH124" s="68">
        <f>IFERROR((ReviewCalcs[[#This Row],[Existing Fixture Quantity]]*ReviewCalcs[[#This Row],[Existing Fixture Watts]]/1000)*ReviewCalcs[[#This Row],[Existing CF]]*ReviewCalcs[[#This Row],[IEFD]], 0)</f>
        <v>0</v>
      </c>
      <c r="AI124" s="68">
        <f>IFERROR((ReviewCalcs[[#This Row],[Proposed Fixture Quantity]]*ReviewCalcs[[#This Row],[Proposed Fixture Watts]]/1000)*ReviewCalcs[[#This Row],[Existing CF]]*ReviewCalcs[[#This Row],[IEFD]], 0)</f>
        <v>0</v>
      </c>
      <c r="AJ124" s="118">
        <f>IFERROR((ReviewCalcs[[#This Row],[Existing Fixture Quantity]]*ReviewCalcs[[#This Row],[Existing Fixture Watts]]/1000-ReviewCalcs[[#This Row],[Proposed Fixture Quantity]]*ReviewCalcs[[#This Row],[Proposed Fixture Watts]]/1000)*ReviewCalcs[[#This Row],[Existing CF]]*ReviewCalcs[[#This Row],[IEFD]], 0)</f>
        <v>0</v>
      </c>
      <c r="AK124" s="118">
        <f>IFERROR((ReviewCalcs[[#This Row],[Existing Fixture Quantity]]*ReviewCalcs[[#This Row],[Existing Fixture Watts]]/1000)*ReviewCalcs[[#This Row],[AOH]]*ReviewCalcs[[#This Row],[IEFE]]*ReviewCalcs[[#This Row],[Existing PAF]], 0)</f>
        <v>0</v>
      </c>
      <c r="AL124" s="118">
        <f>IFERROR((ReviewCalcs[[#This Row],[Proposed Fixture Quantity]]*ReviewCalcs[[#This Row],[Proposed Fixture Watts]]/1000)*ReviewCalcs[[#This Row],[AOH]]*ReviewCalcs[[#This Row],[IEFE]]*ReviewCalcs[[#This Row],[Existing PAF]], 0)</f>
        <v>0</v>
      </c>
      <c r="AM1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4" s="118">
        <f>ReviewCalcs[[#This Row],[Fixture Existing Energy (kWh)]]*Avg_KWh_Rate</f>
        <v>0</v>
      </c>
      <c r="AO124" s="118">
        <f>ReviewCalcs[[#This Row],[Fixture Proposed Energy (kWh)]]*Avg_KWh_Rate</f>
        <v>0</v>
      </c>
      <c r="AP124" s="70">
        <f>ReviewCalcs[[#This Row],[Fixture Energy Savings]]*Avg_KWh_Rate</f>
        <v>0</v>
      </c>
      <c r="AQ124" s="129" t="e">
        <f>ReviewCalcs[[#This Row],[Existing Fixture Quantity]]*ReviewCalcs[[#This Row],[Existing Fixture Watts]]/1000*ReviewCalcs[[#This Row],[Existing CF]]*ReviewCalcs[[#This Row],[IEFD]]</f>
        <v>#VALUE!</v>
      </c>
      <c r="AR124" s="129" t="e">
        <f>ReviewCalcs[[#This Row],[Proposed Fixture Quantity]]*ReviewCalcs[[#This Row],[Proposed Fixture Watts]]/1000*ReviewCalcs[[#This Row],[Proposed CF]]*ReviewCalcs[[#This Row],[IEFD]]</f>
        <v>#VALUE!</v>
      </c>
      <c r="AS124" s="118">
        <f>IF(ReviewCalcs[[#This Row],[Existing CF]]=ReviewCalcs[[#This Row],[Proposed CF]], 0, ReviewCalcs[[#This Row],[Proposed Fixture Quantity]]*ReviewCalcs[[#This Row],[Proposed Fixture Watts]]/1000*ReviewCalcs[[#This Row],[Proposed CF]]*ReviewCalcs[[#This Row],[IEFD]])</f>
        <v>0</v>
      </c>
      <c r="AT124" s="118">
        <f>IFERROR(ReviewCalcs[[#This Row],[Existing Fixture Quantity]]*ReviewCalcs[[#This Row],[Existing Fixture Watts]]/1000*ReviewCalcs[[#This Row],[Existing PAF]]*ReviewCalcs[[#This Row],[AOH]]*ReviewCalcs[[#This Row],[IEFE]], 0)</f>
        <v>0</v>
      </c>
      <c r="AU124" s="118">
        <f>IFERROR(ReviewCalcs[[#This Row],[Proposed Fixture Quantity]]*ReviewCalcs[[#This Row],[Proposed Fixture Watts]]/1000*ReviewCalcs[[#This Row],[Proposed PAF]]*ReviewCalcs[[#This Row],[AOH]]*ReviewCalcs[[#This Row],[IEFE]], 0)</f>
        <v>0</v>
      </c>
      <c r="AV124" s="118">
        <f>IFERROR(ReviewCalcs[[#This Row],[Proposed Fixture Quantity]]*ReviewCalcs[[#This Row],[Proposed Fixture Watts]]/1000*(ReviewCalcs[[#This Row],[Existing PAF]]-ReviewCalcs[[#This Row],[Proposed PAF]])*ReviewCalcs[[#This Row],[AOH]]*ReviewCalcs[[#This Row],[IEFE]], 0)</f>
        <v>0</v>
      </c>
      <c r="AW124" s="118">
        <f>ReviewCalcs[[#This Row],[Control Existing Energy (kWh)]]*kWh_Incentive_Rate</f>
        <v>0</v>
      </c>
      <c r="AX124" s="118">
        <f>ReviewCalcs[[#This Row],[Control Proposed Energy (kWh)]]*kWh_Incentive_Rate</f>
        <v>0</v>
      </c>
      <c r="AY124" s="70">
        <f>ReviewCalcs[[#This Row],[Control Energy Savings (kWh)]]*kWh_Incentive_Rate</f>
        <v>0</v>
      </c>
      <c r="AZ124" s="70" t="e">
        <f>ReviewCalcs[[#This Row],[Fixture Existing Demand (kW)]]+ReviewCalcs[[#This Row],[Control Existing Demand (kW)]]</f>
        <v>#VALUE!</v>
      </c>
      <c r="BA124" s="70" t="e">
        <f>ReviewCalcs[[#This Row],[Fixture Proposed Demand (kW)]]+ReviewCalcs[[#This Row],[Control Proposed Demand (kW)]]</f>
        <v>#VALUE!</v>
      </c>
      <c r="BB124" s="118">
        <f>ReviewCalcs[[#This Row],[Fixture Demand Savings (kW)]]+ReviewCalcs[[#This Row],[Control Demand Savings (kW)]]</f>
        <v>0</v>
      </c>
      <c r="BC124" s="118">
        <f>ReviewCalcs[[#This Row],[Fixture Existing Energy (kWh)]]+ReviewCalcs[[#This Row],[Control Existing Energy (kWh)]]</f>
        <v>0</v>
      </c>
      <c r="BD124" s="118">
        <f>ReviewCalcs[[#This Row],[Fixture Proposed Energy (kWh)]]+ReviewCalcs[[#This Row],[Control Proposed Energy (kWh)]]</f>
        <v>0</v>
      </c>
      <c r="BE124" s="118">
        <f>ReviewCalcs[[#This Row],[Fixture Energy Savings]]+ReviewCalcs[[#This Row],[Control Energy Savings (kWh)]]</f>
        <v>0</v>
      </c>
      <c r="BF124" s="118">
        <f>ReviewCalcs[[#This Row],[Fixture Existing Cost ($)]]+ReviewCalcs[[#This Row],[Control Existing Cost ($)]]</f>
        <v>0</v>
      </c>
      <c r="BG124" s="118">
        <f>ReviewCalcs[[#This Row],[Fixture Proposed Cost ($)]]+ReviewCalcs[[#This Row],[Controls Proposed Cost ($)]]</f>
        <v>0</v>
      </c>
      <c r="BH124" s="70">
        <f>ReviewCalcs[[#This Row],[Total Energy Savings (kWh)]]*Avg_KWh_Rate</f>
        <v>0</v>
      </c>
      <c r="BI1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4" s="70">
        <f>ReviewCalcs[[#This Row],[Retrofit Cost]]</f>
        <v>0</v>
      </c>
      <c r="BK124" s="70">
        <f>ReviewCalcs[[#This Row],[Retrofit Cost]]-ReviewCalcs[[#This Row],[Incentive ($)]]</f>
        <v>0</v>
      </c>
      <c r="BL124" s="118" t="e">
        <f>IFERROR(ReviewCalcs[[#This Row],[Net Project Cost ($)]]/ReviewCalcs[[#This Row],[Fixture Energy Cost Savings ($)]], #N/A)</f>
        <v>#N/A</v>
      </c>
      <c r="BM124" s="118" t="e">
        <f>IF(VLOOKUP(ReviewCalcs[[#This Row],[Existing Fixture Code]], Table7[[FIXTURE CODE]:[Baseline Fixture Code]], 8, FALSE)="N", VLOOKUP(ReviewCalcs[[#This Row],[Existing Fixture Code]], Table7[[FIXTURE CODE]:[Baseline Fixture Code]], 9, FALSE), ReviewCalcs[[#This Row],[Existing Fixture Code]])</f>
        <v>#N/A</v>
      </c>
      <c r="BN124" s="118" t="e">
        <f>INDEX(Table7[WATT/ FIXT], MATCH(ReviewCalcs[Baseline Fixture Code], Table7[FIXTURE CODE], 0))</f>
        <v>#N/A</v>
      </c>
      <c r="BO124" s="118">
        <f>IFERROR((ReviewCalcs[[#This Row],[Existing Fixture Quantity]]*ReviewCalcs[[#This Row],[Baseline Fixture Watts]]/1000-ReviewCalcs[[#This Row],[Proposed Fixture Quantity]]*ReviewCalcs[[#This Row],[Proposed Fixture Watts]]/1000)*ReviewCalcs[[#This Row],[Existing CF]]*ReviewCalcs[[#This Row],[IEFD]], 0)</f>
        <v>0</v>
      </c>
      <c r="BP1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4" s="118">
        <f>IF(ReviewCalcs[[#This Row],[Existing CF]]=ReviewCalcs[[#This Row],[Proposed CF]], 0, ReviewCalcs[[#This Row],[Proposed Fixture Quantity]]*ReviewCalcs[[#This Row],[Proposed Fixture Watts]]/1000*ReviewCalcs[[#This Row],[Proposed CF]]*ReviewCalcs[[#This Row],[IEFD]])</f>
        <v>0</v>
      </c>
      <c r="BR124" s="118">
        <f>IFERROR(ReviewCalcs[[#This Row],[Proposed Fixture Quantity]]*ReviewCalcs[[#This Row],[Proposed Fixture Watts]]/1000*(ReviewCalcs[[#This Row],[Existing PAF]]-ReviewCalcs[[#This Row],[Proposed PAF]])*ReviewCalcs[[#This Row],[AOH]]*ReviewCalcs[[#This Row],[IEFE]],0)</f>
        <v>0</v>
      </c>
      <c r="BS124" s="118">
        <f>ReviewCalcs[[#This Row],[Incentive Fixture Demand Savings (kW)]]+ReviewCalcs[[#This Row],[Incentive Control Demand Savings (kW)]]</f>
        <v>0</v>
      </c>
      <c r="BT124" s="118">
        <f>ReviewCalcs[[#This Row],[Incentive Fixture Energy Savings (kWh)]]+ReviewCalcs[[#This Row],[Incentive Control Energy Savings (kWh)]]</f>
        <v>0</v>
      </c>
      <c r="BU124" s="73"/>
    </row>
    <row r="125" spans="1:73" ht="30" customHeight="1">
      <c r="A125" s="68">
        <v>122</v>
      </c>
      <c r="B125" s="96">
        <f>VLOOKUP(ReviewCalcs[[#This Row],[Project Index]], ProjectInput[], D$1, FALSE)</f>
        <v>0</v>
      </c>
      <c r="C125" s="97">
        <f>VLOOKUP(ReviewCalcs[[#This Row],[Project Index]], ProjectInput[], E$1, FALSE)</f>
        <v>0</v>
      </c>
      <c r="D125" s="97">
        <f>VLOOKUP(ReviewCalcs[[#This Row],[Project Index]], ProjectInput[], F$1, FALSE)</f>
        <v>0</v>
      </c>
      <c r="E125" s="97">
        <f>VLOOKUP(ReviewCalcs[[#This Row],[Project Index]], ProjectInput[], G$1, FALSE)</f>
        <v>0</v>
      </c>
      <c r="F125" s="97">
        <f>VLOOKUP(ReviewCalcs[[#This Row],[Project Index]], ProjectInput[], H$1, FALSE)</f>
        <v>0</v>
      </c>
      <c r="G125" s="98" t="str">
        <f>VLOOKUP(ReviewCalcs[[#This Row],[Project Index]], ProjectInput[], I$1, FALSE)</f>
        <v/>
      </c>
      <c r="H125" s="96">
        <f>VLOOKUP(ReviewCalcs[[#This Row],[Project Index]], ProjectInput[], J$1, FALSE)</f>
        <v>0</v>
      </c>
      <c r="I125" s="97">
        <f>VLOOKUP(ReviewCalcs[[#This Row],[Project Index]], ProjectInput[], K$1, FALSE)</f>
        <v>0</v>
      </c>
      <c r="J125" s="97">
        <f>VLOOKUP(ReviewCalcs[[#This Row],[Project Index]], ProjectInput[], L$1, FALSE)</f>
        <v>0</v>
      </c>
      <c r="K125" s="97">
        <f>VLOOKUP(ReviewCalcs[[#This Row],[Project Index]], ProjectInput[], M$1, FALSE)</f>
        <v>0</v>
      </c>
      <c r="L125" s="97">
        <f>VLOOKUP(ReviewCalcs[[#This Row],[Project Index]], ProjectInput[], N$1, FALSE)</f>
        <v>0</v>
      </c>
      <c r="M125" s="98" t="str">
        <f>VLOOKUP(ReviewCalcs[[#This Row],[Project Index]], ProjectInput[], O$1, FALSE)</f>
        <v/>
      </c>
      <c r="N125" s="96">
        <f>VLOOKUP(ReviewCalcs[[#This Row],[Project Index]], ProjectInput[], P$1, FALSE)</f>
        <v>0</v>
      </c>
      <c r="O125" s="97">
        <f>VLOOKUP(ReviewCalcs[[#This Row],[Project Index]], ProjectInput[], Q$1, FALSE)</f>
        <v>0</v>
      </c>
      <c r="P125" s="97">
        <f>VLOOKUP(ReviewCalcs[[#This Row],[Project Index]], ProjectInput[], R$1, FALSE)</f>
        <v>0</v>
      </c>
      <c r="Q125" s="97">
        <f>VLOOKUP(ReviewCalcs[[#This Row],[Project Index]], ProjectInput[], S$1, FALSE)</f>
        <v>0</v>
      </c>
      <c r="R125" s="97">
        <f>VLOOKUP(ReviewCalcs[[#This Row],[Project Index]], ProjectInput[], T$1, FALSE)</f>
        <v>0</v>
      </c>
      <c r="S125" s="97">
        <f>VLOOKUP(ReviewCalcs[[#This Row],[Project Index]], ProjectInput[], U$1, FALSE)</f>
        <v>0</v>
      </c>
      <c r="T125" s="97">
        <f>VLOOKUP(ReviewCalcs[[#This Row],[Project Index]], ProjectInput[], V$1, FALSE)</f>
        <v>0</v>
      </c>
      <c r="U125" s="97">
        <f>VLOOKUP(ReviewCalcs[[#This Row],[Project Index]], ProjectInput[], W$1, FALSE)</f>
        <v>0</v>
      </c>
      <c r="V125" s="98" t="str">
        <f>VLOOKUP(ReviewCalcs[[#This Row],[Project Index]], ProjectInput[], X$1, FALSE)</f>
        <v/>
      </c>
      <c r="W1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5" s="75" t="e">
        <f>IF(VLOOKUP(ReviewCalcs[[#This Row],[Proposed Fixture Code]], Table7[[FIXTURE CODE]:[Baseline Fixture Code]], 8, FALSE)="N", "ERROR", "PASS")</f>
        <v>#N/A</v>
      </c>
      <c r="Y1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5" s="75" t="e">
        <f>IF(OR(ReviewCalcs[[#This Row],[Baseline Fixture Watts]]&gt;=ReviewCalcs[[#This Row],[Proposed Fixture Watts]],ReviewCalcs[[#This Row],[Existing Fixture Watts]]&gt;=ReviewCalcs[[#This Row],[Proposed Fixture Watts]] ), "PASS", "ERROR")</f>
        <v>#N/A</v>
      </c>
      <c r="AA125" s="69" t="e">
        <f>VLOOKUP(ReviewCalcs[[#This Row],[Space Conditions]], Table_365[], 5, FALSE)</f>
        <v>#N/A</v>
      </c>
      <c r="AB125" s="68" t="str">
        <f>ReviewCalcs[[#This Row],[Annual Hours]]</f>
        <v/>
      </c>
      <c r="AC125" s="68" t="e">
        <f>VLOOKUP(ReviewCalcs[[#This Row],[Space Conditions]], Table_365[], 6, FALSE)</f>
        <v>#N/A</v>
      </c>
      <c r="AD125" s="68">
        <f>IF(ReviewCalcs[[#This Row],[Existing Control(s)]]='Tables &amp; Ranges'!$A$25, VLOOKUP(ReviewCalcs[[#This Row],[Building/Space Type]], Table_364[], 3, FALSE), CF_Contols)</f>
        <v>0.26</v>
      </c>
      <c r="AE125" s="68" t="e">
        <f>VLOOKUP(ReviewCalcs[[#This Row],[Existing Control(s)]], Table_358[], 2, FALSE)</f>
        <v>#N/A</v>
      </c>
      <c r="AF125" s="68">
        <f>IF(ReviewCalcs[[#This Row],[Proposed Control(s)]]='Tables &amp; Ranges'!$A$25, VLOOKUP(ReviewCalcs[[#This Row],[Building/Space Type]], Table_364[], 3, FALSE), CF_Contols)</f>
        <v>0.26</v>
      </c>
      <c r="AG125" s="68" t="e">
        <f>VLOOKUP(ReviewCalcs[[#This Row],[Proposed Control(s)]], Table_358[], 2, FALSE)</f>
        <v>#N/A</v>
      </c>
      <c r="AH125" s="68">
        <f>IFERROR((ReviewCalcs[[#This Row],[Existing Fixture Quantity]]*ReviewCalcs[[#This Row],[Existing Fixture Watts]]/1000)*ReviewCalcs[[#This Row],[Existing CF]]*ReviewCalcs[[#This Row],[IEFD]], 0)</f>
        <v>0</v>
      </c>
      <c r="AI125" s="68">
        <f>IFERROR((ReviewCalcs[[#This Row],[Proposed Fixture Quantity]]*ReviewCalcs[[#This Row],[Proposed Fixture Watts]]/1000)*ReviewCalcs[[#This Row],[Existing CF]]*ReviewCalcs[[#This Row],[IEFD]], 0)</f>
        <v>0</v>
      </c>
      <c r="AJ125" s="118">
        <f>IFERROR((ReviewCalcs[[#This Row],[Existing Fixture Quantity]]*ReviewCalcs[[#This Row],[Existing Fixture Watts]]/1000-ReviewCalcs[[#This Row],[Proposed Fixture Quantity]]*ReviewCalcs[[#This Row],[Proposed Fixture Watts]]/1000)*ReviewCalcs[[#This Row],[Existing CF]]*ReviewCalcs[[#This Row],[IEFD]], 0)</f>
        <v>0</v>
      </c>
      <c r="AK125" s="118">
        <f>IFERROR((ReviewCalcs[[#This Row],[Existing Fixture Quantity]]*ReviewCalcs[[#This Row],[Existing Fixture Watts]]/1000)*ReviewCalcs[[#This Row],[AOH]]*ReviewCalcs[[#This Row],[IEFE]]*ReviewCalcs[[#This Row],[Existing PAF]], 0)</f>
        <v>0</v>
      </c>
      <c r="AL125" s="118">
        <f>IFERROR((ReviewCalcs[[#This Row],[Proposed Fixture Quantity]]*ReviewCalcs[[#This Row],[Proposed Fixture Watts]]/1000)*ReviewCalcs[[#This Row],[AOH]]*ReviewCalcs[[#This Row],[IEFE]]*ReviewCalcs[[#This Row],[Existing PAF]], 0)</f>
        <v>0</v>
      </c>
      <c r="AM1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5" s="118">
        <f>ReviewCalcs[[#This Row],[Fixture Existing Energy (kWh)]]*Avg_KWh_Rate</f>
        <v>0</v>
      </c>
      <c r="AO125" s="118">
        <f>ReviewCalcs[[#This Row],[Fixture Proposed Energy (kWh)]]*Avg_KWh_Rate</f>
        <v>0</v>
      </c>
      <c r="AP125" s="70">
        <f>ReviewCalcs[[#This Row],[Fixture Energy Savings]]*Avg_KWh_Rate</f>
        <v>0</v>
      </c>
      <c r="AQ125" s="129" t="e">
        <f>ReviewCalcs[[#This Row],[Existing Fixture Quantity]]*ReviewCalcs[[#This Row],[Existing Fixture Watts]]/1000*ReviewCalcs[[#This Row],[Existing CF]]*ReviewCalcs[[#This Row],[IEFD]]</f>
        <v>#VALUE!</v>
      </c>
      <c r="AR125" s="129" t="e">
        <f>ReviewCalcs[[#This Row],[Proposed Fixture Quantity]]*ReviewCalcs[[#This Row],[Proposed Fixture Watts]]/1000*ReviewCalcs[[#This Row],[Proposed CF]]*ReviewCalcs[[#This Row],[IEFD]]</f>
        <v>#VALUE!</v>
      </c>
      <c r="AS125" s="118">
        <f>IF(ReviewCalcs[[#This Row],[Existing CF]]=ReviewCalcs[[#This Row],[Proposed CF]], 0, ReviewCalcs[[#This Row],[Proposed Fixture Quantity]]*ReviewCalcs[[#This Row],[Proposed Fixture Watts]]/1000*ReviewCalcs[[#This Row],[Proposed CF]]*ReviewCalcs[[#This Row],[IEFD]])</f>
        <v>0</v>
      </c>
      <c r="AT125" s="118">
        <f>IFERROR(ReviewCalcs[[#This Row],[Existing Fixture Quantity]]*ReviewCalcs[[#This Row],[Existing Fixture Watts]]/1000*ReviewCalcs[[#This Row],[Existing PAF]]*ReviewCalcs[[#This Row],[AOH]]*ReviewCalcs[[#This Row],[IEFE]], 0)</f>
        <v>0</v>
      </c>
      <c r="AU125" s="118">
        <f>IFERROR(ReviewCalcs[[#This Row],[Proposed Fixture Quantity]]*ReviewCalcs[[#This Row],[Proposed Fixture Watts]]/1000*ReviewCalcs[[#This Row],[Proposed PAF]]*ReviewCalcs[[#This Row],[AOH]]*ReviewCalcs[[#This Row],[IEFE]], 0)</f>
        <v>0</v>
      </c>
      <c r="AV125" s="118">
        <f>IFERROR(ReviewCalcs[[#This Row],[Proposed Fixture Quantity]]*ReviewCalcs[[#This Row],[Proposed Fixture Watts]]/1000*(ReviewCalcs[[#This Row],[Existing PAF]]-ReviewCalcs[[#This Row],[Proposed PAF]])*ReviewCalcs[[#This Row],[AOH]]*ReviewCalcs[[#This Row],[IEFE]], 0)</f>
        <v>0</v>
      </c>
      <c r="AW125" s="118">
        <f>ReviewCalcs[[#This Row],[Control Existing Energy (kWh)]]*kWh_Incentive_Rate</f>
        <v>0</v>
      </c>
      <c r="AX125" s="118">
        <f>ReviewCalcs[[#This Row],[Control Proposed Energy (kWh)]]*kWh_Incentive_Rate</f>
        <v>0</v>
      </c>
      <c r="AY125" s="70">
        <f>ReviewCalcs[[#This Row],[Control Energy Savings (kWh)]]*kWh_Incentive_Rate</f>
        <v>0</v>
      </c>
      <c r="AZ125" s="70" t="e">
        <f>ReviewCalcs[[#This Row],[Fixture Existing Demand (kW)]]+ReviewCalcs[[#This Row],[Control Existing Demand (kW)]]</f>
        <v>#VALUE!</v>
      </c>
      <c r="BA125" s="70" t="e">
        <f>ReviewCalcs[[#This Row],[Fixture Proposed Demand (kW)]]+ReviewCalcs[[#This Row],[Control Proposed Demand (kW)]]</f>
        <v>#VALUE!</v>
      </c>
      <c r="BB125" s="118">
        <f>ReviewCalcs[[#This Row],[Fixture Demand Savings (kW)]]+ReviewCalcs[[#This Row],[Control Demand Savings (kW)]]</f>
        <v>0</v>
      </c>
      <c r="BC125" s="118">
        <f>ReviewCalcs[[#This Row],[Fixture Existing Energy (kWh)]]+ReviewCalcs[[#This Row],[Control Existing Energy (kWh)]]</f>
        <v>0</v>
      </c>
      <c r="BD125" s="118">
        <f>ReviewCalcs[[#This Row],[Fixture Proposed Energy (kWh)]]+ReviewCalcs[[#This Row],[Control Proposed Energy (kWh)]]</f>
        <v>0</v>
      </c>
      <c r="BE125" s="118">
        <f>ReviewCalcs[[#This Row],[Fixture Energy Savings]]+ReviewCalcs[[#This Row],[Control Energy Savings (kWh)]]</f>
        <v>0</v>
      </c>
      <c r="BF125" s="118">
        <f>ReviewCalcs[[#This Row],[Fixture Existing Cost ($)]]+ReviewCalcs[[#This Row],[Control Existing Cost ($)]]</f>
        <v>0</v>
      </c>
      <c r="BG125" s="118">
        <f>ReviewCalcs[[#This Row],[Fixture Proposed Cost ($)]]+ReviewCalcs[[#This Row],[Controls Proposed Cost ($)]]</f>
        <v>0</v>
      </c>
      <c r="BH125" s="70">
        <f>ReviewCalcs[[#This Row],[Total Energy Savings (kWh)]]*Avg_KWh_Rate</f>
        <v>0</v>
      </c>
      <c r="BI1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5" s="70">
        <f>ReviewCalcs[[#This Row],[Retrofit Cost]]</f>
        <v>0</v>
      </c>
      <c r="BK125" s="70">
        <f>ReviewCalcs[[#This Row],[Retrofit Cost]]-ReviewCalcs[[#This Row],[Incentive ($)]]</f>
        <v>0</v>
      </c>
      <c r="BL125" s="118" t="e">
        <f>IFERROR(ReviewCalcs[[#This Row],[Net Project Cost ($)]]/ReviewCalcs[[#This Row],[Fixture Energy Cost Savings ($)]], #N/A)</f>
        <v>#N/A</v>
      </c>
      <c r="BM125" s="118" t="e">
        <f>IF(VLOOKUP(ReviewCalcs[[#This Row],[Existing Fixture Code]], Table7[[FIXTURE CODE]:[Baseline Fixture Code]], 8, FALSE)="N", VLOOKUP(ReviewCalcs[[#This Row],[Existing Fixture Code]], Table7[[FIXTURE CODE]:[Baseline Fixture Code]], 9, FALSE), ReviewCalcs[[#This Row],[Existing Fixture Code]])</f>
        <v>#N/A</v>
      </c>
      <c r="BN125" s="118" t="e">
        <f>INDEX(Table7[WATT/ FIXT], MATCH(ReviewCalcs[Baseline Fixture Code], Table7[FIXTURE CODE], 0))</f>
        <v>#N/A</v>
      </c>
      <c r="BO125" s="118">
        <f>IFERROR((ReviewCalcs[[#This Row],[Existing Fixture Quantity]]*ReviewCalcs[[#This Row],[Baseline Fixture Watts]]/1000-ReviewCalcs[[#This Row],[Proposed Fixture Quantity]]*ReviewCalcs[[#This Row],[Proposed Fixture Watts]]/1000)*ReviewCalcs[[#This Row],[Existing CF]]*ReviewCalcs[[#This Row],[IEFD]], 0)</f>
        <v>0</v>
      </c>
      <c r="BP1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5" s="118">
        <f>IF(ReviewCalcs[[#This Row],[Existing CF]]=ReviewCalcs[[#This Row],[Proposed CF]], 0, ReviewCalcs[[#This Row],[Proposed Fixture Quantity]]*ReviewCalcs[[#This Row],[Proposed Fixture Watts]]/1000*ReviewCalcs[[#This Row],[Proposed CF]]*ReviewCalcs[[#This Row],[IEFD]])</f>
        <v>0</v>
      </c>
      <c r="BR125" s="118">
        <f>IFERROR(ReviewCalcs[[#This Row],[Proposed Fixture Quantity]]*ReviewCalcs[[#This Row],[Proposed Fixture Watts]]/1000*(ReviewCalcs[[#This Row],[Existing PAF]]-ReviewCalcs[[#This Row],[Proposed PAF]])*ReviewCalcs[[#This Row],[AOH]]*ReviewCalcs[[#This Row],[IEFE]],0)</f>
        <v>0</v>
      </c>
      <c r="BS125" s="118">
        <f>ReviewCalcs[[#This Row],[Incentive Fixture Demand Savings (kW)]]+ReviewCalcs[[#This Row],[Incentive Control Demand Savings (kW)]]</f>
        <v>0</v>
      </c>
      <c r="BT125" s="118">
        <f>ReviewCalcs[[#This Row],[Incentive Fixture Energy Savings (kWh)]]+ReviewCalcs[[#This Row],[Incentive Control Energy Savings (kWh)]]</f>
        <v>0</v>
      </c>
      <c r="BU125" s="73"/>
    </row>
    <row r="126" spans="1:73" ht="30" customHeight="1">
      <c r="A126" s="68">
        <v>123</v>
      </c>
      <c r="B126" s="96">
        <f>VLOOKUP(ReviewCalcs[[#This Row],[Project Index]], ProjectInput[], D$1, FALSE)</f>
        <v>0</v>
      </c>
      <c r="C126" s="97">
        <f>VLOOKUP(ReviewCalcs[[#This Row],[Project Index]], ProjectInput[], E$1, FALSE)</f>
        <v>0</v>
      </c>
      <c r="D126" s="97">
        <f>VLOOKUP(ReviewCalcs[[#This Row],[Project Index]], ProjectInput[], F$1, FALSE)</f>
        <v>0</v>
      </c>
      <c r="E126" s="97">
        <f>VLOOKUP(ReviewCalcs[[#This Row],[Project Index]], ProjectInput[], G$1, FALSE)</f>
        <v>0</v>
      </c>
      <c r="F126" s="97">
        <f>VLOOKUP(ReviewCalcs[[#This Row],[Project Index]], ProjectInput[], H$1, FALSE)</f>
        <v>0</v>
      </c>
      <c r="G126" s="98" t="str">
        <f>VLOOKUP(ReviewCalcs[[#This Row],[Project Index]], ProjectInput[], I$1, FALSE)</f>
        <v/>
      </c>
      <c r="H126" s="96">
        <f>VLOOKUP(ReviewCalcs[[#This Row],[Project Index]], ProjectInput[], J$1, FALSE)</f>
        <v>0</v>
      </c>
      <c r="I126" s="97">
        <f>VLOOKUP(ReviewCalcs[[#This Row],[Project Index]], ProjectInput[], K$1, FALSE)</f>
        <v>0</v>
      </c>
      <c r="J126" s="97">
        <f>VLOOKUP(ReviewCalcs[[#This Row],[Project Index]], ProjectInput[], L$1, FALSE)</f>
        <v>0</v>
      </c>
      <c r="K126" s="97">
        <f>VLOOKUP(ReviewCalcs[[#This Row],[Project Index]], ProjectInput[], M$1, FALSE)</f>
        <v>0</v>
      </c>
      <c r="L126" s="97">
        <f>VLOOKUP(ReviewCalcs[[#This Row],[Project Index]], ProjectInput[], N$1, FALSE)</f>
        <v>0</v>
      </c>
      <c r="M126" s="98" t="str">
        <f>VLOOKUP(ReviewCalcs[[#This Row],[Project Index]], ProjectInput[], O$1, FALSE)</f>
        <v/>
      </c>
      <c r="N126" s="96">
        <f>VLOOKUP(ReviewCalcs[[#This Row],[Project Index]], ProjectInput[], P$1, FALSE)</f>
        <v>0</v>
      </c>
      <c r="O126" s="97">
        <f>VLOOKUP(ReviewCalcs[[#This Row],[Project Index]], ProjectInput[], Q$1, FALSE)</f>
        <v>0</v>
      </c>
      <c r="P126" s="97">
        <f>VLOOKUP(ReviewCalcs[[#This Row],[Project Index]], ProjectInput[], R$1, FALSE)</f>
        <v>0</v>
      </c>
      <c r="Q126" s="97">
        <f>VLOOKUP(ReviewCalcs[[#This Row],[Project Index]], ProjectInput[], S$1, FALSE)</f>
        <v>0</v>
      </c>
      <c r="R126" s="97">
        <f>VLOOKUP(ReviewCalcs[[#This Row],[Project Index]], ProjectInput[], T$1, FALSE)</f>
        <v>0</v>
      </c>
      <c r="S126" s="97">
        <f>VLOOKUP(ReviewCalcs[[#This Row],[Project Index]], ProjectInput[], U$1, FALSE)</f>
        <v>0</v>
      </c>
      <c r="T126" s="97">
        <f>VLOOKUP(ReviewCalcs[[#This Row],[Project Index]], ProjectInput[], V$1, FALSE)</f>
        <v>0</v>
      </c>
      <c r="U126" s="97">
        <f>VLOOKUP(ReviewCalcs[[#This Row],[Project Index]], ProjectInput[], W$1, FALSE)</f>
        <v>0</v>
      </c>
      <c r="V126" s="98" t="str">
        <f>VLOOKUP(ReviewCalcs[[#This Row],[Project Index]], ProjectInput[], X$1, FALSE)</f>
        <v/>
      </c>
      <c r="W1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6" s="75" t="e">
        <f>IF(VLOOKUP(ReviewCalcs[[#This Row],[Proposed Fixture Code]], Table7[[FIXTURE CODE]:[Baseline Fixture Code]], 8, FALSE)="N", "ERROR", "PASS")</f>
        <v>#N/A</v>
      </c>
      <c r="Y1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6" s="75" t="e">
        <f>IF(OR(ReviewCalcs[[#This Row],[Baseline Fixture Watts]]&gt;=ReviewCalcs[[#This Row],[Proposed Fixture Watts]],ReviewCalcs[[#This Row],[Existing Fixture Watts]]&gt;=ReviewCalcs[[#This Row],[Proposed Fixture Watts]] ), "PASS", "ERROR")</f>
        <v>#N/A</v>
      </c>
      <c r="AA126" s="69" t="e">
        <f>VLOOKUP(ReviewCalcs[[#This Row],[Space Conditions]], Table_365[], 5, FALSE)</f>
        <v>#N/A</v>
      </c>
      <c r="AB126" s="68" t="str">
        <f>ReviewCalcs[[#This Row],[Annual Hours]]</f>
        <v/>
      </c>
      <c r="AC126" s="68" t="e">
        <f>VLOOKUP(ReviewCalcs[[#This Row],[Space Conditions]], Table_365[], 6, FALSE)</f>
        <v>#N/A</v>
      </c>
      <c r="AD126" s="68">
        <f>IF(ReviewCalcs[[#This Row],[Existing Control(s)]]='Tables &amp; Ranges'!$A$25, VLOOKUP(ReviewCalcs[[#This Row],[Building/Space Type]], Table_364[], 3, FALSE), CF_Contols)</f>
        <v>0.26</v>
      </c>
      <c r="AE126" s="68" t="e">
        <f>VLOOKUP(ReviewCalcs[[#This Row],[Existing Control(s)]], Table_358[], 2, FALSE)</f>
        <v>#N/A</v>
      </c>
      <c r="AF126" s="68">
        <f>IF(ReviewCalcs[[#This Row],[Proposed Control(s)]]='Tables &amp; Ranges'!$A$25, VLOOKUP(ReviewCalcs[[#This Row],[Building/Space Type]], Table_364[], 3, FALSE), CF_Contols)</f>
        <v>0.26</v>
      </c>
      <c r="AG126" s="68" t="e">
        <f>VLOOKUP(ReviewCalcs[[#This Row],[Proposed Control(s)]], Table_358[], 2, FALSE)</f>
        <v>#N/A</v>
      </c>
      <c r="AH126" s="68">
        <f>IFERROR((ReviewCalcs[[#This Row],[Existing Fixture Quantity]]*ReviewCalcs[[#This Row],[Existing Fixture Watts]]/1000)*ReviewCalcs[[#This Row],[Existing CF]]*ReviewCalcs[[#This Row],[IEFD]], 0)</f>
        <v>0</v>
      </c>
      <c r="AI126" s="68">
        <f>IFERROR((ReviewCalcs[[#This Row],[Proposed Fixture Quantity]]*ReviewCalcs[[#This Row],[Proposed Fixture Watts]]/1000)*ReviewCalcs[[#This Row],[Existing CF]]*ReviewCalcs[[#This Row],[IEFD]], 0)</f>
        <v>0</v>
      </c>
      <c r="AJ126" s="118">
        <f>IFERROR((ReviewCalcs[[#This Row],[Existing Fixture Quantity]]*ReviewCalcs[[#This Row],[Existing Fixture Watts]]/1000-ReviewCalcs[[#This Row],[Proposed Fixture Quantity]]*ReviewCalcs[[#This Row],[Proposed Fixture Watts]]/1000)*ReviewCalcs[[#This Row],[Existing CF]]*ReviewCalcs[[#This Row],[IEFD]], 0)</f>
        <v>0</v>
      </c>
      <c r="AK126" s="118">
        <f>IFERROR((ReviewCalcs[[#This Row],[Existing Fixture Quantity]]*ReviewCalcs[[#This Row],[Existing Fixture Watts]]/1000)*ReviewCalcs[[#This Row],[AOH]]*ReviewCalcs[[#This Row],[IEFE]]*ReviewCalcs[[#This Row],[Existing PAF]], 0)</f>
        <v>0</v>
      </c>
      <c r="AL126" s="118">
        <f>IFERROR((ReviewCalcs[[#This Row],[Proposed Fixture Quantity]]*ReviewCalcs[[#This Row],[Proposed Fixture Watts]]/1000)*ReviewCalcs[[#This Row],[AOH]]*ReviewCalcs[[#This Row],[IEFE]]*ReviewCalcs[[#This Row],[Existing PAF]], 0)</f>
        <v>0</v>
      </c>
      <c r="AM1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6" s="118">
        <f>ReviewCalcs[[#This Row],[Fixture Existing Energy (kWh)]]*Avg_KWh_Rate</f>
        <v>0</v>
      </c>
      <c r="AO126" s="118">
        <f>ReviewCalcs[[#This Row],[Fixture Proposed Energy (kWh)]]*Avg_KWh_Rate</f>
        <v>0</v>
      </c>
      <c r="AP126" s="70">
        <f>ReviewCalcs[[#This Row],[Fixture Energy Savings]]*Avg_KWh_Rate</f>
        <v>0</v>
      </c>
      <c r="AQ126" s="129" t="e">
        <f>ReviewCalcs[[#This Row],[Existing Fixture Quantity]]*ReviewCalcs[[#This Row],[Existing Fixture Watts]]/1000*ReviewCalcs[[#This Row],[Existing CF]]*ReviewCalcs[[#This Row],[IEFD]]</f>
        <v>#VALUE!</v>
      </c>
      <c r="AR126" s="129" t="e">
        <f>ReviewCalcs[[#This Row],[Proposed Fixture Quantity]]*ReviewCalcs[[#This Row],[Proposed Fixture Watts]]/1000*ReviewCalcs[[#This Row],[Proposed CF]]*ReviewCalcs[[#This Row],[IEFD]]</f>
        <v>#VALUE!</v>
      </c>
      <c r="AS126" s="118">
        <f>IF(ReviewCalcs[[#This Row],[Existing CF]]=ReviewCalcs[[#This Row],[Proposed CF]], 0, ReviewCalcs[[#This Row],[Proposed Fixture Quantity]]*ReviewCalcs[[#This Row],[Proposed Fixture Watts]]/1000*ReviewCalcs[[#This Row],[Proposed CF]]*ReviewCalcs[[#This Row],[IEFD]])</f>
        <v>0</v>
      </c>
      <c r="AT126" s="118">
        <f>IFERROR(ReviewCalcs[[#This Row],[Existing Fixture Quantity]]*ReviewCalcs[[#This Row],[Existing Fixture Watts]]/1000*ReviewCalcs[[#This Row],[Existing PAF]]*ReviewCalcs[[#This Row],[AOH]]*ReviewCalcs[[#This Row],[IEFE]], 0)</f>
        <v>0</v>
      </c>
      <c r="AU126" s="118">
        <f>IFERROR(ReviewCalcs[[#This Row],[Proposed Fixture Quantity]]*ReviewCalcs[[#This Row],[Proposed Fixture Watts]]/1000*ReviewCalcs[[#This Row],[Proposed PAF]]*ReviewCalcs[[#This Row],[AOH]]*ReviewCalcs[[#This Row],[IEFE]], 0)</f>
        <v>0</v>
      </c>
      <c r="AV126" s="118">
        <f>IFERROR(ReviewCalcs[[#This Row],[Proposed Fixture Quantity]]*ReviewCalcs[[#This Row],[Proposed Fixture Watts]]/1000*(ReviewCalcs[[#This Row],[Existing PAF]]-ReviewCalcs[[#This Row],[Proposed PAF]])*ReviewCalcs[[#This Row],[AOH]]*ReviewCalcs[[#This Row],[IEFE]], 0)</f>
        <v>0</v>
      </c>
      <c r="AW126" s="118">
        <f>ReviewCalcs[[#This Row],[Control Existing Energy (kWh)]]*kWh_Incentive_Rate</f>
        <v>0</v>
      </c>
      <c r="AX126" s="118">
        <f>ReviewCalcs[[#This Row],[Control Proposed Energy (kWh)]]*kWh_Incentive_Rate</f>
        <v>0</v>
      </c>
      <c r="AY126" s="70">
        <f>ReviewCalcs[[#This Row],[Control Energy Savings (kWh)]]*kWh_Incentive_Rate</f>
        <v>0</v>
      </c>
      <c r="AZ126" s="70" t="e">
        <f>ReviewCalcs[[#This Row],[Fixture Existing Demand (kW)]]+ReviewCalcs[[#This Row],[Control Existing Demand (kW)]]</f>
        <v>#VALUE!</v>
      </c>
      <c r="BA126" s="70" t="e">
        <f>ReviewCalcs[[#This Row],[Fixture Proposed Demand (kW)]]+ReviewCalcs[[#This Row],[Control Proposed Demand (kW)]]</f>
        <v>#VALUE!</v>
      </c>
      <c r="BB126" s="118">
        <f>ReviewCalcs[[#This Row],[Fixture Demand Savings (kW)]]+ReviewCalcs[[#This Row],[Control Demand Savings (kW)]]</f>
        <v>0</v>
      </c>
      <c r="BC126" s="118">
        <f>ReviewCalcs[[#This Row],[Fixture Existing Energy (kWh)]]+ReviewCalcs[[#This Row],[Control Existing Energy (kWh)]]</f>
        <v>0</v>
      </c>
      <c r="BD126" s="118">
        <f>ReviewCalcs[[#This Row],[Fixture Proposed Energy (kWh)]]+ReviewCalcs[[#This Row],[Control Proposed Energy (kWh)]]</f>
        <v>0</v>
      </c>
      <c r="BE126" s="118">
        <f>ReviewCalcs[[#This Row],[Fixture Energy Savings]]+ReviewCalcs[[#This Row],[Control Energy Savings (kWh)]]</f>
        <v>0</v>
      </c>
      <c r="BF126" s="118">
        <f>ReviewCalcs[[#This Row],[Fixture Existing Cost ($)]]+ReviewCalcs[[#This Row],[Control Existing Cost ($)]]</f>
        <v>0</v>
      </c>
      <c r="BG126" s="118">
        <f>ReviewCalcs[[#This Row],[Fixture Proposed Cost ($)]]+ReviewCalcs[[#This Row],[Controls Proposed Cost ($)]]</f>
        <v>0</v>
      </c>
      <c r="BH126" s="70">
        <f>ReviewCalcs[[#This Row],[Total Energy Savings (kWh)]]*Avg_KWh_Rate</f>
        <v>0</v>
      </c>
      <c r="BI1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6" s="70">
        <f>ReviewCalcs[[#This Row],[Retrofit Cost]]</f>
        <v>0</v>
      </c>
      <c r="BK126" s="70">
        <f>ReviewCalcs[[#This Row],[Retrofit Cost]]-ReviewCalcs[[#This Row],[Incentive ($)]]</f>
        <v>0</v>
      </c>
      <c r="BL126" s="118" t="e">
        <f>IFERROR(ReviewCalcs[[#This Row],[Net Project Cost ($)]]/ReviewCalcs[[#This Row],[Fixture Energy Cost Savings ($)]], #N/A)</f>
        <v>#N/A</v>
      </c>
      <c r="BM126" s="118" t="e">
        <f>IF(VLOOKUP(ReviewCalcs[[#This Row],[Existing Fixture Code]], Table7[[FIXTURE CODE]:[Baseline Fixture Code]], 8, FALSE)="N", VLOOKUP(ReviewCalcs[[#This Row],[Existing Fixture Code]], Table7[[FIXTURE CODE]:[Baseline Fixture Code]], 9, FALSE), ReviewCalcs[[#This Row],[Existing Fixture Code]])</f>
        <v>#N/A</v>
      </c>
      <c r="BN126" s="118" t="e">
        <f>INDEX(Table7[WATT/ FIXT], MATCH(ReviewCalcs[Baseline Fixture Code], Table7[FIXTURE CODE], 0))</f>
        <v>#N/A</v>
      </c>
      <c r="BO126" s="118">
        <f>IFERROR((ReviewCalcs[[#This Row],[Existing Fixture Quantity]]*ReviewCalcs[[#This Row],[Baseline Fixture Watts]]/1000-ReviewCalcs[[#This Row],[Proposed Fixture Quantity]]*ReviewCalcs[[#This Row],[Proposed Fixture Watts]]/1000)*ReviewCalcs[[#This Row],[Existing CF]]*ReviewCalcs[[#This Row],[IEFD]], 0)</f>
        <v>0</v>
      </c>
      <c r="BP1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6" s="118">
        <f>IF(ReviewCalcs[[#This Row],[Existing CF]]=ReviewCalcs[[#This Row],[Proposed CF]], 0, ReviewCalcs[[#This Row],[Proposed Fixture Quantity]]*ReviewCalcs[[#This Row],[Proposed Fixture Watts]]/1000*ReviewCalcs[[#This Row],[Proposed CF]]*ReviewCalcs[[#This Row],[IEFD]])</f>
        <v>0</v>
      </c>
      <c r="BR126" s="118">
        <f>IFERROR(ReviewCalcs[[#This Row],[Proposed Fixture Quantity]]*ReviewCalcs[[#This Row],[Proposed Fixture Watts]]/1000*(ReviewCalcs[[#This Row],[Existing PAF]]-ReviewCalcs[[#This Row],[Proposed PAF]])*ReviewCalcs[[#This Row],[AOH]]*ReviewCalcs[[#This Row],[IEFE]],0)</f>
        <v>0</v>
      </c>
      <c r="BS126" s="118">
        <f>ReviewCalcs[[#This Row],[Incentive Fixture Demand Savings (kW)]]+ReviewCalcs[[#This Row],[Incentive Control Demand Savings (kW)]]</f>
        <v>0</v>
      </c>
      <c r="BT126" s="118">
        <f>ReviewCalcs[[#This Row],[Incentive Fixture Energy Savings (kWh)]]+ReviewCalcs[[#This Row],[Incentive Control Energy Savings (kWh)]]</f>
        <v>0</v>
      </c>
      <c r="BU126" s="73"/>
    </row>
    <row r="127" spans="1:73" ht="30" customHeight="1">
      <c r="A127" s="68">
        <v>124</v>
      </c>
      <c r="B127" s="96">
        <f>VLOOKUP(ReviewCalcs[[#This Row],[Project Index]], ProjectInput[], D$1, FALSE)</f>
        <v>0</v>
      </c>
      <c r="C127" s="97">
        <f>VLOOKUP(ReviewCalcs[[#This Row],[Project Index]], ProjectInput[], E$1, FALSE)</f>
        <v>0</v>
      </c>
      <c r="D127" s="97">
        <f>VLOOKUP(ReviewCalcs[[#This Row],[Project Index]], ProjectInput[], F$1, FALSE)</f>
        <v>0</v>
      </c>
      <c r="E127" s="97">
        <f>VLOOKUP(ReviewCalcs[[#This Row],[Project Index]], ProjectInput[], G$1, FALSE)</f>
        <v>0</v>
      </c>
      <c r="F127" s="97">
        <f>VLOOKUP(ReviewCalcs[[#This Row],[Project Index]], ProjectInput[], H$1, FALSE)</f>
        <v>0</v>
      </c>
      <c r="G127" s="98" t="str">
        <f>VLOOKUP(ReviewCalcs[[#This Row],[Project Index]], ProjectInput[], I$1, FALSE)</f>
        <v/>
      </c>
      <c r="H127" s="96">
        <f>VLOOKUP(ReviewCalcs[[#This Row],[Project Index]], ProjectInput[], J$1, FALSE)</f>
        <v>0</v>
      </c>
      <c r="I127" s="97">
        <f>VLOOKUP(ReviewCalcs[[#This Row],[Project Index]], ProjectInput[], K$1, FALSE)</f>
        <v>0</v>
      </c>
      <c r="J127" s="97">
        <f>VLOOKUP(ReviewCalcs[[#This Row],[Project Index]], ProjectInput[], L$1, FALSE)</f>
        <v>0</v>
      </c>
      <c r="K127" s="97">
        <f>VLOOKUP(ReviewCalcs[[#This Row],[Project Index]], ProjectInput[], M$1, FALSE)</f>
        <v>0</v>
      </c>
      <c r="L127" s="97">
        <f>VLOOKUP(ReviewCalcs[[#This Row],[Project Index]], ProjectInput[], N$1, FALSE)</f>
        <v>0</v>
      </c>
      <c r="M127" s="98" t="str">
        <f>VLOOKUP(ReviewCalcs[[#This Row],[Project Index]], ProjectInput[], O$1, FALSE)</f>
        <v/>
      </c>
      <c r="N127" s="96">
        <f>VLOOKUP(ReviewCalcs[[#This Row],[Project Index]], ProjectInput[], P$1, FALSE)</f>
        <v>0</v>
      </c>
      <c r="O127" s="97">
        <f>VLOOKUP(ReviewCalcs[[#This Row],[Project Index]], ProjectInput[], Q$1, FALSE)</f>
        <v>0</v>
      </c>
      <c r="P127" s="97">
        <f>VLOOKUP(ReviewCalcs[[#This Row],[Project Index]], ProjectInput[], R$1, FALSE)</f>
        <v>0</v>
      </c>
      <c r="Q127" s="97">
        <f>VLOOKUP(ReviewCalcs[[#This Row],[Project Index]], ProjectInput[], S$1, FALSE)</f>
        <v>0</v>
      </c>
      <c r="R127" s="97">
        <f>VLOOKUP(ReviewCalcs[[#This Row],[Project Index]], ProjectInput[], T$1, FALSE)</f>
        <v>0</v>
      </c>
      <c r="S127" s="97">
        <f>VLOOKUP(ReviewCalcs[[#This Row],[Project Index]], ProjectInput[], U$1, FALSE)</f>
        <v>0</v>
      </c>
      <c r="T127" s="97">
        <f>VLOOKUP(ReviewCalcs[[#This Row],[Project Index]], ProjectInput[], V$1, FALSE)</f>
        <v>0</v>
      </c>
      <c r="U127" s="97">
        <f>VLOOKUP(ReviewCalcs[[#This Row],[Project Index]], ProjectInput[], W$1, FALSE)</f>
        <v>0</v>
      </c>
      <c r="V127" s="98" t="str">
        <f>VLOOKUP(ReviewCalcs[[#This Row],[Project Index]], ProjectInput[], X$1, FALSE)</f>
        <v/>
      </c>
      <c r="W1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7" s="75" t="e">
        <f>IF(VLOOKUP(ReviewCalcs[[#This Row],[Proposed Fixture Code]], Table7[[FIXTURE CODE]:[Baseline Fixture Code]], 8, FALSE)="N", "ERROR", "PASS")</f>
        <v>#N/A</v>
      </c>
      <c r="Y1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7" s="75" t="e">
        <f>IF(OR(ReviewCalcs[[#This Row],[Baseline Fixture Watts]]&gt;=ReviewCalcs[[#This Row],[Proposed Fixture Watts]],ReviewCalcs[[#This Row],[Existing Fixture Watts]]&gt;=ReviewCalcs[[#This Row],[Proposed Fixture Watts]] ), "PASS", "ERROR")</f>
        <v>#N/A</v>
      </c>
      <c r="AA127" s="69" t="e">
        <f>VLOOKUP(ReviewCalcs[[#This Row],[Space Conditions]], Table_365[], 5, FALSE)</f>
        <v>#N/A</v>
      </c>
      <c r="AB127" s="68" t="str">
        <f>ReviewCalcs[[#This Row],[Annual Hours]]</f>
        <v/>
      </c>
      <c r="AC127" s="68" t="e">
        <f>VLOOKUP(ReviewCalcs[[#This Row],[Space Conditions]], Table_365[], 6, FALSE)</f>
        <v>#N/A</v>
      </c>
      <c r="AD127" s="68">
        <f>IF(ReviewCalcs[[#This Row],[Existing Control(s)]]='Tables &amp; Ranges'!$A$25, VLOOKUP(ReviewCalcs[[#This Row],[Building/Space Type]], Table_364[], 3, FALSE), CF_Contols)</f>
        <v>0.26</v>
      </c>
      <c r="AE127" s="68" t="e">
        <f>VLOOKUP(ReviewCalcs[[#This Row],[Existing Control(s)]], Table_358[], 2, FALSE)</f>
        <v>#N/A</v>
      </c>
      <c r="AF127" s="68">
        <f>IF(ReviewCalcs[[#This Row],[Proposed Control(s)]]='Tables &amp; Ranges'!$A$25, VLOOKUP(ReviewCalcs[[#This Row],[Building/Space Type]], Table_364[], 3, FALSE), CF_Contols)</f>
        <v>0.26</v>
      </c>
      <c r="AG127" s="68" t="e">
        <f>VLOOKUP(ReviewCalcs[[#This Row],[Proposed Control(s)]], Table_358[], 2, FALSE)</f>
        <v>#N/A</v>
      </c>
      <c r="AH127" s="68">
        <f>IFERROR((ReviewCalcs[[#This Row],[Existing Fixture Quantity]]*ReviewCalcs[[#This Row],[Existing Fixture Watts]]/1000)*ReviewCalcs[[#This Row],[Existing CF]]*ReviewCalcs[[#This Row],[IEFD]], 0)</f>
        <v>0</v>
      </c>
      <c r="AI127" s="68">
        <f>IFERROR((ReviewCalcs[[#This Row],[Proposed Fixture Quantity]]*ReviewCalcs[[#This Row],[Proposed Fixture Watts]]/1000)*ReviewCalcs[[#This Row],[Existing CF]]*ReviewCalcs[[#This Row],[IEFD]], 0)</f>
        <v>0</v>
      </c>
      <c r="AJ127" s="118">
        <f>IFERROR((ReviewCalcs[[#This Row],[Existing Fixture Quantity]]*ReviewCalcs[[#This Row],[Existing Fixture Watts]]/1000-ReviewCalcs[[#This Row],[Proposed Fixture Quantity]]*ReviewCalcs[[#This Row],[Proposed Fixture Watts]]/1000)*ReviewCalcs[[#This Row],[Existing CF]]*ReviewCalcs[[#This Row],[IEFD]], 0)</f>
        <v>0</v>
      </c>
      <c r="AK127" s="118">
        <f>IFERROR((ReviewCalcs[[#This Row],[Existing Fixture Quantity]]*ReviewCalcs[[#This Row],[Existing Fixture Watts]]/1000)*ReviewCalcs[[#This Row],[AOH]]*ReviewCalcs[[#This Row],[IEFE]]*ReviewCalcs[[#This Row],[Existing PAF]], 0)</f>
        <v>0</v>
      </c>
      <c r="AL127" s="118">
        <f>IFERROR((ReviewCalcs[[#This Row],[Proposed Fixture Quantity]]*ReviewCalcs[[#This Row],[Proposed Fixture Watts]]/1000)*ReviewCalcs[[#This Row],[AOH]]*ReviewCalcs[[#This Row],[IEFE]]*ReviewCalcs[[#This Row],[Existing PAF]], 0)</f>
        <v>0</v>
      </c>
      <c r="AM1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7" s="118">
        <f>ReviewCalcs[[#This Row],[Fixture Existing Energy (kWh)]]*Avg_KWh_Rate</f>
        <v>0</v>
      </c>
      <c r="AO127" s="118">
        <f>ReviewCalcs[[#This Row],[Fixture Proposed Energy (kWh)]]*Avg_KWh_Rate</f>
        <v>0</v>
      </c>
      <c r="AP127" s="70">
        <f>ReviewCalcs[[#This Row],[Fixture Energy Savings]]*Avg_KWh_Rate</f>
        <v>0</v>
      </c>
      <c r="AQ127" s="129" t="e">
        <f>ReviewCalcs[[#This Row],[Existing Fixture Quantity]]*ReviewCalcs[[#This Row],[Existing Fixture Watts]]/1000*ReviewCalcs[[#This Row],[Existing CF]]*ReviewCalcs[[#This Row],[IEFD]]</f>
        <v>#VALUE!</v>
      </c>
      <c r="AR127" s="129" t="e">
        <f>ReviewCalcs[[#This Row],[Proposed Fixture Quantity]]*ReviewCalcs[[#This Row],[Proposed Fixture Watts]]/1000*ReviewCalcs[[#This Row],[Proposed CF]]*ReviewCalcs[[#This Row],[IEFD]]</f>
        <v>#VALUE!</v>
      </c>
      <c r="AS127" s="118">
        <f>IF(ReviewCalcs[[#This Row],[Existing CF]]=ReviewCalcs[[#This Row],[Proposed CF]], 0, ReviewCalcs[[#This Row],[Proposed Fixture Quantity]]*ReviewCalcs[[#This Row],[Proposed Fixture Watts]]/1000*ReviewCalcs[[#This Row],[Proposed CF]]*ReviewCalcs[[#This Row],[IEFD]])</f>
        <v>0</v>
      </c>
      <c r="AT127" s="118">
        <f>IFERROR(ReviewCalcs[[#This Row],[Existing Fixture Quantity]]*ReviewCalcs[[#This Row],[Existing Fixture Watts]]/1000*ReviewCalcs[[#This Row],[Existing PAF]]*ReviewCalcs[[#This Row],[AOH]]*ReviewCalcs[[#This Row],[IEFE]], 0)</f>
        <v>0</v>
      </c>
      <c r="AU127" s="118">
        <f>IFERROR(ReviewCalcs[[#This Row],[Proposed Fixture Quantity]]*ReviewCalcs[[#This Row],[Proposed Fixture Watts]]/1000*ReviewCalcs[[#This Row],[Proposed PAF]]*ReviewCalcs[[#This Row],[AOH]]*ReviewCalcs[[#This Row],[IEFE]], 0)</f>
        <v>0</v>
      </c>
      <c r="AV127" s="118">
        <f>IFERROR(ReviewCalcs[[#This Row],[Proposed Fixture Quantity]]*ReviewCalcs[[#This Row],[Proposed Fixture Watts]]/1000*(ReviewCalcs[[#This Row],[Existing PAF]]-ReviewCalcs[[#This Row],[Proposed PAF]])*ReviewCalcs[[#This Row],[AOH]]*ReviewCalcs[[#This Row],[IEFE]], 0)</f>
        <v>0</v>
      </c>
      <c r="AW127" s="118">
        <f>ReviewCalcs[[#This Row],[Control Existing Energy (kWh)]]*kWh_Incentive_Rate</f>
        <v>0</v>
      </c>
      <c r="AX127" s="118">
        <f>ReviewCalcs[[#This Row],[Control Proposed Energy (kWh)]]*kWh_Incentive_Rate</f>
        <v>0</v>
      </c>
      <c r="AY127" s="70">
        <f>ReviewCalcs[[#This Row],[Control Energy Savings (kWh)]]*kWh_Incentive_Rate</f>
        <v>0</v>
      </c>
      <c r="AZ127" s="70" t="e">
        <f>ReviewCalcs[[#This Row],[Fixture Existing Demand (kW)]]+ReviewCalcs[[#This Row],[Control Existing Demand (kW)]]</f>
        <v>#VALUE!</v>
      </c>
      <c r="BA127" s="70" t="e">
        <f>ReviewCalcs[[#This Row],[Fixture Proposed Demand (kW)]]+ReviewCalcs[[#This Row],[Control Proposed Demand (kW)]]</f>
        <v>#VALUE!</v>
      </c>
      <c r="BB127" s="118">
        <f>ReviewCalcs[[#This Row],[Fixture Demand Savings (kW)]]+ReviewCalcs[[#This Row],[Control Demand Savings (kW)]]</f>
        <v>0</v>
      </c>
      <c r="BC127" s="118">
        <f>ReviewCalcs[[#This Row],[Fixture Existing Energy (kWh)]]+ReviewCalcs[[#This Row],[Control Existing Energy (kWh)]]</f>
        <v>0</v>
      </c>
      <c r="BD127" s="118">
        <f>ReviewCalcs[[#This Row],[Fixture Proposed Energy (kWh)]]+ReviewCalcs[[#This Row],[Control Proposed Energy (kWh)]]</f>
        <v>0</v>
      </c>
      <c r="BE127" s="118">
        <f>ReviewCalcs[[#This Row],[Fixture Energy Savings]]+ReviewCalcs[[#This Row],[Control Energy Savings (kWh)]]</f>
        <v>0</v>
      </c>
      <c r="BF127" s="118">
        <f>ReviewCalcs[[#This Row],[Fixture Existing Cost ($)]]+ReviewCalcs[[#This Row],[Control Existing Cost ($)]]</f>
        <v>0</v>
      </c>
      <c r="BG127" s="118">
        <f>ReviewCalcs[[#This Row],[Fixture Proposed Cost ($)]]+ReviewCalcs[[#This Row],[Controls Proposed Cost ($)]]</f>
        <v>0</v>
      </c>
      <c r="BH127" s="70">
        <f>ReviewCalcs[[#This Row],[Total Energy Savings (kWh)]]*Avg_KWh_Rate</f>
        <v>0</v>
      </c>
      <c r="BI1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7" s="70">
        <f>ReviewCalcs[[#This Row],[Retrofit Cost]]</f>
        <v>0</v>
      </c>
      <c r="BK127" s="70">
        <f>ReviewCalcs[[#This Row],[Retrofit Cost]]-ReviewCalcs[[#This Row],[Incentive ($)]]</f>
        <v>0</v>
      </c>
      <c r="BL127" s="118" t="e">
        <f>IFERROR(ReviewCalcs[[#This Row],[Net Project Cost ($)]]/ReviewCalcs[[#This Row],[Fixture Energy Cost Savings ($)]], #N/A)</f>
        <v>#N/A</v>
      </c>
      <c r="BM127" s="118" t="e">
        <f>IF(VLOOKUP(ReviewCalcs[[#This Row],[Existing Fixture Code]], Table7[[FIXTURE CODE]:[Baseline Fixture Code]], 8, FALSE)="N", VLOOKUP(ReviewCalcs[[#This Row],[Existing Fixture Code]], Table7[[FIXTURE CODE]:[Baseline Fixture Code]], 9, FALSE), ReviewCalcs[[#This Row],[Existing Fixture Code]])</f>
        <v>#N/A</v>
      </c>
      <c r="BN127" s="118" t="e">
        <f>INDEX(Table7[WATT/ FIXT], MATCH(ReviewCalcs[Baseline Fixture Code], Table7[FIXTURE CODE], 0))</f>
        <v>#N/A</v>
      </c>
      <c r="BO127" s="118">
        <f>IFERROR((ReviewCalcs[[#This Row],[Existing Fixture Quantity]]*ReviewCalcs[[#This Row],[Baseline Fixture Watts]]/1000-ReviewCalcs[[#This Row],[Proposed Fixture Quantity]]*ReviewCalcs[[#This Row],[Proposed Fixture Watts]]/1000)*ReviewCalcs[[#This Row],[Existing CF]]*ReviewCalcs[[#This Row],[IEFD]], 0)</f>
        <v>0</v>
      </c>
      <c r="BP1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7" s="118">
        <f>IF(ReviewCalcs[[#This Row],[Existing CF]]=ReviewCalcs[[#This Row],[Proposed CF]], 0, ReviewCalcs[[#This Row],[Proposed Fixture Quantity]]*ReviewCalcs[[#This Row],[Proposed Fixture Watts]]/1000*ReviewCalcs[[#This Row],[Proposed CF]]*ReviewCalcs[[#This Row],[IEFD]])</f>
        <v>0</v>
      </c>
      <c r="BR127" s="118">
        <f>IFERROR(ReviewCalcs[[#This Row],[Proposed Fixture Quantity]]*ReviewCalcs[[#This Row],[Proposed Fixture Watts]]/1000*(ReviewCalcs[[#This Row],[Existing PAF]]-ReviewCalcs[[#This Row],[Proposed PAF]])*ReviewCalcs[[#This Row],[AOH]]*ReviewCalcs[[#This Row],[IEFE]],0)</f>
        <v>0</v>
      </c>
      <c r="BS127" s="118">
        <f>ReviewCalcs[[#This Row],[Incentive Fixture Demand Savings (kW)]]+ReviewCalcs[[#This Row],[Incentive Control Demand Savings (kW)]]</f>
        <v>0</v>
      </c>
      <c r="BT127" s="118">
        <f>ReviewCalcs[[#This Row],[Incentive Fixture Energy Savings (kWh)]]+ReviewCalcs[[#This Row],[Incentive Control Energy Savings (kWh)]]</f>
        <v>0</v>
      </c>
      <c r="BU127" s="73"/>
    </row>
    <row r="128" spans="1:73" ht="30" customHeight="1">
      <c r="A128" s="68">
        <v>125</v>
      </c>
      <c r="B128" s="96">
        <f>VLOOKUP(ReviewCalcs[[#This Row],[Project Index]], ProjectInput[], D$1, FALSE)</f>
        <v>0</v>
      </c>
      <c r="C128" s="97">
        <f>VLOOKUP(ReviewCalcs[[#This Row],[Project Index]], ProjectInput[], E$1, FALSE)</f>
        <v>0</v>
      </c>
      <c r="D128" s="97">
        <f>VLOOKUP(ReviewCalcs[[#This Row],[Project Index]], ProjectInput[], F$1, FALSE)</f>
        <v>0</v>
      </c>
      <c r="E128" s="97">
        <f>VLOOKUP(ReviewCalcs[[#This Row],[Project Index]], ProjectInput[], G$1, FALSE)</f>
        <v>0</v>
      </c>
      <c r="F128" s="97">
        <f>VLOOKUP(ReviewCalcs[[#This Row],[Project Index]], ProjectInput[], H$1, FALSE)</f>
        <v>0</v>
      </c>
      <c r="G128" s="98" t="str">
        <f>VLOOKUP(ReviewCalcs[[#This Row],[Project Index]], ProjectInput[], I$1, FALSE)</f>
        <v/>
      </c>
      <c r="H128" s="96">
        <f>VLOOKUP(ReviewCalcs[[#This Row],[Project Index]], ProjectInput[], J$1, FALSE)</f>
        <v>0</v>
      </c>
      <c r="I128" s="97">
        <f>VLOOKUP(ReviewCalcs[[#This Row],[Project Index]], ProjectInput[], K$1, FALSE)</f>
        <v>0</v>
      </c>
      <c r="J128" s="97">
        <f>VLOOKUP(ReviewCalcs[[#This Row],[Project Index]], ProjectInput[], L$1, FALSE)</f>
        <v>0</v>
      </c>
      <c r="K128" s="97">
        <f>VLOOKUP(ReviewCalcs[[#This Row],[Project Index]], ProjectInput[], M$1, FALSE)</f>
        <v>0</v>
      </c>
      <c r="L128" s="97">
        <f>VLOOKUP(ReviewCalcs[[#This Row],[Project Index]], ProjectInput[], N$1, FALSE)</f>
        <v>0</v>
      </c>
      <c r="M128" s="98" t="str">
        <f>VLOOKUP(ReviewCalcs[[#This Row],[Project Index]], ProjectInput[], O$1, FALSE)</f>
        <v/>
      </c>
      <c r="N128" s="96">
        <f>VLOOKUP(ReviewCalcs[[#This Row],[Project Index]], ProjectInput[], P$1, FALSE)</f>
        <v>0</v>
      </c>
      <c r="O128" s="97">
        <f>VLOOKUP(ReviewCalcs[[#This Row],[Project Index]], ProjectInput[], Q$1, FALSE)</f>
        <v>0</v>
      </c>
      <c r="P128" s="97">
        <f>VLOOKUP(ReviewCalcs[[#This Row],[Project Index]], ProjectInput[], R$1, FALSE)</f>
        <v>0</v>
      </c>
      <c r="Q128" s="97">
        <f>VLOOKUP(ReviewCalcs[[#This Row],[Project Index]], ProjectInput[], S$1, FALSE)</f>
        <v>0</v>
      </c>
      <c r="R128" s="97">
        <f>VLOOKUP(ReviewCalcs[[#This Row],[Project Index]], ProjectInput[], T$1, FALSE)</f>
        <v>0</v>
      </c>
      <c r="S128" s="97">
        <f>VLOOKUP(ReviewCalcs[[#This Row],[Project Index]], ProjectInput[], U$1, FALSE)</f>
        <v>0</v>
      </c>
      <c r="T128" s="97">
        <f>VLOOKUP(ReviewCalcs[[#This Row],[Project Index]], ProjectInput[], V$1, FALSE)</f>
        <v>0</v>
      </c>
      <c r="U128" s="97">
        <f>VLOOKUP(ReviewCalcs[[#This Row],[Project Index]], ProjectInput[], W$1, FALSE)</f>
        <v>0</v>
      </c>
      <c r="V128" s="98" t="str">
        <f>VLOOKUP(ReviewCalcs[[#This Row],[Project Index]], ProjectInput[], X$1, FALSE)</f>
        <v/>
      </c>
      <c r="W1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8" s="75" t="e">
        <f>IF(VLOOKUP(ReviewCalcs[[#This Row],[Proposed Fixture Code]], Table7[[FIXTURE CODE]:[Baseline Fixture Code]], 8, FALSE)="N", "ERROR", "PASS")</f>
        <v>#N/A</v>
      </c>
      <c r="Y1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8" s="75" t="e">
        <f>IF(OR(ReviewCalcs[[#This Row],[Baseline Fixture Watts]]&gt;=ReviewCalcs[[#This Row],[Proposed Fixture Watts]],ReviewCalcs[[#This Row],[Existing Fixture Watts]]&gt;=ReviewCalcs[[#This Row],[Proposed Fixture Watts]] ), "PASS", "ERROR")</f>
        <v>#N/A</v>
      </c>
      <c r="AA128" s="69" t="e">
        <f>VLOOKUP(ReviewCalcs[[#This Row],[Space Conditions]], Table_365[], 5, FALSE)</f>
        <v>#N/A</v>
      </c>
      <c r="AB128" s="68" t="str">
        <f>ReviewCalcs[[#This Row],[Annual Hours]]</f>
        <v/>
      </c>
      <c r="AC128" s="68" t="e">
        <f>VLOOKUP(ReviewCalcs[[#This Row],[Space Conditions]], Table_365[], 6, FALSE)</f>
        <v>#N/A</v>
      </c>
      <c r="AD128" s="68">
        <f>IF(ReviewCalcs[[#This Row],[Existing Control(s)]]='Tables &amp; Ranges'!$A$25, VLOOKUP(ReviewCalcs[[#This Row],[Building/Space Type]], Table_364[], 3, FALSE), CF_Contols)</f>
        <v>0.26</v>
      </c>
      <c r="AE128" s="68" t="e">
        <f>VLOOKUP(ReviewCalcs[[#This Row],[Existing Control(s)]], Table_358[], 2, FALSE)</f>
        <v>#N/A</v>
      </c>
      <c r="AF128" s="68">
        <f>IF(ReviewCalcs[[#This Row],[Proposed Control(s)]]='Tables &amp; Ranges'!$A$25, VLOOKUP(ReviewCalcs[[#This Row],[Building/Space Type]], Table_364[], 3, FALSE), CF_Contols)</f>
        <v>0.26</v>
      </c>
      <c r="AG128" s="68" t="e">
        <f>VLOOKUP(ReviewCalcs[[#This Row],[Proposed Control(s)]], Table_358[], 2, FALSE)</f>
        <v>#N/A</v>
      </c>
      <c r="AH128" s="68">
        <f>IFERROR((ReviewCalcs[[#This Row],[Existing Fixture Quantity]]*ReviewCalcs[[#This Row],[Existing Fixture Watts]]/1000)*ReviewCalcs[[#This Row],[Existing CF]]*ReviewCalcs[[#This Row],[IEFD]], 0)</f>
        <v>0</v>
      </c>
      <c r="AI128" s="68">
        <f>IFERROR((ReviewCalcs[[#This Row],[Proposed Fixture Quantity]]*ReviewCalcs[[#This Row],[Proposed Fixture Watts]]/1000)*ReviewCalcs[[#This Row],[Existing CF]]*ReviewCalcs[[#This Row],[IEFD]], 0)</f>
        <v>0</v>
      </c>
      <c r="AJ128" s="118">
        <f>IFERROR((ReviewCalcs[[#This Row],[Existing Fixture Quantity]]*ReviewCalcs[[#This Row],[Existing Fixture Watts]]/1000-ReviewCalcs[[#This Row],[Proposed Fixture Quantity]]*ReviewCalcs[[#This Row],[Proposed Fixture Watts]]/1000)*ReviewCalcs[[#This Row],[Existing CF]]*ReviewCalcs[[#This Row],[IEFD]], 0)</f>
        <v>0</v>
      </c>
      <c r="AK128" s="118">
        <f>IFERROR((ReviewCalcs[[#This Row],[Existing Fixture Quantity]]*ReviewCalcs[[#This Row],[Existing Fixture Watts]]/1000)*ReviewCalcs[[#This Row],[AOH]]*ReviewCalcs[[#This Row],[IEFE]]*ReviewCalcs[[#This Row],[Existing PAF]], 0)</f>
        <v>0</v>
      </c>
      <c r="AL128" s="118">
        <f>IFERROR((ReviewCalcs[[#This Row],[Proposed Fixture Quantity]]*ReviewCalcs[[#This Row],[Proposed Fixture Watts]]/1000)*ReviewCalcs[[#This Row],[AOH]]*ReviewCalcs[[#This Row],[IEFE]]*ReviewCalcs[[#This Row],[Existing PAF]], 0)</f>
        <v>0</v>
      </c>
      <c r="AM1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8" s="118">
        <f>ReviewCalcs[[#This Row],[Fixture Existing Energy (kWh)]]*Avg_KWh_Rate</f>
        <v>0</v>
      </c>
      <c r="AO128" s="118">
        <f>ReviewCalcs[[#This Row],[Fixture Proposed Energy (kWh)]]*Avg_KWh_Rate</f>
        <v>0</v>
      </c>
      <c r="AP128" s="70">
        <f>ReviewCalcs[[#This Row],[Fixture Energy Savings]]*Avg_KWh_Rate</f>
        <v>0</v>
      </c>
      <c r="AQ128" s="129" t="e">
        <f>ReviewCalcs[[#This Row],[Existing Fixture Quantity]]*ReviewCalcs[[#This Row],[Existing Fixture Watts]]/1000*ReviewCalcs[[#This Row],[Existing CF]]*ReviewCalcs[[#This Row],[IEFD]]</f>
        <v>#VALUE!</v>
      </c>
      <c r="AR128" s="129" t="e">
        <f>ReviewCalcs[[#This Row],[Proposed Fixture Quantity]]*ReviewCalcs[[#This Row],[Proposed Fixture Watts]]/1000*ReviewCalcs[[#This Row],[Proposed CF]]*ReviewCalcs[[#This Row],[IEFD]]</f>
        <v>#VALUE!</v>
      </c>
      <c r="AS128" s="118">
        <f>IF(ReviewCalcs[[#This Row],[Existing CF]]=ReviewCalcs[[#This Row],[Proposed CF]], 0, ReviewCalcs[[#This Row],[Proposed Fixture Quantity]]*ReviewCalcs[[#This Row],[Proposed Fixture Watts]]/1000*ReviewCalcs[[#This Row],[Proposed CF]]*ReviewCalcs[[#This Row],[IEFD]])</f>
        <v>0</v>
      </c>
      <c r="AT128" s="118">
        <f>IFERROR(ReviewCalcs[[#This Row],[Existing Fixture Quantity]]*ReviewCalcs[[#This Row],[Existing Fixture Watts]]/1000*ReviewCalcs[[#This Row],[Existing PAF]]*ReviewCalcs[[#This Row],[AOH]]*ReviewCalcs[[#This Row],[IEFE]], 0)</f>
        <v>0</v>
      </c>
      <c r="AU128" s="118">
        <f>IFERROR(ReviewCalcs[[#This Row],[Proposed Fixture Quantity]]*ReviewCalcs[[#This Row],[Proposed Fixture Watts]]/1000*ReviewCalcs[[#This Row],[Proposed PAF]]*ReviewCalcs[[#This Row],[AOH]]*ReviewCalcs[[#This Row],[IEFE]], 0)</f>
        <v>0</v>
      </c>
      <c r="AV128" s="118">
        <f>IFERROR(ReviewCalcs[[#This Row],[Proposed Fixture Quantity]]*ReviewCalcs[[#This Row],[Proposed Fixture Watts]]/1000*(ReviewCalcs[[#This Row],[Existing PAF]]-ReviewCalcs[[#This Row],[Proposed PAF]])*ReviewCalcs[[#This Row],[AOH]]*ReviewCalcs[[#This Row],[IEFE]], 0)</f>
        <v>0</v>
      </c>
      <c r="AW128" s="118">
        <f>ReviewCalcs[[#This Row],[Control Existing Energy (kWh)]]*kWh_Incentive_Rate</f>
        <v>0</v>
      </c>
      <c r="AX128" s="118">
        <f>ReviewCalcs[[#This Row],[Control Proposed Energy (kWh)]]*kWh_Incentive_Rate</f>
        <v>0</v>
      </c>
      <c r="AY128" s="70">
        <f>ReviewCalcs[[#This Row],[Control Energy Savings (kWh)]]*kWh_Incentive_Rate</f>
        <v>0</v>
      </c>
      <c r="AZ128" s="70" t="e">
        <f>ReviewCalcs[[#This Row],[Fixture Existing Demand (kW)]]+ReviewCalcs[[#This Row],[Control Existing Demand (kW)]]</f>
        <v>#VALUE!</v>
      </c>
      <c r="BA128" s="70" t="e">
        <f>ReviewCalcs[[#This Row],[Fixture Proposed Demand (kW)]]+ReviewCalcs[[#This Row],[Control Proposed Demand (kW)]]</f>
        <v>#VALUE!</v>
      </c>
      <c r="BB128" s="118">
        <f>ReviewCalcs[[#This Row],[Fixture Demand Savings (kW)]]+ReviewCalcs[[#This Row],[Control Demand Savings (kW)]]</f>
        <v>0</v>
      </c>
      <c r="BC128" s="118">
        <f>ReviewCalcs[[#This Row],[Fixture Existing Energy (kWh)]]+ReviewCalcs[[#This Row],[Control Existing Energy (kWh)]]</f>
        <v>0</v>
      </c>
      <c r="BD128" s="118">
        <f>ReviewCalcs[[#This Row],[Fixture Proposed Energy (kWh)]]+ReviewCalcs[[#This Row],[Control Proposed Energy (kWh)]]</f>
        <v>0</v>
      </c>
      <c r="BE128" s="118">
        <f>ReviewCalcs[[#This Row],[Fixture Energy Savings]]+ReviewCalcs[[#This Row],[Control Energy Savings (kWh)]]</f>
        <v>0</v>
      </c>
      <c r="BF128" s="118">
        <f>ReviewCalcs[[#This Row],[Fixture Existing Cost ($)]]+ReviewCalcs[[#This Row],[Control Existing Cost ($)]]</f>
        <v>0</v>
      </c>
      <c r="BG128" s="118">
        <f>ReviewCalcs[[#This Row],[Fixture Proposed Cost ($)]]+ReviewCalcs[[#This Row],[Controls Proposed Cost ($)]]</f>
        <v>0</v>
      </c>
      <c r="BH128" s="70">
        <f>ReviewCalcs[[#This Row],[Total Energy Savings (kWh)]]*Avg_KWh_Rate</f>
        <v>0</v>
      </c>
      <c r="BI1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8" s="70">
        <f>ReviewCalcs[[#This Row],[Retrofit Cost]]</f>
        <v>0</v>
      </c>
      <c r="BK128" s="70">
        <f>ReviewCalcs[[#This Row],[Retrofit Cost]]-ReviewCalcs[[#This Row],[Incentive ($)]]</f>
        <v>0</v>
      </c>
      <c r="BL128" s="118" t="e">
        <f>IFERROR(ReviewCalcs[[#This Row],[Net Project Cost ($)]]/ReviewCalcs[[#This Row],[Fixture Energy Cost Savings ($)]], #N/A)</f>
        <v>#N/A</v>
      </c>
      <c r="BM128" s="118" t="e">
        <f>IF(VLOOKUP(ReviewCalcs[[#This Row],[Existing Fixture Code]], Table7[[FIXTURE CODE]:[Baseline Fixture Code]], 8, FALSE)="N", VLOOKUP(ReviewCalcs[[#This Row],[Existing Fixture Code]], Table7[[FIXTURE CODE]:[Baseline Fixture Code]], 9, FALSE), ReviewCalcs[[#This Row],[Existing Fixture Code]])</f>
        <v>#N/A</v>
      </c>
      <c r="BN128" s="118" t="e">
        <f>INDEX(Table7[WATT/ FIXT], MATCH(ReviewCalcs[Baseline Fixture Code], Table7[FIXTURE CODE], 0))</f>
        <v>#N/A</v>
      </c>
      <c r="BO128" s="118">
        <f>IFERROR((ReviewCalcs[[#This Row],[Existing Fixture Quantity]]*ReviewCalcs[[#This Row],[Baseline Fixture Watts]]/1000-ReviewCalcs[[#This Row],[Proposed Fixture Quantity]]*ReviewCalcs[[#This Row],[Proposed Fixture Watts]]/1000)*ReviewCalcs[[#This Row],[Existing CF]]*ReviewCalcs[[#This Row],[IEFD]], 0)</f>
        <v>0</v>
      </c>
      <c r="BP1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8" s="118">
        <f>IF(ReviewCalcs[[#This Row],[Existing CF]]=ReviewCalcs[[#This Row],[Proposed CF]], 0, ReviewCalcs[[#This Row],[Proposed Fixture Quantity]]*ReviewCalcs[[#This Row],[Proposed Fixture Watts]]/1000*ReviewCalcs[[#This Row],[Proposed CF]]*ReviewCalcs[[#This Row],[IEFD]])</f>
        <v>0</v>
      </c>
      <c r="BR128" s="118">
        <f>IFERROR(ReviewCalcs[[#This Row],[Proposed Fixture Quantity]]*ReviewCalcs[[#This Row],[Proposed Fixture Watts]]/1000*(ReviewCalcs[[#This Row],[Existing PAF]]-ReviewCalcs[[#This Row],[Proposed PAF]])*ReviewCalcs[[#This Row],[AOH]]*ReviewCalcs[[#This Row],[IEFE]],0)</f>
        <v>0</v>
      </c>
      <c r="BS128" s="118">
        <f>ReviewCalcs[[#This Row],[Incentive Fixture Demand Savings (kW)]]+ReviewCalcs[[#This Row],[Incentive Control Demand Savings (kW)]]</f>
        <v>0</v>
      </c>
      <c r="BT128" s="118">
        <f>ReviewCalcs[[#This Row],[Incentive Fixture Energy Savings (kWh)]]+ReviewCalcs[[#This Row],[Incentive Control Energy Savings (kWh)]]</f>
        <v>0</v>
      </c>
      <c r="BU128" s="73"/>
    </row>
    <row r="129" spans="1:73" ht="30" customHeight="1">
      <c r="A129" s="68">
        <v>126</v>
      </c>
      <c r="B129" s="96">
        <f>VLOOKUP(ReviewCalcs[[#This Row],[Project Index]], ProjectInput[], D$1, FALSE)</f>
        <v>0</v>
      </c>
      <c r="C129" s="97">
        <f>VLOOKUP(ReviewCalcs[[#This Row],[Project Index]], ProjectInput[], E$1, FALSE)</f>
        <v>0</v>
      </c>
      <c r="D129" s="97">
        <f>VLOOKUP(ReviewCalcs[[#This Row],[Project Index]], ProjectInput[], F$1, FALSE)</f>
        <v>0</v>
      </c>
      <c r="E129" s="97">
        <f>VLOOKUP(ReviewCalcs[[#This Row],[Project Index]], ProjectInput[], G$1, FALSE)</f>
        <v>0</v>
      </c>
      <c r="F129" s="97">
        <f>VLOOKUP(ReviewCalcs[[#This Row],[Project Index]], ProjectInput[], H$1, FALSE)</f>
        <v>0</v>
      </c>
      <c r="G129" s="98" t="str">
        <f>VLOOKUP(ReviewCalcs[[#This Row],[Project Index]], ProjectInput[], I$1, FALSE)</f>
        <v/>
      </c>
      <c r="H129" s="96">
        <f>VLOOKUP(ReviewCalcs[[#This Row],[Project Index]], ProjectInput[], J$1, FALSE)</f>
        <v>0</v>
      </c>
      <c r="I129" s="97">
        <f>VLOOKUP(ReviewCalcs[[#This Row],[Project Index]], ProjectInput[], K$1, FALSE)</f>
        <v>0</v>
      </c>
      <c r="J129" s="97">
        <f>VLOOKUP(ReviewCalcs[[#This Row],[Project Index]], ProjectInput[], L$1, FALSE)</f>
        <v>0</v>
      </c>
      <c r="K129" s="97">
        <f>VLOOKUP(ReviewCalcs[[#This Row],[Project Index]], ProjectInput[], M$1, FALSE)</f>
        <v>0</v>
      </c>
      <c r="L129" s="97">
        <f>VLOOKUP(ReviewCalcs[[#This Row],[Project Index]], ProjectInput[], N$1, FALSE)</f>
        <v>0</v>
      </c>
      <c r="M129" s="98" t="str">
        <f>VLOOKUP(ReviewCalcs[[#This Row],[Project Index]], ProjectInput[], O$1, FALSE)</f>
        <v/>
      </c>
      <c r="N129" s="96">
        <f>VLOOKUP(ReviewCalcs[[#This Row],[Project Index]], ProjectInput[], P$1, FALSE)</f>
        <v>0</v>
      </c>
      <c r="O129" s="97">
        <f>VLOOKUP(ReviewCalcs[[#This Row],[Project Index]], ProjectInput[], Q$1, FALSE)</f>
        <v>0</v>
      </c>
      <c r="P129" s="97">
        <f>VLOOKUP(ReviewCalcs[[#This Row],[Project Index]], ProjectInput[], R$1, FALSE)</f>
        <v>0</v>
      </c>
      <c r="Q129" s="97">
        <f>VLOOKUP(ReviewCalcs[[#This Row],[Project Index]], ProjectInput[], S$1, FALSE)</f>
        <v>0</v>
      </c>
      <c r="R129" s="97">
        <f>VLOOKUP(ReviewCalcs[[#This Row],[Project Index]], ProjectInput[], T$1, FALSE)</f>
        <v>0</v>
      </c>
      <c r="S129" s="97">
        <f>VLOOKUP(ReviewCalcs[[#This Row],[Project Index]], ProjectInput[], U$1, FALSE)</f>
        <v>0</v>
      </c>
      <c r="T129" s="97">
        <f>VLOOKUP(ReviewCalcs[[#This Row],[Project Index]], ProjectInput[], V$1, FALSE)</f>
        <v>0</v>
      </c>
      <c r="U129" s="97">
        <f>VLOOKUP(ReviewCalcs[[#This Row],[Project Index]], ProjectInput[], W$1, FALSE)</f>
        <v>0</v>
      </c>
      <c r="V129" s="98" t="str">
        <f>VLOOKUP(ReviewCalcs[[#This Row],[Project Index]], ProjectInput[], X$1, FALSE)</f>
        <v/>
      </c>
      <c r="W1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29" s="75" t="e">
        <f>IF(VLOOKUP(ReviewCalcs[[#This Row],[Proposed Fixture Code]], Table7[[FIXTURE CODE]:[Baseline Fixture Code]], 8, FALSE)="N", "ERROR", "PASS")</f>
        <v>#N/A</v>
      </c>
      <c r="Y1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29" s="75" t="e">
        <f>IF(OR(ReviewCalcs[[#This Row],[Baseline Fixture Watts]]&gt;=ReviewCalcs[[#This Row],[Proposed Fixture Watts]],ReviewCalcs[[#This Row],[Existing Fixture Watts]]&gt;=ReviewCalcs[[#This Row],[Proposed Fixture Watts]] ), "PASS", "ERROR")</f>
        <v>#N/A</v>
      </c>
      <c r="AA129" s="69" t="e">
        <f>VLOOKUP(ReviewCalcs[[#This Row],[Space Conditions]], Table_365[], 5, FALSE)</f>
        <v>#N/A</v>
      </c>
      <c r="AB129" s="68" t="str">
        <f>ReviewCalcs[[#This Row],[Annual Hours]]</f>
        <v/>
      </c>
      <c r="AC129" s="68" t="e">
        <f>VLOOKUP(ReviewCalcs[[#This Row],[Space Conditions]], Table_365[], 6, FALSE)</f>
        <v>#N/A</v>
      </c>
      <c r="AD129" s="68">
        <f>IF(ReviewCalcs[[#This Row],[Existing Control(s)]]='Tables &amp; Ranges'!$A$25, VLOOKUP(ReviewCalcs[[#This Row],[Building/Space Type]], Table_364[], 3, FALSE), CF_Contols)</f>
        <v>0.26</v>
      </c>
      <c r="AE129" s="68" t="e">
        <f>VLOOKUP(ReviewCalcs[[#This Row],[Existing Control(s)]], Table_358[], 2, FALSE)</f>
        <v>#N/A</v>
      </c>
      <c r="AF129" s="68">
        <f>IF(ReviewCalcs[[#This Row],[Proposed Control(s)]]='Tables &amp; Ranges'!$A$25, VLOOKUP(ReviewCalcs[[#This Row],[Building/Space Type]], Table_364[], 3, FALSE), CF_Contols)</f>
        <v>0.26</v>
      </c>
      <c r="AG129" s="68" t="e">
        <f>VLOOKUP(ReviewCalcs[[#This Row],[Proposed Control(s)]], Table_358[], 2, FALSE)</f>
        <v>#N/A</v>
      </c>
      <c r="AH129" s="68">
        <f>IFERROR((ReviewCalcs[[#This Row],[Existing Fixture Quantity]]*ReviewCalcs[[#This Row],[Existing Fixture Watts]]/1000)*ReviewCalcs[[#This Row],[Existing CF]]*ReviewCalcs[[#This Row],[IEFD]], 0)</f>
        <v>0</v>
      </c>
      <c r="AI129" s="68">
        <f>IFERROR((ReviewCalcs[[#This Row],[Proposed Fixture Quantity]]*ReviewCalcs[[#This Row],[Proposed Fixture Watts]]/1000)*ReviewCalcs[[#This Row],[Existing CF]]*ReviewCalcs[[#This Row],[IEFD]], 0)</f>
        <v>0</v>
      </c>
      <c r="AJ129" s="118">
        <f>IFERROR((ReviewCalcs[[#This Row],[Existing Fixture Quantity]]*ReviewCalcs[[#This Row],[Existing Fixture Watts]]/1000-ReviewCalcs[[#This Row],[Proposed Fixture Quantity]]*ReviewCalcs[[#This Row],[Proposed Fixture Watts]]/1000)*ReviewCalcs[[#This Row],[Existing CF]]*ReviewCalcs[[#This Row],[IEFD]], 0)</f>
        <v>0</v>
      </c>
      <c r="AK129" s="118">
        <f>IFERROR((ReviewCalcs[[#This Row],[Existing Fixture Quantity]]*ReviewCalcs[[#This Row],[Existing Fixture Watts]]/1000)*ReviewCalcs[[#This Row],[AOH]]*ReviewCalcs[[#This Row],[IEFE]]*ReviewCalcs[[#This Row],[Existing PAF]], 0)</f>
        <v>0</v>
      </c>
      <c r="AL129" s="118">
        <f>IFERROR((ReviewCalcs[[#This Row],[Proposed Fixture Quantity]]*ReviewCalcs[[#This Row],[Proposed Fixture Watts]]/1000)*ReviewCalcs[[#This Row],[AOH]]*ReviewCalcs[[#This Row],[IEFE]]*ReviewCalcs[[#This Row],[Existing PAF]], 0)</f>
        <v>0</v>
      </c>
      <c r="AM1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29" s="118">
        <f>ReviewCalcs[[#This Row],[Fixture Existing Energy (kWh)]]*Avg_KWh_Rate</f>
        <v>0</v>
      </c>
      <c r="AO129" s="118">
        <f>ReviewCalcs[[#This Row],[Fixture Proposed Energy (kWh)]]*Avg_KWh_Rate</f>
        <v>0</v>
      </c>
      <c r="AP129" s="70">
        <f>ReviewCalcs[[#This Row],[Fixture Energy Savings]]*Avg_KWh_Rate</f>
        <v>0</v>
      </c>
      <c r="AQ129" s="129" t="e">
        <f>ReviewCalcs[[#This Row],[Existing Fixture Quantity]]*ReviewCalcs[[#This Row],[Existing Fixture Watts]]/1000*ReviewCalcs[[#This Row],[Existing CF]]*ReviewCalcs[[#This Row],[IEFD]]</f>
        <v>#VALUE!</v>
      </c>
      <c r="AR129" s="129" t="e">
        <f>ReviewCalcs[[#This Row],[Proposed Fixture Quantity]]*ReviewCalcs[[#This Row],[Proposed Fixture Watts]]/1000*ReviewCalcs[[#This Row],[Proposed CF]]*ReviewCalcs[[#This Row],[IEFD]]</f>
        <v>#VALUE!</v>
      </c>
      <c r="AS129" s="118">
        <f>IF(ReviewCalcs[[#This Row],[Existing CF]]=ReviewCalcs[[#This Row],[Proposed CF]], 0, ReviewCalcs[[#This Row],[Proposed Fixture Quantity]]*ReviewCalcs[[#This Row],[Proposed Fixture Watts]]/1000*ReviewCalcs[[#This Row],[Proposed CF]]*ReviewCalcs[[#This Row],[IEFD]])</f>
        <v>0</v>
      </c>
      <c r="AT129" s="118">
        <f>IFERROR(ReviewCalcs[[#This Row],[Existing Fixture Quantity]]*ReviewCalcs[[#This Row],[Existing Fixture Watts]]/1000*ReviewCalcs[[#This Row],[Existing PAF]]*ReviewCalcs[[#This Row],[AOH]]*ReviewCalcs[[#This Row],[IEFE]], 0)</f>
        <v>0</v>
      </c>
      <c r="AU129" s="118">
        <f>IFERROR(ReviewCalcs[[#This Row],[Proposed Fixture Quantity]]*ReviewCalcs[[#This Row],[Proposed Fixture Watts]]/1000*ReviewCalcs[[#This Row],[Proposed PAF]]*ReviewCalcs[[#This Row],[AOH]]*ReviewCalcs[[#This Row],[IEFE]], 0)</f>
        <v>0</v>
      </c>
      <c r="AV129" s="118">
        <f>IFERROR(ReviewCalcs[[#This Row],[Proposed Fixture Quantity]]*ReviewCalcs[[#This Row],[Proposed Fixture Watts]]/1000*(ReviewCalcs[[#This Row],[Existing PAF]]-ReviewCalcs[[#This Row],[Proposed PAF]])*ReviewCalcs[[#This Row],[AOH]]*ReviewCalcs[[#This Row],[IEFE]], 0)</f>
        <v>0</v>
      </c>
      <c r="AW129" s="118">
        <f>ReviewCalcs[[#This Row],[Control Existing Energy (kWh)]]*kWh_Incentive_Rate</f>
        <v>0</v>
      </c>
      <c r="AX129" s="118">
        <f>ReviewCalcs[[#This Row],[Control Proposed Energy (kWh)]]*kWh_Incentive_Rate</f>
        <v>0</v>
      </c>
      <c r="AY129" s="70">
        <f>ReviewCalcs[[#This Row],[Control Energy Savings (kWh)]]*kWh_Incentive_Rate</f>
        <v>0</v>
      </c>
      <c r="AZ129" s="70" t="e">
        <f>ReviewCalcs[[#This Row],[Fixture Existing Demand (kW)]]+ReviewCalcs[[#This Row],[Control Existing Demand (kW)]]</f>
        <v>#VALUE!</v>
      </c>
      <c r="BA129" s="70" t="e">
        <f>ReviewCalcs[[#This Row],[Fixture Proposed Demand (kW)]]+ReviewCalcs[[#This Row],[Control Proposed Demand (kW)]]</f>
        <v>#VALUE!</v>
      </c>
      <c r="BB129" s="118">
        <f>ReviewCalcs[[#This Row],[Fixture Demand Savings (kW)]]+ReviewCalcs[[#This Row],[Control Demand Savings (kW)]]</f>
        <v>0</v>
      </c>
      <c r="BC129" s="118">
        <f>ReviewCalcs[[#This Row],[Fixture Existing Energy (kWh)]]+ReviewCalcs[[#This Row],[Control Existing Energy (kWh)]]</f>
        <v>0</v>
      </c>
      <c r="BD129" s="118">
        <f>ReviewCalcs[[#This Row],[Fixture Proposed Energy (kWh)]]+ReviewCalcs[[#This Row],[Control Proposed Energy (kWh)]]</f>
        <v>0</v>
      </c>
      <c r="BE129" s="118">
        <f>ReviewCalcs[[#This Row],[Fixture Energy Savings]]+ReviewCalcs[[#This Row],[Control Energy Savings (kWh)]]</f>
        <v>0</v>
      </c>
      <c r="BF129" s="118">
        <f>ReviewCalcs[[#This Row],[Fixture Existing Cost ($)]]+ReviewCalcs[[#This Row],[Control Existing Cost ($)]]</f>
        <v>0</v>
      </c>
      <c r="BG129" s="118">
        <f>ReviewCalcs[[#This Row],[Fixture Proposed Cost ($)]]+ReviewCalcs[[#This Row],[Controls Proposed Cost ($)]]</f>
        <v>0</v>
      </c>
      <c r="BH129" s="70">
        <f>ReviewCalcs[[#This Row],[Total Energy Savings (kWh)]]*Avg_KWh_Rate</f>
        <v>0</v>
      </c>
      <c r="BI1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29" s="70">
        <f>ReviewCalcs[[#This Row],[Retrofit Cost]]</f>
        <v>0</v>
      </c>
      <c r="BK129" s="70">
        <f>ReviewCalcs[[#This Row],[Retrofit Cost]]-ReviewCalcs[[#This Row],[Incentive ($)]]</f>
        <v>0</v>
      </c>
      <c r="BL129" s="118" t="e">
        <f>IFERROR(ReviewCalcs[[#This Row],[Net Project Cost ($)]]/ReviewCalcs[[#This Row],[Fixture Energy Cost Savings ($)]], #N/A)</f>
        <v>#N/A</v>
      </c>
      <c r="BM129" s="118" t="e">
        <f>IF(VLOOKUP(ReviewCalcs[[#This Row],[Existing Fixture Code]], Table7[[FIXTURE CODE]:[Baseline Fixture Code]], 8, FALSE)="N", VLOOKUP(ReviewCalcs[[#This Row],[Existing Fixture Code]], Table7[[FIXTURE CODE]:[Baseline Fixture Code]], 9, FALSE), ReviewCalcs[[#This Row],[Existing Fixture Code]])</f>
        <v>#N/A</v>
      </c>
      <c r="BN129" s="118" t="e">
        <f>INDEX(Table7[WATT/ FIXT], MATCH(ReviewCalcs[Baseline Fixture Code], Table7[FIXTURE CODE], 0))</f>
        <v>#N/A</v>
      </c>
      <c r="BO129" s="118">
        <f>IFERROR((ReviewCalcs[[#This Row],[Existing Fixture Quantity]]*ReviewCalcs[[#This Row],[Baseline Fixture Watts]]/1000-ReviewCalcs[[#This Row],[Proposed Fixture Quantity]]*ReviewCalcs[[#This Row],[Proposed Fixture Watts]]/1000)*ReviewCalcs[[#This Row],[Existing CF]]*ReviewCalcs[[#This Row],[IEFD]], 0)</f>
        <v>0</v>
      </c>
      <c r="BP1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29" s="118">
        <f>IF(ReviewCalcs[[#This Row],[Existing CF]]=ReviewCalcs[[#This Row],[Proposed CF]], 0, ReviewCalcs[[#This Row],[Proposed Fixture Quantity]]*ReviewCalcs[[#This Row],[Proposed Fixture Watts]]/1000*ReviewCalcs[[#This Row],[Proposed CF]]*ReviewCalcs[[#This Row],[IEFD]])</f>
        <v>0</v>
      </c>
      <c r="BR129" s="118">
        <f>IFERROR(ReviewCalcs[[#This Row],[Proposed Fixture Quantity]]*ReviewCalcs[[#This Row],[Proposed Fixture Watts]]/1000*(ReviewCalcs[[#This Row],[Existing PAF]]-ReviewCalcs[[#This Row],[Proposed PAF]])*ReviewCalcs[[#This Row],[AOH]]*ReviewCalcs[[#This Row],[IEFE]],0)</f>
        <v>0</v>
      </c>
      <c r="BS129" s="118">
        <f>ReviewCalcs[[#This Row],[Incentive Fixture Demand Savings (kW)]]+ReviewCalcs[[#This Row],[Incentive Control Demand Savings (kW)]]</f>
        <v>0</v>
      </c>
      <c r="BT129" s="118">
        <f>ReviewCalcs[[#This Row],[Incentive Fixture Energy Savings (kWh)]]+ReviewCalcs[[#This Row],[Incentive Control Energy Savings (kWh)]]</f>
        <v>0</v>
      </c>
      <c r="BU129" s="73"/>
    </row>
    <row r="130" spans="1:73" ht="30" customHeight="1">
      <c r="A130" s="68">
        <v>127</v>
      </c>
      <c r="B130" s="96">
        <f>VLOOKUP(ReviewCalcs[[#This Row],[Project Index]], ProjectInput[], D$1, FALSE)</f>
        <v>0</v>
      </c>
      <c r="C130" s="97">
        <f>VLOOKUP(ReviewCalcs[[#This Row],[Project Index]], ProjectInput[], E$1, FALSE)</f>
        <v>0</v>
      </c>
      <c r="D130" s="97">
        <f>VLOOKUP(ReviewCalcs[[#This Row],[Project Index]], ProjectInput[], F$1, FALSE)</f>
        <v>0</v>
      </c>
      <c r="E130" s="97">
        <f>VLOOKUP(ReviewCalcs[[#This Row],[Project Index]], ProjectInput[], G$1, FALSE)</f>
        <v>0</v>
      </c>
      <c r="F130" s="97">
        <f>VLOOKUP(ReviewCalcs[[#This Row],[Project Index]], ProjectInput[], H$1, FALSE)</f>
        <v>0</v>
      </c>
      <c r="G130" s="98" t="str">
        <f>VLOOKUP(ReviewCalcs[[#This Row],[Project Index]], ProjectInput[], I$1, FALSE)</f>
        <v/>
      </c>
      <c r="H130" s="96">
        <f>VLOOKUP(ReviewCalcs[[#This Row],[Project Index]], ProjectInput[], J$1, FALSE)</f>
        <v>0</v>
      </c>
      <c r="I130" s="97">
        <f>VLOOKUP(ReviewCalcs[[#This Row],[Project Index]], ProjectInput[], K$1, FALSE)</f>
        <v>0</v>
      </c>
      <c r="J130" s="97">
        <f>VLOOKUP(ReviewCalcs[[#This Row],[Project Index]], ProjectInput[], L$1, FALSE)</f>
        <v>0</v>
      </c>
      <c r="K130" s="97">
        <f>VLOOKUP(ReviewCalcs[[#This Row],[Project Index]], ProjectInput[], M$1, FALSE)</f>
        <v>0</v>
      </c>
      <c r="L130" s="97">
        <f>VLOOKUP(ReviewCalcs[[#This Row],[Project Index]], ProjectInput[], N$1, FALSE)</f>
        <v>0</v>
      </c>
      <c r="M130" s="98" t="str">
        <f>VLOOKUP(ReviewCalcs[[#This Row],[Project Index]], ProjectInput[], O$1, FALSE)</f>
        <v/>
      </c>
      <c r="N130" s="96">
        <f>VLOOKUP(ReviewCalcs[[#This Row],[Project Index]], ProjectInput[], P$1, FALSE)</f>
        <v>0</v>
      </c>
      <c r="O130" s="97">
        <f>VLOOKUP(ReviewCalcs[[#This Row],[Project Index]], ProjectInput[], Q$1, FALSE)</f>
        <v>0</v>
      </c>
      <c r="P130" s="97">
        <f>VLOOKUP(ReviewCalcs[[#This Row],[Project Index]], ProjectInput[], R$1, FALSE)</f>
        <v>0</v>
      </c>
      <c r="Q130" s="97">
        <f>VLOOKUP(ReviewCalcs[[#This Row],[Project Index]], ProjectInput[], S$1, FALSE)</f>
        <v>0</v>
      </c>
      <c r="R130" s="97">
        <f>VLOOKUP(ReviewCalcs[[#This Row],[Project Index]], ProjectInput[], T$1, FALSE)</f>
        <v>0</v>
      </c>
      <c r="S130" s="97">
        <f>VLOOKUP(ReviewCalcs[[#This Row],[Project Index]], ProjectInput[], U$1, FALSE)</f>
        <v>0</v>
      </c>
      <c r="T130" s="97">
        <f>VLOOKUP(ReviewCalcs[[#This Row],[Project Index]], ProjectInput[], V$1, FALSE)</f>
        <v>0</v>
      </c>
      <c r="U130" s="97">
        <f>VLOOKUP(ReviewCalcs[[#This Row],[Project Index]], ProjectInput[], W$1, FALSE)</f>
        <v>0</v>
      </c>
      <c r="V130" s="98" t="str">
        <f>VLOOKUP(ReviewCalcs[[#This Row],[Project Index]], ProjectInput[], X$1, FALSE)</f>
        <v/>
      </c>
      <c r="W1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0" s="75" t="e">
        <f>IF(VLOOKUP(ReviewCalcs[[#This Row],[Proposed Fixture Code]], Table7[[FIXTURE CODE]:[Baseline Fixture Code]], 8, FALSE)="N", "ERROR", "PASS")</f>
        <v>#N/A</v>
      </c>
      <c r="Y1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0" s="75" t="e">
        <f>IF(OR(ReviewCalcs[[#This Row],[Baseline Fixture Watts]]&gt;=ReviewCalcs[[#This Row],[Proposed Fixture Watts]],ReviewCalcs[[#This Row],[Existing Fixture Watts]]&gt;=ReviewCalcs[[#This Row],[Proposed Fixture Watts]] ), "PASS", "ERROR")</f>
        <v>#N/A</v>
      </c>
      <c r="AA130" s="69" t="e">
        <f>VLOOKUP(ReviewCalcs[[#This Row],[Space Conditions]], Table_365[], 5, FALSE)</f>
        <v>#N/A</v>
      </c>
      <c r="AB130" s="68" t="str">
        <f>ReviewCalcs[[#This Row],[Annual Hours]]</f>
        <v/>
      </c>
      <c r="AC130" s="68" t="e">
        <f>VLOOKUP(ReviewCalcs[[#This Row],[Space Conditions]], Table_365[], 6, FALSE)</f>
        <v>#N/A</v>
      </c>
      <c r="AD130" s="68">
        <f>IF(ReviewCalcs[[#This Row],[Existing Control(s)]]='Tables &amp; Ranges'!$A$25, VLOOKUP(ReviewCalcs[[#This Row],[Building/Space Type]], Table_364[], 3, FALSE), CF_Contols)</f>
        <v>0.26</v>
      </c>
      <c r="AE130" s="68" t="e">
        <f>VLOOKUP(ReviewCalcs[[#This Row],[Existing Control(s)]], Table_358[], 2, FALSE)</f>
        <v>#N/A</v>
      </c>
      <c r="AF130" s="68">
        <f>IF(ReviewCalcs[[#This Row],[Proposed Control(s)]]='Tables &amp; Ranges'!$A$25, VLOOKUP(ReviewCalcs[[#This Row],[Building/Space Type]], Table_364[], 3, FALSE), CF_Contols)</f>
        <v>0.26</v>
      </c>
      <c r="AG130" s="68" t="e">
        <f>VLOOKUP(ReviewCalcs[[#This Row],[Proposed Control(s)]], Table_358[], 2, FALSE)</f>
        <v>#N/A</v>
      </c>
      <c r="AH130" s="68">
        <f>IFERROR((ReviewCalcs[[#This Row],[Existing Fixture Quantity]]*ReviewCalcs[[#This Row],[Existing Fixture Watts]]/1000)*ReviewCalcs[[#This Row],[Existing CF]]*ReviewCalcs[[#This Row],[IEFD]], 0)</f>
        <v>0</v>
      </c>
      <c r="AI130" s="68">
        <f>IFERROR((ReviewCalcs[[#This Row],[Proposed Fixture Quantity]]*ReviewCalcs[[#This Row],[Proposed Fixture Watts]]/1000)*ReviewCalcs[[#This Row],[Existing CF]]*ReviewCalcs[[#This Row],[IEFD]], 0)</f>
        <v>0</v>
      </c>
      <c r="AJ130" s="118">
        <f>IFERROR((ReviewCalcs[[#This Row],[Existing Fixture Quantity]]*ReviewCalcs[[#This Row],[Existing Fixture Watts]]/1000-ReviewCalcs[[#This Row],[Proposed Fixture Quantity]]*ReviewCalcs[[#This Row],[Proposed Fixture Watts]]/1000)*ReviewCalcs[[#This Row],[Existing CF]]*ReviewCalcs[[#This Row],[IEFD]], 0)</f>
        <v>0</v>
      </c>
      <c r="AK130" s="118">
        <f>IFERROR((ReviewCalcs[[#This Row],[Existing Fixture Quantity]]*ReviewCalcs[[#This Row],[Existing Fixture Watts]]/1000)*ReviewCalcs[[#This Row],[AOH]]*ReviewCalcs[[#This Row],[IEFE]]*ReviewCalcs[[#This Row],[Existing PAF]], 0)</f>
        <v>0</v>
      </c>
      <c r="AL130" s="118">
        <f>IFERROR((ReviewCalcs[[#This Row],[Proposed Fixture Quantity]]*ReviewCalcs[[#This Row],[Proposed Fixture Watts]]/1000)*ReviewCalcs[[#This Row],[AOH]]*ReviewCalcs[[#This Row],[IEFE]]*ReviewCalcs[[#This Row],[Existing PAF]], 0)</f>
        <v>0</v>
      </c>
      <c r="AM1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0" s="118">
        <f>ReviewCalcs[[#This Row],[Fixture Existing Energy (kWh)]]*Avg_KWh_Rate</f>
        <v>0</v>
      </c>
      <c r="AO130" s="118">
        <f>ReviewCalcs[[#This Row],[Fixture Proposed Energy (kWh)]]*Avg_KWh_Rate</f>
        <v>0</v>
      </c>
      <c r="AP130" s="70">
        <f>ReviewCalcs[[#This Row],[Fixture Energy Savings]]*Avg_KWh_Rate</f>
        <v>0</v>
      </c>
      <c r="AQ130" s="129" t="e">
        <f>ReviewCalcs[[#This Row],[Existing Fixture Quantity]]*ReviewCalcs[[#This Row],[Existing Fixture Watts]]/1000*ReviewCalcs[[#This Row],[Existing CF]]*ReviewCalcs[[#This Row],[IEFD]]</f>
        <v>#VALUE!</v>
      </c>
      <c r="AR130" s="129" t="e">
        <f>ReviewCalcs[[#This Row],[Proposed Fixture Quantity]]*ReviewCalcs[[#This Row],[Proposed Fixture Watts]]/1000*ReviewCalcs[[#This Row],[Proposed CF]]*ReviewCalcs[[#This Row],[IEFD]]</f>
        <v>#VALUE!</v>
      </c>
      <c r="AS130" s="118">
        <f>IF(ReviewCalcs[[#This Row],[Existing CF]]=ReviewCalcs[[#This Row],[Proposed CF]], 0, ReviewCalcs[[#This Row],[Proposed Fixture Quantity]]*ReviewCalcs[[#This Row],[Proposed Fixture Watts]]/1000*ReviewCalcs[[#This Row],[Proposed CF]]*ReviewCalcs[[#This Row],[IEFD]])</f>
        <v>0</v>
      </c>
      <c r="AT130" s="118">
        <f>IFERROR(ReviewCalcs[[#This Row],[Existing Fixture Quantity]]*ReviewCalcs[[#This Row],[Existing Fixture Watts]]/1000*ReviewCalcs[[#This Row],[Existing PAF]]*ReviewCalcs[[#This Row],[AOH]]*ReviewCalcs[[#This Row],[IEFE]], 0)</f>
        <v>0</v>
      </c>
      <c r="AU130" s="118">
        <f>IFERROR(ReviewCalcs[[#This Row],[Proposed Fixture Quantity]]*ReviewCalcs[[#This Row],[Proposed Fixture Watts]]/1000*ReviewCalcs[[#This Row],[Proposed PAF]]*ReviewCalcs[[#This Row],[AOH]]*ReviewCalcs[[#This Row],[IEFE]], 0)</f>
        <v>0</v>
      </c>
      <c r="AV130" s="118">
        <f>IFERROR(ReviewCalcs[[#This Row],[Proposed Fixture Quantity]]*ReviewCalcs[[#This Row],[Proposed Fixture Watts]]/1000*(ReviewCalcs[[#This Row],[Existing PAF]]-ReviewCalcs[[#This Row],[Proposed PAF]])*ReviewCalcs[[#This Row],[AOH]]*ReviewCalcs[[#This Row],[IEFE]], 0)</f>
        <v>0</v>
      </c>
      <c r="AW130" s="118">
        <f>ReviewCalcs[[#This Row],[Control Existing Energy (kWh)]]*kWh_Incentive_Rate</f>
        <v>0</v>
      </c>
      <c r="AX130" s="118">
        <f>ReviewCalcs[[#This Row],[Control Proposed Energy (kWh)]]*kWh_Incentive_Rate</f>
        <v>0</v>
      </c>
      <c r="AY130" s="70">
        <f>ReviewCalcs[[#This Row],[Control Energy Savings (kWh)]]*kWh_Incentive_Rate</f>
        <v>0</v>
      </c>
      <c r="AZ130" s="70" t="e">
        <f>ReviewCalcs[[#This Row],[Fixture Existing Demand (kW)]]+ReviewCalcs[[#This Row],[Control Existing Demand (kW)]]</f>
        <v>#VALUE!</v>
      </c>
      <c r="BA130" s="70" t="e">
        <f>ReviewCalcs[[#This Row],[Fixture Proposed Demand (kW)]]+ReviewCalcs[[#This Row],[Control Proposed Demand (kW)]]</f>
        <v>#VALUE!</v>
      </c>
      <c r="BB130" s="118">
        <f>ReviewCalcs[[#This Row],[Fixture Demand Savings (kW)]]+ReviewCalcs[[#This Row],[Control Demand Savings (kW)]]</f>
        <v>0</v>
      </c>
      <c r="BC130" s="118">
        <f>ReviewCalcs[[#This Row],[Fixture Existing Energy (kWh)]]+ReviewCalcs[[#This Row],[Control Existing Energy (kWh)]]</f>
        <v>0</v>
      </c>
      <c r="BD130" s="118">
        <f>ReviewCalcs[[#This Row],[Fixture Proposed Energy (kWh)]]+ReviewCalcs[[#This Row],[Control Proposed Energy (kWh)]]</f>
        <v>0</v>
      </c>
      <c r="BE130" s="118">
        <f>ReviewCalcs[[#This Row],[Fixture Energy Savings]]+ReviewCalcs[[#This Row],[Control Energy Savings (kWh)]]</f>
        <v>0</v>
      </c>
      <c r="BF130" s="118">
        <f>ReviewCalcs[[#This Row],[Fixture Existing Cost ($)]]+ReviewCalcs[[#This Row],[Control Existing Cost ($)]]</f>
        <v>0</v>
      </c>
      <c r="BG130" s="118">
        <f>ReviewCalcs[[#This Row],[Fixture Proposed Cost ($)]]+ReviewCalcs[[#This Row],[Controls Proposed Cost ($)]]</f>
        <v>0</v>
      </c>
      <c r="BH130" s="70">
        <f>ReviewCalcs[[#This Row],[Total Energy Savings (kWh)]]*Avg_KWh_Rate</f>
        <v>0</v>
      </c>
      <c r="BI1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0" s="70">
        <f>ReviewCalcs[[#This Row],[Retrofit Cost]]</f>
        <v>0</v>
      </c>
      <c r="BK130" s="70">
        <f>ReviewCalcs[[#This Row],[Retrofit Cost]]-ReviewCalcs[[#This Row],[Incentive ($)]]</f>
        <v>0</v>
      </c>
      <c r="BL130" s="118" t="e">
        <f>IFERROR(ReviewCalcs[[#This Row],[Net Project Cost ($)]]/ReviewCalcs[[#This Row],[Fixture Energy Cost Savings ($)]], #N/A)</f>
        <v>#N/A</v>
      </c>
      <c r="BM130" s="118" t="e">
        <f>IF(VLOOKUP(ReviewCalcs[[#This Row],[Existing Fixture Code]], Table7[[FIXTURE CODE]:[Baseline Fixture Code]], 8, FALSE)="N", VLOOKUP(ReviewCalcs[[#This Row],[Existing Fixture Code]], Table7[[FIXTURE CODE]:[Baseline Fixture Code]], 9, FALSE), ReviewCalcs[[#This Row],[Existing Fixture Code]])</f>
        <v>#N/A</v>
      </c>
      <c r="BN130" s="118" t="e">
        <f>INDEX(Table7[WATT/ FIXT], MATCH(ReviewCalcs[Baseline Fixture Code], Table7[FIXTURE CODE], 0))</f>
        <v>#N/A</v>
      </c>
      <c r="BO130" s="118">
        <f>IFERROR((ReviewCalcs[[#This Row],[Existing Fixture Quantity]]*ReviewCalcs[[#This Row],[Baseline Fixture Watts]]/1000-ReviewCalcs[[#This Row],[Proposed Fixture Quantity]]*ReviewCalcs[[#This Row],[Proposed Fixture Watts]]/1000)*ReviewCalcs[[#This Row],[Existing CF]]*ReviewCalcs[[#This Row],[IEFD]], 0)</f>
        <v>0</v>
      </c>
      <c r="BP1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0" s="118">
        <f>IF(ReviewCalcs[[#This Row],[Existing CF]]=ReviewCalcs[[#This Row],[Proposed CF]], 0, ReviewCalcs[[#This Row],[Proposed Fixture Quantity]]*ReviewCalcs[[#This Row],[Proposed Fixture Watts]]/1000*ReviewCalcs[[#This Row],[Proposed CF]]*ReviewCalcs[[#This Row],[IEFD]])</f>
        <v>0</v>
      </c>
      <c r="BR130" s="118">
        <f>IFERROR(ReviewCalcs[[#This Row],[Proposed Fixture Quantity]]*ReviewCalcs[[#This Row],[Proposed Fixture Watts]]/1000*(ReviewCalcs[[#This Row],[Existing PAF]]-ReviewCalcs[[#This Row],[Proposed PAF]])*ReviewCalcs[[#This Row],[AOH]]*ReviewCalcs[[#This Row],[IEFE]],0)</f>
        <v>0</v>
      </c>
      <c r="BS130" s="118">
        <f>ReviewCalcs[[#This Row],[Incentive Fixture Demand Savings (kW)]]+ReviewCalcs[[#This Row],[Incentive Control Demand Savings (kW)]]</f>
        <v>0</v>
      </c>
      <c r="BT130" s="118">
        <f>ReviewCalcs[[#This Row],[Incentive Fixture Energy Savings (kWh)]]+ReviewCalcs[[#This Row],[Incentive Control Energy Savings (kWh)]]</f>
        <v>0</v>
      </c>
      <c r="BU130" s="73"/>
    </row>
    <row r="131" spans="1:73" ht="30" customHeight="1">
      <c r="A131" s="68">
        <v>128</v>
      </c>
      <c r="B131" s="96">
        <f>VLOOKUP(ReviewCalcs[[#This Row],[Project Index]], ProjectInput[], D$1, FALSE)</f>
        <v>0</v>
      </c>
      <c r="C131" s="97">
        <f>VLOOKUP(ReviewCalcs[[#This Row],[Project Index]], ProjectInput[], E$1, FALSE)</f>
        <v>0</v>
      </c>
      <c r="D131" s="97">
        <f>VLOOKUP(ReviewCalcs[[#This Row],[Project Index]], ProjectInput[], F$1, FALSE)</f>
        <v>0</v>
      </c>
      <c r="E131" s="97">
        <f>VLOOKUP(ReviewCalcs[[#This Row],[Project Index]], ProjectInput[], G$1, FALSE)</f>
        <v>0</v>
      </c>
      <c r="F131" s="97">
        <f>VLOOKUP(ReviewCalcs[[#This Row],[Project Index]], ProjectInput[], H$1, FALSE)</f>
        <v>0</v>
      </c>
      <c r="G131" s="98" t="str">
        <f>VLOOKUP(ReviewCalcs[[#This Row],[Project Index]], ProjectInput[], I$1, FALSE)</f>
        <v/>
      </c>
      <c r="H131" s="96">
        <f>VLOOKUP(ReviewCalcs[[#This Row],[Project Index]], ProjectInput[], J$1, FALSE)</f>
        <v>0</v>
      </c>
      <c r="I131" s="97">
        <f>VLOOKUP(ReviewCalcs[[#This Row],[Project Index]], ProjectInput[], K$1, FALSE)</f>
        <v>0</v>
      </c>
      <c r="J131" s="97">
        <f>VLOOKUP(ReviewCalcs[[#This Row],[Project Index]], ProjectInput[], L$1, FALSE)</f>
        <v>0</v>
      </c>
      <c r="K131" s="97">
        <f>VLOOKUP(ReviewCalcs[[#This Row],[Project Index]], ProjectInput[], M$1, FALSE)</f>
        <v>0</v>
      </c>
      <c r="L131" s="97">
        <f>VLOOKUP(ReviewCalcs[[#This Row],[Project Index]], ProjectInput[], N$1, FALSE)</f>
        <v>0</v>
      </c>
      <c r="M131" s="98" t="str">
        <f>VLOOKUP(ReviewCalcs[[#This Row],[Project Index]], ProjectInput[], O$1, FALSE)</f>
        <v/>
      </c>
      <c r="N131" s="96">
        <f>VLOOKUP(ReviewCalcs[[#This Row],[Project Index]], ProjectInput[], P$1, FALSE)</f>
        <v>0</v>
      </c>
      <c r="O131" s="97">
        <f>VLOOKUP(ReviewCalcs[[#This Row],[Project Index]], ProjectInput[], Q$1, FALSE)</f>
        <v>0</v>
      </c>
      <c r="P131" s="97">
        <f>VLOOKUP(ReviewCalcs[[#This Row],[Project Index]], ProjectInput[], R$1, FALSE)</f>
        <v>0</v>
      </c>
      <c r="Q131" s="97">
        <f>VLOOKUP(ReviewCalcs[[#This Row],[Project Index]], ProjectInput[], S$1, FALSE)</f>
        <v>0</v>
      </c>
      <c r="R131" s="97">
        <f>VLOOKUP(ReviewCalcs[[#This Row],[Project Index]], ProjectInput[], T$1, FALSE)</f>
        <v>0</v>
      </c>
      <c r="S131" s="97">
        <f>VLOOKUP(ReviewCalcs[[#This Row],[Project Index]], ProjectInput[], U$1, FALSE)</f>
        <v>0</v>
      </c>
      <c r="T131" s="97">
        <f>VLOOKUP(ReviewCalcs[[#This Row],[Project Index]], ProjectInput[], V$1, FALSE)</f>
        <v>0</v>
      </c>
      <c r="U131" s="97">
        <f>VLOOKUP(ReviewCalcs[[#This Row],[Project Index]], ProjectInput[], W$1, FALSE)</f>
        <v>0</v>
      </c>
      <c r="V131" s="98" t="str">
        <f>VLOOKUP(ReviewCalcs[[#This Row],[Project Index]], ProjectInput[], X$1, FALSE)</f>
        <v/>
      </c>
      <c r="W1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1" s="75" t="e">
        <f>IF(VLOOKUP(ReviewCalcs[[#This Row],[Proposed Fixture Code]], Table7[[FIXTURE CODE]:[Baseline Fixture Code]], 8, FALSE)="N", "ERROR", "PASS")</f>
        <v>#N/A</v>
      </c>
      <c r="Y1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1" s="75" t="e">
        <f>IF(OR(ReviewCalcs[[#This Row],[Baseline Fixture Watts]]&gt;=ReviewCalcs[[#This Row],[Proposed Fixture Watts]],ReviewCalcs[[#This Row],[Existing Fixture Watts]]&gt;=ReviewCalcs[[#This Row],[Proposed Fixture Watts]] ), "PASS", "ERROR")</f>
        <v>#N/A</v>
      </c>
      <c r="AA131" s="69" t="e">
        <f>VLOOKUP(ReviewCalcs[[#This Row],[Space Conditions]], Table_365[], 5, FALSE)</f>
        <v>#N/A</v>
      </c>
      <c r="AB131" s="68" t="str">
        <f>ReviewCalcs[[#This Row],[Annual Hours]]</f>
        <v/>
      </c>
      <c r="AC131" s="68" t="e">
        <f>VLOOKUP(ReviewCalcs[[#This Row],[Space Conditions]], Table_365[], 6, FALSE)</f>
        <v>#N/A</v>
      </c>
      <c r="AD131" s="68">
        <f>IF(ReviewCalcs[[#This Row],[Existing Control(s)]]='Tables &amp; Ranges'!$A$25, VLOOKUP(ReviewCalcs[[#This Row],[Building/Space Type]], Table_364[], 3, FALSE), CF_Contols)</f>
        <v>0.26</v>
      </c>
      <c r="AE131" s="68" t="e">
        <f>VLOOKUP(ReviewCalcs[[#This Row],[Existing Control(s)]], Table_358[], 2, FALSE)</f>
        <v>#N/A</v>
      </c>
      <c r="AF131" s="68">
        <f>IF(ReviewCalcs[[#This Row],[Proposed Control(s)]]='Tables &amp; Ranges'!$A$25, VLOOKUP(ReviewCalcs[[#This Row],[Building/Space Type]], Table_364[], 3, FALSE), CF_Contols)</f>
        <v>0.26</v>
      </c>
      <c r="AG131" s="68" t="e">
        <f>VLOOKUP(ReviewCalcs[[#This Row],[Proposed Control(s)]], Table_358[], 2, FALSE)</f>
        <v>#N/A</v>
      </c>
      <c r="AH131" s="68">
        <f>IFERROR((ReviewCalcs[[#This Row],[Existing Fixture Quantity]]*ReviewCalcs[[#This Row],[Existing Fixture Watts]]/1000)*ReviewCalcs[[#This Row],[Existing CF]]*ReviewCalcs[[#This Row],[IEFD]], 0)</f>
        <v>0</v>
      </c>
      <c r="AI131" s="68">
        <f>IFERROR((ReviewCalcs[[#This Row],[Proposed Fixture Quantity]]*ReviewCalcs[[#This Row],[Proposed Fixture Watts]]/1000)*ReviewCalcs[[#This Row],[Existing CF]]*ReviewCalcs[[#This Row],[IEFD]], 0)</f>
        <v>0</v>
      </c>
      <c r="AJ131" s="118">
        <f>IFERROR((ReviewCalcs[[#This Row],[Existing Fixture Quantity]]*ReviewCalcs[[#This Row],[Existing Fixture Watts]]/1000-ReviewCalcs[[#This Row],[Proposed Fixture Quantity]]*ReviewCalcs[[#This Row],[Proposed Fixture Watts]]/1000)*ReviewCalcs[[#This Row],[Existing CF]]*ReviewCalcs[[#This Row],[IEFD]], 0)</f>
        <v>0</v>
      </c>
      <c r="AK131" s="118">
        <f>IFERROR((ReviewCalcs[[#This Row],[Existing Fixture Quantity]]*ReviewCalcs[[#This Row],[Existing Fixture Watts]]/1000)*ReviewCalcs[[#This Row],[AOH]]*ReviewCalcs[[#This Row],[IEFE]]*ReviewCalcs[[#This Row],[Existing PAF]], 0)</f>
        <v>0</v>
      </c>
      <c r="AL131" s="118">
        <f>IFERROR((ReviewCalcs[[#This Row],[Proposed Fixture Quantity]]*ReviewCalcs[[#This Row],[Proposed Fixture Watts]]/1000)*ReviewCalcs[[#This Row],[AOH]]*ReviewCalcs[[#This Row],[IEFE]]*ReviewCalcs[[#This Row],[Existing PAF]], 0)</f>
        <v>0</v>
      </c>
      <c r="AM1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1" s="118">
        <f>ReviewCalcs[[#This Row],[Fixture Existing Energy (kWh)]]*Avg_KWh_Rate</f>
        <v>0</v>
      </c>
      <c r="AO131" s="118">
        <f>ReviewCalcs[[#This Row],[Fixture Proposed Energy (kWh)]]*Avg_KWh_Rate</f>
        <v>0</v>
      </c>
      <c r="AP131" s="70">
        <f>ReviewCalcs[[#This Row],[Fixture Energy Savings]]*Avg_KWh_Rate</f>
        <v>0</v>
      </c>
      <c r="AQ131" s="129" t="e">
        <f>ReviewCalcs[[#This Row],[Existing Fixture Quantity]]*ReviewCalcs[[#This Row],[Existing Fixture Watts]]/1000*ReviewCalcs[[#This Row],[Existing CF]]*ReviewCalcs[[#This Row],[IEFD]]</f>
        <v>#VALUE!</v>
      </c>
      <c r="AR131" s="129" t="e">
        <f>ReviewCalcs[[#This Row],[Proposed Fixture Quantity]]*ReviewCalcs[[#This Row],[Proposed Fixture Watts]]/1000*ReviewCalcs[[#This Row],[Proposed CF]]*ReviewCalcs[[#This Row],[IEFD]]</f>
        <v>#VALUE!</v>
      </c>
      <c r="AS131" s="118">
        <f>IF(ReviewCalcs[[#This Row],[Existing CF]]=ReviewCalcs[[#This Row],[Proposed CF]], 0, ReviewCalcs[[#This Row],[Proposed Fixture Quantity]]*ReviewCalcs[[#This Row],[Proposed Fixture Watts]]/1000*ReviewCalcs[[#This Row],[Proposed CF]]*ReviewCalcs[[#This Row],[IEFD]])</f>
        <v>0</v>
      </c>
      <c r="AT131" s="118">
        <f>IFERROR(ReviewCalcs[[#This Row],[Existing Fixture Quantity]]*ReviewCalcs[[#This Row],[Existing Fixture Watts]]/1000*ReviewCalcs[[#This Row],[Existing PAF]]*ReviewCalcs[[#This Row],[AOH]]*ReviewCalcs[[#This Row],[IEFE]], 0)</f>
        <v>0</v>
      </c>
      <c r="AU131" s="118">
        <f>IFERROR(ReviewCalcs[[#This Row],[Proposed Fixture Quantity]]*ReviewCalcs[[#This Row],[Proposed Fixture Watts]]/1000*ReviewCalcs[[#This Row],[Proposed PAF]]*ReviewCalcs[[#This Row],[AOH]]*ReviewCalcs[[#This Row],[IEFE]], 0)</f>
        <v>0</v>
      </c>
      <c r="AV131" s="118">
        <f>IFERROR(ReviewCalcs[[#This Row],[Proposed Fixture Quantity]]*ReviewCalcs[[#This Row],[Proposed Fixture Watts]]/1000*(ReviewCalcs[[#This Row],[Existing PAF]]-ReviewCalcs[[#This Row],[Proposed PAF]])*ReviewCalcs[[#This Row],[AOH]]*ReviewCalcs[[#This Row],[IEFE]], 0)</f>
        <v>0</v>
      </c>
      <c r="AW131" s="118">
        <f>ReviewCalcs[[#This Row],[Control Existing Energy (kWh)]]*kWh_Incentive_Rate</f>
        <v>0</v>
      </c>
      <c r="AX131" s="118">
        <f>ReviewCalcs[[#This Row],[Control Proposed Energy (kWh)]]*kWh_Incentive_Rate</f>
        <v>0</v>
      </c>
      <c r="AY131" s="70">
        <f>ReviewCalcs[[#This Row],[Control Energy Savings (kWh)]]*kWh_Incentive_Rate</f>
        <v>0</v>
      </c>
      <c r="AZ131" s="70" t="e">
        <f>ReviewCalcs[[#This Row],[Fixture Existing Demand (kW)]]+ReviewCalcs[[#This Row],[Control Existing Demand (kW)]]</f>
        <v>#VALUE!</v>
      </c>
      <c r="BA131" s="70" t="e">
        <f>ReviewCalcs[[#This Row],[Fixture Proposed Demand (kW)]]+ReviewCalcs[[#This Row],[Control Proposed Demand (kW)]]</f>
        <v>#VALUE!</v>
      </c>
      <c r="BB131" s="118">
        <f>ReviewCalcs[[#This Row],[Fixture Demand Savings (kW)]]+ReviewCalcs[[#This Row],[Control Demand Savings (kW)]]</f>
        <v>0</v>
      </c>
      <c r="BC131" s="118">
        <f>ReviewCalcs[[#This Row],[Fixture Existing Energy (kWh)]]+ReviewCalcs[[#This Row],[Control Existing Energy (kWh)]]</f>
        <v>0</v>
      </c>
      <c r="BD131" s="118">
        <f>ReviewCalcs[[#This Row],[Fixture Proposed Energy (kWh)]]+ReviewCalcs[[#This Row],[Control Proposed Energy (kWh)]]</f>
        <v>0</v>
      </c>
      <c r="BE131" s="118">
        <f>ReviewCalcs[[#This Row],[Fixture Energy Savings]]+ReviewCalcs[[#This Row],[Control Energy Savings (kWh)]]</f>
        <v>0</v>
      </c>
      <c r="BF131" s="118">
        <f>ReviewCalcs[[#This Row],[Fixture Existing Cost ($)]]+ReviewCalcs[[#This Row],[Control Existing Cost ($)]]</f>
        <v>0</v>
      </c>
      <c r="BG131" s="118">
        <f>ReviewCalcs[[#This Row],[Fixture Proposed Cost ($)]]+ReviewCalcs[[#This Row],[Controls Proposed Cost ($)]]</f>
        <v>0</v>
      </c>
      <c r="BH131" s="70">
        <f>ReviewCalcs[[#This Row],[Total Energy Savings (kWh)]]*Avg_KWh_Rate</f>
        <v>0</v>
      </c>
      <c r="BI1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1" s="70">
        <f>ReviewCalcs[[#This Row],[Retrofit Cost]]</f>
        <v>0</v>
      </c>
      <c r="BK131" s="70">
        <f>ReviewCalcs[[#This Row],[Retrofit Cost]]-ReviewCalcs[[#This Row],[Incentive ($)]]</f>
        <v>0</v>
      </c>
      <c r="BL131" s="118" t="e">
        <f>IFERROR(ReviewCalcs[[#This Row],[Net Project Cost ($)]]/ReviewCalcs[[#This Row],[Fixture Energy Cost Savings ($)]], #N/A)</f>
        <v>#N/A</v>
      </c>
      <c r="BM131" s="118" t="e">
        <f>IF(VLOOKUP(ReviewCalcs[[#This Row],[Existing Fixture Code]], Table7[[FIXTURE CODE]:[Baseline Fixture Code]], 8, FALSE)="N", VLOOKUP(ReviewCalcs[[#This Row],[Existing Fixture Code]], Table7[[FIXTURE CODE]:[Baseline Fixture Code]], 9, FALSE), ReviewCalcs[[#This Row],[Existing Fixture Code]])</f>
        <v>#N/A</v>
      </c>
      <c r="BN131" s="118" t="e">
        <f>INDEX(Table7[WATT/ FIXT], MATCH(ReviewCalcs[Baseline Fixture Code], Table7[FIXTURE CODE], 0))</f>
        <v>#N/A</v>
      </c>
      <c r="BO131" s="118">
        <f>IFERROR((ReviewCalcs[[#This Row],[Existing Fixture Quantity]]*ReviewCalcs[[#This Row],[Baseline Fixture Watts]]/1000-ReviewCalcs[[#This Row],[Proposed Fixture Quantity]]*ReviewCalcs[[#This Row],[Proposed Fixture Watts]]/1000)*ReviewCalcs[[#This Row],[Existing CF]]*ReviewCalcs[[#This Row],[IEFD]], 0)</f>
        <v>0</v>
      </c>
      <c r="BP1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1" s="118">
        <f>IF(ReviewCalcs[[#This Row],[Existing CF]]=ReviewCalcs[[#This Row],[Proposed CF]], 0, ReviewCalcs[[#This Row],[Proposed Fixture Quantity]]*ReviewCalcs[[#This Row],[Proposed Fixture Watts]]/1000*ReviewCalcs[[#This Row],[Proposed CF]]*ReviewCalcs[[#This Row],[IEFD]])</f>
        <v>0</v>
      </c>
      <c r="BR131" s="118">
        <f>IFERROR(ReviewCalcs[[#This Row],[Proposed Fixture Quantity]]*ReviewCalcs[[#This Row],[Proposed Fixture Watts]]/1000*(ReviewCalcs[[#This Row],[Existing PAF]]-ReviewCalcs[[#This Row],[Proposed PAF]])*ReviewCalcs[[#This Row],[AOH]]*ReviewCalcs[[#This Row],[IEFE]],0)</f>
        <v>0</v>
      </c>
      <c r="BS131" s="118">
        <f>ReviewCalcs[[#This Row],[Incentive Fixture Demand Savings (kW)]]+ReviewCalcs[[#This Row],[Incentive Control Demand Savings (kW)]]</f>
        <v>0</v>
      </c>
      <c r="BT131" s="118">
        <f>ReviewCalcs[[#This Row],[Incentive Fixture Energy Savings (kWh)]]+ReviewCalcs[[#This Row],[Incentive Control Energy Savings (kWh)]]</f>
        <v>0</v>
      </c>
      <c r="BU131" s="73"/>
    </row>
    <row r="132" spans="1:73" ht="30" customHeight="1">
      <c r="A132" s="68">
        <v>129</v>
      </c>
      <c r="B132" s="96">
        <f>VLOOKUP(ReviewCalcs[[#This Row],[Project Index]], ProjectInput[], D$1, FALSE)</f>
        <v>0</v>
      </c>
      <c r="C132" s="97">
        <f>VLOOKUP(ReviewCalcs[[#This Row],[Project Index]], ProjectInput[], E$1, FALSE)</f>
        <v>0</v>
      </c>
      <c r="D132" s="97">
        <f>VLOOKUP(ReviewCalcs[[#This Row],[Project Index]], ProjectInput[], F$1, FALSE)</f>
        <v>0</v>
      </c>
      <c r="E132" s="97">
        <f>VLOOKUP(ReviewCalcs[[#This Row],[Project Index]], ProjectInput[], G$1, FALSE)</f>
        <v>0</v>
      </c>
      <c r="F132" s="97">
        <f>VLOOKUP(ReviewCalcs[[#This Row],[Project Index]], ProjectInput[], H$1, FALSE)</f>
        <v>0</v>
      </c>
      <c r="G132" s="98" t="str">
        <f>VLOOKUP(ReviewCalcs[[#This Row],[Project Index]], ProjectInput[], I$1, FALSE)</f>
        <v/>
      </c>
      <c r="H132" s="96">
        <f>VLOOKUP(ReviewCalcs[[#This Row],[Project Index]], ProjectInput[], J$1, FALSE)</f>
        <v>0</v>
      </c>
      <c r="I132" s="97">
        <f>VLOOKUP(ReviewCalcs[[#This Row],[Project Index]], ProjectInput[], K$1, FALSE)</f>
        <v>0</v>
      </c>
      <c r="J132" s="97">
        <f>VLOOKUP(ReviewCalcs[[#This Row],[Project Index]], ProjectInput[], L$1, FALSE)</f>
        <v>0</v>
      </c>
      <c r="K132" s="97">
        <f>VLOOKUP(ReviewCalcs[[#This Row],[Project Index]], ProjectInput[], M$1, FALSE)</f>
        <v>0</v>
      </c>
      <c r="L132" s="97">
        <f>VLOOKUP(ReviewCalcs[[#This Row],[Project Index]], ProjectInput[], N$1, FALSE)</f>
        <v>0</v>
      </c>
      <c r="M132" s="98" t="str">
        <f>VLOOKUP(ReviewCalcs[[#This Row],[Project Index]], ProjectInput[], O$1, FALSE)</f>
        <v/>
      </c>
      <c r="N132" s="96">
        <f>VLOOKUP(ReviewCalcs[[#This Row],[Project Index]], ProjectInput[], P$1, FALSE)</f>
        <v>0</v>
      </c>
      <c r="O132" s="97">
        <f>VLOOKUP(ReviewCalcs[[#This Row],[Project Index]], ProjectInput[], Q$1, FALSE)</f>
        <v>0</v>
      </c>
      <c r="P132" s="97">
        <f>VLOOKUP(ReviewCalcs[[#This Row],[Project Index]], ProjectInput[], R$1, FALSE)</f>
        <v>0</v>
      </c>
      <c r="Q132" s="97">
        <f>VLOOKUP(ReviewCalcs[[#This Row],[Project Index]], ProjectInput[], S$1, FALSE)</f>
        <v>0</v>
      </c>
      <c r="R132" s="97">
        <f>VLOOKUP(ReviewCalcs[[#This Row],[Project Index]], ProjectInput[], T$1, FALSE)</f>
        <v>0</v>
      </c>
      <c r="S132" s="97">
        <f>VLOOKUP(ReviewCalcs[[#This Row],[Project Index]], ProjectInput[], U$1, FALSE)</f>
        <v>0</v>
      </c>
      <c r="T132" s="97">
        <f>VLOOKUP(ReviewCalcs[[#This Row],[Project Index]], ProjectInput[], V$1, FALSE)</f>
        <v>0</v>
      </c>
      <c r="U132" s="97">
        <f>VLOOKUP(ReviewCalcs[[#This Row],[Project Index]], ProjectInput[], W$1, FALSE)</f>
        <v>0</v>
      </c>
      <c r="V132" s="98" t="str">
        <f>VLOOKUP(ReviewCalcs[[#This Row],[Project Index]], ProjectInput[], X$1, FALSE)</f>
        <v/>
      </c>
      <c r="W1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2" s="75" t="e">
        <f>IF(VLOOKUP(ReviewCalcs[[#This Row],[Proposed Fixture Code]], Table7[[FIXTURE CODE]:[Baseline Fixture Code]], 8, FALSE)="N", "ERROR", "PASS")</f>
        <v>#N/A</v>
      </c>
      <c r="Y1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2" s="75" t="e">
        <f>IF(OR(ReviewCalcs[[#This Row],[Baseline Fixture Watts]]&gt;=ReviewCalcs[[#This Row],[Proposed Fixture Watts]],ReviewCalcs[[#This Row],[Existing Fixture Watts]]&gt;=ReviewCalcs[[#This Row],[Proposed Fixture Watts]] ), "PASS", "ERROR")</f>
        <v>#N/A</v>
      </c>
      <c r="AA132" s="69" t="e">
        <f>VLOOKUP(ReviewCalcs[[#This Row],[Space Conditions]], Table_365[], 5, FALSE)</f>
        <v>#N/A</v>
      </c>
      <c r="AB132" s="68" t="str">
        <f>ReviewCalcs[[#This Row],[Annual Hours]]</f>
        <v/>
      </c>
      <c r="AC132" s="68" t="e">
        <f>VLOOKUP(ReviewCalcs[[#This Row],[Space Conditions]], Table_365[], 6, FALSE)</f>
        <v>#N/A</v>
      </c>
      <c r="AD132" s="68">
        <f>IF(ReviewCalcs[[#This Row],[Existing Control(s)]]='Tables &amp; Ranges'!$A$25, VLOOKUP(ReviewCalcs[[#This Row],[Building/Space Type]], Table_364[], 3, FALSE), CF_Contols)</f>
        <v>0.26</v>
      </c>
      <c r="AE132" s="68" t="e">
        <f>VLOOKUP(ReviewCalcs[[#This Row],[Existing Control(s)]], Table_358[], 2, FALSE)</f>
        <v>#N/A</v>
      </c>
      <c r="AF132" s="68">
        <f>IF(ReviewCalcs[[#This Row],[Proposed Control(s)]]='Tables &amp; Ranges'!$A$25, VLOOKUP(ReviewCalcs[[#This Row],[Building/Space Type]], Table_364[], 3, FALSE), CF_Contols)</f>
        <v>0.26</v>
      </c>
      <c r="AG132" s="68" t="e">
        <f>VLOOKUP(ReviewCalcs[[#This Row],[Proposed Control(s)]], Table_358[], 2, FALSE)</f>
        <v>#N/A</v>
      </c>
      <c r="AH132" s="68">
        <f>IFERROR((ReviewCalcs[[#This Row],[Existing Fixture Quantity]]*ReviewCalcs[[#This Row],[Existing Fixture Watts]]/1000)*ReviewCalcs[[#This Row],[Existing CF]]*ReviewCalcs[[#This Row],[IEFD]], 0)</f>
        <v>0</v>
      </c>
      <c r="AI132" s="68">
        <f>IFERROR((ReviewCalcs[[#This Row],[Proposed Fixture Quantity]]*ReviewCalcs[[#This Row],[Proposed Fixture Watts]]/1000)*ReviewCalcs[[#This Row],[Existing CF]]*ReviewCalcs[[#This Row],[IEFD]], 0)</f>
        <v>0</v>
      </c>
      <c r="AJ132" s="118">
        <f>IFERROR((ReviewCalcs[[#This Row],[Existing Fixture Quantity]]*ReviewCalcs[[#This Row],[Existing Fixture Watts]]/1000-ReviewCalcs[[#This Row],[Proposed Fixture Quantity]]*ReviewCalcs[[#This Row],[Proposed Fixture Watts]]/1000)*ReviewCalcs[[#This Row],[Existing CF]]*ReviewCalcs[[#This Row],[IEFD]], 0)</f>
        <v>0</v>
      </c>
      <c r="AK132" s="118">
        <f>IFERROR((ReviewCalcs[[#This Row],[Existing Fixture Quantity]]*ReviewCalcs[[#This Row],[Existing Fixture Watts]]/1000)*ReviewCalcs[[#This Row],[AOH]]*ReviewCalcs[[#This Row],[IEFE]]*ReviewCalcs[[#This Row],[Existing PAF]], 0)</f>
        <v>0</v>
      </c>
      <c r="AL132" s="118">
        <f>IFERROR((ReviewCalcs[[#This Row],[Proposed Fixture Quantity]]*ReviewCalcs[[#This Row],[Proposed Fixture Watts]]/1000)*ReviewCalcs[[#This Row],[AOH]]*ReviewCalcs[[#This Row],[IEFE]]*ReviewCalcs[[#This Row],[Existing PAF]], 0)</f>
        <v>0</v>
      </c>
      <c r="AM1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2" s="118">
        <f>ReviewCalcs[[#This Row],[Fixture Existing Energy (kWh)]]*Avg_KWh_Rate</f>
        <v>0</v>
      </c>
      <c r="AO132" s="118">
        <f>ReviewCalcs[[#This Row],[Fixture Proposed Energy (kWh)]]*Avg_KWh_Rate</f>
        <v>0</v>
      </c>
      <c r="AP132" s="70">
        <f>ReviewCalcs[[#This Row],[Fixture Energy Savings]]*Avg_KWh_Rate</f>
        <v>0</v>
      </c>
      <c r="AQ132" s="129" t="e">
        <f>ReviewCalcs[[#This Row],[Existing Fixture Quantity]]*ReviewCalcs[[#This Row],[Existing Fixture Watts]]/1000*ReviewCalcs[[#This Row],[Existing CF]]*ReviewCalcs[[#This Row],[IEFD]]</f>
        <v>#VALUE!</v>
      </c>
      <c r="AR132" s="129" t="e">
        <f>ReviewCalcs[[#This Row],[Proposed Fixture Quantity]]*ReviewCalcs[[#This Row],[Proposed Fixture Watts]]/1000*ReviewCalcs[[#This Row],[Proposed CF]]*ReviewCalcs[[#This Row],[IEFD]]</f>
        <v>#VALUE!</v>
      </c>
      <c r="AS132" s="118">
        <f>IF(ReviewCalcs[[#This Row],[Existing CF]]=ReviewCalcs[[#This Row],[Proposed CF]], 0, ReviewCalcs[[#This Row],[Proposed Fixture Quantity]]*ReviewCalcs[[#This Row],[Proposed Fixture Watts]]/1000*ReviewCalcs[[#This Row],[Proposed CF]]*ReviewCalcs[[#This Row],[IEFD]])</f>
        <v>0</v>
      </c>
      <c r="AT132" s="118">
        <f>IFERROR(ReviewCalcs[[#This Row],[Existing Fixture Quantity]]*ReviewCalcs[[#This Row],[Existing Fixture Watts]]/1000*ReviewCalcs[[#This Row],[Existing PAF]]*ReviewCalcs[[#This Row],[AOH]]*ReviewCalcs[[#This Row],[IEFE]], 0)</f>
        <v>0</v>
      </c>
      <c r="AU132" s="118">
        <f>IFERROR(ReviewCalcs[[#This Row],[Proposed Fixture Quantity]]*ReviewCalcs[[#This Row],[Proposed Fixture Watts]]/1000*ReviewCalcs[[#This Row],[Proposed PAF]]*ReviewCalcs[[#This Row],[AOH]]*ReviewCalcs[[#This Row],[IEFE]], 0)</f>
        <v>0</v>
      </c>
      <c r="AV132" s="118">
        <f>IFERROR(ReviewCalcs[[#This Row],[Proposed Fixture Quantity]]*ReviewCalcs[[#This Row],[Proposed Fixture Watts]]/1000*(ReviewCalcs[[#This Row],[Existing PAF]]-ReviewCalcs[[#This Row],[Proposed PAF]])*ReviewCalcs[[#This Row],[AOH]]*ReviewCalcs[[#This Row],[IEFE]], 0)</f>
        <v>0</v>
      </c>
      <c r="AW132" s="118">
        <f>ReviewCalcs[[#This Row],[Control Existing Energy (kWh)]]*kWh_Incentive_Rate</f>
        <v>0</v>
      </c>
      <c r="AX132" s="118">
        <f>ReviewCalcs[[#This Row],[Control Proposed Energy (kWh)]]*kWh_Incentive_Rate</f>
        <v>0</v>
      </c>
      <c r="AY132" s="70">
        <f>ReviewCalcs[[#This Row],[Control Energy Savings (kWh)]]*kWh_Incentive_Rate</f>
        <v>0</v>
      </c>
      <c r="AZ132" s="70" t="e">
        <f>ReviewCalcs[[#This Row],[Fixture Existing Demand (kW)]]+ReviewCalcs[[#This Row],[Control Existing Demand (kW)]]</f>
        <v>#VALUE!</v>
      </c>
      <c r="BA132" s="70" t="e">
        <f>ReviewCalcs[[#This Row],[Fixture Proposed Demand (kW)]]+ReviewCalcs[[#This Row],[Control Proposed Demand (kW)]]</f>
        <v>#VALUE!</v>
      </c>
      <c r="BB132" s="118">
        <f>ReviewCalcs[[#This Row],[Fixture Demand Savings (kW)]]+ReviewCalcs[[#This Row],[Control Demand Savings (kW)]]</f>
        <v>0</v>
      </c>
      <c r="BC132" s="118">
        <f>ReviewCalcs[[#This Row],[Fixture Existing Energy (kWh)]]+ReviewCalcs[[#This Row],[Control Existing Energy (kWh)]]</f>
        <v>0</v>
      </c>
      <c r="BD132" s="118">
        <f>ReviewCalcs[[#This Row],[Fixture Proposed Energy (kWh)]]+ReviewCalcs[[#This Row],[Control Proposed Energy (kWh)]]</f>
        <v>0</v>
      </c>
      <c r="BE132" s="118">
        <f>ReviewCalcs[[#This Row],[Fixture Energy Savings]]+ReviewCalcs[[#This Row],[Control Energy Savings (kWh)]]</f>
        <v>0</v>
      </c>
      <c r="BF132" s="118">
        <f>ReviewCalcs[[#This Row],[Fixture Existing Cost ($)]]+ReviewCalcs[[#This Row],[Control Existing Cost ($)]]</f>
        <v>0</v>
      </c>
      <c r="BG132" s="118">
        <f>ReviewCalcs[[#This Row],[Fixture Proposed Cost ($)]]+ReviewCalcs[[#This Row],[Controls Proposed Cost ($)]]</f>
        <v>0</v>
      </c>
      <c r="BH132" s="70">
        <f>ReviewCalcs[[#This Row],[Total Energy Savings (kWh)]]*Avg_KWh_Rate</f>
        <v>0</v>
      </c>
      <c r="BI1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2" s="70">
        <f>ReviewCalcs[[#This Row],[Retrofit Cost]]</f>
        <v>0</v>
      </c>
      <c r="BK132" s="70">
        <f>ReviewCalcs[[#This Row],[Retrofit Cost]]-ReviewCalcs[[#This Row],[Incentive ($)]]</f>
        <v>0</v>
      </c>
      <c r="BL132" s="118" t="e">
        <f>IFERROR(ReviewCalcs[[#This Row],[Net Project Cost ($)]]/ReviewCalcs[[#This Row],[Fixture Energy Cost Savings ($)]], #N/A)</f>
        <v>#N/A</v>
      </c>
      <c r="BM132" s="118" t="e">
        <f>IF(VLOOKUP(ReviewCalcs[[#This Row],[Existing Fixture Code]], Table7[[FIXTURE CODE]:[Baseline Fixture Code]], 8, FALSE)="N", VLOOKUP(ReviewCalcs[[#This Row],[Existing Fixture Code]], Table7[[FIXTURE CODE]:[Baseline Fixture Code]], 9, FALSE), ReviewCalcs[[#This Row],[Existing Fixture Code]])</f>
        <v>#N/A</v>
      </c>
      <c r="BN132" s="118" t="e">
        <f>INDEX(Table7[WATT/ FIXT], MATCH(ReviewCalcs[Baseline Fixture Code], Table7[FIXTURE CODE], 0))</f>
        <v>#N/A</v>
      </c>
      <c r="BO132" s="118">
        <f>IFERROR((ReviewCalcs[[#This Row],[Existing Fixture Quantity]]*ReviewCalcs[[#This Row],[Baseline Fixture Watts]]/1000-ReviewCalcs[[#This Row],[Proposed Fixture Quantity]]*ReviewCalcs[[#This Row],[Proposed Fixture Watts]]/1000)*ReviewCalcs[[#This Row],[Existing CF]]*ReviewCalcs[[#This Row],[IEFD]], 0)</f>
        <v>0</v>
      </c>
      <c r="BP1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2" s="118">
        <f>IF(ReviewCalcs[[#This Row],[Existing CF]]=ReviewCalcs[[#This Row],[Proposed CF]], 0, ReviewCalcs[[#This Row],[Proposed Fixture Quantity]]*ReviewCalcs[[#This Row],[Proposed Fixture Watts]]/1000*ReviewCalcs[[#This Row],[Proposed CF]]*ReviewCalcs[[#This Row],[IEFD]])</f>
        <v>0</v>
      </c>
      <c r="BR132" s="118">
        <f>IFERROR(ReviewCalcs[[#This Row],[Proposed Fixture Quantity]]*ReviewCalcs[[#This Row],[Proposed Fixture Watts]]/1000*(ReviewCalcs[[#This Row],[Existing PAF]]-ReviewCalcs[[#This Row],[Proposed PAF]])*ReviewCalcs[[#This Row],[AOH]]*ReviewCalcs[[#This Row],[IEFE]],0)</f>
        <v>0</v>
      </c>
      <c r="BS132" s="118">
        <f>ReviewCalcs[[#This Row],[Incentive Fixture Demand Savings (kW)]]+ReviewCalcs[[#This Row],[Incentive Control Demand Savings (kW)]]</f>
        <v>0</v>
      </c>
      <c r="BT132" s="118">
        <f>ReviewCalcs[[#This Row],[Incentive Fixture Energy Savings (kWh)]]+ReviewCalcs[[#This Row],[Incentive Control Energy Savings (kWh)]]</f>
        <v>0</v>
      </c>
      <c r="BU132" s="73"/>
    </row>
    <row r="133" spans="1:73" ht="30" customHeight="1">
      <c r="A133" s="68">
        <v>130</v>
      </c>
      <c r="B133" s="96">
        <f>VLOOKUP(ReviewCalcs[[#This Row],[Project Index]], ProjectInput[], D$1, FALSE)</f>
        <v>0</v>
      </c>
      <c r="C133" s="97">
        <f>VLOOKUP(ReviewCalcs[[#This Row],[Project Index]], ProjectInput[], E$1, FALSE)</f>
        <v>0</v>
      </c>
      <c r="D133" s="97">
        <f>VLOOKUP(ReviewCalcs[[#This Row],[Project Index]], ProjectInput[], F$1, FALSE)</f>
        <v>0</v>
      </c>
      <c r="E133" s="97">
        <f>VLOOKUP(ReviewCalcs[[#This Row],[Project Index]], ProjectInput[], G$1, FALSE)</f>
        <v>0</v>
      </c>
      <c r="F133" s="97">
        <f>VLOOKUP(ReviewCalcs[[#This Row],[Project Index]], ProjectInput[], H$1, FALSE)</f>
        <v>0</v>
      </c>
      <c r="G133" s="98" t="str">
        <f>VLOOKUP(ReviewCalcs[[#This Row],[Project Index]], ProjectInput[], I$1, FALSE)</f>
        <v/>
      </c>
      <c r="H133" s="96">
        <f>VLOOKUP(ReviewCalcs[[#This Row],[Project Index]], ProjectInput[], J$1, FALSE)</f>
        <v>0</v>
      </c>
      <c r="I133" s="97">
        <f>VLOOKUP(ReviewCalcs[[#This Row],[Project Index]], ProjectInput[], K$1, FALSE)</f>
        <v>0</v>
      </c>
      <c r="J133" s="97">
        <f>VLOOKUP(ReviewCalcs[[#This Row],[Project Index]], ProjectInput[], L$1, FALSE)</f>
        <v>0</v>
      </c>
      <c r="K133" s="97">
        <f>VLOOKUP(ReviewCalcs[[#This Row],[Project Index]], ProjectInput[], M$1, FALSE)</f>
        <v>0</v>
      </c>
      <c r="L133" s="97">
        <f>VLOOKUP(ReviewCalcs[[#This Row],[Project Index]], ProjectInput[], N$1, FALSE)</f>
        <v>0</v>
      </c>
      <c r="M133" s="98" t="str">
        <f>VLOOKUP(ReviewCalcs[[#This Row],[Project Index]], ProjectInput[], O$1, FALSE)</f>
        <v/>
      </c>
      <c r="N133" s="96">
        <f>VLOOKUP(ReviewCalcs[[#This Row],[Project Index]], ProjectInput[], P$1, FALSE)</f>
        <v>0</v>
      </c>
      <c r="O133" s="97">
        <f>VLOOKUP(ReviewCalcs[[#This Row],[Project Index]], ProjectInput[], Q$1, FALSE)</f>
        <v>0</v>
      </c>
      <c r="P133" s="97">
        <f>VLOOKUP(ReviewCalcs[[#This Row],[Project Index]], ProjectInput[], R$1, FALSE)</f>
        <v>0</v>
      </c>
      <c r="Q133" s="97">
        <f>VLOOKUP(ReviewCalcs[[#This Row],[Project Index]], ProjectInput[], S$1, FALSE)</f>
        <v>0</v>
      </c>
      <c r="R133" s="97">
        <f>VLOOKUP(ReviewCalcs[[#This Row],[Project Index]], ProjectInput[], T$1, FALSE)</f>
        <v>0</v>
      </c>
      <c r="S133" s="97">
        <f>VLOOKUP(ReviewCalcs[[#This Row],[Project Index]], ProjectInput[], U$1, FALSE)</f>
        <v>0</v>
      </c>
      <c r="T133" s="97">
        <f>VLOOKUP(ReviewCalcs[[#This Row],[Project Index]], ProjectInput[], V$1, FALSE)</f>
        <v>0</v>
      </c>
      <c r="U133" s="97">
        <f>VLOOKUP(ReviewCalcs[[#This Row],[Project Index]], ProjectInput[], W$1, FALSE)</f>
        <v>0</v>
      </c>
      <c r="V133" s="98" t="str">
        <f>VLOOKUP(ReviewCalcs[[#This Row],[Project Index]], ProjectInput[], X$1, FALSE)</f>
        <v/>
      </c>
      <c r="W1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3" s="75" t="e">
        <f>IF(VLOOKUP(ReviewCalcs[[#This Row],[Proposed Fixture Code]], Table7[[FIXTURE CODE]:[Baseline Fixture Code]], 8, FALSE)="N", "ERROR", "PASS")</f>
        <v>#N/A</v>
      </c>
      <c r="Y1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3" s="75" t="e">
        <f>IF(OR(ReviewCalcs[[#This Row],[Baseline Fixture Watts]]&gt;=ReviewCalcs[[#This Row],[Proposed Fixture Watts]],ReviewCalcs[[#This Row],[Existing Fixture Watts]]&gt;=ReviewCalcs[[#This Row],[Proposed Fixture Watts]] ), "PASS", "ERROR")</f>
        <v>#N/A</v>
      </c>
      <c r="AA133" s="69" t="e">
        <f>VLOOKUP(ReviewCalcs[[#This Row],[Space Conditions]], Table_365[], 5, FALSE)</f>
        <v>#N/A</v>
      </c>
      <c r="AB133" s="68" t="str">
        <f>ReviewCalcs[[#This Row],[Annual Hours]]</f>
        <v/>
      </c>
      <c r="AC133" s="68" t="e">
        <f>VLOOKUP(ReviewCalcs[[#This Row],[Space Conditions]], Table_365[], 6, FALSE)</f>
        <v>#N/A</v>
      </c>
      <c r="AD133" s="68">
        <f>IF(ReviewCalcs[[#This Row],[Existing Control(s)]]='Tables &amp; Ranges'!$A$25, VLOOKUP(ReviewCalcs[[#This Row],[Building/Space Type]], Table_364[], 3, FALSE), CF_Contols)</f>
        <v>0.26</v>
      </c>
      <c r="AE133" s="68" t="e">
        <f>VLOOKUP(ReviewCalcs[[#This Row],[Existing Control(s)]], Table_358[], 2, FALSE)</f>
        <v>#N/A</v>
      </c>
      <c r="AF133" s="68">
        <f>IF(ReviewCalcs[[#This Row],[Proposed Control(s)]]='Tables &amp; Ranges'!$A$25, VLOOKUP(ReviewCalcs[[#This Row],[Building/Space Type]], Table_364[], 3, FALSE), CF_Contols)</f>
        <v>0.26</v>
      </c>
      <c r="AG133" s="68" t="e">
        <f>VLOOKUP(ReviewCalcs[[#This Row],[Proposed Control(s)]], Table_358[], 2, FALSE)</f>
        <v>#N/A</v>
      </c>
      <c r="AH133" s="68">
        <f>IFERROR((ReviewCalcs[[#This Row],[Existing Fixture Quantity]]*ReviewCalcs[[#This Row],[Existing Fixture Watts]]/1000)*ReviewCalcs[[#This Row],[Existing CF]]*ReviewCalcs[[#This Row],[IEFD]], 0)</f>
        <v>0</v>
      </c>
      <c r="AI133" s="68">
        <f>IFERROR((ReviewCalcs[[#This Row],[Proposed Fixture Quantity]]*ReviewCalcs[[#This Row],[Proposed Fixture Watts]]/1000)*ReviewCalcs[[#This Row],[Existing CF]]*ReviewCalcs[[#This Row],[IEFD]], 0)</f>
        <v>0</v>
      </c>
      <c r="AJ133" s="118">
        <f>IFERROR((ReviewCalcs[[#This Row],[Existing Fixture Quantity]]*ReviewCalcs[[#This Row],[Existing Fixture Watts]]/1000-ReviewCalcs[[#This Row],[Proposed Fixture Quantity]]*ReviewCalcs[[#This Row],[Proposed Fixture Watts]]/1000)*ReviewCalcs[[#This Row],[Existing CF]]*ReviewCalcs[[#This Row],[IEFD]], 0)</f>
        <v>0</v>
      </c>
      <c r="AK133" s="118">
        <f>IFERROR((ReviewCalcs[[#This Row],[Existing Fixture Quantity]]*ReviewCalcs[[#This Row],[Existing Fixture Watts]]/1000)*ReviewCalcs[[#This Row],[AOH]]*ReviewCalcs[[#This Row],[IEFE]]*ReviewCalcs[[#This Row],[Existing PAF]], 0)</f>
        <v>0</v>
      </c>
      <c r="AL133" s="118">
        <f>IFERROR((ReviewCalcs[[#This Row],[Proposed Fixture Quantity]]*ReviewCalcs[[#This Row],[Proposed Fixture Watts]]/1000)*ReviewCalcs[[#This Row],[AOH]]*ReviewCalcs[[#This Row],[IEFE]]*ReviewCalcs[[#This Row],[Existing PAF]], 0)</f>
        <v>0</v>
      </c>
      <c r="AM1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3" s="118">
        <f>ReviewCalcs[[#This Row],[Fixture Existing Energy (kWh)]]*Avg_KWh_Rate</f>
        <v>0</v>
      </c>
      <c r="AO133" s="118">
        <f>ReviewCalcs[[#This Row],[Fixture Proposed Energy (kWh)]]*Avg_KWh_Rate</f>
        <v>0</v>
      </c>
      <c r="AP133" s="70">
        <f>ReviewCalcs[[#This Row],[Fixture Energy Savings]]*Avg_KWh_Rate</f>
        <v>0</v>
      </c>
      <c r="AQ133" s="129" t="e">
        <f>ReviewCalcs[[#This Row],[Existing Fixture Quantity]]*ReviewCalcs[[#This Row],[Existing Fixture Watts]]/1000*ReviewCalcs[[#This Row],[Existing CF]]*ReviewCalcs[[#This Row],[IEFD]]</f>
        <v>#VALUE!</v>
      </c>
      <c r="AR133" s="129" t="e">
        <f>ReviewCalcs[[#This Row],[Proposed Fixture Quantity]]*ReviewCalcs[[#This Row],[Proposed Fixture Watts]]/1000*ReviewCalcs[[#This Row],[Proposed CF]]*ReviewCalcs[[#This Row],[IEFD]]</f>
        <v>#VALUE!</v>
      </c>
      <c r="AS133" s="118">
        <f>IF(ReviewCalcs[[#This Row],[Existing CF]]=ReviewCalcs[[#This Row],[Proposed CF]], 0, ReviewCalcs[[#This Row],[Proposed Fixture Quantity]]*ReviewCalcs[[#This Row],[Proposed Fixture Watts]]/1000*ReviewCalcs[[#This Row],[Proposed CF]]*ReviewCalcs[[#This Row],[IEFD]])</f>
        <v>0</v>
      </c>
      <c r="AT133" s="118">
        <f>IFERROR(ReviewCalcs[[#This Row],[Existing Fixture Quantity]]*ReviewCalcs[[#This Row],[Existing Fixture Watts]]/1000*ReviewCalcs[[#This Row],[Existing PAF]]*ReviewCalcs[[#This Row],[AOH]]*ReviewCalcs[[#This Row],[IEFE]], 0)</f>
        <v>0</v>
      </c>
      <c r="AU133" s="118">
        <f>IFERROR(ReviewCalcs[[#This Row],[Proposed Fixture Quantity]]*ReviewCalcs[[#This Row],[Proposed Fixture Watts]]/1000*ReviewCalcs[[#This Row],[Proposed PAF]]*ReviewCalcs[[#This Row],[AOH]]*ReviewCalcs[[#This Row],[IEFE]], 0)</f>
        <v>0</v>
      </c>
      <c r="AV133" s="118">
        <f>IFERROR(ReviewCalcs[[#This Row],[Proposed Fixture Quantity]]*ReviewCalcs[[#This Row],[Proposed Fixture Watts]]/1000*(ReviewCalcs[[#This Row],[Existing PAF]]-ReviewCalcs[[#This Row],[Proposed PAF]])*ReviewCalcs[[#This Row],[AOH]]*ReviewCalcs[[#This Row],[IEFE]], 0)</f>
        <v>0</v>
      </c>
      <c r="AW133" s="118">
        <f>ReviewCalcs[[#This Row],[Control Existing Energy (kWh)]]*kWh_Incentive_Rate</f>
        <v>0</v>
      </c>
      <c r="AX133" s="118">
        <f>ReviewCalcs[[#This Row],[Control Proposed Energy (kWh)]]*kWh_Incentive_Rate</f>
        <v>0</v>
      </c>
      <c r="AY133" s="70">
        <f>ReviewCalcs[[#This Row],[Control Energy Savings (kWh)]]*kWh_Incentive_Rate</f>
        <v>0</v>
      </c>
      <c r="AZ133" s="70" t="e">
        <f>ReviewCalcs[[#This Row],[Fixture Existing Demand (kW)]]+ReviewCalcs[[#This Row],[Control Existing Demand (kW)]]</f>
        <v>#VALUE!</v>
      </c>
      <c r="BA133" s="70" t="e">
        <f>ReviewCalcs[[#This Row],[Fixture Proposed Demand (kW)]]+ReviewCalcs[[#This Row],[Control Proposed Demand (kW)]]</f>
        <v>#VALUE!</v>
      </c>
      <c r="BB133" s="118">
        <f>ReviewCalcs[[#This Row],[Fixture Demand Savings (kW)]]+ReviewCalcs[[#This Row],[Control Demand Savings (kW)]]</f>
        <v>0</v>
      </c>
      <c r="BC133" s="118">
        <f>ReviewCalcs[[#This Row],[Fixture Existing Energy (kWh)]]+ReviewCalcs[[#This Row],[Control Existing Energy (kWh)]]</f>
        <v>0</v>
      </c>
      <c r="BD133" s="118">
        <f>ReviewCalcs[[#This Row],[Fixture Proposed Energy (kWh)]]+ReviewCalcs[[#This Row],[Control Proposed Energy (kWh)]]</f>
        <v>0</v>
      </c>
      <c r="BE133" s="118">
        <f>ReviewCalcs[[#This Row],[Fixture Energy Savings]]+ReviewCalcs[[#This Row],[Control Energy Savings (kWh)]]</f>
        <v>0</v>
      </c>
      <c r="BF133" s="118">
        <f>ReviewCalcs[[#This Row],[Fixture Existing Cost ($)]]+ReviewCalcs[[#This Row],[Control Existing Cost ($)]]</f>
        <v>0</v>
      </c>
      <c r="BG133" s="118">
        <f>ReviewCalcs[[#This Row],[Fixture Proposed Cost ($)]]+ReviewCalcs[[#This Row],[Controls Proposed Cost ($)]]</f>
        <v>0</v>
      </c>
      <c r="BH133" s="70">
        <f>ReviewCalcs[[#This Row],[Total Energy Savings (kWh)]]*Avg_KWh_Rate</f>
        <v>0</v>
      </c>
      <c r="BI1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3" s="70">
        <f>ReviewCalcs[[#This Row],[Retrofit Cost]]</f>
        <v>0</v>
      </c>
      <c r="BK133" s="70">
        <f>ReviewCalcs[[#This Row],[Retrofit Cost]]-ReviewCalcs[[#This Row],[Incentive ($)]]</f>
        <v>0</v>
      </c>
      <c r="BL133" s="118" t="e">
        <f>IFERROR(ReviewCalcs[[#This Row],[Net Project Cost ($)]]/ReviewCalcs[[#This Row],[Fixture Energy Cost Savings ($)]], #N/A)</f>
        <v>#N/A</v>
      </c>
      <c r="BM133" s="118" t="e">
        <f>IF(VLOOKUP(ReviewCalcs[[#This Row],[Existing Fixture Code]], Table7[[FIXTURE CODE]:[Baseline Fixture Code]], 8, FALSE)="N", VLOOKUP(ReviewCalcs[[#This Row],[Existing Fixture Code]], Table7[[FIXTURE CODE]:[Baseline Fixture Code]], 9, FALSE), ReviewCalcs[[#This Row],[Existing Fixture Code]])</f>
        <v>#N/A</v>
      </c>
      <c r="BN133" s="118" t="e">
        <f>INDEX(Table7[WATT/ FIXT], MATCH(ReviewCalcs[Baseline Fixture Code], Table7[FIXTURE CODE], 0))</f>
        <v>#N/A</v>
      </c>
      <c r="BO133" s="118">
        <f>IFERROR((ReviewCalcs[[#This Row],[Existing Fixture Quantity]]*ReviewCalcs[[#This Row],[Baseline Fixture Watts]]/1000-ReviewCalcs[[#This Row],[Proposed Fixture Quantity]]*ReviewCalcs[[#This Row],[Proposed Fixture Watts]]/1000)*ReviewCalcs[[#This Row],[Existing CF]]*ReviewCalcs[[#This Row],[IEFD]], 0)</f>
        <v>0</v>
      </c>
      <c r="BP1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3" s="118">
        <f>IF(ReviewCalcs[[#This Row],[Existing CF]]=ReviewCalcs[[#This Row],[Proposed CF]], 0, ReviewCalcs[[#This Row],[Proposed Fixture Quantity]]*ReviewCalcs[[#This Row],[Proposed Fixture Watts]]/1000*ReviewCalcs[[#This Row],[Proposed CF]]*ReviewCalcs[[#This Row],[IEFD]])</f>
        <v>0</v>
      </c>
      <c r="BR133" s="118">
        <f>IFERROR(ReviewCalcs[[#This Row],[Proposed Fixture Quantity]]*ReviewCalcs[[#This Row],[Proposed Fixture Watts]]/1000*(ReviewCalcs[[#This Row],[Existing PAF]]-ReviewCalcs[[#This Row],[Proposed PAF]])*ReviewCalcs[[#This Row],[AOH]]*ReviewCalcs[[#This Row],[IEFE]],0)</f>
        <v>0</v>
      </c>
      <c r="BS133" s="118">
        <f>ReviewCalcs[[#This Row],[Incentive Fixture Demand Savings (kW)]]+ReviewCalcs[[#This Row],[Incentive Control Demand Savings (kW)]]</f>
        <v>0</v>
      </c>
      <c r="BT133" s="118">
        <f>ReviewCalcs[[#This Row],[Incentive Fixture Energy Savings (kWh)]]+ReviewCalcs[[#This Row],[Incentive Control Energy Savings (kWh)]]</f>
        <v>0</v>
      </c>
      <c r="BU133" s="73"/>
    </row>
    <row r="134" spans="1:73" ht="30" customHeight="1">
      <c r="A134" s="68">
        <v>131</v>
      </c>
      <c r="B134" s="96">
        <f>VLOOKUP(ReviewCalcs[[#This Row],[Project Index]], ProjectInput[], D$1, FALSE)</f>
        <v>0</v>
      </c>
      <c r="C134" s="97">
        <f>VLOOKUP(ReviewCalcs[[#This Row],[Project Index]], ProjectInput[], E$1, FALSE)</f>
        <v>0</v>
      </c>
      <c r="D134" s="97">
        <f>VLOOKUP(ReviewCalcs[[#This Row],[Project Index]], ProjectInput[], F$1, FALSE)</f>
        <v>0</v>
      </c>
      <c r="E134" s="97">
        <f>VLOOKUP(ReviewCalcs[[#This Row],[Project Index]], ProjectInput[], G$1, FALSE)</f>
        <v>0</v>
      </c>
      <c r="F134" s="97">
        <f>VLOOKUP(ReviewCalcs[[#This Row],[Project Index]], ProjectInput[], H$1, FALSE)</f>
        <v>0</v>
      </c>
      <c r="G134" s="98" t="str">
        <f>VLOOKUP(ReviewCalcs[[#This Row],[Project Index]], ProjectInput[], I$1, FALSE)</f>
        <v/>
      </c>
      <c r="H134" s="96">
        <f>VLOOKUP(ReviewCalcs[[#This Row],[Project Index]], ProjectInput[], J$1, FALSE)</f>
        <v>0</v>
      </c>
      <c r="I134" s="97">
        <f>VLOOKUP(ReviewCalcs[[#This Row],[Project Index]], ProjectInput[], K$1, FALSE)</f>
        <v>0</v>
      </c>
      <c r="J134" s="97">
        <f>VLOOKUP(ReviewCalcs[[#This Row],[Project Index]], ProjectInput[], L$1, FALSE)</f>
        <v>0</v>
      </c>
      <c r="K134" s="97">
        <f>VLOOKUP(ReviewCalcs[[#This Row],[Project Index]], ProjectInput[], M$1, FALSE)</f>
        <v>0</v>
      </c>
      <c r="L134" s="97">
        <f>VLOOKUP(ReviewCalcs[[#This Row],[Project Index]], ProjectInput[], N$1, FALSE)</f>
        <v>0</v>
      </c>
      <c r="M134" s="98" t="str">
        <f>VLOOKUP(ReviewCalcs[[#This Row],[Project Index]], ProjectInput[], O$1, FALSE)</f>
        <v/>
      </c>
      <c r="N134" s="96">
        <f>VLOOKUP(ReviewCalcs[[#This Row],[Project Index]], ProjectInput[], P$1, FALSE)</f>
        <v>0</v>
      </c>
      <c r="O134" s="97">
        <f>VLOOKUP(ReviewCalcs[[#This Row],[Project Index]], ProjectInput[], Q$1, FALSE)</f>
        <v>0</v>
      </c>
      <c r="P134" s="97">
        <f>VLOOKUP(ReviewCalcs[[#This Row],[Project Index]], ProjectInput[], R$1, FALSE)</f>
        <v>0</v>
      </c>
      <c r="Q134" s="97">
        <f>VLOOKUP(ReviewCalcs[[#This Row],[Project Index]], ProjectInput[], S$1, FALSE)</f>
        <v>0</v>
      </c>
      <c r="R134" s="97">
        <f>VLOOKUP(ReviewCalcs[[#This Row],[Project Index]], ProjectInput[], T$1, FALSE)</f>
        <v>0</v>
      </c>
      <c r="S134" s="97">
        <f>VLOOKUP(ReviewCalcs[[#This Row],[Project Index]], ProjectInput[], U$1, FALSE)</f>
        <v>0</v>
      </c>
      <c r="T134" s="97">
        <f>VLOOKUP(ReviewCalcs[[#This Row],[Project Index]], ProjectInput[], V$1, FALSE)</f>
        <v>0</v>
      </c>
      <c r="U134" s="97">
        <f>VLOOKUP(ReviewCalcs[[#This Row],[Project Index]], ProjectInput[], W$1, FALSE)</f>
        <v>0</v>
      </c>
      <c r="V134" s="98" t="str">
        <f>VLOOKUP(ReviewCalcs[[#This Row],[Project Index]], ProjectInput[], X$1, FALSE)</f>
        <v/>
      </c>
      <c r="W1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4" s="75" t="e">
        <f>IF(VLOOKUP(ReviewCalcs[[#This Row],[Proposed Fixture Code]], Table7[[FIXTURE CODE]:[Baseline Fixture Code]], 8, FALSE)="N", "ERROR", "PASS")</f>
        <v>#N/A</v>
      </c>
      <c r="Y1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4" s="75" t="e">
        <f>IF(OR(ReviewCalcs[[#This Row],[Baseline Fixture Watts]]&gt;=ReviewCalcs[[#This Row],[Proposed Fixture Watts]],ReviewCalcs[[#This Row],[Existing Fixture Watts]]&gt;=ReviewCalcs[[#This Row],[Proposed Fixture Watts]] ), "PASS", "ERROR")</f>
        <v>#N/A</v>
      </c>
      <c r="AA134" s="69" t="e">
        <f>VLOOKUP(ReviewCalcs[[#This Row],[Space Conditions]], Table_365[], 5, FALSE)</f>
        <v>#N/A</v>
      </c>
      <c r="AB134" s="68" t="str">
        <f>ReviewCalcs[[#This Row],[Annual Hours]]</f>
        <v/>
      </c>
      <c r="AC134" s="68" t="e">
        <f>VLOOKUP(ReviewCalcs[[#This Row],[Space Conditions]], Table_365[], 6, FALSE)</f>
        <v>#N/A</v>
      </c>
      <c r="AD134" s="68">
        <f>IF(ReviewCalcs[[#This Row],[Existing Control(s)]]='Tables &amp; Ranges'!$A$25, VLOOKUP(ReviewCalcs[[#This Row],[Building/Space Type]], Table_364[], 3, FALSE), CF_Contols)</f>
        <v>0.26</v>
      </c>
      <c r="AE134" s="68" t="e">
        <f>VLOOKUP(ReviewCalcs[[#This Row],[Existing Control(s)]], Table_358[], 2, FALSE)</f>
        <v>#N/A</v>
      </c>
      <c r="AF134" s="68">
        <f>IF(ReviewCalcs[[#This Row],[Proposed Control(s)]]='Tables &amp; Ranges'!$A$25, VLOOKUP(ReviewCalcs[[#This Row],[Building/Space Type]], Table_364[], 3, FALSE), CF_Contols)</f>
        <v>0.26</v>
      </c>
      <c r="AG134" s="68" t="e">
        <f>VLOOKUP(ReviewCalcs[[#This Row],[Proposed Control(s)]], Table_358[], 2, FALSE)</f>
        <v>#N/A</v>
      </c>
      <c r="AH134" s="68">
        <f>IFERROR((ReviewCalcs[[#This Row],[Existing Fixture Quantity]]*ReviewCalcs[[#This Row],[Existing Fixture Watts]]/1000)*ReviewCalcs[[#This Row],[Existing CF]]*ReviewCalcs[[#This Row],[IEFD]], 0)</f>
        <v>0</v>
      </c>
      <c r="AI134" s="68">
        <f>IFERROR((ReviewCalcs[[#This Row],[Proposed Fixture Quantity]]*ReviewCalcs[[#This Row],[Proposed Fixture Watts]]/1000)*ReviewCalcs[[#This Row],[Existing CF]]*ReviewCalcs[[#This Row],[IEFD]], 0)</f>
        <v>0</v>
      </c>
      <c r="AJ134" s="118">
        <f>IFERROR((ReviewCalcs[[#This Row],[Existing Fixture Quantity]]*ReviewCalcs[[#This Row],[Existing Fixture Watts]]/1000-ReviewCalcs[[#This Row],[Proposed Fixture Quantity]]*ReviewCalcs[[#This Row],[Proposed Fixture Watts]]/1000)*ReviewCalcs[[#This Row],[Existing CF]]*ReviewCalcs[[#This Row],[IEFD]], 0)</f>
        <v>0</v>
      </c>
      <c r="AK134" s="118">
        <f>IFERROR((ReviewCalcs[[#This Row],[Existing Fixture Quantity]]*ReviewCalcs[[#This Row],[Existing Fixture Watts]]/1000)*ReviewCalcs[[#This Row],[AOH]]*ReviewCalcs[[#This Row],[IEFE]]*ReviewCalcs[[#This Row],[Existing PAF]], 0)</f>
        <v>0</v>
      </c>
      <c r="AL134" s="118">
        <f>IFERROR((ReviewCalcs[[#This Row],[Proposed Fixture Quantity]]*ReviewCalcs[[#This Row],[Proposed Fixture Watts]]/1000)*ReviewCalcs[[#This Row],[AOH]]*ReviewCalcs[[#This Row],[IEFE]]*ReviewCalcs[[#This Row],[Existing PAF]], 0)</f>
        <v>0</v>
      </c>
      <c r="AM1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4" s="118">
        <f>ReviewCalcs[[#This Row],[Fixture Existing Energy (kWh)]]*Avg_KWh_Rate</f>
        <v>0</v>
      </c>
      <c r="AO134" s="118">
        <f>ReviewCalcs[[#This Row],[Fixture Proposed Energy (kWh)]]*Avg_KWh_Rate</f>
        <v>0</v>
      </c>
      <c r="AP134" s="70">
        <f>ReviewCalcs[[#This Row],[Fixture Energy Savings]]*Avg_KWh_Rate</f>
        <v>0</v>
      </c>
      <c r="AQ134" s="129" t="e">
        <f>ReviewCalcs[[#This Row],[Existing Fixture Quantity]]*ReviewCalcs[[#This Row],[Existing Fixture Watts]]/1000*ReviewCalcs[[#This Row],[Existing CF]]*ReviewCalcs[[#This Row],[IEFD]]</f>
        <v>#VALUE!</v>
      </c>
      <c r="AR134" s="129" t="e">
        <f>ReviewCalcs[[#This Row],[Proposed Fixture Quantity]]*ReviewCalcs[[#This Row],[Proposed Fixture Watts]]/1000*ReviewCalcs[[#This Row],[Proposed CF]]*ReviewCalcs[[#This Row],[IEFD]]</f>
        <v>#VALUE!</v>
      </c>
      <c r="AS134" s="118">
        <f>IF(ReviewCalcs[[#This Row],[Existing CF]]=ReviewCalcs[[#This Row],[Proposed CF]], 0, ReviewCalcs[[#This Row],[Proposed Fixture Quantity]]*ReviewCalcs[[#This Row],[Proposed Fixture Watts]]/1000*ReviewCalcs[[#This Row],[Proposed CF]]*ReviewCalcs[[#This Row],[IEFD]])</f>
        <v>0</v>
      </c>
      <c r="AT134" s="118">
        <f>IFERROR(ReviewCalcs[[#This Row],[Existing Fixture Quantity]]*ReviewCalcs[[#This Row],[Existing Fixture Watts]]/1000*ReviewCalcs[[#This Row],[Existing PAF]]*ReviewCalcs[[#This Row],[AOH]]*ReviewCalcs[[#This Row],[IEFE]], 0)</f>
        <v>0</v>
      </c>
      <c r="AU134" s="118">
        <f>IFERROR(ReviewCalcs[[#This Row],[Proposed Fixture Quantity]]*ReviewCalcs[[#This Row],[Proposed Fixture Watts]]/1000*ReviewCalcs[[#This Row],[Proposed PAF]]*ReviewCalcs[[#This Row],[AOH]]*ReviewCalcs[[#This Row],[IEFE]], 0)</f>
        <v>0</v>
      </c>
      <c r="AV134" s="118">
        <f>IFERROR(ReviewCalcs[[#This Row],[Proposed Fixture Quantity]]*ReviewCalcs[[#This Row],[Proposed Fixture Watts]]/1000*(ReviewCalcs[[#This Row],[Existing PAF]]-ReviewCalcs[[#This Row],[Proposed PAF]])*ReviewCalcs[[#This Row],[AOH]]*ReviewCalcs[[#This Row],[IEFE]], 0)</f>
        <v>0</v>
      </c>
      <c r="AW134" s="118">
        <f>ReviewCalcs[[#This Row],[Control Existing Energy (kWh)]]*kWh_Incentive_Rate</f>
        <v>0</v>
      </c>
      <c r="AX134" s="118">
        <f>ReviewCalcs[[#This Row],[Control Proposed Energy (kWh)]]*kWh_Incentive_Rate</f>
        <v>0</v>
      </c>
      <c r="AY134" s="70">
        <f>ReviewCalcs[[#This Row],[Control Energy Savings (kWh)]]*kWh_Incentive_Rate</f>
        <v>0</v>
      </c>
      <c r="AZ134" s="70" t="e">
        <f>ReviewCalcs[[#This Row],[Fixture Existing Demand (kW)]]+ReviewCalcs[[#This Row],[Control Existing Demand (kW)]]</f>
        <v>#VALUE!</v>
      </c>
      <c r="BA134" s="70" t="e">
        <f>ReviewCalcs[[#This Row],[Fixture Proposed Demand (kW)]]+ReviewCalcs[[#This Row],[Control Proposed Demand (kW)]]</f>
        <v>#VALUE!</v>
      </c>
      <c r="BB134" s="118">
        <f>ReviewCalcs[[#This Row],[Fixture Demand Savings (kW)]]+ReviewCalcs[[#This Row],[Control Demand Savings (kW)]]</f>
        <v>0</v>
      </c>
      <c r="BC134" s="118">
        <f>ReviewCalcs[[#This Row],[Fixture Existing Energy (kWh)]]+ReviewCalcs[[#This Row],[Control Existing Energy (kWh)]]</f>
        <v>0</v>
      </c>
      <c r="BD134" s="118">
        <f>ReviewCalcs[[#This Row],[Fixture Proposed Energy (kWh)]]+ReviewCalcs[[#This Row],[Control Proposed Energy (kWh)]]</f>
        <v>0</v>
      </c>
      <c r="BE134" s="118">
        <f>ReviewCalcs[[#This Row],[Fixture Energy Savings]]+ReviewCalcs[[#This Row],[Control Energy Savings (kWh)]]</f>
        <v>0</v>
      </c>
      <c r="BF134" s="118">
        <f>ReviewCalcs[[#This Row],[Fixture Existing Cost ($)]]+ReviewCalcs[[#This Row],[Control Existing Cost ($)]]</f>
        <v>0</v>
      </c>
      <c r="BG134" s="118">
        <f>ReviewCalcs[[#This Row],[Fixture Proposed Cost ($)]]+ReviewCalcs[[#This Row],[Controls Proposed Cost ($)]]</f>
        <v>0</v>
      </c>
      <c r="BH134" s="70">
        <f>ReviewCalcs[[#This Row],[Total Energy Savings (kWh)]]*Avg_KWh_Rate</f>
        <v>0</v>
      </c>
      <c r="BI1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4" s="70">
        <f>ReviewCalcs[[#This Row],[Retrofit Cost]]</f>
        <v>0</v>
      </c>
      <c r="BK134" s="70">
        <f>ReviewCalcs[[#This Row],[Retrofit Cost]]-ReviewCalcs[[#This Row],[Incentive ($)]]</f>
        <v>0</v>
      </c>
      <c r="BL134" s="118" t="e">
        <f>IFERROR(ReviewCalcs[[#This Row],[Net Project Cost ($)]]/ReviewCalcs[[#This Row],[Fixture Energy Cost Savings ($)]], #N/A)</f>
        <v>#N/A</v>
      </c>
      <c r="BM134" s="118" t="e">
        <f>IF(VLOOKUP(ReviewCalcs[[#This Row],[Existing Fixture Code]], Table7[[FIXTURE CODE]:[Baseline Fixture Code]], 8, FALSE)="N", VLOOKUP(ReviewCalcs[[#This Row],[Existing Fixture Code]], Table7[[FIXTURE CODE]:[Baseline Fixture Code]], 9, FALSE), ReviewCalcs[[#This Row],[Existing Fixture Code]])</f>
        <v>#N/A</v>
      </c>
      <c r="BN134" s="118" t="e">
        <f>INDEX(Table7[WATT/ FIXT], MATCH(ReviewCalcs[Baseline Fixture Code], Table7[FIXTURE CODE], 0))</f>
        <v>#N/A</v>
      </c>
      <c r="BO134" s="118">
        <f>IFERROR((ReviewCalcs[[#This Row],[Existing Fixture Quantity]]*ReviewCalcs[[#This Row],[Baseline Fixture Watts]]/1000-ReviewCalcs[[#This Row],[Proposed Fixture Quantity]]*ReviewCalcs[[#This Row],[Proposed Fixture Watts]]/1000)*ReviewCalcs[[#This Row],[Existing CF]]*ReviewCalcs[[#This Row],[IEFD]], 0)</f>
        <v>0</v>
      </c>
      <c r="BP1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4" s="118">
        <f>IF(ReviewCalcs[[#This Row],[Existing CF]]=ReviewCalcs[[#This Row],[Proposed CF]], 0, ReviewCalcs[[#This Row],[Proposed Fixture Quantity]]*ReviewCalcs[[#This Row],[Proposed Fixture Watts]]/1000*ReviewCalcs[[#This Row],[Proposed CF]]*ReviewCalcs[[#This Row],[IEFD]])</f>
        <v>0</v>
      </c>
      <c r="BR134" s="118">
        <f>IFERROR(ReviewCalcs[[#This Row],[Proposed Fixture Quantity]]*ReviewCalcs[[#This Row],[Proposed Fixture Watts]]/1000*(ReviewCalcs[[#This Row],[Existing PAF]]-ReviewCalcs[[#This Row],[Proposed PAF]])*ReviewCalcs[[#This Row],[AOH]]*ReviewCalcs[[#This Row],[IEFE]],0)</f>
        <v>0</v>
      </c>
      <c r="BS134" s="118">
        <f>ReviewCalcs[[#This Row],[Incentive Fixture Demand Savings (kW)]]+ReviewCalcs[[#This Row],[Incentive Control Demand Savings (kW)]]</f>
        <v>0</v>
      </c>
      <c r="BT134" s="118">
        <f>ReviewCalcs[[#This Row],[Incentive Fixture Energy Savings (kWh)]]+ReviewCalcs[[#This Row],[Incentive Control Energy Savings (kWh)]]</f>
        <v>0</v>
      </c>
      <c r="BU134" s="73"/>
    </row>
    <row r="135" spans="1:73" ht="30" customHeight="1">
      <c r="A135" s="68">
        <v>132</v>
      </c>
      <c r="B135" s="96">
        <f>VLOOKUP(ReviewCalcs[[#This Row],[Project Index]], ProjectInput[], D$1, FALSE)</f>
        <v>0</v>
      </c>
      <c r="C135" s="97">
        <f>VLOOKUP(ReviewCalcs[[#This Row],[Project Index]], ProjectInput[], E$1, FALSE)</f>
        <v>0</v>
      </c>
      <c r="D135" s="97">
        <f>VLOOKUP(ReviewCalcs[[#This Row],[Project Index]], ProjectInput[], F$1, FALSE)</f>
        <v>0</v>
      </c>
      <c r="E135" s="97">
        <f>VLOOKUP(ReviewCalcs[[#This Row],[Project Index]], ProjectInput[], G$1, FALSE)</f>
        <v>0</v>
      </c>
      <c r="F135" s="97">
        <f>VLOOKUP(ReviewCalcs[[#This Row],[Project Index]], ProjectInput[], H$1, FALSE)</f>
        <v>0</v>
      </c>
      <c r="G135" s="98" t="str">
        <f>VLOOKUP(ReviewCalcs[[#This Row],[Project Index]], ProjectInput[], I$1, FALSE)</f>
        <v/>
      </c>
      <c r="H135" s="96">
        <f>VLOOKUP(ReviewCalcs[[#This Row],[Project Index]], ProjectInput[], J$1, FALSE)</f>
        <v>0</v>
      </c>
      <c r="I135" s="97">
        <f>VLOOKUP(ReviewCalcs[[#This Row],[Project Index]], ProjectInput[], K$1, FALSE)</f>
        <v>0</v>
      </c>
      <c r="J135" s="97">
        <f>VLOOKUP(ReviewCalcs[[#This Row],[Project Index]], ProjectInput[], L$1, FALSE)</f>
        <v>0</v>
      </c>
      <c r="K135" s="97">
        <f>VLOOKUP(ReviewCalcs[[#This Row],[Project Index]], ProjectInput[], M$1, FALSE)</f>
        <v>0</v>
      </c>
      <c r="L135" s="97">
        <f>VLOOKUP(ReviewCalcs[[#This Row],[Project Index]], ProjectInput[], N$1, FALSE)</f>
        <v>0</v>
      </c>
      <c r="M135" s="98" t="str">
        <f>VLOOKUP(ReviewCalcs[[#This Row],[Project Index]], ProjectInput[], O$1, FALSE)</f>
        <v/>
      </c>
      <c r="N135" s="96">
        <f>VLOOKUP(ReviewCalcs[[#This Row],[Project Index]], ProjectInput[], P$1, FALSE)</f>
        <v>0</v>
      </c>
      <c r="O135" s="97">
        <f>VLOOKUP(ReviewCalcs[[#This Row],[Project Index]], ProjectInput[], Q$1, FALSE)</f>
        <v>0</v>
      </c>
      <c r="P135" s="97">
        <f>VLOOKUP(ReviewCalcs[[#This Row],[Project Index]], ProjectInput[], R$1, FALSE)</f>
        <v>0</v>
      </c>
      <c r="Q135" s="97">
        <f>VLOOKUP(ReviewCalcs[[#This Row],[Project Index]], ProjectInput[], S$1, FALSE)</f>
        <v>0</v>
      </c>
      <c r="R135" s="97">
        <f>VLOOKUP(ReviewCalcs[[#This Row],[Project Index]], ProjectInput[], T$1, FALSE)</f>
        <v>0</v>
      </c>
      <c r="S135" s="97">
        <f>VLOOKUP(ReviewCalcs[[#This Row],[Project Index]], ProjectInput[], U$1, FALSE)</f>
        <v>0</v>
      </c>
      <c r="T135" s="97">
        <f>VLOOKUP(ReviewCalcs[[#This Row],[Project Index]], ProjectInput[], V$1, FALSE)</f>
        <v>0</v>
      </c>
      <c r="U135" s="97">
        <f>VLOOKUP(ReviewCalcs[[#This Row],[Project Index]], ProjectInput[], W$1, FALSE)</f>
        <v>0</v>
      </c>
      <c r="V135" s="98" t="str">
        <f>VLOOKUP(ReviewCalcs[[#This Row],[Project Index]], ProjectInput[], X$1, FALSE)</f>
        <v/>
      </c>
      <c r="W1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5" s="75" t="e">
        <f>IF(VLOOKUP(ReviewCalcs[[#This Row],[Proposed Fixture Code]], Table7[[FIXTURE CODE]:[Baseline Fixture Code]], 8, FALSE)="N", "ERROR", "PASS")</f>
        <v>#N/A</v>
      </c>
      <c r="Y1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5" s="75" t="e">
        <f>IF(OR(ReviewCalcs[[#This Row],[Baseline Fixture Watts]]&gt;=ReviewCalcs[[#This Row],[Proposed Fixture Watts]],ReviewCalcs[[#This Row],[Existing Fixture Watts]]&gt;=ReviewCalcs[[#This Row],[Proposed Fixture Watts]] ), "PASS", "ERROR")</f>
        <v>#N/A</v>
      </c>
      <c r="AA135" s="69" t="e">
        <f>VLOOKUP(ReviewCalcs[[#This Row],[Space Conditions]], Table_365[], 5, FALSE)</f>
        <v>#N/A</v>
      </c>
      <c r="AB135" s="68" t="str">
        <f>ReviewCalcs[[#This Row],[Annual Hours]]</f>
        <v/>
      </c>
      <c r="AC135" s="68" t="e">
        <f>VLOOKUP(ReviewCalcs[[#This Row],[Space Conditions]], Table_365[], 6, FALSE)</f>
        <v>#N/A</v>
      </c>
      <c r="AD135" s="68">
        <f>IF(ReviewCalcs[[#This Row],[Existing Control(s)]]='Tables &amp; Ranges'!$A$25, VLOOKUP(ReviewCalcs[[#This Row],[Building/Space Type]], Table_364[], 3, FALSE), CF_Contols)</f>
        <v>0.26</v>
      </c>
      <c r="AE135" s="68" t="e">
        <f>VLOOKUP(ReviewCalcs[[#This Row],[Existing Control(s)]], Table_358[], 2, FALSE)</f>
        <v>#N/A</v>
      </c>
      <c r="AF135" s="68">
        <f>IF(ReviewCalcs[[#This Row],[Proposed Control(s)]]='Tables &amp; Ranges'!$A$25, VLOOKUP(ReviewCalcs[[#This Row],[Building/Space Type]], Table_364[], 3, FALSE), CF_Contols)</f>
        <v>0.26</v>
      </c>
      <c r="AG135" s="68" t="e">
        <f>VLOOKUP(ReviewCalcs[[#This Row],[Proposed Control(s)]], Table_358[], 2, FALSE)</f>
        <v>#N/A</v>
      </c>
      <c r="AH135" s="68">
        <f>IFERROR((ReviewCalcs[[#This Row],[Existing Fixture Quantity]]*ReviewCalcs[[#This Row],[Existing Fixture Watts]]/1000)*ReviewCalcs[[#This Row],[Existing CF]]*ReviewCalcs[[#This Row],[IEFD]], 0)</f>
        <v>0</v>
      </c>
      <c r="AI135" s="68">
        <f>IFERROR((ReviewCalcs[[#This Row],[Proposed Fixture Quantity]]*ReviewCalcs[[#This Row],[Proposed Fixture Watts]]/1000)*ReviewCalcs[[#This Row],[Existing CF]]*ReviewCalcs[[#This Row],[IEFD]], 0)</f>
        <v>0</v>
      </c>
      <c r="AJ135" s="118">
        <f>IFERROR((ReviewCalcs[[#This Row],[Existing Fixture Quantity]]*ReviewCalcs[[#This Row],[Existing Fixture Watts]]/1000-ReviewCalcs[[#This Row],[Proposed Fixture Quantity]]*ReviewCalcs[[#This Row],[Proposed Fixture Watts]]/1000)*ReviewCalcs[[#This Row],[Existing CF]]*ReviewCalcs[[#This Row],[IEFD]], 0)</f>
        <v>0</v>
      </c>
      <c r="AK135" s="118">
        <f>IFERROR((ReviewCalcs[[#This Row],[Existing Fixture Quantity]]*ReviewCalcs[[#This Row],[Existing Fixture Watts]]/1000)*ReviewCalcs[[#This Row],[AOH]]*ReviewCalcs[[#This Row],[IEFE]]*ReviewCalcs[[#This Row],[Existing PAF]], 0)</f>
        <v>0</v>
      </c>
      <c r="AL135" s="118">
        <f>IFERROR((ReviewCalcs[[#This Row],[Proposed Fixture Quantity]]*ReviewCalcs[[#This Row],[Proposed Fixture Watts]]/1000)*ReviewCalcs[[#This Row],[AOH]]*ReviewCalcs[[#This Row],[IEFE]]*ReviewCalcs[[#This Row],[Existing PAF]], 0)</f>
        <v>0</v>
      </c>
      <c r="AM1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5" s="118">
        <f>ReviewCalcs[[#This Row],[Fixture Existing Energy (kWh)]]*Avg_KWh_Rate</f>
        <v>0</v>
      </c>
      <c r="AO135" s="118">
        <f>ReviewCalcs[[#This Row],[Fixture Proposed Energy (kWh)]]*Avg_KWh_Rate</f>
        <v>0</v>
      </c>
      <c r="AP135" s="70">
        <f>ReviewCalcs[[#This Row],[Fixture Energy Savings]]*Avg_KWh_Rate</f>
        <v>0</v>
      </c>
      <c r="AQ135" s="129" t="e">
        <f>ReviewCalcs[[#This Row],[Existing Fixture Quantity]]*ReviewCalcs[[#This Row],[Existing Fixture Watts]]/1000*ReviewCalcs[[#This Row],[Existing CF]]*ReviewCalcs[[#This Row],[IEFD]]</f>
        <v>#VALUE!</v>
      </c>
      <c r="AR135" s="129" t="e">
        <f>ReviewCalcs[[#This Row],[Proposed Fixture Quantity]]*ReviewCalcs[[#This Row],[Proposed Fixture Watts]]/1000*ReviewCalcs[[#This Row],[Proposed CF]]*ReviewCalcs[[#This Row],[IEFD]]</f>
        <v>#VALUE!</v>
      </c>
      <c r="AS135" s="118">
        <f>IF(ReviewCalcs[[#This Row],[Existing CF]]=ReviewCalcs[[#This Row],[Proposed CF]], 0, ReviewCalcs[[#This Row],[Proposed Fixture Quantity]]*ReviewCalcs[[#This Row],[Proposed Fixture Watts]]/1000*ReviewCalcs[[#This Row],[Proposed CF]]*ReviewCalcs[[#This Row],[IEFD]])</f>
        <v>0</v>
      </c>
      <c r="AT135" s="118">
        <f>IFERROR(ReviewCalcs[[#This Row],[Existing Fixture Quantity]]*ReviewCalcs[[#This Row],[Existing Fixture Watts]]/1000*ReviewCalcs[[#This Row],[Existing PAF]]*ReviewCalcs[[#This Row],[AOH]]*ReviewCalcs[[#This Row],[IEFE]], 0)</f>
        <v>0</v>
      </c>
      <c r="AU135" s="118">
        <f>IFERROR(ReviewCalcs[[#This Row],[Proposed Fixture Quantity]]*ReviewCalcs[[#This Row],[Proposed Fixture Watts]]/1000*ReviewCalcs[[#This Row],[Proposed PAF]]*ReviewCalcs[[#This Row],[AOH]]*ReviewCalcs[[#This Row],[IEFE]], 0)</f>
        <v>0</v>
      </c>
      <c r="AV135" s="118">
        <f>IFERROR(ReviewCalcs[[#This Row],[Proposed Fixture Quantity]]*ReviewCalcs[[#This Row],[Proposed Fixture Watts]]/1000*(ReviewCalcs[[#This Row],[Existing PAF]]-ReviewCalcs[[#This Row],[Proposed PAF]])*ReviewCalcs[[#This Row],[AOH]]*ReviewCalcs[[#This Row],[IEFE]], 0)</f>
        <v>0</v>
      </c>
      <c r="AW135" s="118">
        <f>ReviewCalcs[[#This Row],[Control Existing Energy (kWh)]]*kWh_Incentive_Rate</f>
        <v>0</v>
      </c>
      <c r="AX135" s="118">
        <f>ReviewCalcs[[#This Row],[Control Proposed Energy (kWh)]]*kWh_Incentive_Rate</f>
        <v>0</v>
      </c>
      <c r="AY135" s="70">
        <f>ReviewCalcs[[#This Row],[Control Energy Savings (kWh)]]*kWh_Incentive_Rate</f>
        <v>0</v>
      </c>
      <c r="AZ135" s="70" t="e">
        <f>ReviewCalcs[[#This Row],[Fixture Existing Demand (kW)]]+ReviewCalcs[[#This Row],[Control Existing Demand (kW)]]</f>
        <v>#VALUE!</v>
      </c>
      <c r="BA135" s="70" t="e">
        <f>ReviewCalcs[[#This Row],[Fixture Proposed Demand (kW)]]+ReviewCalcs[[#This Row],[Control Proposed Demand (kW)]]</f>
        <v>#VALUE!</v>
      </c>
      <c r="BB135" s="118">
        <f>ReviewCalcs[[#This Row],[Fixture Demand Savings (kW)]]+ReviewCalcs[[#This Row],[Control Demand Savings (kW)]]</f>
        <v>0</v>
      </c>
      <c r="BC135" s="118">
        <f>ReviewCalcs[[#This Row],[Fixture Existing Energy (kWh)]]+ReviewCalcs[[#This Row],[Control Existing Energy (kWh)]]</f>
        <v>0</v>
      </c>
      <c r="BD135" s="118">
        <f>ReviewCalcs[[#This Row],[Fixture Proposed Energy (kWh)]]+ReviewCalcs[[#This Row],[Control Proposed Energy (kWh)]]</f>
        <v>0</v>
      </c>
      <c r="BE135" s="118">
        <f>ReviewCalcs[[#This Row],[Fixture Energy Savings]]+ReviewCalcs[[#This Row],[Control Energy Savings (kWh)]]</f>
        <v>0</v>
      </c>
      <c r="BF135" s="118">
        <f>ReviewCalcs[[#This Row],[Fixture Existing Cost ($)]]+ReviewCalcs[[#This Row],[Control Existing Cost ($)]]</f>
        <v>0</v>
      </c>
      <c r="BG135" s="118">
        <f>ReviewCalcs[[#This Row],[Fixture Proposed Cost ($)]]+ReviewCalcs[[#This Row],[Controls Proposed Cost ($)]]</f>
        <v>0</v>
      </c>
      <c r="BH135" s="70">
        <f>ReviewCalcs[[#This Row],[Total Energy Savings (kWh)]]*Avg_KWh_Rate</f>
        <v>0</v>
      </c>
      <c r="BI1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5" s="70">
        <f>ReviewCalcs[[#This Row],[Retrofit Cost]]</f>
        <v>0</v>
      </c>
      <c r="BK135" s="70">
        <f>ReviewCalcs[[#This Row],[Retrofit Cost]]-ReviewCalcs[[#This Row],[Incentive ($)]]</f>
        <v>0</v>
      </c>
      <c r="BL135" s="118" t="e">
        <f>IFERROR(ReviewCalcs[[#This Row],[Net Project Cost ($)]]/ReviewCalcs[[#This Row],[Fixture Energy Cost Savings ($)]], #N/A)</f>
        <v>#N/A</v>
      </c>
      <c r="BM135" s="118" t="e">
        <f>IF(VLOOKUP(ReviewCalcs[[#This Row],[Existing Fixture Code]], Table7[[FIXTURE CODE]:[Baseline Fixture Code]], 8, FALSE)="N", VLOOKUP(ReviewCalcs[[#This Row],[Existing Fixture Code]], Table7[[FIXTURE CODE]:[Baseline Fixture Code]], 9, FALSE), ReviewCalcs[[#This Row],[Existing Fixture Code]])</f>
        <v>#N/A</v>
      </c>
      <c r="BN135" s="118" t="e">
        <f>INDEX(Table7[WATT/ FIXT], MATCH(ReviewCalcs[Baseline Fixture Code], Table7[FIXTURE CODE], 0))</f>
        <v>#N/A</v>
      </c>
      <c r="BO135" s="118">
        <f>IFERROR((ReviewCalcs[[#This Row],[Existing Fixture Quantity]]*ReviewCalcs[[#This Row],[Baseline Fixture Watts]]/1000-ReviewCalcs[[#This Row],[Proposed Fixture Quantity]]*ReviewCalcs[[#This Row],[Proposed Fixture Watts]]/1000)*ReviewCalcs[[#This Row],[Existing CF]]*ReviewCalcs[[#This Row],[IEFD]], 0)</f>
        <v>0</v>
      </c>
      <c r="BP1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5" s="118">
        <f>IF(ReviewCalcs[[#This Row],[Existing CF]]=ReviewCalcs[[#This Row],[Proposed CF]], 0, ReviewCalcs[[#This Row],[Proposed Fixture Quantity]]*ReviewCalcs[[#This Row],[Proposed Fixture Watts]]/1000*ReviewCalcs[[#This Row],[Proposed CF]]*ReviewCalcs[[#This Row],[IEFD]])</f>
        <v>0</v>
      </c>
      <c r="BR135" s="118">
        <f>IFERROR(ReviewCalcs[[#This Row],[Proposed Fixture Quantity]]*ReviewCalcs[[#This Row],[Proposed Fixture Watts]]/1000*(ReviewCalcs[[#This Row],[Existing PAF]]-ReviewCalcs[[#This Row],[Proposed PAF]])*ReviewCalcs[[#This Row],[AOH]]*ReviewCalcs[[#This Row],[IEFE]],0)</f>
        <v>0</v>
      </c>
      <c r="BS135" s="118">
        <f>ReviewCalcs[[#This Row],[Incentive Fixture Demand Savings (kW)]]+ReviewCalcs[[#This Row],[Incentive Control Demand Savings (kW)]]</f>
        <v>0</v>
      </c>
      <c r="BT135" s="118">
        <f>ReviewCalcs[[#This Row],[Incentive Fixture Energy Savings (kWh)]]+ReviewCalcs[[#This Row],[Incentive Control Energy Savings (kWh)]]</f>
        <v>0</v>
      </c>
      <c r="BU135" s="73"/>
    </row>
    <row r="136" spans="1:73" ht="30" customHeight="1">
      <c r="A136" s="68">
        <v>133</v>
      </c>
      <c r="B136" s="96">
        <f>VLOOKUP(ReviewCalcs[[#This Row],[Project Index]], ProjectInput[], D$1, FALSE)</f>
        <v>0</v>
      </c>
      <c r="C136" s="97">
        <f>VLOOKUP(ReviewCalcs[[#This Row],[Project Index]], ProjectInput[], E$1, FALSE)</f>
        <v>0</v>
      </c>
      <c r="D136" s="97">
        <f>VLOOKUP(ReviewCalcs[[#This Row],[Project Index]], ProjectInput[], F$1, FALSE)</f>
        <v>0</v>
      </c>
      <c r="E136" s="97">
        <f>VLOOKUP(ReviewCalcs[[#This Row],[Project Index]], ProjectInput[], G$1, FALSE)</f>
        <v>0</v>
      </c>
      <c r="F136" s="97">
        <f>VLOOKUP(ReviewCalcs[[#This Row],[Project Index]], ProjectInput[], H$1, FALSE)</f>
        <v>0</v>
      </c>
      <c r="G136" s="98" t="str">
        <f>VLOOKUP(ReviewCalcs[[#This Row],[Project Index]], ProjectInput[], I$1, FALSE)</f>
        <v/>
      </c>
      <c r="H136" s="96">
        <f>VLOOKUP(ReviewCalcs[[#This Row],[Project Index]], ProjectInput[], J$1, FALSE)</f>
        <v>0</v>
      </c>
      <c r="I136" s="97">
        <f>VLOOKUP(ReviewCalcs[[#This Row],[Project Index]], ProjectInput[], K$1, FALSE)</f>
        <v>0</v>
      </c>
      <c r="J136" s="97">
        <f>VLOOKUP(ReviewCalcs[[#This Row],[Project Index]], ProjectInput[], L$1, FALSE)</f>
        <v>0</v>
      </c>
      <c r="K136" s="97">
        <f>VLOOKUP(ReviewCalcs[[#This Row],[Project Index]], ProjectInput[], M$1, FALSE)</f>
        <v>0</v>
      </c>
      <c r="L136" s="97">
        <f>VLOOKUP(ReviewCalcs[[#This Row],[Project Index]], ProjectInput[], N$1, FALSE)</f>
        <v>0</v>
      </c>
      <c r="M136" s="98" t="str">
        <f>VLOOKUP(ReviewCalcs[[#This Row],[Project Index]], ProjectInput[], O$1, FALSE)</f>
        <v/>
      </c>
      <c r="N136" s="96">
        <f>VLOOKUP(ReviewCalcs[[#This Row],[Project Index]], ProjectInput[], P$1, FALSE)</f>
        <v>0</v>
      </c>
      <c r="O136" s="97">
        <f>VLOOKUP(ReviewCalcs[[#This Row],[Project Index]], ProjectInput[], Q$1, FALSE)</f>
        <v>0</v>
      </c>
      <c r="P136" s="97">
        <f>VLOOKUP(ReviewCalcs[[#This Row],[Project Index]], ProjectInput[], R$1, FALSE)</f>
        <v>0</v>
      </c>
      <c r="Q136" s="97">
        <f>VLOOKUP(ReviewCalcs[[#This Row],[Project Index]], ProjectInput[], S$1, FALSE)</f>
        <v>0</v>
      </c>
      <c r="R136" s="97">
        <f>VLOOKUP(ReviewCalcs[[#This Row],[Project Index]], ProjectInput[], T$1, FALSE)</f>
        <v>0</v>
      </c>
      <c r="S136" s="97">
        <f>VLOOKUP(ReviewCalcs[[#This Row],[Project Index]], ProjectInput[], U$1, FALSE)</f>
        <v>0</v>
      </c>
      <c r="T136" s="97">
        <f>VLOOKUP(ReviewCalcs[[#This Row],[Project Index]], ProjectInput[], V$1, FALSE)</f>
        <v>0</v>
      </c>
      <c r="U136" s="97">
        <f>VLOOKUP(ReviewCalcs[[#This Row],[Project Index]], ProjectInput[], W$1, FALSE)</f>
        <v>0</v>
      </c>
      <c r="V136" s="98" t="str">
        <f>VLOOKUP(ReviewCalcs[[#This Row],[Project Index]], ProjectInput[], X$1, FALSE)</f>
        <v/>
      </c>
      <c r="W1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6" s="75" t="e">
        <f>IF(VLOOKUP(ReviewCalcs[[#This Row],[Proposed Fixture Code]], Table7[[FIXTURE CODE]:[Baseline Fixture Code]], 8, FALSE)="N", "ERROR", "PASS")</f>
        <v>#N/A</v>
      </c>
      <c r="Y1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6" s="75" t="e">
        <f>IF(OR(ReviewCalcs[[#This Row],[Baseline Fixture Watts]]&gt;=ReviewCalcs[[#This Row],[Proposed Fixture Watts]],ReviewCalcs[[#This Row],[Existing Fixture Watts]]&gt;=ReviewCalcs[[#This Row],[Proposed Fixture Watts]] ), "PASS", "ERROR")</f>
        <v>#N/A</v>
      </c>
      <c r="AA136" s="69" t="e">
        <f>VLOOKUP(ReviewCalcs[[#This Row],[Space Conditions]], Table_365[], 5, FALSE)</f>
        <v>#N/A</v>
      </c>
      <c r="AB136" s="68" t="str">
        <f>ReviewCalcs[[#This Row],[Annual Hours]]</f>
        <v/>
      </c>
      <c r="AC136" s="68" t="e">
        <f>VLOOKUP(ReviewCalcs[[#This Row],[Space Conditions]], Table_365[], 6, FALSE)</f>
        <v>#N/A</v>
      </c>
      <c r="AD136" s="68">
        <f>IF(ReviewCalcs[[#This Row],[Existing Control(s)]]='Tables &amp; Ranges'!$A$25, VLOOKUP(ReviewCalcs[[#This Row],[Building/Space Type]], Table_364[], 3, FALSE), CF_Contols)</f>
        <v>0.26</v>
      </c>
      <c r="AE136" s="68" t="e">
        <f>VLOOKUP(ReviewCalcs[[#This Row],[Existing Control(s)]], Table_358[], 2, FALSE)</f>
        <v>#N/A</v>
      </c>
      <c r="AF136" s="68">
        <f>IF(ReviewCalcs[[#This Row],[Proposed Control(s)]]='Tables &amp; Ranges'!$A$25, VLOOKUP(ReviewCalcs[[#This Row],[Building/Space Type]], Table_364[], 3, FALSE), CF_Contols)</f>
        <v>0.26</v>
      </c>
      <c r="AG136" s="68" t="e">
        <f>VLOOKUP(ReviewCalcs[[#This Row],[Proposed Control(s)]], Table_358[], 2, FALSE)</f>
        <v>#N/A</v>
      </c>
      <c r="AH136" s="68">
        <f>IFERROR((ReviewCalcs[[#This Row],[Existing Fixture Quantity]]*ReviewCalcs[[#This Row],[Existing Fixture Watts]]/1000)*ReviewCalcs[[#This Row],[Existing CF]]*ReviewCalcs[[#This Row],[IEFD]], 0)</f>
        <v>0</v>
      </c>
      <c r="AI136" s="68">
        <f>IFERROR((ReviewCalcs[[#This Row],[Proposed Fixture Quantity]]*ReviewCalcs[[#This Row],[Proposed Fixture Watts]]/1000)*ReviewCalcs[[#This Row],[Existing CF]]*ReviewCalcs[[#This Row],[IEFD]], 0)</f>
        <v>0</v>
      </c>
      <c r="AJ136" s="118">
        <f>IFERROR((ReviewCalcs[[#This Row],[Existing Fixture Quantity]]*ReviewCalcs[[#This Row],[Existing Fixture Watts]]/1000-ReviewCalcs[[#This Row],[Proposed Fixture Quantity]]*ReviewCalcs[[#This Row],[Proposed Fixture Watts]]/1000)*ReviewCalcs[[#This Row],[Existing CF]]*ReviewCalcs[[#This Row],[IEFD]], 0)</f>
        <v>0</v>
      </c>
      <c r="AK136" s="118">
        <f>IFERROR((ReviewCalcs[[#This Row],[Existing Fixture Quantity]]*ReviewCalcs[[#This Row],[Existing Fixture Watts]]/1000)*ReviewCalcs[[#This Row],[AOH]]*ReviewCalcs[[#This Row],[IEFE]]*ReviewCalcs[[#This Row],[Existing PAF]], 0)</f>
        <v>0</v>
      </c>
      <c r="AL136" s="118">
        <f>IFERROR((ReviewCalcs[[#This Row],[Proposed Fixture Quantity]]*ReviewCalcs[[#This Row],[Proposed Fixture Watts]]/1000)*ReviewCalcs[[#This Row],[AOH]]*ReviewCalcs[[#This Row],[IEFE]]*ReviewCalcs[[#This Row],[Existing PAF]], 0)</f>
        <v>0</v>
      </c>
      <c r="AM1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6" s="118">
        <f>ReviewCalcs[[#This Row],[Fixture Existing Energy (kWh)]]*Avg_KWh_Rate</f>
        <v>0</v>
      </c>
      <c r="AO136" s="118">
        <f>ReviewCalcs[[#This Row],[Fixture Proposed Energy (kWh)]]*Avg_KWh_Rate</f>
        <v>0</v>
      </c>
      <c r="AP136" s="70">
        <f>ReviewCalcs[[#This Row],[Fixture Energy Savings]]*Avg_KWh_Rate</f>
        <v>0</v>
      </c>
      <c r="AQ136" s="129" t="e">
        <f>ReviewCalcs[[#This Row],[Existing Fixture Quantity]]*ReviewCalcs[[#This Row],[Existing Fixture Watts]]/1000*ReviewCalcs[[#This Row],[Existing CF]]*ReviewCalcs[[#This Row],[IEFD]]</f>
        <v>#VALUE!</v>
      </c>
      <c r="AR136" s="129" t="e">
        <f>ReviewCalcs[[#This Row],[Proposed Fixture Quantity]]*ReviewCalcs[[#This Row],[Proposed Fixture Watts]]/1000*ReviewCalcs[[#This Row],[Proposed CF]]*ReviewCalcs[[#This Row],[IEFD]]</f>
        <v>#VALUE!</v>
      </c>
      <c r="AS136" s="118">
        <f>IF(ReviewCalcs[[#This Row],[Existing CF]]=ReviewCalcs[[#This Row],[Proposed CF]], 0, ReviewCalcs[[#This Row],[Proposed Fixture Quantity]]*ReviewCalcs[[#This Row],[Proposed Fixture Watts]]/1000*ReviewCalcs[[#This Row],[Proposed CF]]*ReviewCalcs[[#This Row],[IEFD]])</f>
        <v>0</v>
      </c>
      <c r="AT136" s="118">
        <f>IFERROR(ReviewCalcs[[#This Row],[Existing Fixture Quantity]]*ReviewCalcs[[#This Row],[Existing Fixture Watts]]/1000*ReviewCalcs[[#This Row],[Existing PAF]]*ReviewCalcs[[#This Row],[AOH]]*ReviewCalcs[[#This Row],[IEFE]], 0)</f>
        <v>0</v>
      </c>
      <c r="AU136" s="118">
        <f>IFERROR(ReviewCalcs[[#This Row],[Proposed Fixture Quantity]]*ReviewCalcs[[#This Row],[Proposed Fixture Watts]]/1000*ReviewCalcs[[#This Row],[Proposed PAF]]*ReviewCalcs[[#This Row],[AOH]]*ReviewCalcs[[#This Row],[IEFE]], 0)</f>
        <v>0</v>
      </c>
      <c r="AV136" s="118">
        <f>IFERROR(ReviewCalcs[[#This Row],[Proposed Fixture Quantity]]*ReviewCalcs[[#This Row],[Proposed Fixture Watts]]/1000*(ReviewCalcs[[#This Row],[Existing PAF]]-ReviewCalcs[[#This Row],[Proposed PAF]])*ReviewCalcs[[#This Row],[AOH]]*ReviewCalcs[[#This Row],[IEFE]], 0)</f>
        <v>0</v>
      </c>
      <c r="AW136" s="118">
        <f>ReviewCalcs[[#This Row],[Control Existing Energy (kWh)]]*kWh_Incentive_Rate</f>
        <v>0</v>
      </c>
      <c r="AX136" s="118">
        <f>ReviewCalcs[[#This Row],[Control Proposed Energy (kWh)]]*kWh_Incentive_Rate</f>
        <v>0</v>
      </c>
      <c r="AY136" s="70">
        <f>ReviewCalcs[[#This Row],[Control Energy Savings (kWh)]]*kWh_Incentive_Rate</f>
        <v>0</v>
      </c>
      <c r="AZ136" s="70" t="e">
        <f>ReviewCalcs[[#This Row],[Fixture Existing Demand (kW)]]+ReviewCalcs[[#This Row],[Control Existing Demand (kW)]]</f>
        <v>#VALUE!</v>
      </c>
      <c r="BA136" s="70" t="e">
        <f>ReviewCalcs[[#This Row],[Fixture Proposed Demand (kW)]]+ReviewCalcs[[#This Row],[Control Proposed Demand (kW)]]</f>
        <v>#VALUE!</v>
      </c>
      <c r="BB136" s="118">
        <f>ReviewCalcs[[#This Row],[Fixture Demand Savings (kW)]]+ReviewCalcs[[#This Row],[Control Demand Savings (kW)]]</f>
        <v>0</v>
      </c>
      <c r="BC136" s="118">
        <f>ReviewCalcs[[#This Row],[Fixture Existing Energy (kWh)]]+ReviewCalcs[[#This Row],[Control Existing Energy (kWh)]]</f>
        <v>0</v>
      </c>
      <c r="BD136" s="118">
        <f>ReviewCalcs[[#This Row],[Fixture Proposed Energy (kWh)]]+ReviewCalcs[[#This Row],[Control Proposed Energy (kWh)]]</f>
        <v>0</v>
      </c>
      <c r="BE136" s="118">
        <f>ReviewCalcs[[#This Row],[Fixture Energy Savings]]+ReviewCalcs[[#This Row],[Control Energy Savings (kWh)]]</f>
        <v>0</v>
      </c>
      <c r="BF136" s="118">
        <f>ReviewCalcs[[#This Row],[Fixture Existing Cost ($)]]+ReviewCalcs[[#This Row],[Control Existing Cost ($)]]</f>
        <v>0</v>
      </c>
      <c r="BG136" s="118">
        <f>ReviewCalcs[[#This Row],[Fixture Proposed Cost ($)]]+ReviewCalcs[[#This Row],[Controls Proposed Cost ($)]]</f>
        <v>0</v>
      </c>
      <c r="BH136" s="70">
        <f>ReviewCalcs[[#This Row],[Total Energy Savings (kWh)]]*Avg_KWh_Rate</f>
        <v>0</v>
      </c>
      <c r="BI1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6" s="70">
        <f>ReviewCalcs[[#This Row],[Retrofit Cost]]</f>
        <v>0</v>
      </c>
      <c r="BK136" s="70">
        <f>ReviewCalcs[[#This Row],[Retrofit Cost]]-ReviewCalcs[[#This Row],[Incentive ($)]]</f>
        <v>0</v>
      </c>
      <c r="BL136" s="118" t="e">
        <f>IFERROR(ReviewCalcs[[#This Row],[Net Project Cost ($)]]/ReviewCalcs[[#This Row],[Fixture Energy Cost Savings ($)]], #N/A)</f>
        <v>#N/A</v>
      </c>
      <c r="BM136" s="118" t="e">
        <f>IF(VLOOKUP(ReviewCalcs[[#This Row],[Existing Fixture Code]], Table7[[FIXTURE CODE]:[Baseline Fixture Code]], 8, FALSE)="N", VLOOKUP(ReviewCalcs[[#This Row],[Existing Fixture Code]], Table7[[FIXTURE CODE]:[Baseline Fixture Code]], 9, FALSE), ReviewCalcs[[#This Row],[Existing Fixture Code]])</f>
        <v>#N/A</v>
      </c>
      <c r="BN136" s="118" t="e">
        <f>INDEX(Table7[WATT/ FIXT], MATCH(ReviewCalcs[Baseline Fixture Code], Table7[FIXTURE CODE], 0))</f>
        <v>#N/A</v>
      </c>
      <c r="BO136" s="118">
        <f>IFERROR((ReviewCalcs[[#This Row],[Existing Fixture Quantity]]*ReviewCalcs[[#This Row],[Baseline Fixture Watts]]/1000-ReviewCalcs[[#This Row],[Proposed Fixture Quantity]]*ReviewCalcs[[#This Row],[Proposed Fixture Watts]]/1000)*ReviewCalcs[[#This Row],[Existing CF]]*ReviewCalcs[[#This Row],[IEFD]], 0)</f>
        <v>0</v>
      </c>
      <c r="BP1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6" s="118">
        <f>IF(ReviewCalcs[[#This Row],[Existing CF]]=ReviewCalcs[[#This Row],[Proposed CF]], 0, ReviewCalcs[[#This Row],[Proposed Fixture Quantity]]*ReviewCalcs[[#This Row],[Proposed Fixture Watts]]/1000*ReviewCalcs[[#This Row],[Proposed CF]]*ReviewCalcs[[#This Row],[IEFD]])</f>
        <v>0</v>
      </c>
      <c r="BR136" s="118">
        <f>IFERROR(ReviewCalcs[[#This Row],[Proposed Fixture Quantity]]*ReviewCalcs[[#This Row],[Proposed Fixture Watts]]/1000*(ReviewCalcs[[#This Row],[Existing PAF]]-ReviewCalcs[[#This Row],[Proposed PAF]])*ReviewCalcs[[#This Row],[AOH]]*ReviewCalcs[[#This Row],[IEFE]],0)</f>
        <v>0</v>
      </c>
      <c r="BS136" s="118">
        <f>ReviewCalcs[[#This Row],[Incentive Fixture Demand Savings (kW)]]+ReviewCalcs[[#This Row],[Incentive Control Demand Savings (kW)]]</f>
        <v>0</v>
      </c>
      <c r="BT136" s="118">
        <f>ReviewCalcs[[#This Row],[Incentive Fixture Energy Savings (kWh)]]+ReviewCalcs[[#This Row],[Incentive Control Energy Savings (kWh)]]</f>
        <v>0</v>
      </c>
      <c r="BU136" s="73"/>
    </row>
    <row r="137" spans="1:73" ht="30" customHeight="1">
      <c r="A137" s="68">
        <v>134</v>
      </c>
      <c r="B137" s="96">
        <f>VLOOKUP(ReviewCalcs[[#This Row],[Project Index]], ProjectInput[], D$1, FALSE)</f>
        <v>0</v>
      </c>
      <c r="C137" s="97">
        <f>VLOOKUP(ReviewCalcs[[#This Row],[Project Index]], ProjectInput[], E$1, FALSE)</f>
        <v>0</v>
      </c>
      <c r="D137" s="97">
        <f>VLOOKUP(ReviewCalcs[[#This Row],[Project Index]], ProjectInput[], F$1, FALSE)</f>
        <v>0</v>
      </c>
      <c r="E137" s="97">
        <f>VLOOKUP(ReviewCalcs[[#This Row],[Project Index]], ProjectInput[], G$1, FALSE)</f>
        <v>0</v>
      </c>
      <c r="F137" s="97">
        <f>VLOOKUP(ReviewCalcs[[#This Row],[Project Index]], ProjectInput[], H$1, FALSE)</f>
        <v>0</v>
      </c>
      <c r="G137" s="98" t="str">
        <f>VLOOKUP(ReviewCalcs[[#This Row],[Project Index]], ProjectInput[], I$1, FALSE)</f>
        <v/>
      </c>
      <c r="H137" s="96">
        <f>VLOOKUP(ReviewCalcs[[#This Row],[Project Index]], ProjectInput[], J$1, FALSE)</f>
        <v>0</v>
      </c>
      <c r="I137" s="97">
        <f>VLOOKUP(ReviewCalcs[[#This Row],[Project Index]], ProjectInput[], K$1, FALSE)</f>
        <v>0</v>
      </c>
      <c r="J137" s="97">
        <f>VLOOKUP(ReviewCalcs[[#This Row],[Project Index]], ProjectInput[], L$1, FALSE)</f>
        <v>0</v>
      </c>
      <c r="K137" s="97">
        <f>VLOOKUP(ReviewCalcs[[#This Row],[Project Index]], ProjectInput[], M$1, FALSE)</f>
        <v>0</v>
      </c>
      <c r="L137" s="97">
        <f>VLOOKUP(ReviewCalcs[[#This Row],[Project Index]], ProjectInput[], N$1, FALSE)</f>
        <v>0</v>
      </c>
      <c r="M137" s="98" t="str">
        <f>VLOOKUP(ReviewCalcs[[#This Row],[Project Index]], ProjectInput[], O$1, FALSE)</f>
        <v/>
      </c>
      <c r="N137" s="96">
        <f>VLOOKUP(ReviewCalcs[[#This Row],[Project Index]], ProjectInput[], P$1, FALSE)</f>
        <v>0</v>
      </c>
      <c r="O137" s="97">
        <f>VLOOKUP(ReviewCalcs[[#This Row],[Project Index]], ProjectInput[], Q$1, FALSE)</f>
        <v>0</v>
      </c>
      <c r="P137" s="97">
        <f>VLOOKUP(ReviewCalcs[[#This Row],[Project Index]], ProjectInput[], R$1, FALSE)</f>
        <v>0</v>
      </c>
      <c r="Q137" s="97">
        <f>VLOOKUP(ReviewCalcs[[#This Row],[Project Index]], ProjectInput[], S$1, FALSE)</f>
        <v>0</v>
      </c>
      <c r="R137" s="97">
        <f>VLOOKUP(ReviewCalcs[[#This Row],[Project Index]], ProjectInput[], T$1, FALSE)</f>
        <v>0</v>
      </c>
      <c r="S137" s="97">
        <f>VLOOKUP(ReviewCalcs[[#This Row],[Project Index]], ProjectInput[], U$1, FALSE)</f>
        <v>0</v>
      </c>
      <c r="T137" s="97">
        <f>VLOOKUP(ReviewCalcs[[#This Row],[Project Index]], ProjectInput[], V$1, FALSE)</f>
        <v>0</v>
      </c>
      <c r="U137" s="97">
        <f>VLOOKUP(ReviewCalcs[[#This Row],[Project Index]], ProjectInput[], W$1, FALSE)</f>
        <v>0</v>
      </c>
      <c r="V137" s="98" t="str">
        <f>VLOOKUP(ReviewCalcs[[#This Row],[Project Index]], ProjectInput[], X$1, FALSE)</f>
        <v/>
      </c>
      <c r="W1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7" s="75" t="e">
        <f>IF(VLOOKUP(ReviewCalcs[[#This Row],[Proposed Fixture Code]], Table7[[FIXTURE CODE]:[Baseline Fixture Code]], 8, FALSE)="N", "ERROR", "PASS")</f>
        <v>#N/A</v>
      </c>
      <c r="Y1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7" s="75" t="e">
        <f>IF(OR(ReviewCalcs[[#This Row],[Baseline Fixture Watts]]&gt;=ReviewCalcs[[#This Row],[Proposed Fixture Watts]],ReviewCalcs[[#This Row],[Existing Fixture Watts]]&gt;=ReviewCalcs[[#This Row],[Proposed Fixture Watts]] ), "PASS", "ERROR")</f>
        <v>#N/A</v>
      </c>
      <c r="AA137" s="69" t="e">
        <f>VLOOKUP(ReviewCalcs[[#This Row],[Space Conditions]], Table_365[], 5, FALSE)</f>
        <v>#N/A</v>
      </c>
      <c r="AB137" s="68" t="str">
        <f>ReviewCalcs[[#This Row],[Annual Hours]]</f>
        <v/>
      </c>
      <c r="AC137" s="68" t="e">
        <f>VLOOKUP(ReviewCalcs[[#This Row],[Space Conditions]], Table_365[], 6, FALSE)</f>
        <v>#N/A</v>
      </c>
      <c r="AD137" s="68">
        <f>IF(ReviewCalcs[[#This Row],[Existing Control(s)]]='Tables &amp; Ranges'!$A$25, VLOOKUP(ReviewCalcs[[#This Row],[Building/Space Type]], Table_364[], 3, FALSE), CF_Contols)</f>
        <v>0.26</v>
      </c>
      <c r="AE137" s="68" t="e">
        <f>VLOOKUP(ReviewCalcs[[#This Row],[Existing Control(s)]], Table_358[], 2, FALSE)</f>
        <v>#N/A</v>
      </c>
      <c r="AF137" s="68">
        <f>IF(ReviewCalcs[[#This Row],[Proposed Control(s)]]='Tables &amp; Ranges'!$A$25, VLOOKUP(ReviewCalcs[[#This Row],[Building/Space Type]], Table_364[], 3, FALSE), CF_Contols)</f>
        <v>0.26</v>
      </c>
      <c r="AG137" s="68" t="e">
        <f>VLOOKUP(ReviewCalcs[[#This Row],[Proposed Control(s)]], Table_358[], 2, FALSE)</f>
        <v>#N/A</v>
      </c>
      <c r="AH137" s="68">
        <f>IFERROR((ReviewCalcs[[#This Row],[Existing Fixture Quantity]]*ReviewCalcs[[#This Row],[Existing Fixture Watts]]/1000)*ReviewCalcs[[#This Row],[Existing CF]]*ReviewCalcs[[#This Row],[IEFD]], 0)</f>
        <v>0</v>
      </c>
      <c r="AI137" s="68">
        <f>IFERROR((ReviewCalcs[[#This Row],[Proposed Fixture Quantity]]*ReviewCalcs[[#This Row],[Proposed Fixture Watts]]/1000)*ReviewCalcs[[#This Row],[Existing CF]]*ReviewCalcs[[#This Row],[IEFD]], 0)</f>
        <v>0</v>
      </c>
      <c r="AJ137" s="118">
        <f>IFERROR((ReviewCalcs[[#This Row],[Existing Fixture Quantity]]*ReviewCalcs[[#This Row],[Existing Fixture Watts]]/1000-ReviewCalcs[[#This Row],[Proposed Fixture Quantity]]*ReviewCalcs[[#This Row],[Proposed Fixture Watts]]/1000)*ReviewCalcs[[#This Row],[Existing CF]]*ReviewCalcs[[#This Row],[IEFD]], 0)</f>
        <v>0</v>
      </c>
      <c r="AK137" s="118">
        <f>IFERROR((ReviewCalcs[[#This Row],[Existing Fixture Quantity]]*ReviewCalcs[[#This Row],[Existing Fixture Watts]]/1000)*ReviewCalcs[[#This Row],[AOH]]*ReviewCalcs[[#This Row],[IEFE]]*ReviewCalcs[[#This Row],[Existing PAF]], 0)</f>
        <v>0</v>
      </c>
      <c r="AL137" s="118">
        <f>IFERROR((ReviewCalcs[[#This Row],[Proposed Fixture Quantity]]*ReviewCalcs[[#This Row],[Proposed Fixture Watts]]/1000)*ReviewCalcs[[#This Row],[AOH]]*ReviewCalcs[[#This Row],[IEFE]]*ReviewCalcs[[#This Row],[Existing PAF]], 0)</f>
        <v>0</v>
      </c>
      <c r="AM1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7" s="118">
        <f>ReviewCalcs[[#This Row],[Fixture Existing Energy (kWh)]]*Avg_KWh_Rate</f>
        <v>0</v>
      </c>
      <c r="AO137" s="118">
        <f>ReviewCalcs[[#This Row],[Fixture Proposed Energy (kWh)]]*Avg_KWh_Rate</f>
        <v>0</v>
      </c>
      <c r="AP137" s="70">
        <f>ReviewCalcs[[#This Row],[Fixture Energy Savings]]*Avg_KWh_Rate</f>
        <v>0</v>
      </c>
      <c r="AQ137" s="129" t="e">
        <f>ReviewCalcs[[#This Row],[Existing Fixture Quantity]]*ReviewCalcs[[#This Row],[Existing Fixture Watts]]/1000*ReviewCalcs[[#This Row],[Existing CF]]*ReviewCalcs[[#This Row],[IEFD]]</f>
        <v>#VALUE!</v>
      </c>
      <c r="AR137" s="129" t="e">
        <f>ReviewCalcs[[#This Row],[Proposed Fixture Quantity]]*ReviewCalcs[[#This Row],[Proposed Fixture Watts]]/1000*ReviewCalcs[[#This Row],[Proposed CF]]*ReviewCalcs[[#This Row],[IEFD]]</f>
        <v>#VALUE!</v>
      </c>
      <c r="AS137" s="118">
        <f>IF(ReviewCalcs[[#This Row],[Existing CF]]=ReviewCalcs[[#This Row],[Proposed CF]], 0, ReviewCalcs[[#This Row],[Proposed Fixture Quantity]]*ReviewCalcs[[#This Row],[Proposed Fixture Watts]]/1000*ReviewCalcs[[#This Row],[Proposed CF]]*ReviewCalcs[[#This Row],[IEFD]])</f>
        <v>0</v>
      </c>
      <c r="AT137" s="118">
        <f>IFERROR(ReviewCalcs[[#This Row],[Existing Fixture Quantity]]*ReviewCalcs[[#This Row],[Existing Fixture Watts]]/1000*ReviewCalcs[[#This Row],[Existing PAF]]*ReviewCalcs[[#This Row],[AOH]]*ReviewCalcs[[#This Row],[IEFE]], 0)</f>
        <v>0</v>
      </c>
      <c r="AU137" s="118">
        <f>IFERROR(ReviewCalcs[[#This Row],[Proposed Fixture Quantity]]*ReviewCalcs[[#This Row],[Proposed Fixture Watts]]/1000*ReviewCalcs[[#This Row],[Proposed PAF]]*ReviewCalcs[[#This Row],[AOH]]*ReviewCalcs[[#This Row],[IEFE]], 0)</f>
        <v>0</v>
      </c>
      <c r="AV137" s="118">
        <f>IFERROR(ReviewCalcs[[#This Row],[Proposed Fixture Quantity]]*ReviewCalcs[[#This Row],[Proposed Fixture Watts]]/1000*(ReviewCalcs[[#This Row],[Existing PAF]]-ReviewCalcs[[#This Row],[Proposed PAF]])*ReviewCalcs[[#This Row],[AOH]]*ReviewCalcs[[#This Row],[IEFE]], 0)</f>
        <v>0</v>
      </c>
      <c r="AW137" s="118">
        <f>ReviewCalcs[[#This Row],[Control Existing Energy (kWh)]]*kWh_Incentive_Rate</f>
        <v>0</v>
      </c>
      <c r="AX137" s="118">
        <f>ReviewCalcs[[#This Row],[Control Proposed Energy (kWh)]]*kWh_Incentive_Rate</f>
        <v>0</v>
      </c>
      <c r="AY137" s="70">
        <f>ReviewCalcs[[#This Row],[Control Energy Savings (kWh)]]*kWh_Incentive_Rate</f>
        <v>0</v>
      </c>
      <c r="AZ137" s="70" t="e">
        <f>ReviewCalcs[[#This Row],[Fixture Existing Demand (kW)]]+ReviewCalcs[[#This Row],[Control Existing Demand (kW)]]</f>
        <v>#VALUE!</v>
      </c>
      <c r="BA137" s="70" t="e">
        <f>ReviewCalcs[[#This Row],[Fixture Proposed Demand (kW)]]+ReviewCalcs[[#This Row],[Control Proposed Demand (kW)]]</f>
        <v>#VALUE!</v>
      </c>
      <c r="BB137" s="118">
        <f>ReviewCalcs[[#This Row],[Fixture Demand Savings (kW)]]+ReviewCalcs[[#This Row],[Control Demand Savings (kW)]]</f>
        <v>0</v>
      </c>
      <c r="BC137" s="118">
        <f>ReviewCalcs[[#This Row],[Fixture Existing Energy (kWh)]]+ReviewCalcs[[#This Row],[Control Existing Energy (kWh)]]</f>
        <v>0</v>
      </c>
      <c r="BD137" s="118">
        <f>ReviewCalcs[[#This Row],[Fixture Proposed Energy (kWh)]]+ReviewCalcs[[#This Row],[Control Proposed Energy (kWh)]]</f>
        <v>0</v>
      </c>
      <c r="BE137" s="118">
        <f>ReviewCalcs[[#This Row],[Fixture Energy Savings]]+ReviewCalcs[[#This Row],[Control Energy Savings (kWh)]]</f>
        <v>0</v>
      </c>
      <c r="BF137" s="118">
        <f>ReviewCalcs[[#This Row],[Fixture Existing Cost ($)]]+ReviewCalcs[[#This Row],[Control Existing Cost ($)]]</f>
        <v>0</v>
      </c>
      <c r="BG137" s="118">
        <f>ReviewCalcs[[#This Row],[Fixture Proposed Cost ($)]]+ReviewCalcs[[#This Row],[Controls Proposed Cost ($)]]</f>
        <v>0</v>
      </c>
      <c r="BH137" s="70">
        <f>ReviewCalcs[[#This Row],[Total Energy Savings (kWh)]]*Avg_KWh_Rate</f>
        <v>0</v>
      </c>
      <c r="BI1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7" s="70">
        <f>ReviewCalcs[[#This Row],[Retrofit Cost]]</f>
        <v>0</v>
      </c>
      <c r="BK137" s="70">
        <f>ReviewCalcs[[#This Row],[Retrofit Cost]]-ReviewCalcs[[#This Row],[Incentive ($)]]</f>
        <v>0</v>
      </c>
      <c r="BL137" s="118" t="e">
        <f>IFERROR(ReviewCalcs[[#This Row],[Net Project Cost ($)]]/ReviewCalcs[[#This Row],[Fixture Energy Cost Savings ($)]], #N/A)</f>
        <v>#N/A</v>
      </c>
      <c r="BM137" s="118" t="e">
        <f>IF(VLOOKUP(ReviewCalcs[[#This Row],[Existing Fixture Code]], Table7[[FIXTURE CODE]:[Baseline Fixture Code]], 8, FALSE)="N", VLOOKUP(ReviewCalcs[[#This Row],[Existing Fixture Code]], Table7[[FIXTURE CODE]:[Baseline Fixture Code]], 9, FALSE), ReviewCalcs[[#This Row],[Existing Fixture Code]])</f>
        <v>#N/A</v>
      </c>
      <c r="BN137" s="118" t="e">
        <f>INDEX(Table7[WATT/ FIXT], MATCH(ReviewCalcs[Baseline Fixture Code], Table7[FIXTURE CODE], 0))</f>
        <v>#N/A</v>
      </c>
      <c r="BO137" s="118">
        <f>IFERROR((ReviewCalcs[[#This Row],[Existing Fixture Quantity]]*ReviewCalcs[[#This Row],[Baseline Fixture Watts]]/1000-ReviewCalcs[[#This Row],[Proposed Fixture Quantity]]*ReviewCalcs[[#This Row],[Proposed Fixture Watts]]/1000)*ReviewCalcs[[#This Row],[Existing CF]]*ReviewCalcs[[#This Row],[IEFD]], 0)</f>
        <v>0</v>
      </c>
      <c r="BP1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7" s="118">
        <f>IF(ReviewCalcs[[#This Row],[Existing CF]]=ReviewCalcs[[#This Row],[Proposed CF]], 0, ReviewCalcs[[#This Row],[Proposed Fixture Quantity]]*ReviewCalcs[[#This Row],[Proposed Fixture Watts]]/1000*ReviewCalcs[[#This Row],[Proposed CF]]*ReviewCalcs[[#This Row],[IEFD]])</f>
        <v>0</v>
      </c>
      <c r="BR137" s="118">
        <f>IFERROR(ReviewCalcs[[#This Row],[Proposed Fixture Quantity]]*ReviewCalcs[[#This Row],[Proposed Fixture Watts]]/1000*(ReviewCalcs[[#This Row],[Existing PAF]]-ReviewCalcs[[#This Row],[Proposed PAF]])*ReviewCalcs[[#This Row],[AOH]]*ReviewCalcs[[#This Row],[IEFE]],0)</f>
        <v>0</v>
      </c>
      <c r="BS137" s="118">
        <f>ReviewCalcs[[#This Row],[Incentive Fixture Demand Savings (kW)]]+ReviewCalcs[[#This Row],[Incentive Control Demand Savings (kW)]]</f>
        <v>0</v>
      </c>
      <c r="BT137" s="118">
        <f>ReviewCalcs[[#This Row],[Incentive Fixture Energy Savings (kWh)]]+ReviewCalcs[[#This Row],[Incentive Control Energy Savings (kWh)]]</f>
        <v>0</v>
      </c>
      <c r="BU137" s="73"/>
    </row>
    <row r="138" spans="1:73" ht="30" customHeight="1">
      <c r="A138" s="68">
        <v>135</v>
      </c>
      <c r="B138" s="96">
        <f>VLOOKUP(ReviewCalcs[[#This Row],[Project Index]], ProjectInput[], D$1, FALSE)</f>
        <v>0</v>
      </c>
      <c r="C138" s="97">
        <f>VLOOKUP(ReviewCalcs[[#This Row],[Project Index]], ProjectInput[], E$1, FALSE)</f>
        <v>0</v>
      </c>
      <c r="D138" s="97">
        <f>VLOOKUP(ReviewCalcs[[#This Row],[Project Index]], ProjectInput[], F$1, FALSE)</f>
        <v>0</v>
      </c>
      <c r="E138" s="97">
        <f>VLOOKUP(ReviewCalcs[[#This Row],[Project Index]], ProjectInput[], G$1, FALSE)</f>
        <v>0</v>
      </c>
      <c r="F138" s="97">
        <f>VLOOKUP(ReviewCalcs[[#This Row],[Project Index]], ProjectInput[], H$1, FALSE)</f>
        <v>0</v>
      </c>
      <c r="G138" s="98" t="str">
        <f>VLOOKUP(ReviewCalcs[[#This Row],[Project Index]], ProjectInput[], I$1, FALSE)</f>
        <v/>
      </c>
      <c r="H138" s="96">
        <f>VLOOKUP(ReviewCalcs[[#This Row],[Project Index]], ProjectInput[], J$1, FALSE)</f>
        <v>0</v>
      </c>
      <c r="I138" s="97">
        <f>VLOOKUP(ReviewCalcs[[#This Row],[Project Index]], ProjectInput[], K$1, FALSE)</f>
        <v>0</v>
      </c>
      <c r="J138" s="97">
        <f>VLOOKUP(ReviewCalcs[[#This Row],[Project Index]], ProjectInput[], L$1, FALSE)</f>
        <v>0</v>
      </c>
      <c r="K138" s="97">
        <f>VLOOKUP(ReviewCalcs[[#This Row],[Project Index]], ProjectInput[], M$1, FALSE)</f>
        <v>0</v>
      </c>
      <c r="L138" s="97">
        <f>VLOOKUP(ReviewCalcs[[#This Row],[Project Index]], ProjectInput[], N$1, FALSE)</f>
        <v>0</v>
      </c>
      <c r="M138" s="98" t="str">
        <f>VLOOKUP(ReviewCalcs[[#This Row],[Project Index]], ProjectInput[], O$1, FALSE)</f>
        <v/>
      </c>
      <c r="N138" s="96">
        <f>VLOOKUP(ReviewCalcs[[#This Row],[Project Index]], ProjectInput[], P$1, FALSE)</f>
        <v>0</v>
      </c>
      <c r="O138" s="97">
        <f>VLOOKUP(ReviewCalcs[[#This Row],[Project Index]], ProjectInput[], Q$1, FALSE)</f>
        <v>0</v>
      </c>
      <c r="P138" s="97">
        <f>VLOOKUP(ReviewCalcs[[#This Row],[Project Index]], ProjectInput[], R$1, FALSE)</f>
        <v>0</v>
      </c>
      <c r="Q138" s="97">
        <f>VLOOKUP(ReviewCalcs[[#This Row],[Project Index]], ProjectInput[], S$1, FALSE)</f>
        <v>0</v>
      </c>
      <c r="R138" s="97">
        <f>VLOOKUP(ReviewCalcs[[#This Row],[Project Index]], ProjectInput[], T$1, FALSE)</f>
        <v>0</v>
      </c>
      <c r="S138" s="97">
        <f>VLOOKUP(ReviewCalcs[[#This Row],[Project Index]], ProjectInput[], U$1, FALSE)</f>
        <v>0</v>
      </c>
      <c r="T138" s="97">
        <f>VLOOKUP(ReviewCalcs[[#This Row],[Project Index]], ProjectInput[], V$1, FALSE)</f>
        <v>0</v>
      </c>
      <c r="U138" s="97">
        <f>VLOOKUP(ReviewCalcs[[#This Row],[Project Index]], ProjectInput[], W$1, FALSE)</f>
        <v>0</v>
      </c>
      <c r="V138" s="98" t="str">
        <f>VLOOKUP(ReviewCalcs[[#This Row],[Project Index]], ProjectInput[], X$1, FALSE)</f>
        <v/>
      </c>
      <c r="W1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8" s="75" t="e">
        <f>IF(VLOOKUP(ReviewCalcs[[#This Row],[Proposed Fixture Code]], Table7[[FIXTURE CODE]:[Baseline Fixture Code]], 8, FALSE)="N", "ERROR", "PASS")</f>
        <v>#N/A</v>
      </c>
      <c r="Y1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8" s="75" t="e">
        <f>IF(OR(ReviewCalcs[[#This Row],[Baseline Fixture Watts]]&gt;=ReviewCalcs[[#This Row],[Proposed Fixture Watts]],ReviewCalcs[[#This Row],[Existing Fixture Watts]]&gt;=ReviewCalcs[[#This Row],[Proposed Fixture Watts]] ), "PASS", "ERROR")</f>
        <v>#N/A</v>
      </c>
      <c r="AA138" s="69" t="e">
        <f>VLOOKUP(ReviewCalcs[[#This Row],[Space Conditions]], Table_365[], 5, FALSE)</f>
        <v>#N/A</v>
      </c>
      <c r="AB138" s="68" t="str">
        <f>ReviewCalcs[[#This Row],[Annual Hours]]</f>
        <v/>
      </c>
      <c r="AC138" s="68" t="e">
        <f>VLOOKUP(ReviewCalcs[[#This Row],[Space Conditions]], Table_365[], 6, FALSE)</f>
        <v>#N/A</v>
      </c>
      <c r="AD138" s="68">
        <f>IF(ReviewCalcs[[#This Row],[Existing Control(s)]]='Tables &amp; Ranges'!$A$25, VLOOKUP(ReviewCalcs[[#This Row],[Building/Space Type]], Table_364[], 3, FALSE), CF_Contols)</f>
        <v>0.26</v>
      </c>
      <c r="AE138" s="68" t="e">
        <f>VLOOKUP(ReviewCalcs[[#This Row],[Existing Control(s)]], Table_358[], 2, FALSE)</f>
        <v>#N/A</v>
      </c>
      <c r="AF138" s="68">
        <f>IF(ReviewCalcs[[#This Row],[Proposed Control(s)]]='Tables &amp; Ranges'!$A$25, VLOOKUP(ReviewCalcs[[#This Row],[Building/Space Type]], Table_364[], 3, FALSE), CF_Contols)</f>
        <v>0.26</v>
      </c>
      <c r="AG138" s="68" t="e">
        <f>VLOOKUP(ReviewCalcs[[#This Row],[Proposed Control(s)]], Table_358[], 2, FALSE)</f>
        <v>#N/A</v>
      </c>
      <c r="AH138" s="68">
        <f>IFERROR((ReviewCalcs[[#This Row],[Existing Fixture Quantity]]*ReviewCalcs[[#This Row],[Existing Fixture Watts]]/1000)*ReviewCalcs[[#This Row],[Existing CF]]*ReviewCalcs[[#This Row],[IEFD]], 0)</f>
        <v>0</v>
      </c>
      <c r="AI138" s="68">
        <f>IFERROR((ReviewCalcs[[#This Row],[Proposed Fixture Quantity]]*ReviewCalcs[[#This Row],[Proposed Fixture Watts]]/1000)*ReviewCalcs[[#This Row],[Existing CF]]*ReviewCalcs[[#This Row],[IEFD]], 0)</f>
        <v>0</v>
      </c>
      <c r="AJ138" s="118">
        <f>IFERROR((ReviewCalcs[[#This Row],[Existing Fixture Quantity]]*ReviewCalcs[[#This Row],[Existing Fixture Watts]]/1000-ReviewCalcs[[#This Row],[Proposed Fixture Quantity]]*ReviewCalcs[[#This Row],[Proposed Fixture Watts]]/1000)*ReviewCalcs[[#This Row],[Existing CF]]*ReviewCalcs[[#This Row],[IEFD]], 0)</f>
        <v>0</v>
      </c>
      <c r="AK138" s="118">
        <f>IFERROR((ReviewCalcs[[#This Row],[Existing Fixture Quantity]]*ReviewCalcs[[#This Row],[Existing Fixture Watts]]/1000)*ReviewCalcs[[#This Row],[AOH]]*ReviewCalcs[[#This Row],[IEFE]]*ReviewCalcs[[#This Row],[Existing PAF]], 0)</f>
        <v>0</v>
      </c>
      <c r="AL138" s="118">
        <f>IFERROR((ReviewCalcs[[#This Row],[Proposed Fixture Quantity]]*ReviewCalcs[[#This Row],[Proposed Fixture Watts]]/1000)*ReviewCalcs[[#This Row],[AOH]]*ReviewCalcs[[#This Row],[IEFE]]*ReviewCalcs[[#This Row],[Existing PAF]], 0)</f>
        <v>0</v>
      </c>
      <c r="AM1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8" s="118">
        <f>ReviewCalcs[[#This Row],[Fixture Existing Energy (kWh)]]*Avg_KWh_Rate</f>
        <v>0</v>
      </c>
      <c r="AO138" s="118">
        <f>ReviewCalcs[[#This Row],[Fixture Proposed Energy (kWh)]]*Avg_KWh_Rate</f>
        <v>0</v>
      </c>
      <c r="AP138" s="70">
        <f>ReviewCalcs[[#This Row],[Fixture Energy Savings]]*Avg_KWh_Rate</f>
        <v>0</v>
      </c>
      <c r="AQ138" s="129" t="e">
        <f>ReviewCalcs[[#This Row],[Existing Fixture Quantity]]*ReviewCalcs[[#This Row],[Existing Fixture Watts]]/1000*ReviewCalcs[[#This Row],[Existing CF]]*ReviewCalcs[[#This Row],[IEFD]]</f>
        <v>#VALUE!</v>
      </c>
      <c r="AR138" s="129" t="e">
        <f>ReviewCalcs[[#This Row],[Proposed Fixture Quantity]]*ReviewCalcs[[#This Row],[Proposed Fixture Watts]]/1000*ReviewCalcs[[#This Row],[Proposed CF]]*ReviewCalcs[[#This Row],[IEFD]]</f>
        <v>#VALUE!</v>
      </c>
      <c r="AS138" s="118">
        <f>IF(ReviewCalcs[[#This Row],[Existing CF]]=ReviewCalcs[[#This Row],[Proposed CF]], 0, ReviewCalcs[[#This Row],[Proposed Fixture Quantity]]*ReviewCalcs[[#This Row],[Proposed Fixture Watts]]/1000*ReviewCalcs[[#This Row],[Proposed CF]]*ReviewCalcs[[#This Row],[IEFD]])</f>
        <v>0</v>
      </c>
      <c r="AT138" s="118">
        <f>IFERROR(ReviewCalcs[[#This Row],[Existing Fixture Quantity]]*ReviewCalcs[[#This Row],[Existing Fixture Watts]]/1000*ReviewCalcs[[#This Row],[Existing PAF]]*ReviewCalcs[[#This Row],[AOH]]*ReviewCalcs[[#This Row],[IEFE]], 0)</f>
        <v>0</v>
      </c>
      <c r="AU138" s="118">
        <f>IFERROR(ReviewCalcs[[#This Row],[Proposed Fixture Quantity]]*ReviewCalcs[[#This Row],[Proposed Fixture Watts]]/1000*ReviewCalcs[[#This Row],[Proposed PAF]]*ReviewCalcs[[#This Row],[AOH]]*ReviewCalcs[[#This Row],[IEFE]], 0)</f>
        <v>0</v>
      </c>
      <c r="AV138" s="118">
        <f>IFERROR(ReviewCalcs[[#This Row],[Proposed Fixture Quantity]]*ReviewCalcs[[#This Row],[Proposed Fixture Watts]]/1000*(ReviewCalcs[[#This Row],[Existing PAF]]-ReviewCalcs[[#This Row],[Proposed PAF]])*ReviewCalcs[[#This Row],[AOH]]*ReviewCalcs[[#This Row],[IEFE]], 0)</f>
        <v>0</v>
      </c>
      <c r="AW138" s="118">
        <f>ReviewCalcs[[#This Row],[Control Existing Energy (kWh)]]*kWh_Incentive_Rate</f>
        <v>0</v>
      </c>
      <c r="AX138" s="118">
        <f>ReviewCalcs[[#This Row],[Control Proposed Energy (kWh)]]*kWh_Incentive_Rate</f>
        <v>0</v>
      </c>
      <c r="AY138" s="70">
        <f>ReviewCalcs[[#This Row],[Control Energy Savings (kWh)]]*kWh_Incentive_Rate</f>
        <v>0</v>
      </c>
      <c r="AZ138" s="70" t="e">
        <f>ReviewCalcs[[#This Row],[Fixture Existing Demand (kW)]]+ReviewCalcs[[#This Row],[Control Existing Demand (kW)]]</f>
        <v>#VALUE!</v>
      </c>
      <c r="BA138" s="70" t="e">
        <f>ReviewCalcs[[#This Row],[Fixture Proposed Demand (kW)]]+ReviewCalcs[[#This Row],[Control Proposed Demand (kW)]]</f>
        <v>#VALUE!</v>
      </c>
      <c r="BB138" s="118">
        <f>ReviewCalcs[[#This Row],[Fixture Demand Savings (kW)]]+ReviewCalcs[[#This Row],[Control Demand Savings (kW)]]</f>
        <v>0</v>
      </c>
      <c r="BC138" s="118">
        <f>ReviewCalcs[[#This Row],[Fixture Existing Energy (kWh)]]+ReviewCalcs[[#This Row],[Control Existing Energy (kWh)]]</f>
        <v>0</v>
      </c>
      <c r="BD138" s="118">
        <f>ReviewCalcs[[#This Row],[Fixture Proposed Energy (kWh)]]+ReviewCalcs[[#This Row],[Control Proposed Energy (kWh)]]</f>
        <v>0</v>
      </c>
      <c r="BE138" s="118">
        <f>ReviewCalcs[[#This Row],[Fixture Energy Savings]]+ReviewCalcs[[#This Row],[Control Energy Savings (kWh)]]</f>
        <v>0</v>
      </c>
      <c r="BF138" s="118">
        <f>ReviewCalcs[[#This Row],[Fixture Existing Cost ($)]]+ReviewCalcs[[#This Row],[Control Existing Cost ($)]]</f>
        <v>0</v>
      </c>
      <c r="BG138" s="118">
        <f>ReviewCalcs[[#This Row],[Fixture Proposed Cost ($)]]+ReviewCalcs[[#This Row],[Controls Proposed Cost ($)]]</f>
        <v>0</v>
      </c>
      <c r="BH138" s="70">
        <f>ReviewCalcs[[#This Row],[Total Energy Savings (kWh)]]*Avg_KWh_Rate</f>
        <v>0</v>
      </c>
      <c r="BI1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8" s="70">
        <f>ReviewCalcs[[#This Row],[Retrofit Cost]]</f>
        <v>0</v>
      </c>
      <c r="BK138" s="70">
        <f>ReviewCalcs[[#This Row],[Retrofit Cost]]-ReviewCalcs[[#This Row],[Incentive ($)]]</f>
        <v>0</v>
      </c>
      <c r="BL138" s="118" t="e">
        <f>IFERROR(ReviewCalcs[[#This Row],[Net Project Cost ($)]]/ReviewCalcs[[#This Row],[Fixture Energy Cost Savings ($)]], #N/A)</f>
        <v>#N/A</v>
      </c>
      <c r="BM138" s="118" t="e">
        <f>IF(VLOOKUP(ReviewCalcs[[#This Row],[Existing Fixture Code]], Table7[[FIXTURE CODE]:[Baseline Fixture Code]], 8, FALSE)="N", VLOOKUP(ReviewCalcs[[#This Row],[Existing Fixture Code]], Table7[[FIXTURE CODE]:[Baseline Fixture Code]], 9, FALSE), ReviewCalcs[[#This Row],[Existing Fixture Code]])</f>
        <v>#N/A</v>
      </c>
      <c r="BN138" s="118" t="e">
        <f>INDEX(Table7[WATT/ FIXT], MATCH(ReviewCalcs[Baseline Fixture Code], Table7[FIXTURE CODE], 0))</f>
        <v>#N/A</v>
      </c>
      <c r="BO138" s="118">
        <f>IFERROR((ReviewCalcs[[#This Row],[Existing Fixture Quantity]]*ReviewCalcs[[#This Row],[Baseline Fixture Watts]]/1000-ReviewCalcs[[#This Row],[Proposed Fixture Quantity]]*ReviewCalcs[[#This Row],[Proposed Fixture Watts]]/1000)*ReviewCalcs[[#This Row],[Existing CF]]*ReviewCalcs[[#This Row],[IEFD]], 0)</f>
        <v>0</v>
      </c>
      <c r="BP1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8" s="118">
        <f>IF(ReviewCalcs[[#This Row],[Existing CF]]=ReviewCalcs[[#This Row],[Proposed CF]], 0, ReviewCalcs[[#This Row],[Proposed Fixture Quantity]]*ReviewCalcs[[#This Row],[Proposed Fixture Watts]]/1000*ReviewCalcs[[#This Row],[Proposed CF]]*ReviewCalcs[[#This Row],[IEFD]])</f>
        <v>0</v>
      </c>
      <c r="BR138" s="118">
        <f>IFERROR(ReviewCalcs[[#This Row],[Proposed Fixture Quantity]]*ReviewCalcs[[#This Row],[Proposed Fixture Watts]]/1000*(ReviewCalcs[[#This Row],[Existing PAF]]-ReviewCalcs[[#This Row],[Proposed PAF]])*ReviewCalcs[[#This Row],[AOH]]*ReviewCalcs[[#This Row],[IEFE]],0)</f>
        <v>0</v>
      </c>
      <c r="BS138" s="118">
        <f>ReviewCalcs[[#This Row],[Incentive Fixture Demand Savings (kW)]]+ReviewCalcs[[#This Row],[Incentive Control Demand Savings (kW)]]</f>
        <v>0</v>
      </c>
      <c r="BT138" s="118">
        <f>ReviewCalcs[[#This Row],[Incentive Fixture Energy Savings (kWh)]]+ReviewCalcs[[#This Row],[Incentive Control Energy Savings (kWh)]]</f>
        <v>0</v>
      </c>
      <c r="BU138" s="73"/>
    </row>
    <row r="139" spans="1:73" ht="30" customHeight="1">
      <c r="A139" s="68">
        <v>136</v>
      </c>
      <c r="B139" s="96">
        <f>VLOOKUP(ReviewCalcs[[#This Row],[Project Index]], ProjectInput[], D$1, FALSE)</f>
        <v>0</v>
      </c>
      <c r="C139" s="97">
        <f>VLOOKUP(ReviewCalcs[[#This Row],[Project Index]], ProjectInput[], E$1, FALSE)</f>
        <v>0</v>
      </c>
      <c r="D139" s="97">
        <f>VLOOKUP(ReviewCalcs[[#This Row],[Project Index]], ProjectInput[], F$1, FALSE)</f>
        <v>0</v>
      </c>
      <c r="E139" s="97">
        <f>VLOOKUP(ReviewCalcs[[#This Row],[Project Index]], ProjectInput[], G$1, FALSE)</f>
        <v>0</v>
      </c>
      <c r="F139" s="97">
        <f>VLOOKUP(ReviewCalcs[[#This Row],[Project Index]], ProjectInput[], H$1, FALSE)</f>
        <v>0</v>
      </c>
      <c r="G139" s="98" t="str">
        <f>VLOOKUP(ReviewCalcs[[#This Row],[Project Index]], ProjectInput[], I$1, FALSE)</f>
        <v/>
      </c>
      <c r="H139" s="96">
        <f>VLOOKUP(ReviewCalcs[[#This Row],[Project Index]], ProjectInput[], J$1, FALSE)</f>
        <v>0</v>
      </c>
      <c r="I139" s="97">
        <f>VLOOKUP(ReviewCalcs[[#This Row],[Project Index]], ProjectInput[], K$1, FALSE)</f>
        <v>0</v>
      </c>
      <c r="J139" s="97">
        <f>VLOOKUP(ReviewCalcs[[#This Row],[Project Index]], ProjectInput[], L$1, FALSE)</f>
        <v>0</v>
      </c>
      <c r="K139" s="97">
        <f>VLOOKUP(ReviewCalcs[[#This Row],[Project Index]], ProjectInput[], M$1, FALSE)</f>
        <v>0</v>
      </c>
      <c r="L139" s="97">
        <f>VLOOKUP(ReviewCalcs[[#This Row],[Project Index]], ProjectInput[], N$1, FALSE)</f>
        <v>0</v>
      </c>
      <c r="M139" s="98" t="str">
        <f>VLOOKUP(ReviewCalcs[[#This Row],[Project Index]], ProjectInput[], O$1, FALSE)</f>
        <v/>
      </c>
      <c r="N139" s="96">
        <f>VLOOKUP(ReviewCalcs[[#This Row],[Project Index]], ProjectInput[], P$1, FALSE)</f>
        <v>0</v>
      </c>
      <c r="O139" s="97">
        <f>VLOOKUP(ReviewCalcs[[#This Row],[Project Index]], ProjectInput[], Q$1, FALSE)</f>
        <v>0</v>
      </c>
      <c r="P139" s="97">
        <f>VLOOKUP(ReviewCalcs[[#This Row],[Project Index]], ProjectInput[], R$1, FALSE)</f>
        <v>0</v>
      </c>
      <c r="Q139" s="97">
        <f>VLOOKUP(ReviewCalcs[[#This Row],[Project Index]], ProjectInput[], S$1, FALSE)</f>
        <v>0</v>
      </c>
      <c r="R139" s="97">
        <f>VLOOKUP(ReviewCalcs[[#This Row],[Project Index]], ProjectInput[], T$1, FALSE)</f>
        <v>0</v>
      </c>
      <c r="S139" s="97">
        <f>VLOOKUP(ReviewCalcs[[#This Row],[Project Index]], ProjectInput[], U$1, FALSE)</f>
        <v>0</v>
      </c>
      <c r="T139" s="97">
        <f>VLOOKUP(ReviewCalcs[[#This Row],[Project Index]], ProjectInput[], V$1, FALSE)</f>
        <v>0</v>
      </c>
      <c r="U139" s="97">
        <f>VLOOKUP(ReviewCalcs[[#This Row],[Project Index]], ProjectInput[], W$1, FALSE)</f>
        <v>0</v>
      </c>
      <c r="V139" s="98" t="str">
        <f>VLOOKUP(ReviewCalcs[[#This Row],[Project Index]], ProjectInput[], X$1, FALSE)</f>
        <v/>
      </c>
      <c r="W1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39" s="75" t="e">
        <f>IF(VLOOKUP(ReviewCalcs[[#This Row],[Proposed Fixture Code]], Table7[[FIXTURE CODE]:[Baseline Fixture Code]], 8, FALSE)="N", "ERROR", "PASS")</f>
        <v>#N/A</v>
      </c>
      <c r="Y1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39" s="75" t="e">
        <f>IF(OR(ReviewCalcs[[#This Row],[Baseline Fixture Watts]]&gt;=ReviewCalcs[[#This Row],[Proposed Fixture Watts]],ReviewCalcs[[#This Row],[Existing Fixture Watts]]&gt;=ReviewCalcs[[#This Row],[Proposed Fixture Watts]] ), "PASS", "ERROR")</f>
        <v>#N/A</v>
      </c>
      <c r="AA139" s="69" t="e">
        <f>VLOOKUP(ReviewCalcs[[#This Row],[Space Conditions]], Table_365[], 5, FALSE)</f>
        <v>#N/A</v>
      </c>
      <c r="AB139" s="68" t="str">
        <f>ReviewCalcs[[#This Row],[Annual Hours]]</f>
        <v/>
      </c>
      <c r="AC139" s="68" t="e">
        <f>VLOOKUP(ReviewCalcs[[#This Row],[Space Conditions]], Table_365[], 6, FALSE)</f>
        <v>#N/A</v>
      </c>
      <c r="AD139" s="68">
        <f>IF(ReviewCalcs[[#This Row],[Existing Control(s)]]='Tables &amp; Ranges'!$A$25, VLOOKUP(ReviewCalcs[[#This Row],[Building/Space Type]], Table_364[], 3, FALSE), CF_Contols)</f>
        <v>0.26</v>
      </c>
      <c r="AE139" s="68" t="e">
        <f>VLOOKUP(ReviewCalcs[[#This Row],[Existing Control(s)]], Table_358[], 2, FALSE)</f>
        <v>#N/A</v>
      </c>
      <c r="AF139" s="68">
        <f>IF(ReviewCalcs[[#This Row],[Proposed Control(s)]]='Tables &amp; Ranges'!$A$25, VLOOKUP(ReviewCalcs[[#This Row],[Building/Space Type]], Table_364[], 3, FALSE), CF_Contols)</f>
        <v>0.26</v>
      </c>
      <c r="AG139" s="68" t="e">
        <f>VLOOKUP(ReviewCalcs[[#This Row],[Proposed Control(s)]], Table_358[], 2, FALSE)</f>
        <v>#N/A</v>
      </c>
      <c r="AH139" s="68">
        <f>IFERROR((ReviewCalcs[[#This Row],[Existing Fixture Quantity]]*ReviewCalcs[[#This Row],[Existing Fixture Watts]]/1000)*ReviewCalcs[[#This Row],[Existing CF]]*ReviewCalcs[[#This Row],[IEFD]], 0)</f>
        <v>0</v>
      </c>
      <c r="AI139" s="68">
        <f>IFERROR((ReviewCalcs[[#This Row],[Proposed Fixture Quantity]]*ReviewCalcs[[#This Row],[Proposed Fixture Watts]]/1000)*ReviewCalcs[[#This Row],[Existing CF]]*ReviewCalcs[[#This Row],[IEFD]], 0)</f>
        <v>0</v>
      </c>
      <c r="AJ139" s="118">
        <f>IFERROR((ReviewCalcs[[#This Row],[Existing Fixture Quantity]]*ReviewCalcs[[#This Row],[Existing Fixture Watts]]/1000-ReviewCalcs[[#This Row],[Proposed Fixture Quantity]]*ReviewCalcs[[#This Row],[Proposed Fixture Watts]]/1000)*ReviewCalcs[[#This Row],[Existing CF]]*ReviewCalcs[[#This Row],[IEFD]], 0)</f>
        <v>0</v>
      </c>
      <c r="AK139" s="118">
        <f>IFERROR((ReviewCalcs[[#This Row],[Existing Fixture Quantity]]*ReviewCalcs[[#This Row],[Existing Fixture Watts]]/1000)*ReviewCalcs[[#This Row],[AOH]]*ReviewCalcs[[#This Row],[IEFE]]*ReviewCalcs[[#This Row],[Existing PAF]], 0)</f>
        <v>0</v>
      </c>
      <c r="AL139" s="118">
        <f>IFERROR((ReviewCalcs[[#This Row],[Proposed Fixture Quantity]]*ReviewCalcs[[#This Row],[Proposed Fixture Watts]]/1000)*ReviewCalcs[[#This Row],[AOH]]*ReviewCalcs[[#This Row],[IEFE]]*ReviewCalcs[[#This Row],[Existing PAF]], 0)</f>
        <v>0</v>
      </c>
      <c r="AM1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39" s="118">
        <f>ReviewCalcs[[#This Row],[Fixture Existing Energy (kWh)]]*Avg_KWh_Rate</f>
        <v>0</v>
      </c>
      <c r="AO139" s="118">
        <f>ReviewCalcs[[#This Row],[Fixture Proposed Energy (kWh)]]*Avg_KWh_Rate</f>
        <v>0</v>
      </c>
      <c r="AP139" s="70">
        <f>ReviewCalcs[[#This Row],[Fixture Energy Savings]]*Avg_KWh_Rate</f>
        <v>0</v>
      </c>
      <c r="AQ139" s="129" t="e">
        <f>ReviewCalcs[[#This Row],[Existing Fixture Quantity]]*ReviewCalcs[[#This Row],[Existing Fixture Watts]]/1000*ReviewCalcs[[#This Row],[Existing CF]]*ReviewCalcs[[#This Row],[IEFD]]</f>
        <v>#VALUE!</v>
      </c>
      <c r="AR139" s="129" t="e">
        <f>ReviewCalcs[[#This Row],[Proposed Fixture Quantity]]*ReviewCalcs[[#This Row],[Proposed Fixture Watts]]/1000*ReviewCalcs[[#This Row],[Proposed CF]]*ReviewCalcs[[#This Row],[IEFD]]</f>
        <v>#VALUE!</v>
      </c>
      <c r="AS139" s="118">
        <f>IF(ReviewCalcs[[#This Row],[Existing CF]]=ReviewCalcs[[#This Row],[Proposed CF]], 0, ReviewCalcs[[#This Row],[Proposed Fixture Quantity]]*ReviewCalcs[[#This Row],[Proposed Fixture Watts]]/1000*ReviewCalcs[[#This Row],[Proposed CF]]*ReviewCalcs[[#This Row],[IEFD]])</f>
        <v>0</v>
      </c>
      <c r="AT139" s="118">
        <f>IFERROR(ReviewCalcs[[#This Row],[Existing Fixture Quantity]]*ReviewCalcs[[#This Row],[Existing Fixture Watts]]/1000*ReviewCalcs[[#This Row],[Existing PAF]]*ReviewCalcs[[#This Row],[AOH]]*ReviewCalcs[[#This Row],[IEFE]], 0)</f>
        <v>0</v>
      </c>
      <c r="AU139" s="118">
        <f>IFERROR(ReviewCalcs[[#This Row],[Proposed Fixture Quantity]]*ReviewCalcs[[#This Row],[Proposed Fixture Watts]]/1000*ReviewCalcs[[#This Row],[Proposed PAF]]*ReviewCalcs[[#This Row],[AOH]]*ReviewCalcs[[#This Row],[IEFE]], 0)</f>
        <v>0</v>
      </c>
      <c r="AV139" s="118">
        <f>IFERROR(ReviewCalcs[[#This Row],[Proposed Fixture Quantity]]*ReviewCalcs[[#This Row],[Proposed Fixture Watts]]/1000*(ReviewCalcs[[#This Row],[Existing PAF]]-ReviewCalcs[[#This Row],[Proposed PAF]])*ReviewCalcs[[#This Row],[AOH]]*ReviewCalcs[[#This Row],[IEFE]], 0)</f>
        <v>0</v>
      </c>
      <c r="AW139" s="118">
        <f>ReviewCalcs[[#This Row],[Control Existing Energy (kWh)]]*kWh_Incentive_Rate</f>
        <v>0</v>
      </c>
      <c r="AX139" s="118">
        <f>ReviewCalcs[[#This Row],[Control Proposed Energy (kWh)]]*kWh_Incentive_Rate</f>
        <v>0</v>
      </c>
      <c r="AY139" s="70">
        <f>ReviewCalcs[[#This Row],[Control Energy Savings (kWh)]]*kWh_Incentive_Rate</f>
        <v>0</v>
      </c>
      <c r="AZ139" s="70" t="e">
        <f>ReviewCalcs[[#This Row],[Fixture Existing Demand (kW)]]+ReviewCalcs[[#This Row],[Control Existing Demand (kW)]]</f>
        <v>#VALUE!</v>
      </c>
      <c r="BA139" s="70" t="e">
        <f>ReviewCalcs[[#This Row],[Fixture Proposed Demand (kW)]]+ReviewCalcs[[#This Row],[Control Proposed Demand (kW)]]</f>
        <v>#VALUE!</v>
      </c>
      <c r="BB139" s="118">
        <f>ReviewCalcs[[#This Row],[Fixture Demand Savings (kW)]]+ReviewCalcs[[#This Row],[Control Demand Savings (kW)]]</f>
        <v>0</v>
      </c>
      <c r="BC139" s="118">
        <f>ReviewCalcs[[#This Row],[Fixture Existing Energy (kWh)]]+ReviewCalcs[[#This Row],[Control Existing Energy (kWh)]]</f>
        <v>0</v>
      </c>
      <c r="BD139" s="118">
        <f>ReviewCalcs[[#This Row],[Fixture Proposed Energy (kWh)]]+ReviewCalcs[[#This Row],[Control Proposed Energy (kWh)]]</f>
        <v>0</v>
      </c>
      <c r="BE139" s="118">
        <f>ReviewCalcs[[#This Row],[Fixture Energy Savings]]+ReviewCalcs[[#This Row],[Control Energy Savings (kWh)]]</f>
        <v>0</v>
      </c>
      <c r="BF139" s="118">
        <f>ReviewCalcs[[#This Row],[Fixture Existing Cost ($)]]+ReviewCalcs[[#This Row],[Control Existing Cost ($)]]</f>
        <v>0</v>
      </c>
      <c r="BG139" s="118">
        <f>ReviewCalcs[[#This Row],[Fixture Proposed Cost ($)]]+ReviewCalcs[[#This Row],[Controls Proposed Cost ($)]]</f>
        <v>0</v>
      </c>
      <c r="BH139" s="70">
        <f>ReviewCalcs[[#This Row],[Total Energy Savings (kWh)]]*Avg_KWh_Rate</f>
        <v>0</v>
      </c>
      <c r="BI1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39" s="70">
        <f>ReviewCalcs[[#This Row],[Retrofit Cost]]</f>
        <v>0</v>
      </c>
      <c r="BK139" s="70">
        <f>ReviewCalcs[[#This Row],[Retrofit Cost]]-ReviewCalcs[[#This Row],[Incentive ($)]]</f>
        <v>0</v>
      </c>
      <c r="BL139" s="118" t="e">
        <f>IFERROR(ReviewCalcs[[#This Row],[Net Project Cost ($)]]/ReviewCalcs[[#This Row],[Fixture Energy Cost Savings ($)]], #N/A)</f>
        <v>#N/A</v>
      </c>
      <c r="BM139" s="118" t="e">
        <f>IF(VLOOKUP(ReviewCalcs[[#This Row],[Existing Fixture Code]], Table7[[FIXTURE CODE]:[Baseline Fixture Code]], 8, FALSE)="N", VLOOKUP(ReviewCalcs[[#This Row],[Existing Fixture Code]], Table7[[FIXTURE CODE]:[Baseline Fixture Code]], 9, FALSE), ReviewCalcs[[#This Row],[Existing Fixture Code]])</f>
        <v>#N/A</v>
      </c>
      <c r="BN139" s="118" t="e">
        <f>INDEX(Table7[WATT/ FIXT], MATCH(ReviewCalcs[Baseline Fixture Code], Table7[FIXTURE CODE], 0))</f>
        <v>#N/A</v>
      </c>
      <c r="BO139" s="118">
        <f>IFERROR((ReviewCalcs[[#This Row],[Existing Fixture Quantity]]*ReviewCalcs[[#This Row],[Baseline Fixture Watts]]/1000-ReviewCalcs[[#This Row],[Proposed Fixture Quantity]]*ReviewCalcs[[#This Row],[Proposed Fixture Watts]]/1000)*ReviewCalcs[[#This Row],[Existing CF]]*ReviewCalcs[[#This Row],[IEFD]], 0)</f>
        <v>0</v>
      </c>
      <c r="BP1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39" s="118">
        <f>IF(ReviewCalcs[[#This Row],[Existing CF]]=ReviewCalcs[[#This Row],[Proposed CF]], 0, ReviewCalcs[[#This Row],[Proposed Fixture Quantity]]*ReviewCalcs[[#This Row],[Proposed Fixture Watts]]/1000*ReviewCalcs[[#This Row],[Proposed CF]]*ReviewCalcs[[#This Row],[IEFD]])</f>
        <v>0</v>
      </c>
      <c r="BR139" s="118">
        <f>IFERROR(ReviewCalcs[[#This Row],[Proposed Fixture Quantity]]*ReviewCalcs[[#This Row],[Proposed Fixture Watts]]/1000*(ReviewCalcs[[#This Row],[Existing PAF]]-ReviewCalcs[[#This Row],[Proposed PAF]])*ReviewCalcs[[#This Row],[AOH]]*ReviewCalcs[[#This Row],[IEFE]],0)</f>
        <v>0</v>
      </c>
      <c r="BS139" s="118">
        <f>ReviewCalcs[[#This Row],[Incentive Fixture Demand Savings (kW)]]+ReviewCalcs[[#This Row],[Incentive Control Demand Savings (kW)]]</f>
        <v>0</v>
      </c>
      <c r="BT139" s="118">
        <f>ReviewCalcs[[#This Row],[Incentive Fixture Energy Savings (kWh)]]+ReviewCalcs[[#This Row],[Incentive Control Energy Savings (kWh)]]</f>
        <v>0</v>
      </c>
      <c r="BU139" s="73"/>
    </row>
    <row r="140" spans="1:73" ht="30" customHeight="1">
      <c r="A140" s="68">
        <v>137</v>
      </c>
      <c r="B140" s="96">
        <f>VLOOKUP(ReviewCalcs[[#This Row],[Project Index]], ProjectInput[], D$1, FALSE)</f>
        <v>0</v>
      </c>
      <c r="C140" s="97">
        <f>VLOOKUP(ReviewCalcs[[#This Row],[Project Index]], ProjectInput[], E$1, FALSE)</f>
        <v>0</v>
      </c>
      <c r="D140" s="97">
        <f>VLOOKUP(ReviewCalcs[[#This Row],[Project Index]], ProjectInput[], F$1, FALSE)</f>
        <v>0</v>
      </c>
      <c r="E140" s="97">
        <f>VLOOKUP(ReviewCalcs[[#This Row],[Project Index]], ProjectInput[], G$1, FALSE)</f>
        <v>0</v>
      </c>
      <c r="F140" s="97">
        <f>VLOOKUP(ReviewCalcs[[#This Row],[Project Index]], ProjectInput[], H$1, FALSE)</f>
        <v>0</v>
      </c>
      <c r="G140" s="98" t="str">
        <f>VLOOKUP(ReviewCalcs[[#This Row],[Project Index]], ProjectInput[], I$1, FALSE)</f>
        <v/>
      </c>
      <c r="H140" s="96">
        <f>VLOOKUP(ReviewCalcs[[#This Row],[Project Index]], ProjectInput[], J$1, FALSE)</f>
        <v>0</v>
      </c>
      <c r="I140" s="97">
        <f>VLOOKUP(ReviewCalcs[[#This Row],[Project Index]], ProjectInput[], K$1, FALSE)</f>
        <v>0</v>
      </c>
      <c r="J140" s="97">
        <f>VLOOKUP(ReviewCalcs[[#This Row],[Project Index]], ProjectInput[], L$1, FALSE)</f>
        <v>0</v>
      </c>
      <c r="K140" s="97">
        <f>VLOOKUP(ReviewCalcs[[#This Row],[Project Index]], ProjectInput[], M$1, FALSE)</f>
        <v>0</v>
      </c>
      <c r="L140" s="97">
        <f>VLOOKUP(ReviewCalcs[[#This Row],[Project Index]], ProjectInput[], N$1, FALSE)</f>
        <v>0</v>
      </c>
      <c r="M140" s="98" t="str">
        <f>VLOOKUP(ReviewCalcs[[#This Row],[Project Index]], ProjectInput[], O$1, FALSE)</f>
        <v/>
      </c>
      <c r="N140" s="96">
        <f>VLOOKUP(ReviewCalcs[[#This Row],[Project Index]], ProjectInput[], P$1, FALSE)</f>
        <v>0</v>
      </c>
      <c r="O140" s="97">
        <f>VLOOKUP(ReviewCalcs[[#This Row],[Project Index]], ProjectInput[], Q$1, FALSE)</f>
        <v>0</v>
      </c>
      <c r="P140" s="97">
        <f>VLOOKUP(ReviewCalcs[[#This Row],[Project Index]], ProjectInput[], R$1, FALSE)</f>
        <v>0</v>
      </c>
      <c r="Q140" s="97">
        <f>VLOOKUP(ReviewCalcs[[#This Row],[Project Index]], ProjectInput[], S$1, FALSE)</f>
        <v>0</v>
      </c>
      <c r="R140" s="97">
        <f>VLOOKUP(ReviewCalcs[[#This Row],[Project Index]], ProjectInput[], T$1, FALSE)</f>
        <v>0</v>
      </c>
      <c r="S140" s="97">
        <f>VLOOKUP(ReviewCalcs[[#This Row],[Project Index]], ProjectInput[], U$1, FALSE)</f>
        <v>0</v>
      </c>
      <c r="T140" s="97">
        <f>VLOOKUP(ReviewCalcs[[#This Row],[Project Index]], ProjectInput[], V$1, FALSE)</f>
        <v>0</v>
      </c>
      <c r="U140" s="97">
        <f>VLOOKUP(ReviewCalcs[[#This Row],[Project Index]], ProjectInput[], W$1, FALSE)</f>
        <v>0</v>
      </c>
      <c r="V140" s="98" t="str">
        <f>VLOOKUP(ReviewCalcs[[#This Row],[Project Index]], ProjectInput[], X$1, FALSE)</f>
        <v/>
      </c>
      <c r="W1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0" s="75" t="e">
        <f>IF(VLOOKUP(ReviewCalcs[[#This Row],[Proposed Fixture Code]], Table7[[FIXTURE CODE]:[Baseline Fixture Code]], 8, FALSE)="N", "ERROR", "PASS")</f>
        <v>#N/A</v>
      </c>
      <c r="Y1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0" s="75" t="e">
        <f>IF(OR(ReviewCalcs[[#This Row],[Baseline Fixture Watts]]&gt;=ReviewCalcs[[#This Row],[Proposed Fixture Watts]],ReviewCalcs[[#This Row],[Existing Fixture Watts]]&gt;=ReviewCalcs[[#This Row],[Proposed Fixture Watts]] ), "PASS", "ERROR")</f>
        <v>#N/A</v>
      </c>
      <c r="AA140" s="69" t="e">
        <f>VLOOKUP(ReviewCalcs[[#This Row],[Space Conditions]], Table_365[], 5, FALSE)</f>
        <v>#N/A</v>
      </c>
      <c r="AB140" s="68" t="str">
        <f>ReviewCalcs[[#This Row],[Annual Hours]]</f>
        <v/>
      </c>
      <c r="AC140" s="68" t="e">
        <f>VLOOKUP(ReviewCalcs[[#This Row],[Space Conditions]], Table_365[], 6, FALSE)</f>
        <v>#N/A</v>
      </c>
      <c r="AD140" s="68">
        <f>IF(ReviewCalcs[[#This Row],[Existing Control(s)]]='Tables &amp; Ranges'!$A$25, VLOOKUP(ReviewCalcs[[#This Row],[Building/Space Type]], Table_364[], 3, FALSE), CF_Contols)</f>
        <v>0.26</v>
      </c>
      <c r="AE140" s="68" t="e">
        <f>VLOOKUP(ReviewCalcs[[#This Row],[Existing Control(s)]], Table_358[], 2, FALSE)</f>
        <v>#N/A</v>
      </c>
      <c r="AF140" s="68">
        <f>IF(ReviewCalcs[[#This Row],[Proposed Control(s)]]='Tables &amp; Ranges'!$A$25, VLOOKUP(ReviewCalcs[[#This Row],[Building/Space Type]], Table_364[], 3, FALSE), CF_Contols)</f>
        <v>0.26</v>
      </c>
      <c r="AG140" s="68" t="e">
        <f>VLOOKUP(ReviewCalcs[[#This Row],[Proposed Control(s)]], Table_358[], 2, FALSE)</f>
        <v>#N/A</v>
      </c>
      <c r="AH140" s="68">
        <f>IFERROR((ReviewCalcs[[#This Row],[Existing Fixture Quantity]]*ReviewCalcs[[#This Row],[Existing Fixture Watts]]/1000)*ReviewCalcs[[#This Row],[Existing CF]]*ReviewCalcs[[#This Row],[IEFD]], 0)</f>
        <v>0</v>
      </c>
      <c r="AI140" s="68">
        <f>IFERROR((ReviewCalcs[[#This Row],[Proposed Fixture Quantity]]*ReviewCalcs[[#This Row],[Proposed Fixture Watts]]/1000)*ReviewCalcs[[#This Row],[Existing CF]]*ReviewCalcs[[#This Row],[IEFD]], 0)</f>
        <v>0</v>
      </c>
      <c r="AJ140" s="118">
        <f>IFERROR((ReviewCalcs[[#This Row],[Existing Fixture Quantity]]*ReviewCalcs[[#This Row],[Existing Fixture Watts]]/1000-ReviewCalcs[[#This Row],[Proposed Fixture Quantity]]*ReviewCalcs[[#This Row],[Proposed Fixture Watts]]/1000)*ReviewCalcs[[#This Row],[Existing CF]]*ReviewCalcs[[#This Row],[IEFD]], 0)</f>
        <v>0</v>
      </c>
      <c r="AK140" s="118">
        <f>IFERROR((ReviewCalcs[[#This Row],[Existing Fixture Quantity]]*ReviewCalcs[[#This Row],[Existing Fixture Watts]]/1000)*ReviewCalcs[[#This Row],[AOH]]*ReviewCalcs[[#This Row],[IEFE]]*ReviewCalcs[[#This Row],[Existing PAF]], 0)</f>
        <v>0</v>
      </c>
      <c r="AL140" s="118">
        <f>IFERROR((ReviewCalcs[[#This Row],[Proposed Fixture Quantity]]*ReviewCalcs[[#This Row],[Proposed Fixture Watts]]/1000)*ReviewCalcs[[#This Row],[AOH]]*ReviewCalcs[[#This Row],[IEFE]]*ReviewCalcs[[#This Row],[Existing PAF]], 0)</f>
        <v>0</v>
      </c>
      <c r="AM1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0" s="118">
        <f>ReviewCalcs[[#This Row],[Fixture Existing Energy (kWh)]]*Avg_KWh_Rate</f>
        <v>0</v>
      </c>
      <c r="AO140" s="118">
        <f>ReviewCalcs[[#This Row],[Fixture Proposed Energy (kWh)]]*Avg_KWh_Rate</f>
        <v>0</v>
      </c>
      <c r="AP140" s="70">
        <f>ReviewCalcs[[#This Row],[Fixture Energy Savings]]*Avg_KWh_Rate</f>
        <v>0</v>
      </c>
      <c r="AQ140" s="129" t="e">
        <f>ReviewCalcs[[#This Row],[Existing Fixture Quantity]]*ReviewCalcs[[#This Row],[Existing Fixture Watts]]/1000*ReviewCalcs[[#This Row],[Existing CF]]*ReviewCalcs[[#This Row],[IEFD]]</f>
        <v>#VALUE!</v>
      </c>
      <c r="AR140" s="129" t="e">
        <f>ReviewCalcs[[#This Row],[Proposed Fixture Quantity]]*ReviewCalcs[[#This Row],[Proposed Fixture Watts]]/1000*ReviewCalcs[[#This Row],[Proposed CF]]*ReviewCalcs[[#This Row],[IEFD]]</f>
        <v>#VALUE!</v>
      </c>
      <c r="AS140" s="118">
        <f>IF(ReviewCalcs[[#This Row],[Existing CF]]=ReviewCalcs[[#This Row],[Proposed CF]], 0, ReviewCalcs[[#This Row],[Proposed Fixture Quantity]]*ReviewCalcs[[#This Row],[Proposed Fixture Watts]]/1000*ReviewCalcs[[#This Row],[Proposed CF]]*ReviewCalcs[[#This Row],[IEFD]])</f>
        <v>0</v>
      </c>
      <c r="AT140" s="118">
        <f>IFERROR(ReviewCalcs[[#This Row],[Existing Fixture Quantity]]*ReviewCalcs[[#This Row],[Existing Fixture Watts]]/1000*ReviewCalcs[[#This Row],[Existing PAF]]*ReviewCalcs[[#This Row],[AOH]]*ReviewCalcs[[#This Row],[IEFE]], 0)</f>
        <v>0</v>
      </c>
      <c r="AU140" s="118">
        <f>IFERROR(ReviewCalcs[[#This Row],[Proposed Fixture Quantity]]*ReviewCalcs[[#This Row],[Proposed Fixture Watts]]/1000*ReviewCalcs[[#This Row],[Proposed PAF]]*ReviewCalcs[[#This Row],[AOH]]*ReviewCalcs[[#This Row],[IEFE]], 0)</f>
        <v>0</v>
      </c>
      <c r="AV140" s="118">
        <f>IFERROR(ReviewCalcs[[#This Row],[Proposed Fixture Quantity]]*ReviewCalcs[[#This Row],[Proposed Fixture Watts]]/1000*(ReviewCalcs[[#This Row],[Existing PAF]]-ReviewCalcs[[#This Row],[Proposed PAF]])*ReviewCalcs[[#This Row],[AOH]]*ReviewCalcs[[#This Row],[IEFE]], 0)</f>
        <v>0</v>
      </c>
      <c r="AW140" s="118">
        <f>ReviewCalcs[[#This Row],[Control Existing Energy (kWh)]]*kWh_Incentive_Rate</f>
        <v>0</v>
      </c>
      <c r="AX140" s="118">
        <f>ReviewCalcs[[#This Row],[Control Proposed Energy (kWh)]]*kWh_Incentive_Rate</f>
        <v>0</v>
      </c>
      <c r="AY140" s="70">
        <f>ReviewCalcs[[#This Row],[Control Energy Savings (kWh)]]*kWh_Incentive_Rate</f>
        <v>0</v>
      </c>
      <c r="AZ140" s="70" t="e">
        <f>ReviewCalcs[[#This Row],[Fixture Existing Demand (kW)]]+ReviewCalcs[[#This Row],[Control Existing Demand (kW)]]</f>
        <v>#VALUE!</v>
      </c>
      <c r="BA140" s="70" t="e">
        <f>ReviewCalcs[[#This Row],[Fixture Proposed Demand (kW)]]+ReviewCalcs[[#This Row],[Control Proposed Demand (kW)]]</f>
        <v>#VALUE!</v>
      </c>
      <c r="BB140" s="118">
        <f>ReviewCalcs[[#This Row],[Fixture Demand Savings (kW)]]+ReviewCalcs[[#This Row],[Control Demand Savings (kW)]]</f>
        <v>0</v>
      </c>
      <c r="BC140" s="118">
        <f>ReviewCalcs[[#This Row],[Fixture Existing Energy (kWh)]]+ReviewCalcs[[#This Row],[Control Existing Energy (kWh)]]</f>
        <v>0</v>
      </c>
      <c r="BD140" s="118">
        <f>ReviewCalcs[[#This Row],[Fixture Proposed Energy (kWh)]]+ReviewCalcs[[#This Row],[Control Proposed Energy (kWh)]]</f>
        <v>0</v>
      </c>
      <c r="BE140" s="118">
        <f>ReviewCalcs[[#This Row],[Fixture Energy Savings]]+ReviewCalcs[[#This Row],[Control Energy Savings (kWh)]]</f>
        <v>0</v>
      </c>
      <c r="BF140" s="118">
        <f>ReviewCalcs[[#This Row],[Fixture Existing Cost ($)]]+ReviewCalcs[[#This Row],[Control Existing Cost ($)]]</f>
        <v>0</v>
      </c>
      <c r="BG140" s="118">
        <f>ReviewCalcs[[#This Row],[Fixture Proposed Cost ($)]]+ReviewCalcs[[#This Row],[Controls Proposed Cost ($)]]</f>
        <v>0</v>
      </c>
      <c r="BH140" s="70">
        <f>ReviewCalcs[[#This Row],[Total Energy Savings (kWh)]]*Avg_KWh_Rate</f>
        <v>0</v>
      </c>
      <c r="BI1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0" s="70">
        <f>ReviewCalcs[[#This Row],[Retrofit Cost]]</f>
        <v>0</v>
      </c>
      <c r="BK140" s="70">
        <f>ReviewCalcs[[#This Row],[Retrofit Cost]]-ReviewCalcs[[#This Row],[Incentive ($)]]</f>
        <v>0</v>
      </c>
      <c r="BL140" s="118" t="e">
        <f>IFERROR(ReviewCalcs[[#This Row],[Net Project Cost ($)]]/ReviewCalcs[[#This Row],[Fixture Energy Cost Savings ($)]], #N/A)</f>
        <v>#N/A</v>
      </c>
      <c r="BM140" s="118" t="e">
        <f>IF(VLOOKUP(ReviewCalcs[[#This Row],[Existing Fixture Code]], Table7[[FIXTURE CODE]:[Baseline Fixture Code]], 8, FALSE)="N", VLOOKUP(ReviewCalcs[[#This Row],[Existing Fixture Code]], Table7[[FIXTURE CODE]:[Baseline Fixture Code]], 9, FALSE), ReviewCalcs[[#This Row],[Existing Fixture Code]])</f>
        <v>#N/A</v>
      </c>
      <c r="BN140" s="118" t="e">
        <f>INDEX(Table7[WATT/ FIXT], MATCH(ReviewCalcs[Baseline Fixture Code], Table7[FIXTURE CODE], 0))</f>
        <v>#N/A</v>
      </c>
      <c r="BO140" s="118">
        <f>IFERROR((ReviewCalcs[[#This Row],[Existing Fixture Quantity]]*ReviewCalcs[[#This Row],[Baseline Fixture Watts]]/1000-ReviewCalcs[[#This Row],[Proposed Fixture Quantity]]*ReviewCalcs[[#This Row],[Proposed Fixture Watts]]/1000)*ReviewCalcs[[#This Row],[Existing CF]]*ReviewCalcs[[#This Row],[IEFD]], 0)</f>
        <v>0</v>
      </c>
      <c r="BP1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0" s="118">
        <f>IF(ReviewCalcs[[#This Row],[Existing CF]]=ReviewCalcs[[#This Row],[Proposed CF]], 0, ReviewCalcs[[#This Row],[Proposed Fixture Quantity]]*ReviewCalcs[[#This Row],[Proposed Fixture Watts]]/1000*ReviewCalcs[[#This Row],[Proposed CF]]*ReviewCalcs[[#This Row],[IEFD]])</f>
        <v>0</v>
      </c>
      <c r="BR140" s="118">
        <f>IFERROR(ReviewCalcs[[#This Row],[Proposed Fixture Quantity]]*ReviewCalcs[[#This Row],[Proposed Fixture Watts]]/1000*(ReviewCalcs[[#This Row],[Existing PAF]]-ReviewCalcs[[#This Row],[Proposed PAF]])*ReviewCalcs[[#This Row],[AOH]]*ReviewCalcs[[#This Row],[IEFE]],0)</f>
        <v>0</v>
      </c>
      <c r="BS140" s="118">
        <f>ReviewCalcs[[#This Row],[Incentive Fixture Demand Savings (kW)]]+ReviewCalcs[[#This Row],[Incentive Control Demand Savings (kW)]]</f>
        <v>0</v>
      </c>
      <c r="BT140" s="118">
        <f>ReviewCalcs[[#This Row],[Incentive Fixture Energy Savings (kWh)]]+ReviewCalcs[[#This Row],[Incentive Control Energy Savings (kWh)]]</f>
        <v>0</v>
      </c>
      <c r="BU140" s="73"/>
    </row>
    <row r="141" spans="1:73" ht="30" customHeight="1">
      <c r="A141" s="68">
        <v>138</v>
      </c>
      <c r="B141" s="96">
        <f>VLOOKUP(ReviewCalcs[[#This Row],[Project Index]], ProjectInput[], D$1, FALSE)</f>
        <v>0</v>
      </c>
      <c r="C141" s="97">
        <f>VLOOKUP(ReviewCalcs[[#This Row],[Project Index]], ProjectInput[], E$1, FALSE)</f>
        <v>0</v>
      </c>
      <c r="D141" s="97">
        <f>VLOOKUP(ReviewCalcs[[#This Row],[Project Index]], ProjectInput[], F$1, FALSE)</f>
        <v>0</v>
      </c>
      <c r="E141" s="97">
        <f>VLOOKUP(ReviewCalcs[[#This Row],[Project Index]], ProjectInput[], G$1, FALSE)</f>
        <v>0</v>
      </c>
      <c r="F141" s="97">
        <f>VLOOKUP(ReviewCalcs[[#This Row],[Project Index]], ProjectInput[], H$1, FALSE)</f>
        <v>0</v>
      </c>
      <c r="G141" s="98" t="str">
        <f>VLOOKUP(ReviewCalcs[[#This Row],[Project Index]], ProjectInput[], I$1, FALSE)</f>
        <v/>
      </c>
      <c r="H141" s="96">
        <f>VLOOKUP(ReviewCalcs[[#This Row],[Project Index]], ProjectInput[], J$1, FALSE)</f>
        <v>0</v>
      </c>
      <c r="I141" s="97">
        <f>VLOOKUP(ReviewCalcs[[#This Row],[Project Index]], ProjectInput[], K$1, FALSE)</f>
        <v>0</v>
      </c>
      <c r="J141" s="97">
        <f>VLOOKUP(ReviewCalcs[[#This Row],[Project Index]], ProjectInput[], L$1, FALSE)</f>
        <v>0</v>
      </c>
      <c r="K141" s="97">
        <f>VLOOKUP(ReviewCalcs[[#This Row],[Project Index]], ProjectInput[], M$1, FALSE)</f>
        <v>0</v>
      </c>
      <c r="L141" s="97">
        <f>VLOOKUP(ReviewCalcs[[#This Row],[Project Index]], ProjectInput[], N$1, FALSE)</f>
        <v>0</v>
      </c>
      <c r="M141" s="98" t="str">
        <f>VLOOKUP(ReviewCalcs[[#This Row],[Project Index]], ProjectInput[], O$1, FALSE)</f>
        <v/>
      </c>
      <c r="N141" s="96">
        <f>VLOOKUP(ReviewCalcs[[#This Row],[Project Index]], ProjectInput[], P$1, FALSE)</f>
        <v>0</v>
      </c>
      <c r="O141" s="97">
        <f>VLOOKUP(ReviewCalcs[[#This Row],[Project Index]], ProjectInput[], Q$1, FALSE)</f>
        <v>0</v>
      </c>
      <c r="P141" s="97">
        <f>VLOOKUP(ReviewCalcs[[#This Row],[Project Index]], ProjectInput[], R$1, FALSE)</f>
        <v>0</v>
      </c>
      <c r="Q141" s="97">
        <f>VLOOKUP(ReviewCalcs[[#This Row],[Project Index]], ProjectInput[], S$1, FALSE)</f>
        <v>0</v>
      </c>
      <c r="R141" s="97">
        <f>VLOOKUP(ReviewCalcs[[#This Row],[Project Index]], ProjectInput[], T$1, FALSE)</f>
        <v>0</v>
      </c>
      <c r="S141" s="97">
        <f>VLOOKUP(ReviewCalcs[[#This Row],[Project Index]], ProjectInput[], U$1, FALSE)</f>
        <v>0</v>
      </c>
      <c r="T141" s="97">
        <f>VLOOKUP(ReviewCalcs[[#This Row],[Project Index]], ProjectInput[], V$1, FALSE)</f>
        <v>0</v>
      </c>
      <c r="U141" s="97">
        <f>VLOOKUP(ReviewCalcs[[#This Row],[Project Index]], ProjectInput[], W$1, FALSE)</f>
        <v>0</v>
      </c>
      <c r="V141" s="98" t="str">
        <f>VLOOKUP(ReviewCalcs[[#This Row],[Project Index]], ProjectInput[], X$1, FALSE)</f>
        <v/>
      </c>
      <c r="W1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1" s="75" t="e">
        <f>IF(VLOOKUP(ReviewCalcs[[#This Row],[Proposed Fixture Code]], Table7[[FIXTURE CODE]:[Baseline Fixture Code]], 8, FALSE)="N", "ERROR", "PASS")</f>
        <v>#N/A</v>
      </c>
      <c r="Y1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1" s="75" t="e">
        <f>IF(OR(ReviewCalcs[[#This Row],[Baseline Fixture Watts]]&gt;=ReviewCalcs[[#This Row],[Proposed Fixture Watts]],ReviewCalcs[[#This Row],[Existing Fixture Watts]]&gt;=ReviewCalcs[[#This Row],[Proposed Fixture Watts]] ), "PASS", "ERROR")</f>
        <v>#N/A</v>
      </c>
      <c r="AA141" s="69" t="e">
        <f>VLOOKUP(ReviewCalcs[[#This Row],[Space Conditions]], Table_365[], 5, FALSE)</f>
        <v>#N/A</v>
      </c>
      <c r="AB141" s="68" t="str">
        <f>ReviewCalcs[[#This Row],[Annual Hours]]</f>
        <v/>
      </c>
      <c r="AC141" s="68" t="e">
        <f>VLOOKUP(ReviewCalcs[[#This Row],[Space Conditions]], Table_365[], 6, FALSE)</f>
        <v>#N/A</v>
      </c>
      <c r="AD141" s="68">
        <f>IF(ReviewCalcs[[#This Row],[Existing Control(s)]]='Tables &amp; Ranges'!$A$25, VLOOKUP(ReviewCalcs[[#This Row],[Building/Space Type]], Table_364[], 3, FALSE), CF_Contols)</f>
        <v>0.26</v>
      </c>
      <c r="AE141" s="68" t="e">
        <f>VLOOKUP(ReviewCalcs[[#This Row],[Existing Control(s)]], Table_358[], 2, FALSE)</f>
        <v>#N/A</v>
      </c>
      <c r="AF141" s="68">
        <f>IF(ReviewCalcs[[#This Row],[Proposed Control(s)]]='Tables &amp; Ranges'!$A$25, VLOOKUP(ReviewCalcs[[#This Row],[Building/Space Type]], Table_364[], 3, FALSE), CF_Contols)</f>
        <v>0.26</v>
      </c>
      <c r="AG141" s="68" t="e">
        <f>VLOOKUP(ReviewCalcs[[#This Row],[Proposed Control(s)]], Table_358[], 2, FALSE)</f>
        <v>#N/A</v>
      </c>
      <c r="AH141" s="68">
        <f>IFERROR((ReviewCalcs[[#This Row],[Existing Fixture Quantity]]*ReviewCalcs[[#This Row],[Existing Fixture Watts]]/1000)*ReviewCalcs[[#This Row],[Existing CF]]*ReviewCalcs[[#This Row],[IEFD]], 0)</f>
        <v>0</v>
      </c>
      <c r="AI141" s="68">
        <f>IFERROR((ReviewCalcs[[#This Row],[Proposed Fixture Quantity]]*ReviewCalcs[[#This Row],[Proposed Fixture Watts]]/1000)*ReviewCalcs[[#This Row],[Existing CF]]*ReviewCalcs[[#This Row],[IEFD]], 0)</f>
        <v>0</v>
      </c>
      <c r="AJ141" s="118">
        <f>IFERROR((ReviewCalcs[[#This Row],[Existing Fixture Quantity]]*ReviewCalcs[[#This Row],[Existing Fixture Watts]]/1000-ReviewCalcs[[#This Row],[Proposed Fixture Quantity]]*ReviewCalcs[[#This Row],[Proposed Fixture Watts]]/1000)*ReviewCalcs[[#This Row],[Existing CF]]*ReviewCalcs[[#This Row],[IEFD]], 0)</f>
        <v>0</v>
      </c>
      <c r="AK141" s="118">
        <f>IFERROR((ReviewCalcs[[#This Row],[Existing Fixture Quantity]]*ReviewCalcs[[#This Row],[Existing Fixture Watts]]/1000)*ReviewCalcs[[#This Row],[AOH]]*ReviewCalcs[[#This Row],[IEFE]]*ReviewCalcs[[#This Row],[Existing PAF]], 0)</f>
        <v>0</v>
      </c>
      <c r="AL141" s="118">
        <f>IFERROR((ReviewCalcs[[#This Row],[Proposed Fixture Quantity]]*ReviewCalcs[[#This Row],[Proposed Fixture Watts]]/1000)*ReviewCalcs[[#This Row],[AOH]]*ReviewCalcs[[#This Row],[IEFE]]*ReviewCalcs[[#This Row],[Existing PAF]], 0)</f>
        <v>0</v>
      </c>
      <c r="AM1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1" s="118">
        <f>ReviewCalcs[[#This Row],[Fixture Existing Energy (kWh)]]*Avg_KWh_Rate</f>
        <v>0</v>
      </c>
      <c r="AO141" s="118">
        <f>ReviewCalcs[[#This Row],[Fixture Proposed Energy (kWh)]]*Avg_KWh_Rate</f>
        <v>0</v>
      </c>
      <c r="AP141" s="70">
        <f>ReviewCalcs[[#This Row],[Fixture Energy Savings]]*Avg_KWh_Rate</f>
        <v>0</v>
      </c>
      <c r="AQ141" s="129" t="e">
        <f>ReviewCalcs[[#This Row],[Existing Fixture Quantity]]*ReviewCalcs[[#This Row],[Existing Fixture Watts]]/1000*ReviewCalcs[[#This Row],[Existing CF]]*ReviewCalcs[[#This Row],[IEFD]]</f>
        <v>#VALUE!</v>
      </c>
      <c r="AR141" s="129" t="e">
        <f>ReviewCalcs[[#This Row],[Proposed Fixture Quantity]]*ReviewCalcs[[#This Row],[Proposed Fixture Watts]]/1000*ReviewCalcs[[#This Row],[Proposed CF]]*ReviewCalcs[[#This Row],[IEFD]]</f>
        <v>#VALUE!</v>
      </c>
      <c r="AS141" s="118">
        <f>IF(ReviewCalcs[[#This Row],[Existing CF]]=ReviewCalcs[[#This Row],[Proposed CF]], 0, ReviewCalcs[[#This Row],[Proposed Fixture Quantity]]*ReviewCalcs[[#This Row],[Proposed Fixture Watts]]/1000*ReviewCalcs[[#This Row],[Proposed CF]]*ReviewCalcs[[#This Row],[IEFD]])</f>
        <v>0</v>
      </c>
      <c r="AT141" s="118">
        <f>IFERROR(ReviewCalcs[[#This Row],[Existing Fixture Quantity]]*ReviewCalcs[[#This Row],[Existing Fixture Watts]]/1000*ReviewCalcs[[#This Row],[Existing PAF]]*ReviewCalcs[[#This Row],[AOH]]*ReviewCalcs[[#This Row],[IEFE]], 0)</f>
        <v>0</v>
      </c>
      <c r="AU141" s="118">
        <f>IFERROR(ReviewCalcs[[#This Row],[Proposed Fixture Quantity]]*ReviewCalcs[[#This Row],[Proposed Fixture Watts]]/1000*ReviewCalcs[[#This Row],[Proposed PAF]]*ReviewCalcs[[#This Row],[AOH]]*ReviewCalcs[[#This Row],[IEFE]], 0)</f>
        <v>0</v>
      </c>
      <c r="AV141" s="118">
        <f>IFERROR(ReviewCalcs[[#This Row],[Proposed Fixture Quantity]]*ReviewCalcs[[#This Row],[Proposed Fixture Watts]]/1000*(ReviewCalcs[[#This Row],[Existing PAF]]-ReviewCalcs[[#This Row],[Proposed PAF]])*ReviewCalcs[[#This Row],[AOH]]*ReviewCalcs[[#This Row],[IEFE]], 0)</f>
        <v>0</v>
      </c>
      <c r="AW141" s="118">
        <f>ReviewCalcs[[#This Row],[Control Existing Energy (kWh)]]*kWh_Incentive_Rate</f>
        <v>0</v>
      </c>
      <c r="AX141" s="118">
        <f>ReviewCalcs[[#This Row],[Control Proposed Energy (kWh)]]*kWh_Incentive_Rate</f>
        <v>0</v>
      </c>
      <c r="AY141" s="70">
        <f>ReviewCalcs[[#This Row],[Control Energy Savings (kWh)]]*kWh_Incentive_Rate</f>
        <v>0</v>
      </c>
      <c r="AZ141" s="70" t="e">
        <f>ReviewCalcs[[#This Row],[Fixture Existing Demand (kW)]]+ReviewCalcs[[#This Row],[Control Existing Demand (kW)]]</f>
        <v>#VALUE!</v>
      </c>
      <c r="BA141" s="70" t="e">
        <f>ReviewCalcs[[#This Row],[Fixture Proposed Demand (kW)]]+ReviewCalcs[[#This Row],[Control Proposed Demand (kW)]]</f>
        <v>#VALUE!</v>
      </c>
      <c r="BB141" s="118">
        <f>ReviewCalcs[[#This Row],[Fixture Demand Savings (kW)]]+ReviewCalcs[[#This Row],[Control Demand Savings (kW)]]</f>
        <v>0</v>
      </c>
      <c r="BC141" s="118">
        <f>ReviewCalcs[[#This Row],[Fixture Existing Energy (kWh)]]+ReviewCalcs[[#This Row],[Control Existing Energy (kWh)]]</f>
        <v>0</v>
      </c>
      <c r="BD141" s="118">
        <f>ReviewCalcs[[#This Row],[Fixture Proposed Energy (kWh)]]+ReviewCalcs[[#This Row],[Control Proposed Energy (kWh)]]</f>
        <v>0</v>
      </c>
      <c r="BE141" s="118">
        <f>ReviewCalcs[[#This Row],[Fixture Energy Savings]]+ReviewCalcs[[#This Row],[Control Energy Savings (kWh)]]</f>
        <v>0</v>
      </c>
      <c r="BF141" s="118">
        <f>ReviewCalcs[[#This Row],[Fixture Existing Cost ($)]]+ReviewCalcs[[#This Row],[Control Existing Cost ($)]]</f>
        <v>0</v>
      </c>
      <c r="BG141" s="118">
        <f>ReviewCalcs[[#This Row],[Fixture Proposed Cost ($)]]+ReviewCalcs[[#This Row],[Controls Proposed Cost ($)]]</f>
        <v>0</v>
      </c>
      <c r="BH141" s="70">
        <f>ReviewCalcs[[#This Row],[Total Energy Savings (kWh)]]*Avg_KWh_Rate</f>
        <v>0</v>
      </c>
      <c r="BI1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1" s="70">
        <f>ReviewCalcs[[#This Row],[Retrofit Cost]]</f>
        <v>0</v>
      </c>
      <c r="BK141" s="70">
        <f>ReviewCalcs[[#This Row],[Retrofit Cost]]-ReviewCalcs[[#This Row],[Incentive ($)]]</f>
        <v>0</v>
      </c>
      <c r="BL141" s="118" t="e">
        <f>IFERROR(ReviewCalcs[[#This Row],[Net Project Cost ($)]]/ReviewCalcs[[#This Row],[Fixture Energy Cost Savings ($)]], #N/A)</f>
        <v>#N/A</v>
      </c>
      <c r="BM141" s="118" t="e">
        <f>IF(VLOOKUP(ReviewCalcs[[#This Row],[Existing Fixture Code]], Table7[[FIXTURE CODE]:[Baseline Fixture Code]], 8, FALSE)="N", VLOOKUP(ReviewCalcs[[#This Row],[Existing Fixture Code]], Table7[[FIXTURE CODE]:[Baseline Fixture Code]], 9, FALSE), ReviewCalcs[[#This Row],[Existing Fixture Code]])</f>
        <v>#N/A</v>
      </c>
      <c r="BN141" s="118" t="e">
        <f>INDEX(Table7[WATT/ FIXT], MATCH(ReviewCalcs[Baseline Fixture Code], Table7[FIXTURE CODE], 0))</f>
        <v>#N/A</v>
      </c>
      <c r="BO141" s="118">
        <f>IFERROR((ReviewCalcs[[#This Row],[Existing Fixture Quantity]]*ReviewCalcs[[#This Row],[Baseline Fixture Watts]]/1000-ReviewCalcs[[#This Row],[Proposed Fixture Quantity]]*ReviewCalcs[[#This Row],[Proposed Fixture Watts]]/1000)*ReviewCalcs[[#This Row],[Existing CF]]*ReviewCalcs[[#This Row],[IEFD]], 0)</f>
        <v>0</v>
      </c>
      <c r="BP1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1" s="118">
        <f>IF(ReviewCalcs[[#This Row],[Existing CF]]=ReviewCalcs[[#This Row],[Proposed CF]], 0, ReviewCalcs[[#This Row],[Proposed Fixture Quantity]]*ReviewCalcs[[#This Row],[Proposed Fixture Watts]]/1000*ReviewCalcs[[#This Row],[Proposed CF]]*ReviewCalcs[[#This Row],[IEFD]])</f>
        <v>0</v>
      </c>
      <c r="BR141" s="118">
        <f>IFERROR(ReviewCalcs[[#This Row],[Proposed Fixture Quantity]]*ReviewCalcs[[#This Row],[Proposed Fixture Watts]]/1000*(ReviewCalcs[[#This Row],[Existing PAF]]-ReviewCalcs[[#This Row],[Proposed PAF]])*ReviewCalcs[[#This Row],[AOH]]*ReviewCalcs[[#This Row],[IEFE]],0)</f>
        <v>0</v>
      </c>
      <c r="BS141" s="118">
        <f>ReviewCalcs[[#This Row],[Incentive Fixture Demand Savings (kW)]]+ReviewCalcs[[#This Row],[Incentive Control Demand Savings (kW)]]</f>
        <v>0</v>
      </c>
      <c r="BT141" s="118">
        <f>ReviewCalcs[[#This Row],[Incentive Fixture Energy Savings (kWh)]]+ReviewCalcs[[#This Row],[Incentive Control Energy Savings (kWh)]]</f>
        <v>0</v>
      </c>
      <c r="BU141" s="73"/>
    </row>
    <row r="142" spans="1:73" ht="30" customHeight="1">
      <c r="A142" s="68">
        <v>139</v>
      </c>
      <c r="B142" s="96">
        <f>VLOOKUP(ReviewCalcs[[#This Row],[Project Index]], ProjectInput[], D$1, FALSE)</f>
        <v>0</v>
      </c>
      <c r="C142" s="97">
        <f>VLOOKUP(ReviewCalcs[[#This Row],[Project Index]], ProjectInput[], E$1, FALSE)</f>
        <v>0</v>
      </c>
      <c r="D142" s="97">
        <f>VLOOKUP(ReviewCalcs[[#This Row],[Project Index]], ProjectInput[], F$1, FALSE)</f>
        <v>0</v>
      </c>
      <c r="E142" s="97">
        <f>VLOOKUP(ReviewCalcs[[#This Row],[Project Index]], ProjectInput[], G$1, FALSE)</f>
        <v>0</v>
      </c>
      <c r="F142" s="97">
        <f>VLOOKUP(ReviewCalcs[[#This Row],[Project Index]], ProjectInput[], H$1, FALSE)</f>
        <v>0</v>
      </c>
      <c r="G142" s="98" t="str">
        <f>VLOOKUP(ReviewCalcs[[#This Row],[Project Index]], ProjectInput[], I$1, FALSE)</f>
        <v/>
      </c>
      <c r="H142" s="96">
        <f>VLOOKUP(ReviewCalcs[[#This Row],[Project Index]], ProjectInput[], J$1, FALSE)</f>
        <v>0</v>
      </c>
      <c r="I142" s="97">
        <f>VLOOKUP(ReviewCalcs[[#This Row],[Project Index]], ProjectInput[], K$1, FALSE)</f>
        <v>0</v>
      </c>
      <c r="J142" s="97">
        <f>VLOOKUP(ReviewCalcs[[#This Row],[Project Index]], ProjectInput[], L$1, FALSE)</f>
        <v>0</v>
      </c>
      <c r="K142" s="97">
        <f>VLOOKUP(ReviewCalcs[[#This Row],[Project Index]], ProjectInput[], M$1, FALSE)</f>
        <v>0</v>
      </c>
      <c r="L142" s="97">
        <f>VLOOKUP(ReviewCalcs[[#This Row],[Project Index]], ProjectInput[], N$1, FALSE)</f>
        <v>0</v>
      </c>
      <c r="M142" s="98" t="str">
        <f>VLOOKUP(ReviewCalcs[[#This Row],[Project Index]], ProjectInput[], O$1, FALSE)</f>
        <v/>
      </c>
      <c r="N142" s="96">
        <f>VLOOKUP(ReviewCalcs[[#This Row],[Project Index]], ProjectInput[], P$1, FALSE)</f>
        <v>0</v>
      </c>
      <c r="O142" s="97">
        <f>VLOOKUP(ReviewCalcs[[#This Row],[Project Index]], ProjectInput[], Q$1, FALSE)</f>
        <v>0</v>
      </c>
      <c r="P142" s="97">
        <f>VLOOKUP(ReviewCalcs[[#This Row],[Project Index]], ProjectInput[], R$1, FALSE)</f>
        <v>0</v>
      </c>
      <c r="Q142" s="97">
        <f>VLOOKUP(ReviewCalcs[[#This Row],[Project Index]], ProjectInput[], S$1, FALSE)</f>
        <v>0</v>
      </c>
      <c r="R142" s="97">
        <f>VLOOKUP(ReviewCalcs[[#This Row],[Project Index]], ProjectInput[], T$1, FALSE)</f>
        <v>0</v>
      </c>
      <c r="S142" s="97">
        <f>VLOOKUP(ReviewCalcs[[#This Row],[Project Index]], ProjectInput[], U$1, FALSE)</f>
        <v>0</v>
      </c>
      <c r="T142" s="97">
        <f>VLOOKUP(ReviewCalcs[[#This Row],[Project Index]], ProjectInput[], V$1, FALSE)</f>
        <v>0</v>
      </c>
      <c r="U142" s="97">
        <f>VLOOKUP(ReviewCalcs[[#This Row],[Project Index]], ProjectInput[], W$1, FALSE)</f>
        <v>0</v>
      </c>
      <c r="V142" s="98" t="str">
        <f>VLOOKUP(ReviewCalcs[[#This Row],[Project Index]], ProjectInput[], X$1, FALSE)</f>
        <v/>
      </c>
      <c r="W1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2" s="75" t="e">
        <f>IF(VLOOKUP(ReviewCalcs[[#This Row],[Proposed Fixture Code]], Table7[[FIXTURE CODE]:[Baseline Fixture Code]], 8, FALSE)="N", "ERROR", "PASS")</f>
        <v>#N/A</v>
      </c>
      <c r="Y1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2" s="75" t="e">
        <f>IF(OR(ReviewCalcs[[#This Row],[Baseline Fixture Watts]]&gt;=ReviewCalcs[[#This Row],[Proposed Fixture Watts]],ReviewCalcs[[#This Row],[Existing Fixture Watts]]&gt;=ReviewCalcs[[#This Row],[Proposed Fixture Watts]] ), "PASS", "ERROR")</f>
        <v>#N/A</v>
      </c>
      <c r="AA142" s="69" t="e">
        <f>VLOOKUP(ReviewCalcs[[#This Row],[Space Conditions]], Table_365[], 5, FALSE)</f>
        <v>#N/A</v>
      </c>
      <c r="AB142" s="68" t="str">
        <f>ReviewCalcs[[#This Row],[Annual Hours]]</f>
        <v/>
      </c>
      <c r="AC142" s="68" t="e">
        <f>VLOOKUP(ReviewCalcs[[#This Row],[Space Conditions]], Table_365[], 6, FALSE)</f>
        <v>#N/A</v>
      </c>
      <c r="AD142" s="68">
        <f>IF(ReviewCalcs[[#This Row],[Existing Control(s)]]='Tables &amp; Ranges'!$A$25, VLOOKUP(ReviewCalcs[[#This Row],[Building/Space Type]], Table_364[], 3, FALSE), CF_Contols)</f>
        <v>0.26</v>
      </c>
      <c r="AE142" s="68" t="e">
        <f>VLOOKUP(ReviewCalcs[[#This Row],[Existing Control(s)]], Table_358[], 2, FALSE)</f>
        <v>#N/A</v>
      </c>
      <c r="AF142" s="68">
        <f>IF(ReviewCalcs[[#This Row],[Proposed Control(s)]]='Tables &amp; Ranges'!$A$25, VLOOKUP(ReviewCalcs[[#This Row],[Building/Space Type]], Table_364[], 3, FALSE), CF_Contols)</f>
        <v>0.26</v>
      </c>
      <c r="AG142" s="68" t="e">
        <f>VLOOKUP(ReviewCalcs[[#This Row],[Proposed Control(s)]], Table_358[], 2, FALSE)</f>
        <v>#N/A</v>
      </c>
      <c r="AH142" s="68">
        <f>IFERROR((ReviewCalcs[[#This Row],[Existing Fixture Quantity]]*ReviewCalcs[[#This Row],[Existing Fixture Watts]]/1000)*ReviewCalcs[[#This Row],[Existing CF]]*ReviewCalcs[[#This Row],[IEFD]], 0)</f>
        <v>0</v>
      </c>
      <c r="AI142" s="68">
        <f>IFERROR((ReviewCalcs[[#This Row],[Proposed Fixture Quantity]]*ReviewCalcs[[#This Row],[Proposed Fixture Watts]]/1000)*ReviewCalcs[[#This Row],[Existing CF]]*ReviewCalcs[[#This Row],[IEFD]], 0)</f>
        <v>0</v>
      </c>
      <c r="AJ142" s="118">
        <f>IFERROR((ReviewCalcs[[#This Row],[Existing Fixture Quantity]]*ReviewCalcs[[#This Row],[Existing Fixture Watts]]/1000-ReviewCalcs[[#This Row],[Proposed Fixture Quantity]]*ReviewCalcs[[#This Row],[Proposed Fixture Watts]]/1000)*ReviewCalcs[[#This Row],[Existing CF]]*ReviewCalcs[[#This Row],[IEFD]], 0)</f>
        <v>0</v>
      </c>
      <c r="AK142" s="118">
        <f>IFERROR((ReviewCalcs[[#This Row],[Existing Fixture Quantity]]*ReviewCalcs[[#This Row],[Existing Fixture Watts]]/1000)*ReviewCalcs[[#This Row],[AOH]]*ReviewCalcs[[#This Row],[IEFE]]*ReviewCalcs[[#This Row],[Existing PAF]], 0)</f>
        <v>0</v>
      </c>
      <c r="AL142" s="118">
        <f>IFERROR((ReviewCalcs[[#This Row],[Proposed Fixture Quantity]]*ReviewCalcs[[#This Row],[Proposed Fixture Watts]]/1000)*ReviewCalcs[[#This Row],[AOH]]*ReviewCalcs[[#This Row],[IEFE]]*ReviewCalcs[[#This Row],[Existing PAF]], 0)</f>
        <v>0</v>
      </c>
      <c r="AM1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2" s="118">
        <f>ReviewCalcs[[#This Row],[Fixture Existing Energy (kWh)]]*Avg_KWh_Rate</f>
        <v>0</v>
      </c>
      <c r="AO142" s="118">
        <f>ReviewCalcs[[#This Row],[Fixture Proposed Energy (kWh)]]*Avg_KWh_Rate</f>
        <v>0</v>
      </c>
      <c r="AP142" s="70">
        <f>ReviewCalcs[[#This Row],[Fixture Energy Savings]]*Avg_KWh_Rate</f>
        <v>0</v>
      </c>
      <c r="AQ142" s="129" t="e">
        <f>ReviewCalcs[[#This Row],[Existing Fixture Quantity]]*ReviewCalcs[[#This Row],[Existing Fixture Watts]]/1000*ReviewCalcs[[#This Row],[Existing CF]]*ReviewCalcs[[#This Row],[IEFD]]</f>
        <v>#VALUE!</v>
      </c>
      <c r="AR142" s="129" t="e">
        <f>ReviewCalcs[[#This Row],[Proposed Fixture Quantity]]*ReviewCalcs[[#This Row],[Proposed Fixture Watts]]/1000*ReviewCalcs[[#This Row],[Proposed CF]]*ReviewCalcs[[#This Row],[IEFD]]</f>
        <v>#VALUE!</v>
      </c>
      <c r="AS142" s="118">
        <f>IF(ReviewCalcs[[#This Row],[Existing CF]]=ReviewCalcs[[#This Row],[Proposed CF]], 0, ReviewCalcs[[#This Row],[Proposed Fixture Quantity]]*ReviewCalcs[[#This Row],[Proposed Fixture Watts]]/1000*ReviewCalcs[[#This Row],[Proposed CF]]*ReviewCalcs[[#This Row],[IEFD]])</f>
        <v>0</v>
      </c>
      <c r="AT142" s="118">
        <f>IFERROR(ReviewCalcs[[#This Row],[Existing Fixture Quantity]]*ReviewCalcs[[#This Row],[Existing Fixture Watts]]/1000*ReviewCalcs[[#This Row],[Existing PAF]]*ReviewCalcs[[#This Row],[AOH]]*ReviewCalcs[[#This Row],[IEFE]], 0)</f>
        <v>0</v>
      </c>
      <c r="AU142" s="118">
        <f>IFERROR(ReviewCalcs[[#This Row],[Proposed Fixture Quantity]]*ReviewCalcs[[#This Row],[Proposed Fixture Watts]]/1000*ReviewCalcs[[#This Row],[Proposed PAF]]*ReviewCalcs[[#This Row],[AOH]]*ReviewCalcs[[#This Row],[IEFE]], 0)</f>
        <v>0</v>
      </c>
      <c r="AV142" s="118">
        <f>IFERROR(ReviewCalcs[[#This Row],[Proposed Fixture Quantity]]*ReviewCalcs[[#This Row],[Proposed Fixture Watts]]/1000*(ReviewCalcs[[#This Row],[Existing PAF]]-ReviewCalcs[[#This Row],[Proposed PAF]])*ReviewCalcs[[#This Row],[AOH]]*ReviewCalcs[[#This Row],[IEFE]], 0)</f>
        <v>0</v>
      </c>
      <c r="AW142" s="118">
        <f>ReviewCalcs[[#This Row],[Control Existing Energy (kWh)]]*kWh_Incentive_Rate</f>
        <v>0</v>
      </c>
      <c r="AX142" s="118">
        <f>ReviewCalcs[[#This Row],[Control Proposed Energy (kWh)]]*kWh_Incentive_Rate</f>
        <v>0</v>
      </c>
      <c r="AY142" s="70">
        <f>ReviewCalcs[[#This Row],[Control Energy Savings (kWh)]]*kWh_Incentive_Rate</f>
        <v>0</v>
      </c>
      <c r="AZ142" s="70" t="e">
        <f>ReviewCalcs[[#This Row],[Fixture Existing Demand (kW)]]+ReviewCalcs[[#This Row],[Control Existing Demand (kW)]]</f>
        <v>#VALUE!</v>
      </c>
      <c r="BA142" s="70" t="e">
        <f>ReviewCalcs[[#This Row],[Fixture Proposed Demand (kW)]]+ReviewCalcs[[#This Row],[Control Proposed Demand (kW)]]</f>
        <v>#VALUE!</v>
      </c>
      <c r="BB142" s="118">
        <f>ReviewCalcs[[#This Row],[Fixture Demand Savings (kW)]]+ReviewCalcs[[#This Row],[Control Demand Savings (kW)]]</f>
        <v>0</v>
      </c>
      <c r="BC142" s="118">
        <f>ReviewCalcs[[#This Row],[Fixture Existing Energy (kWh)]]+ReviewCalcs[[#This Row],[Control Existing Energy (kWh)]]</f>
        <v>0</v>
      </c>
      <c r="BD142" s="118">
        <f>ReviewCalcs[[#This Row],[Fixture Proposed Energy (kWh)]]+ReviewCalcs[[#This Row],[Control Proposed Energy (kWh)]]</f>
        <v>0</v>
      </c>
      <c r="BE142" s="118">
        <f>ReviewCalcs[[#This Row],[Fixture Energy Savings]]+ReviewCalcs[[#This Row],[Control Energy Savings (kWh)]]</f>
        <v>0</v>
      </c>
      <c r="BF142" s="118">
        <f>ReviewCalcs[[#This Row],[Fixture Existing Cost ($)]]+ReviewCalcs[[#This Row],[Control Existing Cost ($)]]</f>
        <v>0</v>
      </c>
      <c r="BG142" s="118">
        <f>ReviewCalcs[[#This Row],[Fixture Proposed Cost ($)]]+ReviewCalcs[[#This Row],[Controls Proposed Cost ($)]]</f>
        <v>0</v>
      </c>
      <c r="BH142" s="70">
        <f>ReviewCalcs[[#This Row],[Total Energy Savings (kWh)]]*Avg_KWh_Rate</f>
        <v>0</v>
      </c>
      <c r="BI1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2" s="70">
        <f>ReviewCalcs[[#This Row],[Retrofit Cost]]</f>
        <v>0</v>
      </c>
      <c r="BK142" s="70">
        <f>ReviewCalcs[[#This Row],[Retrofit Cost]]-ReviewCalcs[[#This Row],[Incentive ($)]]</f>
        <v>0</v>
      </c>
      <c r="BL142" s="118" t="e">
        <f>IFERROR(ReviewCalcs[[#This Row],[Net Project Cost ($)]]/ReviewCalcs[[#This Row],[Fixture Energy Cost Savings ($)]], #N/A)</f>
        <v>#N/A</v>
      </c>
      <c r="BM142" s="118" t="e">
        <f>IF(VLOOKUP(ReviewCalcs[[#This Row],[Existing Fixture Code]], Table7[[FIXTURE CODE]:[Baseline Fixture Code]], 8, FALSE)="N", VLOOKUP(ReviewCalcs[[#This Row],[Existing Fixture Code]], Table7[[FIXTURE CODE]:[Baseline Fixture Code]], 9, FALSE), ReviewCalcs[[#This Row],[Existing Fixture Code]])</f>
        <v>#N/A</v>
      </c>
      <c r="BN142" s="118" t="e">
        <f>INDEX(Table7[WATT/ FIXT], MATCH(ReviewCalcs[Baseline Fixture Code], Table7[FIXTURE CODE], 0))</f>
        <v>#N/A</v>
      </c>
      <c r="BO142" s="118">
        <f>IFERROR((ReviewCalcs[[#This Row],[Existing Fixture Quantity]]*ReviewCalcs[[#This Row],[Baseline Fixture Watts]]/1000-ReviewCalcs[[#This Row],[Proposed Fixture Quantity]]*ReviewCalcs[[#This Row],[Proposed Fixture Watts]]/1000)*ReviewCalcs[[#This Row],[Existing CF]]*ReviewCalcs[[#This Row],[IEFD]], 0)</f>
        <v>0</v>
      </c>
      <c r="BP1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2" s="118">
        <f>IF(ReviewCalcs[[#This Row],[Existing CF]]=ReviewCalcs[[#This Row],[Proposed CF]], 0, ReviewCalcs[[#This Row],[Proposed Fixture Quantity]]*ReviewCalcs[[#This Row],[Proposed Fixture Watts]]/1000*ReviewCalcs[[#This Row],[Proposed CF]]*ReviewCalcs[[#This Row],[IEFD]])</f>
        <v>0</v>
      </c>
      <c r="BR142" s="118">
        <f>IFERROR(ReviewCalcs[[#This Row],[Proposed Fixture Quantity]]*ReviewCalcs[[#This Row],[Proposed Fixture Watts]]/1000*(ReviewCalcs[[#This Row],[Existing PAF]]-ReviewCalcs[[#This Row],[Proposed PAF]])*ReviewCalcs[[#This Row],[AOH]]*ReviewCalcs[[#This Row],[IEFE]],0)</f>
        <v>0</v>
      </c>
      <c r="BS142" s="118">
        <f>ReviewCalcs[[#This Row],[Incentive Fixture Demand Savings (kW)]]+ReviewCalcs[[#This Row],[Incentive Control Demand Savings (kW)]]</f>
        <v>0</v>
      </c>
      <c r="BT142" s="118">
        <f>ReviewCalcs[[#This Row],[Incentive Fixture Energy Savings (kWh)]]+ReviewCalcs[[#This Row],[Incentive Control Energy Savings (kWh)]]</f>
        <v>0</v>
      </c>
      <c r="BU142" s="73"/>
    </row>
    <row r="143" spans="1:73" ht="30" customHeight="1">
      <c r="A143" s="68">
        <v>140</v>
      </c>
      <c r="B143" s="96">
        <f>VLOOKUP(ReviewCalcs[[#This Row],[Project Index]], ProjectInput[], D$1, FALSE)</f>
        <v>0</v>
      </c>
      <c r="C143" s="97">
        <f>VLOOKUP(ReviewCalcs[[#This Row],[Project Index]], ProjectInput[], E$1, FALSE)</f>
        <v>0</v>
      </c>
      <c r="D143" s="97">
        <f>VLOOKUP(ReviewCalcs[[#This Row],[Project Index]], ProjectInput[], F$1, FALSE)</f>
        <v>0</v>
      </c>
      <c r="E143" s="97">
        <f>VLOOKUP(ReviewCalcs[[#This Row],[Project Index]], ProjectInput[], G$1, FALSE)</f>
        <v>0</v>
      </c>
      <c r="F143" s="97">
        <f>VLOOKUP(ReviewCalcs[[#This Row],[Project Index]], ProjectInput[], H$1, FALSE)</f>
        <v>0</v>
      </c>
      <c r="G143" s="98" t="str">
        <f>VLOOKUP(ReviewCalcs[[#This Row],[Project Index]], ProjectInput[], I$1, FALSE)</f>
        <v/>
      </c>
      <c r="H143" s="96">
        <f>VLOOKUP(ReviewCalcs[[#This Row],[Project Index]], ProjectInput[], J$1, FALSE)</f>
        <v>0</v>
      </c>
      <c r="I143" s="97">
        <f>VLOOKUP(ReviewCalcs[[#This Row],[Project Index]], ProjectInput[], K$1, FALSE)</f>
        <v>0</v>
      </c>
      <c r="J143" s="97">
        <f>VLOOKUP(ReviewCalcs[[#This Row],[Project Index]], ProjectInput[], L$1, FALSE)</f>
        <v>0</v>
      </c>
      <c r="K143" s="97">
        <f>VLOOKUP(ReviewCalcs[[#This Row],[Project Index]], ProjectInput[], M$1, FALSE)</f>
        <v>0</v>
      </c>
      <c r="L143" s="97">
        <f>VLOOKUP(ReviewCalcs[[#This Row],[Project Index]], ProjectInput[], N$1, FALSE)</f>
        <v>0</v>
      </c>
      <c r="M143" s="98" t="str">
        <f>VLOOKUP(ReviewCalcs[[#This Row],[Project Index]], ProjectInput[], O$1, FALSE)</f>
        <v/>
      </c>
      <c r="N143" s="96">
        <f>VLOOKUP(ReviewCalcs[[#This Row],[Project Index]], ProjectInput[], P$1, FALSE)</f>
        <v>0</v>
      </c>
      <c r="O143" s="97">
        <f>VLOOKUP(ReviewCalcs[[#This Row],[Project Index]], ProjectInput[], Q$1, FALSE)</f>
        <v>0</v>
      </c>
      <c r="P143" s="97">
        <f>VLOOKUP(ReviewCalcs[[#This Row],[Project Index]], ProjectInput[], R$1, FALSE)</f>
        <v>0</v>
      </c>
      <c r="Q143" s="97">
        <f>VLOOKUP(ReviewCalcs[[#This Row],[Project Index]], ProjectInput[], S$1, FALSE)</f>
        <v>0</v>
      </c>
      <c r="R143" s="97">
        <f>VLOOKUP(ReviewCalcs[[#This Row],[Project Index]], ProjectInput[], T$1, FALSE)</f>
        <v>0</v>
      </c>
      <c r="S143" s="97">
        <f>VLOOKUP(ReviewCalcs[[#This Row],[Project Index]], ProjectInput[], U$1, FALSE)</f>
        <v>0</v>
      </c>
      <c r="T143" s="97">
        <f>VLOOKUP(ReviewCalcs[[#This Row],[Project Index]], ProjectInput[], V$1, FALSE)</f>
        <v>0</v>
      </c>
      <c r="U143" s="97">
        <f>VLOOKUP(ReviewCalcs[[#This Row],[Project Index]], ProjectInput[], W$1, FALSE)</f>
        <v>0</v>
      </c>
      <c r="V143" s="98" t="str">
        <f>VLOOKUP(ReviewCalcs[[#This Row],[Project Index]], ProjectInput[], X$1, FALSE)</f>
        <v/>
      </c>
      <c r="W1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3" s="75" t="e">
        <f>IF(VLOOKUP(ReviewCalcs[[#This Row],[Proposed Fixture Code]], Table7[[FIXTURE CODE]:[Baseline Fixture Code]], 8, FALSE)="N", "ERROR", "PASS")</f>
        <v>#N/A</v>
      </c>
      <c r="Y1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3" s="75" t="e">
        <f>IF(OR(ReviewCalcs[[#This Row],[Baseline Fixture Watts]]&gt;=ReviewCalcs[[#This Row],[Proposed Fixture Watts]],ReviewCalcs[[#This Row],[Existing Fixture Watts]]&gt;=ReviewCalcs[[#This Row],[Proposed Fixture Watts]] ), "PASS", "ERROR")</f>
        <v>#N/A</v>
      </c>
      <c r="AA143" s="69" t="e">
        <f>VLOOKUP(ReviewCalcs[[#This Row],[Space Conditions]], Table_365[], 5, FALSE)</f>
        <v>#N/A</v>
      </c>
      <c r="AB143" s="68" t="str">
        <f>ReviewCalcs[[#This Row],[Annual Hours]]</f>
        <v/>
      </c>
      <c r="AC143" s="68" t="e">
        <f>VLOOKUP(ReviewCalcs[[#This Row],[Space Conditions]], Table_365[], 6, FALSE)</f>
        <v>#N/A</v>
      </c>
      <c r="AD143" s="68">
        <f>IF(ReviewCalcs[[#This Row],[Existing Control(s)]]='Tables &amp; Ranges'!$A$25, VLOOKUP(ReviewCalcs[[#This Row],[Building/Space Type]], Table_364[], 3, FALSE), CF_Contols)</f>
        <v>0.26</v>
      </c>
      <c r="AE143" s="68" t="e">
        <f>VLOOKUP(ReviewCalcs[[#This Row],[Existing Control(s)]], Table_358[], 2, FALSE)</f>
        <v>#N/A</v>
      </c>
      <c r="AF143" s="68">
        <f>IF(ReviewCalcs[[#This Row],[Proposed Control(s)]]='Tables &amp; Ranges'!$A$25, VLOOKUP(ReviewCalcs[[#This Row],[Building/Space Type]], Table_364[], 3, FALSE), CF_Contols)</f>
        <v>0.26</v>
      </c>
      <c r="AG143" s="68" t="e">
        <f>VLOOKUP(ReviewCalcs[[#This Row],[Proposed Control(s)]], Table_358[], 2, FALSE)</f>
        <v>#N/A</v>
      </c>
      <c r="AH143" s="68">
        <f>IFERROR((ReviewCalcs[[#This Row],[Existing Fixture Quantity]]*ReviewCalcs[[#This Row],[Existing Fixture Watts]]/1000)*ReviewCalcs[[#This Row],[Existing CF]]*ReviewCalcs[[#This Row],[IEFD]], 0)</f>
        <v>0</v>
      </c>
      <c r="AI143" s="68">
        <f>IFERROR((ReviewCalcs[[#This Row],[Proposed Fixture Quantity]]*ReviewCalcs[[#This Row],[Proposed Fixture Watts]]/1000)*ReviewCalcs[[#This Row],[Existing CF]]*ReviewCalcs[[#This Row],[IEFD]], 0)</f>
        <v>0</v>
      </c>
      <c r="AJ143" s="118">
        <f>IFERROR((ReviewCalcs[[#This Row],[Existing Fixture Quantity]]*ReviewCalcs[[#This Row],[Existing Fixture Watts]]/1000-ReviewCalcs[[#This Row],[Proposed Fixture Quantity]]*ReviewCalcs[[#This Row],[Proposed Fixture Watts]]/1000)*ReviewCalcs[[#This Row],[Existing CF]]*ReviewCalcs[[#This Row],[IEFD]], 0)</f>
        <v>0</v>
      </c>
      <c r="AK143" s="118">
        <f>IFERROR((ReviewCalcs[[#This Row],[Existing Fixture Quantity]]*ReviewCalcs[[#This Row],[Existing Fixture Watts]]/1000)*ReviewCalcs[[#This Row],[AOH]]*ReviewCalcs[[#This Row],[IEFE]]*ReviewCalcs[[#This Row],[Existing PAF]], 0)</f>
        <v>0</v>
      </c>
      <c r="AL143" s="118">
        <f>IFERROR((ReviewCalcs[[#This Row],[Proposed Fixture Quantity]]*ReviewCalcs[[#This Row],[Proposed Fixture Watts]]/1000)*ReviewCalcs[[#This Row],[AOH]]*ReviewCalcs[[#This Row],[IEFE]]*ReviewCalcs[[#This Row],[Existing PAF]], 0)</f>
        <v>0</v>
      </c>
      <c r="AM1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3" s="118">
        <f>ReviewCalcs[[#This Row],[Fixture Existing Energy (kWh)]]*Avg_KWh_Rate</f>
        <v>0</v>
      </c>
      <c r="AO143" s="118">
        <f>ReviewCalcs[[#This Row],[Fixture Proposed Energy (kWh)]]*Avg_KWh_Rate</f>
        <v>0</v>
      </c>
      <c r="AP143" s="70">
        <f>ReviewCalcs[[#This Row],[Fixture Energy Savings]]*Avg_KWh_Rate</f>
        <v>0</v>
      </c>
      <c r="AQ143" s="129" t="e">
        <f>ReviewCalcs[[#This Row],[Existing Fixture Quantity]]*ReviewCalcs[[#This Row],[Existing Fixture Watts]]/1000*ReviewCalcs[[#This Row],[Existing CF]]*ReviewCalcs[[#This Row],[IEFD]]</f>
        <v>#VALUE!</v>
      </c>
      <c r="AR143" s="129" t="e">
        <f>ReviewCalcs[[#This Row],[Proposed Fixture Quantity]]*ReviewCalcs[[#This Row],[Proposed Fixture Watts]]/1000*ReviewCalcs[[#This Row],[Proposed CF]]*ReviewCalcs[[#This Row],[IEFD]]</f>
        <v>#VALUE!</v>
      </c>
      <c r="AS143" s="118">
        <f>IF(ReviewCalcs[[#This Row],[Existing CF]]=ReviewCalcs[[#This Row],[Proposed CF]], 0, ReviewCalcs[[#This Row],[Proposed Fixture Quantity]]*ReviewCalcs[[#This Row],[Proposed Fixture Watts]]/1000*ReviewCalcs[[#This Row],[Proposed CF]]*ReviewCalcs[[#This Row],[IEFD]])</f>
        <v>0</v>
      </c>
      <c r="AT143" s="118">
        <f>IFERROR(ReviewCalcs[[#This Row],[Existing Fixture Quantity]]*ReviewCalcs[[#This Row],[Existing Fixture Watts]]/1000*ReviewCalcs[[#This Row],[Existing PAF]]*ReviewCalcs[[#This Row],[AOH]]*ReviewCalcs[[#This Row],[IEFE]], 0)</f>
        <v>0</v>
      </c>
      <c r="AU143" s="118">
        <f>IFERROR(ReviewCalcs[[#This Row],[Proposed Fixture Quantity]]*ReviewCalcs[[#This Row],[Proposed Fixture Watts]]/1000*ReviewCalcs[[#This Row],[Proposed PAF]]*ReviewCalcs[[#This Row],[AOH]]*ReviewCalcs[[#This Row],[IEFE]], 0)</f>
        <v>0</v>
      </c>
      <c r="AV143" s="118">
        <f>IFERROR(ReviewCalcs[[#This Row],[Proposed Fixture Quantity]]*ReviewCalcs[[#This Row],[Proposed Fixture Watts]]/1000*(ReviewCalcs[[#This Row],[Existing PAF]]-ReviewCalcs[[#This Row],[Proposed PAF]])*ReviewCalcs[[#This Row],[AOH]]*ReviewCalcs[[#This Row],[IEFE]], 0)</f>
        <v>0</v>
      </c>
      <c r="AW143" s="118">
        <f>ReviewCalcs[[#This Row],[Control Existing Energy (kWh)]]*kWh_Incentive_Rate</f>
        <v>0</v>
      </c>
      <c r="AX143" s="118">
        <f>ReviewCalcs[[#This Row],[Control Proposed Energy (kWh)]]*kWh_Incentive_Rate</f>
        <v>0</v>
      </c>
      <c r="AY143" s="70">
        <f>ReviewCalcs[[#This Row],[Control Energy Savings (kWh)]]*kWh_Incentive_Rate</f>
        <v>0</v>
      </c>
      <c r="AZ143" s="70" t="e">
        <f>ReviewCalcs[[#This Row],[Fixture Existing Demand (kW)]]+ReviewCalcs[[#This Row],[Control Existing Demand (kW)]]</f>
        <v>#VALUE!</v>
      </c>
      <c r="BA143" s="70" t="e">
        <f>ReviewCalcs[[#This Row],[Fixture Proposed Demand (kW)]]+ReviewCalcs[[#This Row],[Control Proposed Demand (kW)]]</f>
        <v>#VALUE!</v>
      </c>
      <c r="BB143" s="118">
        <f>ReviewCalcs[[#This Row],[Fixture Demand Savings (kW)]]+ReviewCalcs[[#This Row],[Control Demand Savings (kW)]]</f>
        <v>0</v>
      </c>
      <c r="BC143" s="118">
        <f>ReviewCalcs[[#This Row],[Fixture Existing Energy (kWh)]]+ReviewCalcs[[#This Row],[Control Existing Energy (kWh)]]</f>
        <v>0</v>
      </c>
      <c r="BD143" s="118">
        <f>ReviewCalcs[[#This Row],[Fixture Proposed Energy (kWh)]]+ReviewCalcs[[#This Row],[Control Proposed Energy (kWh)]]</f>
        <v>0</v>
      </c>
      <c r="BE143" s="118">
        <f>ReviewCalcs[[#This Row],[Fixture Energy Savings]]+ReviewCalcs[[#This Row],[Control Energy Savings (kWh)]]</f>
        <v>0</v>
      </c>
      <c r="BF143" s="118">
        <f>ReviewCalcs[[#This Row],[Fixture Existing Cost ($)]]+ReviewCalcs[[#This Row],[Control Existing Cost ($)]]</f>
        <v>0</v>
      </c>
      <c r="BG143" s="118">
        <f>ReviewCalcs[[#This Row],[Fixture Proposed Cost ($)]]+ReviewCalcs[[#This Row],[Controls Proposed Cost ($)]]</f>
        <v>0</v>
      </c>
      <c r="BH143" s="70">
        <f>ReviewCalcs[[#This Row],[Total Energy Savings (kWh)]]*Avg_KWh_Rate</f>
        <v>0</v>
      </c>
      <c r="BI1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3" s="70">
        <f>ReviewCalcs[[#This Row],[Retrofit Cost]]</f>
        <v>0</v>
      </c>
      <c r="BK143" s="70">
        <f>ReviewCalcs[[#This Row],[Retrofit Cost]]-ReviewCalcs[[#This Row],[Incentive ($)]]</f>
        <v>0</v>
      </c>
      <c r="BL143" s="118" t="e">
        <f>IFERROR(ReviewCalcs[[#This Row],[Net Project Cost ($)]]/ReviewCalcs[[#This Row],[Fixture Energy Cost Savings ($)]], #N/A)</f>
        <v>#N/A</v>
      </c>
      <c r="BM143" s="118" t="e">
        <f>IF(VLOOKUP(ReviewCalcs[[#This Row],[Existing Fixture Code]], Table7[[FIXTURE CODE]:[Baseline Fixture Code]], 8, FALSE)="N", VLOOKUP(ReviewCalcs[[#This Row],[Existing Fixture Code]], Table7[[FIXTURE CODE]:[Baseline Fixture Code]], 9, FALSE), ReviewCalcs[[#This Row],[Existing Fixture Code]])</f>
        <v>#N/A</v>
      </c>
      <c r="BN143" s="118" t="e">
        <f>INDEX(Table7[WATT/ FIXT], MATCH(ReviewCalcs[Baseline Fixture Code], Table7[FIXTURE CODE], 0))</f>
        <v>#N/A</v>
      </c>
      <c r="BO143" s="118">
        <f>IFERROR((ReviewCalcs[[#This Row],[Existing Fixture Quantity]]*ReviewCalcs[[#This Row],[Baseline Fixture Watts]]/1000-ReviewCalcs[[#This Row],[Proposed Fixture Quantity]]*ReviewCalcs[[#This Row],[Proposed Fixture Watts]]/1000)*ReviewCalcs[[#This Row],[Existing CF]]*ReviewCalcs[[#This Row],[IEFD]], 0)</f>
        <v>0</v>
      </c>
      <c r="BP1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3" s="118">
        <f>IF(ReviewCalcs[[#This Row],[Existing CF]]=ReviewCalcs[[#This Row],[Proposed CF]], 0, ReviewCalcs[[#This Row],[Proposed Fixture Quantity]]*ReviewCalcs[[#This Row],[Proposed Fixture Watts]]/1000*ReviewCalcs[[#This Row],[Proposed CF]]*ReviewCalcs[[#This Row],[IEFD]])</f>
        <v>0</v>
      </c>
      <c r="BR143" s="118">
        <f>IFERROR(ReviewCalcs[[#This Row],[Proposed Fixture Quantity]]*ReviewCalcs[[#This Row],[Proposed Fixture Watts]]/1000*(ReviewCalcs[[#This Row],[Existing PAF]]-ReviewCalcs[[#This Row],[Proposed PAF]])*ReviewCalcs[[#This Row],[AOH]]*ReviewCalcs[[#This Row],[IEFE]],0)</f>
        <v>0</v>
      </c>
      <c r="BS143" s="118">
        <f>ReviewCalcs[[#This Row],[Incentive Fixture Demand Savings (kW)]]+ReviewCalcs[[#This Row],[Incentive Control Demand Savings (kW)]]</f>
        <v>0</v>
      </c>
      <c r="BT143" s="118">
        <f>ReviewCalcs[[#This Row],[Incentive Fixture Energy Savings (kWh)]]+ReviewCalcs[[#This Row],[Incentive Control Energy Savings (kWh)]]</f>
        <v>0</v>
      </c>
      <c r="BU143" s="73"/>
    </row>
    <row r="144" spans="1:73" ht="30" customHeight="1">
      <c r="A144" s="68">
        <v>141</v>
      </c>
      <c r="B144" s="96">
        <f>VLOOKUP(ReviewCalcs[[#This Row],[Project Index]], ProjectInput[], D$1, FALSE)</f>
        <v>0</v>
      </c>
      <c r="C144" s="97">
        <f>VLOOKUP(ReviewCalcs[[#This Row],[Project Index]], ProjectInput[], E$1, FALSE)</f>
        <v>0</v>
      </c>
      <c r="D144" s="97">
        <f>VLOOKUP(ReviewCalcs[[#This Row],[Project Index]], ProjectInput[], F$1, FALSE)</f>
        <v>0</v>
      </c>
      <c r="E144" s="97">
        <f>VLOOKUP(ReviewCalcs[[#This Row],[Project Index]], ProjectInput[], G$1, FALSE)</f>
        <v>0</v>
      </c>
      <c r="F144" s="97">
        <f>VLOOKUP(ReviewCalcs[[#This Row],[Project Index]], ProjectInput[], H$1, FALSE)</f>
        <v>0</v>
      </c>
      <c r="G144" s="98" t="str">
        <f>VLOOKUP(ReviewCalcs[[#This Row],[Project Index]], ProjectInput[], I$1, FALSE)</f>
        <v/>
      </c>
      <c r="H144" s="96">
        <f>VLOOKUP(ReviewCalcs[[#This Row],[Project Index]], ProjectInput[], J$1, FALSE)</f>
        <v>0</v>
      </c>
      <c r="I144" s="97">
        <f>VLOOKUP(ReviewCalcs[[#This Row],[Project Index]], ProjectInput[], K$1, FALSE)</f>
        <v>0</v>
      </c>
      <c r="J144" s="97">
        <f>VLOOKUP(ReviewCalcs[[#This Row],[Project Index]], ProjectInput[], L$1, FALSE)</f>
        <v>0</v>
      </c>
      <c r="K144" s="97">
        <f>VLOOKUP(ReviewCalcs[[#This Row],[Project Index]], ProjectInput[], M$1, FALSE)</f>
        <v>0</v>
      </c>
      <c r="L144" s="97">
        <f>VLOOKUP(ReviewCalcs[[#This Row],[Project Index]], ProjectInput[], N$1, FALSE)</f>
        <v>0</v>
      </c>
      <c r="M144" s="98" t="str">
        <f>VLOOKUP(ReviewCalcs[[#This Row],[Project Index]], ProjectInput[], O$1, FALSE)</f>
        <v/>
      </c>
      <c r="N144" s="96">
        <f>VLOOKUP(ReviewCalcs[[#This Row],[Project Index]], ProjectInput[], P$1, FALSE)</f>
        <v>0</v>
      </c>
      <c r="O144" s="97">
        <f>VLOOKUP(ReviewCalcs[[#This Row],[Project Index]], ProjectInput[], Q$1, FALSE)</f>
        <v>0</v>
      </c>
      <c r="P144" s="97">
        <f>VLOOKUP(ReviewCalcs[[#This Row],[Project Index]], ProjectInput[], R$1, FALSE)</f>
        <v>0</v>
      </c>
      <c r="Q144" s="97">
        <f>VLOOKUP(ReviewCalcs[[#This Row],[Project Index]], ProjectInput[], S$1, FALSE)</f>
        <v>0</v>
      </c>
      <c r="R144" s="97">
        <f>VLOOKUP(ReviewCalcs[[#This Row],[Project Index]], ProjectInput[], T$1, FALSE)</f>
        <v>0</v>
      </c>
      <c r="S144" s="97">
        <f>VLOOKUP(ReviewCalcs[[#This Row],[Project Index]], ProjectInput[], U$1, FALSE)</f>
        <v>0</v>
      </c>
      <c r="T144" s="97">
        <f>VLOOKUP(ReviewCalcs[[#This Row],[Project Index]], ProjectInput[], V$1, FALSE)</f>
        <v>0</v>
      </c>
      <c r="U144" s="97">
        <f>VLOOKUP(ReviewCalcs[[#This Row],[Project Index]], ProjectInput[], W$1, FALSE)</f>
        <v>0</v>
      </c>
      <c r="V144" s="98" t="str">
        <f>VLOOKUP(ReviewCalcs[[#This Row],[Project Index]], ProjectInput[], X$1, FALSE)</f>
        <v/>
      </c>
      <c r="W1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4" s="75" t="e">
        <f>IF(VLOOKUP(ReviewCalcs[[#This Row],[Proposed Fixture Code]], Table7[[FIXTURE CODE]:[Baseline Fixture Code]], 8, FALSE)="N", "ERROR", "PASS")</f>
        <v>#N/A</v>
      </c>
      <c r="Y1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4" s="75" t="e">
        <f>IF(OR(ReviewCalcs[[#This Row],[Baseline Fixture Watts]]&gt;=ReviewCalcs[[#This Row],[Proposed Fixture Watts]],ReviewCalcs[[#This Row],[Existing Fixture Watts]]&gt;=ReviewCalcs[[#This Row],[Proposed Fixture Watts]] ), "PASS", "ERROR")</f>
        <v>#N/A</v>
      </c>
      <c r="AA144" s="69" t="e">
        <f>VLOOKUP(ReviewCalcs[[#This Row],[Space Conditions]], Table_365[], 5, FALSE)</f>
        <v>#N/A</v>
      </c>
      <c r="AB144" s="68" t="str">
        <f>ReviewCalcs[[#This Row],[Annual Hours]]</f>
        <v/>
      </c>
      <c r="AC144" s="68" t="e">
        <f>VLOOKUP(ReviewCalcs[[#This Row],[Space Conditions]], Table_365[], 6, FALSE)</f>
        <v>#N/A</v>
      </c>
      <c r="AD144" s="68">
        <f>IF(ReviewCalcs[[#This Row],[Existing Control(s)]]='Tables &amp; Ranges'!$A$25, VLOOKUP(ReviewCalcs[[#This Row],[Building/Space Type]], Table_364[], 3, FALSE), CF_Contols)</f>
        <v>0.26</v>
      </c>
      <c r="AE144" s="68" t="e">
        <f>VLOOKUP(ReviewCalcs[[#This Row],[Existing Control(s)]], Table_358[], 2, FALSE)</f>
        <v>#N/A</v>
      </c>
      <c r="AF144" s="68">
        <f>IF(ReviewCalcs[[#This Row],[Proposed Control(s)]]='Tables &amp; Ranges'!$A$25, VLOOKUP(ReviewCalcs[[#This Row],[Building/Space Type]], Table_364[], 3, FALSE), CF_Contols)</f>
        <v>0.26</v>
      </c>
      <c r="AG144" s="68" t="e">
        <f>VLOOKUP(ReviewCalcs[[#This Row],[Proposed Control(s)]], Table_358[], 2, FALSE)</f>
        <v>#N/A</v>
      </c>
      <c r="AH144" s="68">
        <f>IFERROR((ReviewCalcs[[#This Row],[Existing Fixture Quantity]]*ReviewCalcs[[#This Row],[Existing Fixture Watts]]/1000)*ReviewCalcs[[#This Row],[Existing CF]]*ReviewCalcs[[#This Row],[IEFD]], 0)</f>
        <v>0</v>
      </c>
      <c r="AI144" s="68">
        <f>IFERROR((ReviewCalcs[[#This Row],[Proposed Fixture Quantity]]*ReviewCalcs[[#This Row],[Proposed Fixture Watts]]/1000)*ReviewCalcs[[#This Row],[Existing CF]]*ReviewCalcs[[#This Row],[IEFD]], 0)</f>
        <v>0</v>
      </c>
      <c r="AJ144" s="118">
        <f>IFERROR((ReviewCalcs[[#This Row],[Existing Fixture Quantity]]*ReviewCalcs[[#This Row],[Existing Fixture Watts]]/1000-ReviewCalcs[[#This Row],[Proposed Fixture Quantity]]*ReviewCalcs[[#This Row],[Proposed Fixture Watts]]/1000)*ReviewCalcs[[#This Row],[Existing CF]]*ReviewCalcs[[#This Row],[IEFD]], 0)</f>
        <v>0</v>
      </c>
      <c r="AK144" s="118">
        <f>IFERROR((ReviewCalcs[[#This Row],[Existing Fixture Quantity]]*ReviewCalcs[[#This Row],[Existing Fixture Watts]]/1000)*ReviewCalcs[[#This Row],[AOH]]*ReviewCalcs[[#This Row],[IEFE]]*ReviewCalcs[[#This Row],[Existing PAF]], 0)</f>
        <v>0</v>
      </c>
      <c r="AL144" s="118">
        <f>IFERROR((ReviewCalcs[[#This Row],[Proposed Fixture Quantity]]*ReviewCalcs[[#This Row],[Proposed Fixture Watts]]/1000)*ReviewCalcs[[#This Row],[AOH]]*ReviewCalcs[[#This Row],[IEFE]]*ReviewCalcs[[#This Row],[Existing PAF]], 0)</f>
        <v>0</v>
      </c>
      <c r="AM1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4" s="118">
        <f>ReviewCalcs[[#This Row],[Fixture Existing Energy (kWh)]]*Avg_KWh_Rate</f>
        <v>0</v>
      </c>
      <c r="AO144" s="118">
        <f>ReviewCalcs[[#This Row],[Fixture Proposed Energy (kWh)]]*Avg_KWh_Rate</f>
        <v>0</v>
      </c>
      <c r="AP144" s="70">
        <f>ReviewCalcs[[#This Row],[Fixture Energy Savings]]*Avg_KWh_Rate</f>
        <v>0</v>
      </c>
      <c r="AQ144" s="129" t="e">
        <f>ReviewCalcs[[#This Row],[Existing Fixture Quantity]]*ReviewCalcs[[#This Row],[Existing Fixture Watts]]/1000*ReviewCalcs[[#This Row],[Existing CF]]*ReviewCalcs[[#This Row],[IEFD]]</f>
        <v>#VALUE!</v>
      </c>
      <c r="AR144" s="129" t="e">
        <f>ReviewCalcs[[#This Row],[Proposed Fixture Quantity]]*ReviewCalcs[[#This Row],[Proposed Fixture Watts]]/1000*ReviewCalcs[[#This Row],[Proposed CF]]*ReviewCalcs[[#This Row],[IEFD]]</f>
        <v>#VALUE!</v>
      </c>
      <c r="AS144" s="118">
        <f>IF(ReviewCalcs[[#This Row],[Existing CF]]=ReviewCalcs[[#This Row],[Proposed CF]], 0, ReviewCalcs[[#This Row],[Proposed Fixture Quantity]]*ReviewCalcs[[#This Row],[Proposed Fixture Watts]]/1000*ReviewCalcs[[#This Row],[Proposed CF]]*ReviewCalcs[[#This Row],[IEFD]])</f>
        <v>0</v>
      </c>
      <c r="AT144" s="118">
        <f>IFERROR(ReviewCalcs[[#This Row],[Existing Fixture Quantity]]*ReviewCalcs[[#This Row],[Existing Fixture Watts]]/1000*ReviewCalcs[[#This Row],[Existing PAF]]*ReviewCalcs[[#This Row],[AOH]]*ReviewCalcs[[#This Row],[IEFE]], 0)</f>
        <v>0</v>
      </c>
      <c r="AU144" s="118">
        <f>IFERROR(ReviewCalcs[[#This Row],[Proposed Fixture Quantity]]*ReviewCalcs[[#This Row],[Proposed Fixture Watts]]/1000*ReviewCalcs[[#This Row],[Proposed PAF]]*ReviewCalcs[[#This Row],[AOH]]*ReviewCalcs[[#This Row],[IEFE]], 0)</f>
        <v>0</v>
      </c>
      <c r="AV144" s="118">
        <f>IFERROR(ReviewCalcs[[#This Row],[Proposed Fixture Quantity]]*ReviewCalcs[[#This Row],[Proposed Fixture Watts]]/1000*(ReviewCalcs[[#This Row],[Existing PAF]]-ReviewCalcs[[#This Row],[Proposed PAF]])*ReviewCalcs[[#This Row],[AOH]]*ReviewCalcs[[#This Row],[IEFE]], 0)</f>
        <v>0</v>
      </c>
      <c r="AW144" s="118">
        <f>ReviewCalcs[[#This Row],[Control Existing Energy (kWh)]]*kWh_Incentive_Rate</f>
        <v>0</v>
      </c>
      <c r="AX144" s="118">
        <f>ReviewCalcs[[#This Row],[Control Proposed Energy (kWh)]]*kWh_Incentive_Rate</f>
        <v>0</v>
      </c>
      <c r="AY144" s="70">
        <f>ReviewCalcs[[#This Row],[Control Energy Savings (kWh)]]*kWh_Incentive_Rate</f>
        <v>0</v>
      </c>
      <c r="AZ144" s="70" t="e">
        <f>ReviewCalcs[[#This Row],[Fixture Existing Demand (kW)]]+ReviewCalcs[[#This Row],[Control Existing Demand (kW)]]</f>
        <v>#VALUE!</v>
      </c>
      <c r="BA144" s="70" t="e">
        <f>ReviewCalcs[[#This Row],[Fixture Proposed Demand (kW)]]+ReviewCalcs[[#This Row],[Control Proposed Demand (kW)]]</f>
        <v>#VALUE!</v>
      </c>
      <c r="BB144" s="118">
        <f>ReviewCalcs[[#This Row],[Fixture Demand Savings (kW)]]+ReviewCalcs[[#This Row],[Control Demand Savings (kW)]]</f>
        <v>0</v>
      </c>
      <c r="BC144" s="118">
        <f>ReviewCalcs[[#This Row],[Fixture Existing Energy (kWh)]]+ReviewCalcs[[#This Row],[Control Existing Energy (kWh)]]</f>
        <v>0</v>
      </c>
      <c r="BD144" s="118">
        <f>ReviewCalcs[[#This Row],[Fixture Proposed Energy (kWh)]]+ReviewCalcs[[#This Row],[Control Proposed Energy (kWh)]]</f>
        <v>0</v>
      </c>
      <c r="BE144" s="118">
        <f>ReviewCalcs[[#This Row],[Fixture Energy Savings]]+ReviewCalcs[[#This Row],[Control Energy Savings (kWh)]]</f>
        <v>0</v>
      </c>
      <c r="BF144" s="118">
        <f>ReviewCalcs[[#This Row],[Fixture Existing Cost ($)]]+ReviewCalcs[[#This Row],[Control Existing Cost ($)]]</f>
        <v>0</v>
      </c>
      <c r="BG144" s="118">
        <f>ReviewCalcs[[#This Row],[Fixture Proposed Cost ($)]]+ReviewCalcs[[#This Row],[Controls Proposed Cost ($)]]</f>
        <v>0</v>
      </c>
      <c r="BH144" s="70">
        <f>ReviewCalcs[[#This Row],[Total Energy Savings (kWh)]]*Avg_KWh_Rate</f>
        <v>0</v>
      </c>
      <c r="BI1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4" s="70">
        <f>ReviewCalcs[[#This Row],[Retrofit Cost]]</f>
        <v>0</v>
      </c>
      <c r="BK144" s="70">
        <f>ReviewCalcs[[#This Row],[Retrofit Cost]]-ReviewCalcs[[#This Row],[Incentive ($)]]</f>
        <v>0</v>
      </c>
      <c r="BL144" s="118" t="e">
        <f>IFERROR(ReviewCalcs[[#This Row],[Net Project Cost ($)]]/ReviewCalcs[[#This Row],[Fixture Energy Cost Savings ($)]], #N/A)</f>
        <v>#N/A</v>
      </c>
      <c r="BM144" s="118" t="e">
        <f>IF(VLOOKUP(ReviewCalcs[[#This Row],[Existing Fixture Code]], Table7[[FIXTURE CODE]:[Baseline Fixture Code]], 8, FALSE)="N", VLOOKUP(ReviewCalcs[[#This Row],[Existing Fixture Code]], Table7[[FIXTURE CODE]:[Baseline Fixture Code]], 9, FALSE), ReviewCalcs[[#This Row],[Existing Fixture Code]])</f>
        <v>#N/A</v>
      </c>
      <c r="BN144" s="118" t="e">
        <f>INDEX(Table7[WATT/ FIXT], MATCH(ReviewCalcs[Baseline Fixture Code], Table7[FIXTURE CODE], 0))</f>
        <v>#N/A</v>
      </c>
      <c r="BO144" s="118">
        <f>IFERROR((ReviewCalcs[[#This Row],[Existing Fixture Quantity]]*ReviewCalcs[[#This Row],[Baseline Fixture Watts]]/1000-ReviewCalcs[[#This Row],[Proposed Fixture Quantity]]*ReviewCalcs[[#This Row],[Proposed Fixture Watts]]/1000)*ReviewCalcs[[#This Row],[Existing CF]]*ReviewCalcs[[#This Row],[IEFD]], 0)</f>
        <v>0</v>
      </c>
      <c r="BP1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4" s="118">
        <f>IF(ReviewCalcs[[#This Row],[Existing CF]]=ReviewCalcs[[#This Row],[Proposed CF]], 0, ReviewCalcs[[#This Row],[Proposed Fixture Quantity]]*ReviewCalcs[[#This Row],[Proposed Fixture Watts]]/1000*ReviewCalcs[[#This Row],[Proposed CF]]*ReviewCalcs[[#This Row],[IEFD]])</f>
        <v>0</v>
      </c>
      <c r="BR144" s="118">
        <f>IFERROR(ReviewCalcs[[#This Row],[Proposed Fixture Quantity]]*ReviewCalcs[[#This Row],[Proposed Fixture Watts]]/1000*(ReviewCalcs[[#This Row],[Existing PAF]]-ReviewCalcs[[#This Row],[Proposed PAF]])*ReviewCalcs[[#This Row],[AOH]]*ReviewCalcs[[#This Row],[IEFE]],0)</f>
        <v>0</v>
      </c>
      <c r="BS144" s="118">
        <f>ReviewCalcs[[#This Row],[Incentive Fixture Demand Savings (kW)]]+ReviewCalcs[[#This Row],[Incentive Control Demand Savings (kW)]]</f>
        <v>0</v>
      </c>
      <c r="BT144" s="118">
        <f>ReviewCalcs[[#This Row],[Incentive Fixture Energy Savings (kWh)]]+ReviewCalcs[[#This Row],[Incentive Control Energy Savings (kWh)]]</f>
        <v>0</v>
      </c>
      <c r="BU144" s="73"/>
    </row>
    <row r="145" spans="1:73" ht="30" customHeight="1">
      <c r="A145" s="68">
        <v>142</v>
      </c>
      <c r="B145" s="96">
        <f>VLOOKUP(ReviewCalcs[[#This Row],[Project Index]], ProjectInput[], D$1, FALSE)</f>
        <v>0</v>
      </c>
      <c r="C145" s="97">
        <f>VLOOKUP(ReviewCalcs[[#This Row],[Project Index]], ProjectInput[], E$1, FALSE)</f>
        <v>0</v>
      </c>
      <c r="D145" s="97">
        <f>VLOOKUP(ReviewCalcs[[#This Row],[Project Index]], ProjectInput[], F$1, FALSE)</f>
        <v>0</v>
      </c>
      <c r="E145" s="97">
        <f>VLOOKUP(ReviewCalcs[[#This Row],[Project Index]], ProjectInput[], G$1, FALSE)</f>
        <v>0</v>
      </c>
      <c r="F145" s="97">
        <f>VLOOKUP(ReviewCalcs[[#This Row],[Project Index]], ProjectInput[], H$1, FALSE)</f>
        <v>0</v>
      </c>
      <c r="G145" s="98" t="str">
        <f>VLOOKUP(ReviewCalcs[[#This Row],[Project Index]], ProjectInput[], I$1, FALSE)</f>
        <v/>
      </c>
      <c r="H145" s="96">
        <f>VLOOKUP(ReviewCalcs[[#This Row],[Project Index]], ProjectInput[], J$1, FALSE)</f>
        <v>0</v>
      </c>
      <c r="I145" s="97">
        <f>VLOOKUP(ReviewCalcs[[#This Row],[Project Index]], ProjectInput[], K$1, FALSE)</f>
        <v>0</v>
      </c>
      <c r="J145" s="97">
        <f>VLOOKUP(ReviewCalcs[[#This Row],[Project Index]], ProjectInput[], L$1, FALSE)</f>
        <v>0</v>
      </c>
      <c r="K145" s="97">
        <f>VLOOKUP(ReviewCalcs[[#This Row],[Project Index]], ProjectInput[], M$1, FALSE)</f>
        <v>0</v>
      </c>
      <c r="L145" s="97">
        <f>VLOOKUP(ReviewCalcs[[#This Row],[Project Index]], ProjectInput[], N$1, FALSE)</f>
        <v>0</v>
      </c>
      <c r="M145" s="98" t="str">
        <f>VLOOKUP(ReviewCalcs[[#This Row],[Project Index]], ProjectInput[], O$1, FALSE)</f>
        <v/>
      </c>
      <c r="N145" s="96">
        <f>VLOOKUP(ReviewCalcs[[#This Row],[Project Index]], ProjectInput[], P$1, FALSE)</f>
        <v>0</v>
      </c>
      <c r="O145" s="97">
        <f>VLOOKUP(ReviewCalcs[[#This Row],[Project Index]], ProjectInput[], Q$1, FALSE)</f>
        <v>0</v>
      </c>
      <c r="P145" s="97">
        <f>VLOOKUP(ReviewCalcs[[#This Row],[Project Index]], ProjectInput[], R$1, FALSE)</f>
        <v>0</v>
      </c>
      <c r="Q145" s="97">
        <f>VLOOKUP(ReviewCalcs[[#This Row],[Project Index]], ProjectInput[], S$1, FALSE)</f>
        <v>0</v>
      </c>
      <c r="R145" s="97">
        <f>VLOOKUP(ReviewCalcs[[#This Row],[Project Index]], ProjectInput[], T$1, FALSE)</f>
        <v>0</v>
      </c>
      <c r="S145" s="97">
        <f>VLOOKUP(ReviewCalcs[[#This Row],[Project Index]], ProjectInput[], U$1, FALSE)</f>
        <v>0</v>
      </c>
      <c r="T145" s="97">
        <f>VLOOKUP(ReviewCalcs[[#This Row],[Project Index]], ProjectInput[], V$1, FALSE)</f>
        <v>0</v>
      </c>
      <c r="U145" s="97">
        <f>VLOOKUP(ReviewCalcs[[#This Row],[Project Index]], ProjectInput[], W$1, FALSE)</f>
        <v>0</v>
      </c>
      <c r="V145" s="98" t="str">
        <f>VLOOKUP(ReviewCalcs[[#This Row],[Project Index]], ProjectInput[], X$1, FALSE)</f>
        <v/>
      </c>
      <c r="W1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5" s="75" t="e">
        <f>IF(VLOOKUP(ReviewCalcs[[#This Row],[Proposed Fixture Code]], Table7[[FIXTURE CODE]:[Baseline Fixture Code]], 8, FALSE)="N", "ERROR", "PASS")</f>
        <v>#N/A</v>
      </c>
      <c r="Y1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5" s="75" t="e">
        <f>IF(OR(ReviewCalcs[[#This Row],[Baseline Fixture Watts]]&gt;=ReviewCalcs[[#This Row],[Proposed Fixture Watts]],ReviewCalcs[[#This Row],[Existing Fixture Watts]]&gt;=ReviewCalcs[[#This Row],[Proposed Fixture Watts]] ), "PASS", "ERROR")</f>
        <v>#N/A</v>
      </c>
      <c r="AA145" s="69" t="e">
        <f>VLOOKUP(ReviewCalcs[[#This Row],[Space Conditions]], Table_365[], 5, FALSE)</f>
        <v>#N/A</v>
      </c>
      <c r="AB145" s="68" t="str">
        <f>ReviewCalcs[[#This Row],[Annual Hours]]</f>
        <v/>
      </c>
      <c r="AC145" s="68" t="e">
        <f>VLOOKUP(ReviewCalcs[[#This Row],[Space Conditions]], Table_365[], 6, FALSE)</f>
        <v>#N/A</v>
      </c>
      <c r="AD145" s="68">
        <f>IF(ReviewCalcs[[#This Row],[Existing Control(s)]]='Tables &amp; Ranges'!$A$25, VLOOKUP(ReviewCalcs[[#This Row],[Building/Space Type]], Table_364[], 3, FALSE), CF_Contols)</f>
        <v>0.26</v>
      </c>
      <c r="AE145" s="68" t="e">
        <f>VLOOKUP(ReviewCalcs[[#This Row],[Existing Control(s)]], Table_358[], 2, FALSE)</f>
        <v>#N/A</v>
      </c>
      <c r="AF145" s="68">
        <f>IF(ReviewCalcs[[#This Row],[Proposed Control(s)]]='Tables &amp; Ranges'!$A$25, VLOOKUP(ReviewCalcs[[#This Row],[Building/Space Type]], Table_364[], 3, FALSE), CF_Contols)</f>
        <v>0.26</v>
      </c>
      <c r="AG145" s="68" t="e">
        <f>VLOOKUP(ReviewCalcs[[#This Row],[Proposed Control(s)]], Table_358[], 2, FALSE)</f>
        <v>#N/A</v>
      </c>
      <c r="AH145" s="68">
        <f>IFERROR((ReviewCalcs[[#This Row],[Existing Fixture Quantity]]*ReviewCalcs[[#This Row],[Existing Fixture Watts]]/1000)*ReviewCalcs[[#This Row],[Existing CF]]*ReviewCalcs[[#This Row],[IEFD]], 0)</f>
        <v>0</v>
      </c>
      <c r="AI145" s="68">
        <f>IFERROR((ReviewCalcs[[#This Row],[Proposed Fixture Quantity]]*ReviewCalcs[[#This Row],[Proposed Fixture Watts]]/1000)*ReviewCalcs[[#This Row],[Existing CF]]*ReviewCalcs[[#This Row],[IEFD]], 0)</f>
        <v>0</v>
      </c>
      <c r="AJ145" s="118">
        <f>IFERROR((ReviewCalcs[[#This Row],[Existing Fixture Quantity]]*ReviewCalcs[[#This Row],[Existing Fixture Watts]]/1000-ReviewCalcs[[#This Row],[Proposed Fixture Quantity]]*ReviewCalcs[[#This Row],[Proposed Fixture Watts]]/1000)*ReviewCalcs[[#This Row],[Existing CF]]*ReviewCalcs[[#This Row],[IEFD]], 0)</f>
        <v>0</v>
      </c>
      <c r="AK145" s="118">
        <f>IFERROR((ReviewCalcs[[#This Row],[Existing Fixture Quantity]]*ReviewCalcs[[#This Row],[Existing Fixture Watts]]/1000)*ReviewCalcs[[#This Row],[AOH]]*ReviewCalcs[[#This Row],[IEFE]]*ReviewCalcs[[#This Row],[Existing PAF]], 0)</f>
        <v>0</v>
      </c>
      <c r="AL145" s="118">
        <f>IFERROR((ReviewCalcs[[#This Row],[Proposed Fixture Quantity]]*ReviewCalcs[[#This Row],[Proposed Fixture Watts]]/1000)*ReviewCalcs[[#This Row],[AOH]]*ReviewCalcs[[#This Row],[IEFE]]*ReviewCalcs[[#This Row],[Existing PAF]], 0)</f>
        <v>0</v>
      </c>
      <c r="AM1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5" s="118">
        <f>ReviewCalcs[[#This Row],[Fixture Existing Energy (kWh)]]*Avg_KWh_Rate</f>
        <v>0</v>
      </c>
      <c r="AO145" s="118">
        <f>ReviewCalcs[[#This Row],[Fixture Proposed Energy (kWh)]]*Avg_KWh_Rate</f>
        <v>0</v>
      </c>
      <c r="AP145" s="70">
        <f>ReviewCalcs[[#This Row],[Fixture Energy Savings]]*Avg_KWh_Rate</f>
        <v>0</v>
      </c>
      <c r="AQ145" s="129" t="e">
        <f>ReviewCalcs[[#This Row],[Existing Fixture Quantity]]*ReviewCalcs[[#This Row],[Existing Fixture Watts]]/1000*ReviewCalcs[[#This Row],[Existing CF]]*ReviewCalcs[[#This Row],[IEFD]]</f>
        <v>#VALUE!</v>
      </c>
      <c r="AR145" s="129" t="e">
        <f>ReviewCalcs[[#This Row],[Proposed Fixture Quantity]]*ReviewCalcs[[#This Row],[Proposed Fixture Watts]]/1000*ReviewCalcs[[#This Row],[Proposed CF]]*ReviewCalcs[[#This Row],[IEFD]]</f>
        <v>#VALUE!</v>
      </c>
      <c r="AS145" s="118">
        <f>IF(ReviewCalcs[[#This Row],[Existing CF]]=ReviewCalcs[[#This Row],[Proposed CF]], 0, ReviewCalcs[[#This Row],[Proposed Fixture Quantity]]*ReviewCalcs[[#This Row],[Proposed Fixture Watts]]/1000*ReviewCalcs[[#This Row],[Proposed CF]]*ReviewCalcs[[#This Row],[IEFD]])</f>
        <v>0</v>
      </c>
      <c r="AT145" s="118">
        <f>IFERROR(ReviewCalcs[[#This Row],[Existing Fixture Quantity]]*ReviewCalcs[[#This Row],[Existing Fixture Watts]]/1000*ReviewCalcs[[#This Row],[Existing PAF]]*ReviewCalcs[[#This Row],[AOH]]*ReviewCalcs[[#This Row],[IEFE]], 0)</f>
        <v>0</v>
      </c>
      <c r="AU145" s="118">
        <f>IFERROR(ReviewCalcs[[#This Row],[Proposed Fixture Quantity]]*ReviewCalcs[[#This Row],[Proposed Fixture Watts]]/1000*ReviewCalcs[[#This Row],[Proposed PAF]]*ReviewCalcs[[#This Row],[AOH]]*ReviewCalcs[[#This Row],[IEFE]], 0)</f>
        <v>0</v>
      </c>
      <c r="AV145" s="118">
        <f>IFERROR(ReviewCalcs[[#This Row],[Proposed Fixture Quantity]]*ReviewCalcs[[#This Row],[Proposed Fixture Watts]]/1000*(ReviewCalcs[[#This Row],[Existing PAF]]-ReviewCalcs[[#This Row],[Proposed PAF]])*ReviewCalcs[[#This Row],[AOH]]*ReviewCalcs[[#This Row],[IEFE]], 0)</f>
        <v>0</v>
      </c>
      <c r="AW145" s="118">
        <f>ReviewCalcs[[#This Row],[Control Existing Energy (kWh)]]*kWh_Incentive_Rate</f>
        <v>0</v>
      </c>
      <c r="AX145" s="118">
        <f>ReviewCalcs[[#This Row],[Control Proposed Energy (kWh)]]*kWh_Incentive_Rate</f>
        <v>0</v>
      </c>
      <c r="AY145" s="70">
        <f>ReviewCalcs[[#This Row],[Control Energy Savings (kWh)]]*kWh_Incentive_Rate</f>
        <v>0</v>
      </c>
      <c r="AZ145" s="70" t="e">
        <f>ReviewCalcs[[#This Row],[Fixture Existing Demand (kW)]]+ReviewCalcs[[#This Row],[Control Existing Demand (kW)]]</f>
        <v>#VALUE!</v>
      </c>
      <c r="BA145" s="70" t="e">
        <f>ReviewCalcs[[#This Row],[Fixture Proposed Demand (kW)]]+ReviewCalcs[[#This Row],[Control Proposed Demand (kW)]]</f>
        <v>#VALUE!</v>
      </c>
      <c r="BB145" s="118">
        <f>ReviewCalcs[[#This Row],[Fixture Demand Savings (kW)]]+ReviewCalcs[[#This Row],[Control Demand Savings (kW)]]</f>
        <v>0</v>
      </c>
      <c r="BC145" s="118">
        <f>ReviewCalcs[[#This Row],[Fixture Existing Energy (kWh)]]+ReviewCalcs[[#This Row],[Control Existing Energy (kWh)]]</f>
        <v>0</v>
      </c>
      <c r="BD145" s="118">
        <f>ReviewCalcs[[#This Row],[Fixture Proposed Energy (kWh)]]+ReviewCalcs[[#This Row],[Control Proposed Energy (kWh)]]</f>
        <v>0</v>
      </c>
      <c r="BE145" s="118">
        <f>ReviewCalcs[[#This Row],[Fixture Energy Savings]]+ReviewCalcs[[#This Row],[Control Energy Savings (kWh)]]</f>
        <v>0</v>
      </c>
      <c r="BF145" s="118">
        <f>ReviewCalcs[[#This Row],[Fixture Existing Cost ($)]]+ReviewCalcs[[#This Row],[Control Existing Cost ($)]]</f>
        <v>0</v>
      </c>
      <c r="BG145" s="118">
        <f>ReviewCalcs[[#This Row],[Fixture Proposed Cost ($)]]+ReviewCalcs[[#This Row],[Controls Proposed Cost ($)]]</f>
        <v>0</v>
      </c>
      <c r="BH145" s="70">
        <f>ReviewCalcs[[#This Row],[Total Energy Savings (kWh)]]*Avg_KWh_Rate</f>
        <v>0</v>
      </c>
      <c r="BI1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5" s="70">
        <f>ReviewCalcs[[#This Row],[Retrofit Cost]]</f>
        <v>0</v>
      </c>
      <c r="BK145" s="70">
        <f>ReviewCalcs[[#This Row],[Retrofit Cost]]-ReviewCalcs[[#This Row],[Incentive ($)]]</f>
        <v>0</v>
      </c>
      <c r="BL145" s="118" t="e">
        <f>IFERROR(ReviewCalcs[[#This Row],[Net Project Cost ($)]]/ReviewCalcs[[#This Row],[Fixture Energy Cost Savings ($)]], #N/A)</f>
        <v>#N/A</v>
      </c>
      <c r="BM145" s="118" t="e">
        <f>IF(VLOOKUP(ReviewCalcs[[#This Row],[Existing Fixture Code]], Table7[[FIXTURE CODE]:[Baseline Fixture Code]], 8, FALSE)="N", VLOOKUP(ReviewCalcs[[#This Row],[Existing Fixture Code]], Table7[[FIXTURE CODE]:[Baseline Fixture Code]], 9, FALSE), ReviewCalcs[[#This Row],[Existing Fixture Code]])</f>
        <v>#N/A</v>
      </c>
      <c r="BN145" s="118" t="e">
        <f>INDEX(Table7[WATT/ FIXT], MATCH(ReviewCalcs[Baseline Fixture Code], Table7[FIXTURE CODE], 0))</f>
        <v>#N/A</v>
      </c>
      <c r="BO145" s="118">
        <f>IFERROR((ReviewCalcs[[#This Row],[Existing Fixture Quantity]]*ReviewCalcs[[#This Row],[Baseline Fixture Watts]]/1000-ReviewCalcs[[#This Row],[Proposed Fixture Quantity]]*ReviewCalcs[[#This Row],[Proposed Fixture Watts]]/1000)*ReviewCalcs[[#This Row],[Existing CF]]*ReviewCalcs[[#This Row],[IEFD]], 0)</f>
        <v>0</v>
      </c>
      <c r="BP1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5" s="118">
        <f>IF(ReviewCalcs[[#This Row],[Existing CF]]=ReviewCalcs[[#This Row],[Proposed CF]], 0, ReviewCalcs[[#This Row],[Proposed Fixture Quantity]]*ReviewCalcs[[#This Row],[Proposed Fixture Watts]]/1000*ReviewCalcs[[#This Row],[Proposed CF]]*ReviewCalcs[[#This Row],[IEFD]])</f>
        <v>0</v>
      </c>
      <c r="BR145" s="118">
        <f>IFERROR(ReviewCalcs[[#This Row],[Proposed Fixture Quantity]]*ReviewCalcs[[#This Row],[Proposed Fixture Watts]]/1000*(ReviewCalcs[[#This Row],[Existing PAF]]-ReviewCalcs[[#This Row],[Proposed PAF]])*ReviewCalcs[[#This Row],[AOH]]*ReviewCalcs[[#This Row],[IEFE]],0)</f>
        <v>0</v>
      </c>
      <c r="BS145" s="118">
        <f>ReviewCalcs[[#This Row],[Incentive Fixture Demand Savings (kW)]]+ReviewCalcs[[#This Row],[Incentive Control Demand Savings (kW)]]</f>
        <v>0</v>
      </c>
      <c r="BT145" s="118">
        <f>ReviewCalcs[[#This Row],[Incentive Fixture Energy Savings (kWh)]]+ReviewCalcs[[#This Row],[Incentive Control Energy Savings (kWh)]]</f>
        <v>0</v>
      </c>
      <c r="BU145" s="73"/>
    </row>
    <row r="146" spans="1:73" ht="30" customHeight="1">
      <c r="A146" s="68">
        <v>143</v>
      </c>
      <c r="B146" s="96">
        <f>VLOOKUP(ReviewCalcs[[#This Row],[Project Index]], ProjectInput[], D$1, FALSE)</f>
        <v>0</v>
      </c>
      <c r="C146" s="97">
        <f>VLOOKUP(ReviewCalcs[[#This Row],[Project Index]], ProjectInput[], E$1, FALSE)</f>
        <v>0</v>
      </c>
      <c r="D146" s="97">
        <f>VLOOKUP(ReviewCalcs[[#This Row],[Project Index]], ProjectInput[], F$1, FALSE)</f>
        <v>0</v>
      </c>
      <c r="E146" s="97">
        <f>VLOOKUP(ReviewCalcs[[#This Row],[Project Index]], ProjectInput[], G$1, FALSE)</f>
        <v>0</v>
      </c>
      <c r="F146" s="97">
        <f>VLOOKUP(ReviewCalcs[[#This Row],[Project Index]], ProjectInput[], H$1, FALSE)</f>
        <v>0</v>
      </c>
      <c r="G146" s="98" t="str">
        <f>VLOOKUP(ReviewCalcs[[#This Row],[Project Index]], ProjectInput[], I$1, FALSE)</f>
        <v/>
      </c>
      <c r="H146" s="96">
        <f>VLOOKUP(ReviewCalcs[[#This Row],[Project Index]], ProjectInput[], J$1, FALSE)</f>
        <v>0</v>
      </c>
      <c r="I146" s="97">
        <f>VLOOKUP(ReviewCalcs[[#This Row],[Project Index]], ProjectInput[], K$1, FALSE)</f>
        <v>0</v>
      </c>
      <c r="J146" s="97">
        <f>VLOOKUP(ReviewCalcs[[#This Row],[Project Index]], ProjectInput[], L$1, FALSE)</f>
        <v>0</v>
      </c>
      <c r="K146" s="97">
        <f>VLOOKUP(ReviewCalcs[[#This Row],[Project Index]], ProjectInput[], M$1, FALSE)</f>
        <v>0</v>
      </c>
      <c r="L146" s="97">
        <f>VLOOKUP(ReviewCalcs[[#This Row],[Project Index]], ProjectInput[], N$1, FALSE)</f>
        <v>0</v>
      </c>
      <c r="M146" s="98" t="str">
        <f>VLOOKUP(ReviewCalcs[[#This Row],[Project Index]], ProjectInput[], O$1, FALSE)</f>
        <v/>
      </c>
      <c r="N146" s="96">
        <f>VLOOKUP(ReviewCalcs[[#This Row],[Project Index]], ProjectInput[], P$1, FALSE)</f>
        <v>0</v>
      </c>
      <c r="O146" s="97">
        <f>VLOOKUP(ReviewCalcs[[#This Row],[Project Index]], ProjectInput[], Q$1, FALSE)</f>
        <v>0</v>
      </c>
      <c r="P146" s="97">
        <f>VLOOKUP(ReviewCalcs[[#This Row],[Project Index]], ProjectInput[], R$1, FALSE)</f>
        <v>0</v>
      </c>
      <c r="Q146" s="97">
        <f>VLOOKUP(ReviewCalcs[[#This Row],[Project Index]], ProjectInput[], S$1, FALSE)</f>
        <v>0</v>
      </c>
      <c r="R146" s="97">
        <f>VLOOKUP(ReviewCalcs[[#This Row],[Project Index]], ProjectInput[], T$1, FALSE)</f>
        <v>0</v>
      </c>
      <c r="S146" s="97">
        <f>VLOOKUP(ReviewCalcs[[#This Row],[Project Index]], ProjectInput[], U$1, FALSE)</f>
        <v>0</v>
      </c>
      <c r="T146" s="97">
        <f>VLOOKUP(ReviewCalcs[[#This Row],[Project Index]], ProjectInput[], V$1, FALSE)</f>
        <v>0</v>
      </c>
      <c r="U146" s="97">
        <f>VLOOKUP(ReviewCalcs[[#This Row],[Project Index]], ProjectInput[], W$1, FALSE)</f>
        <v>0</v>
      </c>
      <c r="V146" s="98" t="str">
        <f>VLOOKUP(ReviewCalcs[[#This Row],[Project Index]], ProjectInput[], X$1, FALSE)</f>
        <v/>
      </c>
      <c r="W1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6" s="75" t="e">
        <f>IF(VLOOKUP(ReviewCalcs[[#This Row],[Proposed Fixture Code]], Table7[[FIXTURE CODE]:[Baseline Fixture Code]], 8, FALSE)="N", "ERROR", "PASS")</f>
        <v>#N/A</v>
      </c>
      <c r="Y1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6" s="75" t="e">
        <f>IF(OR(ReviewCalcs[[#This Row],[Baseline Fixture Watts]]&gt;=ReviewCalcs[[#This Row],[Proposed Fixture Watts]],ReviewCalcs[[#This Row],[Existing Fixture Watts]]&gt;=ReviewCalcs[[#This Row],[Proposed Fixture Watts]] ), "PASS", "ERROR")</f>
        <v>#N/A</v>
      </c>
      <c r="AA146" s="69" t="e">
        <f>VLOOKUP(ReviewCalcs[[#This Row],[Space Conditions]], Table_365[], 5, FALSE)</f>
        <v>#N/A</v>
      </c>
      <c r="AB146" s="68" t="str">
        <f>ReviewCalcs[[#This Row],[Annual Hours]]</f>
        <v/>
      </c>
      <c r="AC146" s="68" t="e">
        <f>VLOOKUP(ReviewCalcs[[#This Row],[Space Conditions]], Table_365[], 6, FALSE)</f>
        <v>#N/A</v>
      </c>
      <c r="AD146" s="68">
        <f>IF(ReviewCalcs[[#This Row],[Existing Control(s)]]='Tables &amp; Ranges'!$A$25, VLOOKUP(ReviewCalcs[[#This Row],[Building/Space Type]], Table_364[], 3, FALSE), CF_Contols)</f>
        <v>0.26</v>
      </c>
      <c r="AE146" s="68" t="e">
        <f>VLOOKUP(ReviewCalcs[[#This Row],[Existing Control(s)]], Table_358[], 2, FALSE)</f>
        <v>#N/A</v>
      </c>
      <c r="AF146" s="68">
        <f>IF(ReviewCalcs[[#This Row],[Proposed Control(s)]]='Tables &amp; Ranges'!$A$25, VLOOKUP(ReviewCalcs[[#This Row],[Building/Space Type]], Table_364[], 3, FALSE), CF_Contols)</f>
        <v>0.26</v>
      </c>
      <c r="AG146" s="68" t="e">
        <f>VLOOKUP(ReviewCalcs[[#This Row],[Proposed Control(s)]], Table_358[], 2, FALSE)</f>
        <v>#N/A</v>
      </c>
      <c r="AH146" s="68">
        <f>IFERROR((ReviewCalcs[[#This Row],[Existing Fixture Quantity]]*ReviewCalcs[[#This Row],[Existing Fixture Watts]]/1000)*ReviewCalcs[[#This Row],[Existing CF]]*ReviewCalcs[[#This Row],[IEFD]], 0)</f>
        <v>0</v>
      </c>
      <c r="AI146" s="68">
        <f>IFERROR((ReviewCalcs[[#This Row],[Proposed Fixture Quantity]]*ReviewCalcs[[#This Row],[Proposed Fixture Watts]]/1000)*ReviewCalcs[[#This Row],[Existing CF]]*ReviewCalcs[[#This Row],[IEFD]], 0)</f>
        <v>0</v>
      </c>
      <c r="AJ146" s="118">
        <f>IFERROR((ReviewCalcs[[#This Row],[Existing Fixture Quantity]]*ReviewCalcs[[#This Row],[Existing Fixture Watts]]/1000-ReviewCalcs[[#This Row],[Proposed Fixture Quantity]]*ReviewCalcs[[#This Row],[Proposed Fixture Watts]]/1000)*ReviewCalcs[[#This Row],[Existing CF]]*ReviewCalcs[[#This Row],[IEFD]], 0)</f>
        <v>0</v>
      </c>
      <c r="AK146" s="118">
        <f>IFERROR((ReviewCalcs[[#This Row],[Existing Fixture Quantity]]*ReviewCalcs[[#This Row],[Existing Fixture Watts]]/1000)*ReviewCalcs[[#This Row],[AOH]]*ReviewCalcs[[#This Row],[IEFE]]*ReviewCalcs[[#This Row],[Existing PAF]], 0)</f>
        <v>0</v>
      </c>
      <c r="AL146" s="118">
        <f>IFERROR((ReviewCalcs[[#This Row],[Proposed Fixture Quantity]]*ReviewCalcs[[#This Row],[Proposed Fixture Watts]]/1000)*ReviewCalcs[[#This Row],[AOH]]*ReviewCalcs[[#This Row],[IEFE]]*ReviewCalcs[[#This Row],[Existing PAF]], 0)</f>
        <v>0</v>
      </c>
      <c r="AM1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6" s="118">
        <f>ReviewCalcs[[#This Row],[Fixture Existing Energy (kWh)]]*Avg_KWh_Rate</f>
        <v>0</v>
      </c>
      <c r="AO146" s="118">
        <f>ReviewCalcs[[#This Row],[Fixture Proposed Energy (kWh)]]*Avg_KWh_Rate</f>
        <v>0</v>
      </c>
      <c r="AP146" s="70">
        <f>ReviewCalcs[[#This Row],[Fixture Energy Savings]]*Avg_KWh_Rate</f>
        <v>0</v>
      </c>
      <c r="AQ146" s="129" t="e">
        <f>ReviewCalcs[[#This Row],[Existing Fixture Quantity]]*ReviewCalcs[[#This Row],[Existing Fixture Watts]]/1000*ReviewCalcs[[#This Row],[Existing CF]]*ReviewCalcs[[#This Row],[IEFD]]</f>
        <v>#VALUE!</v>
      </c>
      <c r="AR146" s="129" t="e">
        <f>ReviewCalcs[[#This Row],[Proposed Fixture Quantity]]*ReviewCalcs[[#This Row],[Proposed Fixture Watts]]/1000*ReviewCalcs[[#This Row],[Proposed CF]]*ReviewCalcs[[#This Row],[IEFD]]</f>
        <v>#VALUE!</v>
      </c>
      <c r="AS146" s="118">
        <f>IF(ReviewCalcs[[#This Row],[Existing CF]]=ReviewCalcs[[#This Row],[Proposed CF]], 0, ReviewCalcs[[#This Row],[Proposed Fixture Quantity]]*ReviewCalcs[[#This Row],[Proposed Fixture Watts]]/1000*ReviewCalcs[[#This Row],[Proposed CF]]*ReviewCalcs[[#This Row],[IEFD]])</f>
        <v>0</v>
      </c>
      <c r="AT146" s="118">
        <f>IFERROR(ReviewCalcs[[#This Row],[Existing Fixture Quantity]]*ReviewCalcs[[#This Row],[Existing Fixture Watts]]/1000*ReviewCalcs[[#This Row],[Existing PAF]]*ReviewCalcs[[#This Row],[AOH]]*ReviewCalcs[[#This Row],[IEFE]], 0)</f>
        <v>0</v>
      </c>
      <c r="AU146" s="118">
        <f>IFERROR(ReviewCalcs[[#This Row],[Proposed Fixture Quantity]]*ReviewCalcs[[#This Row],[Proposed Fixture Watts]]/1000*ReviewCalcs[[#This Row],[Proposed PAF]]*ReviewCalcs[[#This Row],[AOH]]*ReviewCalcs[[#This Row],[IEFE]], 0)</f>
        <v>0</v>
      </c>
      <c r="AV146" s="118">
        <f>IFERROR(ReviewCalcs[[#This Row],[Proposed Fixture Quantity]]*ReviewCalcs[[#This Row],[Proposed Fixture Watts]]/1000*(ReviewCalcs[[#This Row],[Existing PAF]]-ReviewCalcs[[#This Row],[Proposed PAF]])*ReviewCalcs[[#This Row],[AOH]]*ReviewCalcs[[#This Row],[IEFE]], 0)</f>
        <v>0</v>
      </c>
      <c r="AW146" s="118">
        <f>ReviewCalcs[[#This Row],[Control Existing Energy (kWh)]]*kWh_Incentive_Rate</f>
        <v>0</v>
      </c>
      <c r="AX146" s="118">
        <f>ReviewCalcs[[#This Row],[Control Proposed Energy (kWh)]]*kWh_Incentive_Rate</f>
        <v>0</v>
      </c>
      <c r="AY146" s="70">
        <f>ReviewCalcs[[#This Row],[Control Energy Savings (kWh)]]*kWh_Incentive_Rate</f>
        <v>0</v>
      </c>
      <c r="AZ146" s="70" t="e">
        <f>ReviewCalcs[[#This Row],[Fixture Existing Demand (kW)]]+ReviewCalcs[[#This Row],[Control Existing Demand (kW)]]</f>
        <v>#VALUE!</v>
      </c>
      <c r="BA146" s="70" t="e">
        <f>ReviewCalcs[[#This Row],[Fixture Proposed Demand (kW)]]+ReviewCalcs[[#This Row],[Control Proposed Demand (kW)]]</f>
        <v>#VALUE!</v>
      </c>
      <c r="BB146" s="118">
        <f>ReviewCalcs[[#This Row],[Fixture Demand Savings (kW)]]+ReviewCalcs[[#This Row],[Control Demand Savings (kW)]]</f>
        <v>0</v>
      </c>
      <c r="BC146" s="118">
        <f>ReviewCalcs[[#This Row],[Fixture Existing Energy (kWh)]]+ReviewCalcs[[#This Row],[Control Existing Energy (kWh)]]</f>
        <v>0</v>
      </c>
      <c r="BD146" s="118">
        <f>ReviewCalcs[[#This Row],[Fixture Proposed Energy (kWh)]]+ReviewCalcs[[#This Row],[Control Proposed Energy (kWh)]]</f>
        <v>0</v>
      </c>
      <c r="BE146" s="118">
        <f>ReviewCalcs[[#This Row],[Fixture Energy Savings]]+ReviewCalcs[[#This Row],[Control Energy Savings (kWh)]]</f>
        <v>0</v>
      </c>
      <c r="BF146" s="118">
        <f>ReviewCalcs[[#This Row],[Fixture Existing Cost ($)]]+ReviewCalcs[[#This Row],[Control Existing Cost ($)]]</f>
        <v>0</v>
      </c>
      <c r="BG146" s="118">
        <f>ReviewCalcs[[#This Row],[Fixture Proposed Cost ($)]]+ReviewCalcs[[#This Row],[Controls Proposed Cost ($)]]</f>
        <v>0</v>
      </c>
      <c r="BH146" s="70">
        <f>ReviewCalcs[[#This Row],[Total Energy Savings (kWh)]]*Avg_KWh_Rate</f>
        <v>0</v>
      </c>
      <c r="BI1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6" s="70">
        <f>ReviewCalcs[[#This Row],[Retrofit Cost]]</f>
        <v>0</v>
      </c>
      <c r="BK146" s="70">
        <f>ReviewCalcs[[#This Row],[Retrofit Cost]]-ReviewCalcs[[#This Row],[Incentive ($)]]</f>
        <v>0</v>
      </c>
      <c r="BL146" s="118" t="e">
        <f>IFERROR(ReviewCalcs[[#This Row],[Net Project Cost ($)]]/ReviewCalcs[[#This Row],[Fixture Energy Cost Savings ($)]], #N/A)</f>
        <v>#N/A</v>
      </c>
      <c r="BM146" s="118" t="e">
        <f>IF(VLOOKUP(ReviewCalcs[[#This Row],[Existing Fixture Code]], Table7[[FIXTURE CODE]:[Baseline Fixture Code]], 8, FALSE)="N", VLOOKUP(ReviewCalcs[[#This Row],[Existing Fixture Code]], Table7[[FIXTURE CODE]:[Baseline Fixture Code]], 9, FALSE), ReviewCalcs[[#This Row],[Existing Fixture Code]])</f>
        <v>#N/A</v>
      </c>
      <c r="BN146" s="118" t="e">
        <f>INDEX(Table7[WATT/ FIXT], MATCH(ReviewCalcs[Baseline Fixture Code], Table7[FIXTURE CODE], 0))</f>
        <v>#N/A</v>
      </c>
      <c r="BO146" s="118">
        <f>IFERROR((ReviewCalcs[[#This Row],[Existing Fixture Quantity]]*ReviewCalcs[[#This Row],[Baseline Fixture Watts]]/1000-ReviewCalcs[[#This Row],[Proposed Fixture Quantity]]*ReviewCalcs[[#This Row],[Proposed Fixture Watts]]/1000)*ReviewCalcs[[#This Row],[Existing CF]]*ReviewCalcs[[#This Row],[IEFD]], 0)</f>
        <v>0</v>
      </c>
      <c r="BP1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6" s="118">
        <f>IF(ReviewCalcs[[#This Row],[Existing CF]]=ReviewCalcs[[#This Row],[Proposed CF]], 0, ReviewCalcs[[#This Row],[Proposed Fixture Quantity]]*ReviewCalcs[[#This Row],[Proposed Fixture Watts]]/1000*ReviewCalcs[[#This Row],[Proposed CF]]*ReviewCalcs[[#This Row],[IEFD]])</f>
        <v>0</v>
      </c>
      <c r="BR146" s="118">
        <f>IFERROR(ReviewCalcs[[#This Row],[Proposed Fixture Quantity]]*ReviewCalcs[[#This Row],[Proposed Fixture Watts]]/1000*(ReviewCalcs[[#This Row],[Existing PAF]]-ReviewCalcs[[#This Row],[Proposed PAF]])*ReviewCalcs[[#This Row],[AOH]]*ReviewCalcs[[#This Row],[IEFE]],0)</f>
        <v>0</v>
      </c>
      <c r="BS146" s="118">
        <f>ReviewCalcs[[#This Row],[Incentive Fixture Demand Savings (kW)]]+ReviewCalcs[[#This Row],[Incentive Control Demand Savings (kW)]]</f>
        <v>0</v>
      </c>
      <c r="BT146" s="118">
        <f>ReviewCalcs[[#This Row],[Incentive Fixture Energy Savings (kWh)]]+ReviewCalcs[[#This Row],[Incentive Control Energy Savings (kWh)]]</f>
        <v>0</v>
      </c>
      <c r="BU146" s="73"/>
    </row>
    <row r="147" spans="1:73" ht="30" customHeight="1">
      <c r="A147" s="68">
        <v>144</v>
      </c>
      <c r="B147" s="96">
        <f>VLOOKUP(ReviewCalcs[[#This Row],[Project Index]], ProjectInput[], D$1, FALSE)</f>
        <v>0</v>
      </c>
      <c r="C147" s="97">
        <f>VLOOKUP(ReviewCalcs[[#This Row],[Project Index]], ProjectInput[], E$1, FALSE)</f>
        <v>0</v>
      </c>
      <c r="D147" s="97">
        <f>VLOOKUP(ReviewCalcs[[#This Row],[Project Index]], ProjectInput[], F$1, FALSE)</f>
        <v>0</v>
      </c>
      <c r="E147" s="97">
        <f>VLOOKUP(ReviewCalcs[[#This Row],[Project Index]], ProjectInput[], G$1, FALSE)</f>
        <v>0</v>
      </c>
      <c r="F147" s="97">
        <f>VLOOKUP(ReviewCalcs[[#This Row],[Project Index]], ProjectInput[], H$1, FALSE)</f>
        <v>0</v>
      </c>
      <c r="G147" s="98" t="str">
        <f>VLOOKUP(ReviewCalcs[[#This Row],[Project Index]], ProjectInput[], I$1, FALSE)</f>
        <v/>
      </c>
      <c r="H147" s="96">
        <f>VLOOKUP(ReviewCalcs[[#This Row],[Project Index]], ProjectInput[], J$1, FALSE)</f>
        <v>0</v>
      </c>
      <c r="I147" s="97">
        <f>VLOOKUP(ReviewCalcs[[#This Row],[Project Index]], ProjectInput[], K$1, FALSE)</f>
        <v>0</v>
      </c>
      <c r="J147" s="97">
        <f>VLOOKUP(ReviewCalcs[[#This Row],[Project Index]], ProjectInput[], L$1, FALSE)</f>
        <v>0</v>
      </c>
      <c r="K147" s="97">
        <f>VLOOKUP(ReviewCalcs[[#This Row],[Project Index]], ProjectInput[], M$1, FALSE)</f>
        <v>0</v>
      </c>
      <c r="L147" s="97">
        <f>VLOOKUP(ReviewCalcs[[#This Row],[Project Index]], ProjectInput[], N$1, FALSE)</f>
        <v>0</v>
      </c>
      <c r="M147" s="98" t="str">
        <f>VLOOKUP(ReviewCalcs[[#This Row],[Project Index]], ProjectInput[], O$1, FALSE)</f>
        <v/>
      </c>
      <c r="N147" s="96">
        <f>VLOOKUP(ReviewCalcs[[#This Row],[Project Index]], ProjectInput[], P$1, FALSE)</f>
        <v>0</v>
      </c>
      <c r="O147" s="97">
        <f>VLOOKUP(ReviewCalcs[[#This Row],[Project Index]], ProjectInput[], Q$1, FALSE)</f>
        <v>0</v>
      </c>
      <c r="P147" s="97">
        <f>VLOOKUP(ReviewCalcs[[#This Row],[Project Index]], ProjectInput[], R$1, FALSE)</f>
        <v>0</v>
      </c>
      <c r="Q147" s="97">
        <f>VLOOKUP(ReviewCalcs[[#This Row],[Project Index]], ProjectInput[], S$1, FALSE)</f>
        <v>0</v>
      </c>
      <c r="R147" s="97">
        <f>VLOOKUP(ReviewCalcs[[#This Row],[Project Index]], ProjectInput[], T$1, FALSE)</f>
        <v>0</v>
      </c>
      <c r="S147" s="97">
        <f>VLOOKUP(ReviewCalcs[[#This Row],[Project Index]], ProjectInput[], U$1, FALSE)</f>
        <v>0</v>
      </c>
      <c r="T147" s="97">
        <f>VLOOKUP(ReviewCalcs[[#This Row],[Project Index]], ProjectInput[], V$1, FALSE)</f>
        <v>0</v>
      </c>
      <c r="U147" s="97">
        <f>VLOOKUP(ReviewCalcs[[#This Row],[Project Index]], ProjectInput[], W$1, FALSE)</f>
        <v>0</v>
      </c>
      <c r="V147" s="98" t="str">
        <f>VLOOKUP(ReviewCalcs[[#This Row],[Project Index]], ProjectInput[], X$1, FALSE)</f>
        <v/>
      </c>
      <c r="W1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7" s="75" t="e">
        <f>IF(VLOOKUP(ReviewCalcs[[#This Row],[Proposed Fixture Code]], Table7[[FIXTURE CODE]:[Baseline Fixture Code]], 8, FALSE)="N", "ERROR", "PASS")</f>
        <v>#N/A</v>
      </c>
      <c r="Y1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7" s="75" t="e">
        <f>IF(OR(ReviewCalcs[[#This Row],[Baseline Fixture Watts]]&gt;=ReviewCalcs[[#This Row],[Proposed Fixture Watts]],ReviewCalcs[[#This Row],[Existing Fixture Watts]]&gt;=ReviewCalcs[[#This Row],[Proposed Fixture Watts]] ), "PASS", "ERROR")</f>
        <v>#N/A</v>
      </c>
      <c r="AA147" s="69" t="e">
        <f>VLOOKUP(ReviewCalcs[[#This Row],[Space Conditions]], Table_365[], 5, FALSE)</f>
        <v>#N/A</v>
      </c>
      <c r="AB147" s="68" t="str">
        <f>ReviewCalcs[[#This Row],[Annual Hours]]</f>
        <v/>
      </c>
      <c r="AC147" s="68" t="e">
        <f>VLOOKUP(ReviewCalcs[[#This Row],[Space Conditions]], Table_365[], 6, FALSE)</f>
        <v>#N/A</v>
      </c>
      <c r="AD147" s="68">
        <f>IF(ReviewCalcs[[#This Row],[Existing Control(s)]]='Tables &amp; Ranges'!$A$25, VLOOKUP(ReviewCalcs[[#This Row],[Building/Space Type]], Table_364[], 3, FALSE), CF_Contols)</f>
        <v>0.26</v>
      </c>
      <c r="AE147" s="68" t="e">
        <f>VLOOKUP(ReviewCalcs[[#This Row],[Existing Control(s)]], Table_358[], 2, FALSE)</f>
        <v>#N/A</v>
      </c>
      <c r="AF147" s="68">
        <f>IF(ReviewCalcs[[#This Row],[Proposed Control(s)]]='Tables &amp; Ranges'!$A$25, VLOOKUP(ReviewCalcs[[#This Row],[Building/Space Type]], Table_364[], 3, FALSE), CF_Contols)</f>
        <v>0.26</v>
      </c>
      <c r="AG147" s="68" t="e">
        <f>VLOOKUP(ReviewCalcs[[#This Row],[Proposed Control(s)]], Table_358[], 2, FALSE)</f>
        <v>#N/A</v>
      </c>
      <c r="AH147" s="68">
        <f>IFERROR((ReviewCalcs[[#This Row],[Existing Fixture Quantity]]*ReviewCalcs[[#This Row],[Existing Fixture Watts]]/1000)*ReviewCalcs[[#This Row],[Existing CF]]*ReviewCalcs[[#This Row],[IEFD]], 0)</f>
        <v>0</v>
      </c>
      <c r="AI147" s="68">
        <f>IFERROR((ReviewCalcs[[#This Row],[Proposed Fixture Quantity]]*ReviewCalcs[[#This Row],[Proposed Fixture Watts]]/1000)*ReviewCalcs[[#This Row],[Existing CF]]*ReviewCalcs[[#This Row],[IEFD]], 0)</f>
        <v>0</v>
      </c>
      <c r="AJ147" s="118">
        <f>IFERROR((ReviewCalcs[[#This Row],[Existing Fixture Quantity]]*ReviewCalcs[[#This Row],[Existing Fixture Watts]]/1000-ReviewCalcs[[#This Row],[Proposed Fixture Quantity]]*ReviewCalcs[[#This Row],[Proposed Fixture Watts]]/1000)*ReviewCalcs[[#This Row],[Existing CF]]*ReviewCalcs[[#This Row],[IEFD]], 0)</f>
        <v>0</v>
      </c>
      <c r="AK147" s="118">
        <f>IFERROR((ReviewCalcs[[#This Row],[Existing Fixture Quantity]]*ReviewCalcs[[#This Row],[Existing Fixture Watts]]/1000)*ReviewCalcs[[#This Row],[AOH]]*ReviewCalcs[[#This Row],[IEFE]]*ReviewCalcs[[#This Row],[Existing PAF]], 0)</f>
        <v>0</v>
      </c>
      <c r="AL147" s="118">
        <f>IFERROR((ReviewCalcs[[#This Row],[Proposed Fixture Quantity]]*ReviewCalcs[[#This Row],[Proposed Fixture Watts]]/1000)*ReviewCalcs[[#This Row],[AOH]]*ReviewCalcs[[#This Row],[IEFE]]*ReviewCalcs[[#This Row],[Existing PAF]], 0)</f>
        <v>0</v>
      </c>
      <c r="AM1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7" s="118">
        <f>ReviewCalcs[[#This Row],[Fixture Existing Energy (kWh)]]*Avg_KWh_Rate</f>
        <v>0</v>
      </c>
      <c r="AO147" s="118">
        <f>ReviewCalcs[[#This Row],[Fixture Proposed Energy (kWh)]]*Avg_KWh_Rate</f>
        <v>0</v>
      </c>
      <c r="AP147" s="70">
        <f>ReviewCalcs[[#This Row],[Fixture Energy Savings]]*Avg_KWh_Rate</f>
        <v>0</v>
      </c>
      <c r="AQ147" s="129" t="e">
        <f>ReviewCalcs[[#This Row],[Existing Fixture Quantity]]*ReviewCalcs[[#This Row],[Existing Fixture Watts]]/1000*ReviewCalcs[[#This Row],[Existing CF]]*ReviewCalcs[[#This Row],[IEFD]]</f>
        <v>#VALUE!</v>
      </c>
      <c r="AR147" s="129" t="e">
        <f>ReviewCalcs[[#This Row],[Proposed Fixture Quantity]]*ReviewCalcs[[#This Row],[Proposed Fixture Watts]]/1000*ReviewCalcs[[#This Row],[Proposed CF]]*ReviewCalcs[[#This Row],[IEFD]]</f>
        <v>#VALUE!</v>
      </c>
      <c r="AS147" s="118">
        <f>IF(ReviewCalcs[[#This Row],[Existing CF]]=ReviewCalcs[[#This Row],[Proposed CF]], 0, ReviewCalcs[[#This Row],[Proposed Fixture Quantity]]*ReviewCalcs[[#This Row],[Proposed Fixture Watts]]/1000*ReviewCalcs[[#This Row],[Proposed CF]]*ReviewCalcs[[#This Row],[IEFD]])</f>
        <v>0</v>
      </c>
      <c r="AT147" s="118">
        <f>IFERROR(ReviewCalcs[[#This Row],[Existing Fixture Quantity]]*ReviewCalcs[[#This Row],[Existing Fixture Watts]]/1000*ReviewCalcs[[#This Row],[Existing PAF]]*ReviewCalcs[[#This Row],[AOH]]*ReviewCalcs[[#This Row],[IEFE]], 0)</f>
        <v>0</v>
      </c>
      <c r="AU147" s="118">
        <f>IFERROR(ReviewCalcs[[#This Row],[Proposed Fixture Quantity]]*ReviewCalcs[[#This Row],[Proposed Fixture Watts]]/1000*ReviewCalcs[[#This Row],[Proposed PAF]]*ReviewCalcs[[#This Row],[AOH]]*ReviewCalcs[[#This Row],[IEFE]], 0)</f>
        <v>0</v>
      </c>
      <c r="AV147" s="118">
        <f>IFERROR(ReviewCalcs[[#This Row],[Proposed Fixture Quantity]]*ReviewCalcs[[#This Row],[Proposed Fixture Watts]]/1000*(ReviewCalcs[[#This Row],[Existing PAF]]-ReviewCalcs[[#This Row],[Proposed PAF]])*ReviewCalcs[[#This Row],[AOH]]*ReviewCalcs[[#This Row],[IEFE]], 0)</f>
        <v>0</v>
      </c>
      <c r="AW147" s="118">
        <f>ReviewCalcs[[#This Row],[Control Existing Energy (kWh)]]*kWh_Incentive_Rate</f>
        <v>0</v>
      </c>
      <c r="AX147" s="118">
        <f>ReviewCalcs[[#This Row],[Control Proposed Energy (kWh)]]*kWh_Incentive_Rate</f>
        <v>0</v>
      </c>
      <c r="AY147" s="70">
        <f>ReviewCalcs[[#This Row],[Control Energy Savings (kWh)]]*kWh_Incentive_Rate</f>
        <v>0</v>
      </c>
      <c r="AZ147" s="70" t="e">
        <f>ReviewCalcs[[#This Row],[Fixture Existing Demand (kW)]]+ReviewCalcs[[#This Row],[Control Existing Demand (kW)]]</f>
        <v>#VALUE!</v>
      </c>
      <c r="BA147" s="70" t="e">
        <f>ReviewCalcs[[#This Row],[Fixture Proposed Demand (kW)]]+ReviewCalcs[[#This Row],[Control Proposed Demand (kW)]]</f>
        <v>#VALUE!</v>
      </c>
      <c r="BB147" s="118">
        <f>ReviewCalcs[[#This Row],[Fixture Demand Savings (kW)]]+ReviewCalcs[[#This Row],[Control Demand Savings (kW)]]</f>
        <v>0</v>
      </c>
      <c r="BC147" s="118">
        <f>ReviewCalcs[[#This Row],[Fixture Existing Energy (kWh)]]+ReviewCalcs[[#This Row],[Control Existing Energy (kWh)]]</f>
        <v>0</v>
      </c>
      <c r="BD147" s="118">
        <f>ReviewCalcs[[#This Row],[Fixture Proposed Energy (kWh)]]+ReviewCalcs[[#This Row],[Control Proposed Energy (kWh)]]</f>
        <v>0</v>
      </c>
      <c r="BE147" s="118">
        <f>ReviewCalcs[[#This Row],[Fixture Energy Savings]]+ReviewCalcs[[#This Row],[Control Energy Savings (kWh)]]</f>
        <v>0</v>
      </c>
      <c r="BF147" s="118">
        <f>ReviewCalcs[[#This Row],[Fixture Existing Cost ($)]]+ReviewCalcs[[#This Row],[Control Existing Cost ($)]]</f>
        <v>0</v>
      </c>
      <c r="BG147" s="118">
        <f>ReviewCalcs[[#This Row],[Fixture Proposed Cost ($)]]+ReviewCalcs[[#This Row],[Controls Proposed Cost ($)]]</f>
        <v>0</v>
      </c>
      <c r="BH147" s="70">
        <f>ReviewCalcs[[#This Row],[Total Energy Savings (kWh)]]*Avg_KWh_Rate</f>
        <v>0</v>
      </c>
      <c r="BI1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7" s="70">
        <f>ReviewCalcs[[#This Row],[Retrofit Cost]]</f>
        <v>0</v>
      </c>
      <c r="BK147" s="70">
        <f>ReviewCalcs[[#This Row],[Retrofit Cost]]-ReviewCalcs[[#This Row],[Incentive ($)]]</f>
        <v>0</v>
      </c>
      <c r="BL147" s="118" t="e">
        <f>IFERROR(ReviewCalcs[[#This Row],[Net Project Cost ($)]]/ReviewCalcs[[#This Row],[Fixture Energy Cost Savings ($)]], #N/A)</f>
        <v>#N/A</v>
      </c>
      <c r="BM147" s="118" t="e">
        <f>IF(VLOOKUP(ReviewCalcs[[#This Row],[Existing Fixture Code]], Table7[[FIXTURE CODE]:[Baseline Fixture Code]], 8, FALSE)="N", VLOOKUP(ReviewCalcs[[#This Row],[Existing Fixture Code]], Table7[[FIXTURE CODE]:[Baseline Fixture Code]], 9, FALSE), ReviewCalcs[[#This Row],[Existing Fixture Code]])</f>
        <v>#N/A</v>
      </c>
      <c r="BN147" s="118" t="e">
        <f>INDEX(Table7[WATT/ FIXT], MATCH(ReviewCalcs[Baseline Fixture Code], Table7[FIXTURE CODE], 0))</f>
        <v>#N/A</v>
      </c>
      <c r="BO147" s="118">
        <f>IFERROR((ReviewCalcs[[#This Row],[Existing Fixture Quantity]]*ReviewCalcs[[#This Row],[Baseline Fixture Watts]]/1000-ReviewCalcs[[#This Row],[Proposed Fixture Quantity]]*ReviewCalcs[[#This Row],[Proposed Fixture Watts]]/1000)*ReviewCalcs[[#This Row],[Existing CF]]*ReviewCalcs[[#This Row],[IEFD]], 0)</f>
        <v>0</v>
      </c>
      <c r="BP1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7" s="118">
        <f>IF(ReviewCalcs[[#This Row],[Existing CF]]=ReviewCalcs[[#This Row],[Proposed CF]], 0, ReviewCalcs[[#This Row],[Proposed Fixture Quantity]]*ReviewCalcs[[#This Row],[Proposed Fixture Watts]]/1000*ReviewCalcs[[#This Row],[Proposed CF]]*ReviewCalcs[[#This Row],[IEFD]])</f>
        <v>0</v>
      </c>
      <c r="BR147" s="118">
        <f>IFERROR(ReviewCalcs[[#This Row],[Proposed Fixture Quantity]]*ReviewCalcs[[#This Row],[Proposed Fixture Watts]]/1000*(ReviewCalcs[[#This Row],[Existing PAF]]-ReviewCalcs[[#This Row],[Proposed PAF]])*ReviewCalcs[[#This Row],[AOH]]*ReviewCalcs[[#This Row],[IEFE]],0)</f>
        <v>0</v>
      </c>
      <c r="BS147" s="118">
        <f>ReviewCalcs[[#This Row],[Incentive Fixture Demand Savings (kW)]]+ReviewCalcs[[#This Row],[Incentive Control Demand Savings (kW)]]</f>
        <v>0</v>
      </c>
      <c r="BT147" s="118">
        <f>ReviewCalcs[[#This Row],[Incentive Fixture Energy Savings (kWh)]]+ReviewCalcs[[#This Row],[Incentive Control Energy Savings (kWh)]]</f>
        <v>0</v>
      </c>
      <c r="BU147" s="73"/>
    </row>
    <row r="148" spans="1:73" ht="30" customHeight="1">
      <c r="A148" s="68">
        <v>145</v>
      </c>
      <c r="B148" s="96">
        <f>VLOOKUP(ReviewCalcs[[#This Row],[Project Index]], ProjectInput[], D$1, FALSE)</f>
        <v>0</v>
      </c>
      <c r="C148" s="97">
        <f>VLOOKUP(ReviewCalcs[[#This Row],[Project Index]], ProjectInput[], E$1, FALSE)</f>
        <v>0</v>
      </c>
      <c r="D148" s="97">
        <f>VLOOKUP(ReviewCalcs[[#This Row],[Project Index]], ProjectInput[], F$1, FALSE)</f>
        <v>0</v>
      </c>
      <c r="E148" s="97">
        <f>VLOOKUP(ReviewCalcs[[#This Row],[Project Index]], ProjectInput[], G$1, FALSE)</f>
        <v>0</v>
      </c>
      <c r="F148" s="97">
        <f>VLOOKUP(ReviewCalcs[[#This Row],[Project Index]], ProjectInput[], H$1, FALSE)</f>
        <v>0</v>
      </c>
      <c r="G148" s="98" t="str">
        <f>VLOOKUP(ReviewCalcs[[#This Row],[Project Index]], ProjectInput[], I$1, FALSE)</f>
        <v/>
      </c>
      <c r="H148" s="96">
        <f>VLOOKUP(ReviewCalcs[[#This Row],[Project Index]], ProjectInput[], J$1, FALSE)</f>
        <v>0</v>
      </c>
      <c r="I148" s="97">
        <f>VLOOKUP(ReviewCalcs[[#This Row],[Project Index]], ProjectInput[], K$1, FALSE)</f>
        <v>0</v>
      </c>
      <c r="J148" s="97">
        <f>VLOOKUP(ReviewCalcs[[#This Row],[Project Index]], ProjectInput[], L$1, FALSE)</f>
        <v>0</v>
      </c>
      <c r="K148" s="97">
        <f>VLOOKUP(ReviewCalcs[[#This Row],[Project Index]], ProjectInput[], M$1, FALSE)</f>
        <v>0</v>
      </c>
      <c r="L148" s="97">
        <f>VLOOKUP(ReviewCalcs[[#This Row],[Project Index]], ProjectInput[], N$1, FALSE)</f>
        <v>0</v>
      </c>
      <c r="M148" s="98" t="str">
        <f>VLOOKUP(ReviewCalcs[[#This Row],[Project Index]], ProjectInput[], O$1, FALSE)</f>
        <v/>
      </c>
      <c r="N148" s="96">
        <f>VLOOKUP(ReviewCalcs[[#This Row],[Project Index]], ProjectInput[], P$1, FALSE)</f>
        <v>0</v>
      </c>
      <c r="O148" s="97">
        <f>VLOOKUP(ReviewCalcs[[#This Row],[Project Index]], ProjectInput[], Q$1, FALSE)</f>
        <v>0</v>
      </c>
      <c r="P148" s="97">
        <f>VLOOKUP(ReviewCalcs[[#This Row],[Project Index]], ProjectInput[], R$1, FALSE)</f>
        <v>0</v>
      </c>
      <c r="Q148" s="97">
        <f>VLOOKUP(ReviewCalcs[[#This Row],[Project Index]], ProjectInput[], S$1, FALSE)</f>
        <v>0</v>
      </c>
      <c r="R148" s="97">
        <f>VLOOKUP(ReviewCalcs[[#This Row],[Project Index]], ProjectInput[], T$1, FALSE)</f>
        <v>0</v>
      </c>
      <c r="S148" s="97">
        <f>VLOOKUP(ReviewCalcs[[#This Row],[Project Index]], ProjectInput[], U$1, FALSE)</f>
        <v>0</v>
      </c>
      <c r="T148" s="97">
        <f>VLOOKUP(ReviewCalcs[[#This Row],[Project Index]], ProjectInput[], V$1, FALSE)</f>
        <v>0</v>
      </c>
      <c r="U148" s="97">
        <f>VLOOKUP(ReviewCalcs[[#This Row],[Project Index]], ProjectInput[], W$1, FALSE)</f>
        <v>0</v>
      </c>
      <c r="V148" s="98" t="str">
        <f>VLOOKUP(ReviewCalcs[[#This Row],[Project Index]], ProjectInput[], X$1, FALSE)</f>
        <v/>
      </c>
      <c r="W1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8" s="75" t="e">
        <f>IF(VLOOKUP(ReviewCalcs[[#This Row],[Proposed Fixture Code]], Table7[[FIXTURE CODE]:[Baseline Fixture Code]], 8, FALSE)="N", "ERROR", "PASS")</f>
        <v>#N/A</v>
      </c>
      <c r="Y1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8" s="75" t="e">
        <f>IF(OR(ReviewCalcs[[#This Row],[Baseline Fixture Watts]]&gt;=ReviewCalcs[[#This Row],[Proposed Fixture Watts]],ReviewCalcs[[#This Row],[Existing Fixture Watts]]&gt;=ReviewCalcs[[#This Row],[Proposed Fixture Watts]] ), "PASS", "ERROR")</f>
        <v>#N/A</v>
      </c>
      <c r="AA148" s="69" t="e">
        <f>VLOOKUP(ReviewCalcs[[#This Row],[Space Conditions]], Table_365[], 5, FALSE)</f>
        <v>#N/A</v>
      </c>
      <c r="AB148" s="68" t="str">
        <f>ReviewCalcs[[#This Row],[Annual Hours]]</f>
        <v/>
      </c>
      <c r="AC148" s="68" t="e">
        <f>VLOOKUP(ReviewCalcs[[#This Row],[Space Conditions]], Table_365[], 6, FALSE)</f>
        <v>#N/A</v>
      </c>
      <c r="AD148" s="68">
        <f>IF(ReviewCalcs[[#This Row],[Existing Control(s)]]='Tables &amp; Ranges'!$A$25, VLOOKUP(ReviewCalcs[[#This Row],[Building/Space Type]], Table_364[], 3, FALSE), CF_Contols)</f>
        <v>0.26</v>
      </c>
      <c r="AE148" s="68" t="e">
        <f>VLOOKUP(ReviewCalcs[[#This Row],[Existing Control(s)]], Table_358[], 2, FALSE)</f>
        <v>#N/A</v>
      </c>
      <c r="AF148" s="68">
        <f>IF(ReviewCalcs[[#This Row],[Proposed Control(s)]]='Tables &amp; Ranges'!$A$25, VLOOKUP(ReviewCalcs[[#This Row],[Building/Space Type]], Table_364[], 3, FALSE), CF_Contols)</f>
        <v>0.26</v>
      </c>
      <c r="AG148" s="68" t="e">
        <f>VLOOKUP(ReviewCalcs[[#This Row],[Proposed Control(s)]], Table_358[], 2, FALSE)</f>
        <v>#N/A</v>
      </c>
      <c r="AH148" s="68">
        <f>IFERROR((ReviewCalcs[[#This Row],[Existing Fixture Quantity]]*ReviewCalcs[[#This Row],[Existing Fixture Watts]]/1000)*ReviewCalcs[[#This Row],[Existing CF]]*ReviewCalcs[[#This Row],[IEFD]], 0)</f>
        <v>0</v>
      </c>
      <c r="AI148" s="68">
        <f>IFERROR((ReviewCalcs[[#This Row],[Proposed Fixture Quantity]]*ReviewCalcs[[#This Row],[Proposed Fixture Watts]]/1000)*ReviewCalcs[[#This Row],[Existing CF]]*ReviewCalcs[[#This Row],[IEFD]], 0)</f>
        <v>0</v>
      </c>
      <c r="AJ148" s="118">
        <f>IFERROR((ReviewCalcs[[#This Row],[Existing Fixture Quantity]]*ReviewCalcs[[#This Row],[Existing Fixture Watts]]/1000-ReviewCalcs[[#This Row],[Proposed Fixture Quantity]]*ReviewCalcs[[#This Row],[Proposed Fixture Watts]]/1000)*ReviewCalcs[[#This Row],[Existing CF]]*ReviewCalcs[[#This Row],[IEFD]], 0)</f>
        <v>0</v>
      </c>
      <c r="AK148" s="118">
        <f>IFERROR((ReviewCalcs[[#This Row],[Existing Fixture Quantity]]*ReviewCalcs[[#This Row],[Existing Fixture Watts]]/1000)*ReviewCalcs[[#This Row],[AOH]]*ReviewCalcs[[#This Row],[IEFE]]*ReviewCalcs[[#This Row],[Existing PAF]], 0)</f>
        <v>0</v>
      </c>
      <c r="AL148" s="118">
        <f>IFERROR((ReviewCalcs[[#This Row],[Proposed Fixture Quantity]]*ReviewCalcs[[#This Row],[Proposed Fixture Watts]]/1000)*ReviewCalcs[[#This Row],[AOH]]*ReviewCalcs[[#This Row],[IEFE]]*ReviewCalcs[[#This Row],[Existing PAF]], 0)</f>
        <v>0</v>
      </c>
      <c r="AM1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8" s="118">
        <f>ReviewCalcs[[#This Row],[Fixture Existing Energy (kWh)]]*Avg_KWh_Rate</f>
        <v>0</v>
      </c>
      <c r="AO148" s="118">
        <f>ReviewCalcs[[#This Row],[Fixture Proposed Energy (kWh)]]*Avg_KWh_Rate</f>
        <v>0</v>
      </c>
      <c r="AP148" s="70">
        <f>ReviewCalcs[[#This Row],[Fixture Energy Savings]]*Avg_KWh_Rate</f>
        <v>0</v>
      </c>
      <c r="AQ148" s="129" t="e">
        <f>ReviewCalcs[[#This Row],[Existing Fixture Quantity]]*ReviewCalcs[[#This Row],[Existing Fixture Watts]]/1000*ReviewCalcs[[#This Row],[Existing CF]]*ReviewCalcs[[#This Row],[IEFD]]</f>
        <v>#VALUE!</v>
      </c>
      <c r="AR148" s="129" t="e">
        <f>ReviewCalcs[[#This Row],[Proposed Fixture Quantity]]*ReviewCalcs[[#This Row],[Proposed Fixture Watts]]/1000*ReviewCalcs[[#This Row],[Proposed CF]]*ReviewCalcs[[#This Row],[IEFD]]</f>
        <v>#VALUE!</v>
      </c>
      <c r="AS148" s="118">
        <f>IF(ReviewCalcs[[#This Row],[Existing CF]]=ReviewCalcs[[#This Row],[Proposed CF]], 0, ReviewCalcs[[#This Row],[Proposed Fixture Quantity]]*ReviewCalcs[[#This Row],[Proposed Fixture Watts]]/1000*ReviewCalcs[[#This Row],[Proposed CF]]*ReviewCalcs[[#This Row],[IEFD]])</f>
        <v>0</v>
      </c>
      <c r="AT148" s="118">
        <f>IFERROR(ReviewCalcs[[#This Row],[Existing Fixture Quantity]]*ReviewCalcs[[#This Row],[Existing Fixture Watts]]/1000*ReviewCalcs[[#This Row],[Existing PAF]]*ReviewCalcs[[#This Row],[AOH]]*ReviewCalcs[[#This Row],[IEFE]], 0)</f>
        <v>0</v>
      </c>
      <c r="AU148" s="118">
        <f>IFERROR(ReviewCalcs[[#This Row],[Proposed Fixture Quantity]]*ReviewCalcs[[#This Row],[Proposed Fixture Watts]]/1000*ReviewCalcs[[#This Row],[Proposed PAF]]*ReviewCalcs[[#This Row],[AOH]]*ReviewCalcs[[#This Row],[IEFE]], 0)</f>
        <v>0</v>
      </c>
      <c r="AV148" s="118">
        <f>IFERROR(ReviewCalcs[[#This Row],[Proposed Fixture Quantity]]*ReviewCalcs[[#This Row],[Proposed Fixture Watts]]/1000*(ReviewCalcs[[#This Row],[Existing PAF]]-ReviewCalcs[[#This Row],[Proposed PAF]])*ReviewCalcs[[#This Row],[AOH]]*ReviewCalcs[[#This Row],[IEFE]], 0)</f>
        <v>0</v>
      </c>
      <c r="AW148" s="118">
        <f>ReviewCalcs[[#This Row],[Control Existing Energy (kWh)]]*kWh_Incentive_Rate</f>
        <v>0</v>
      </c>
      <c r="AX148" s="118">
        <f>ReviewCalcs[[#This Row],[Control Proposed Energy (kWh)]]*kWh_Incentive_Rate</f>
        <v>0</v>
      </c>
      <c r="AY148" s="70">
        <f>ReviewCalcs[[#This Row],[Control Energy Savings (kWh)]]*kWh_Incentive_Rate</f>
        <v>0</v>
      </c>
      <c r="AZ148" s="70" t="e">
        <f>ReviewCalcs[[#This Row],[Fixture Existing Demand (kW)]]+ReviewCalcs[[#This Row],[Control Existing Demand (kW)]]</f>
        <v>#VALUE!</v>
      </c>
      <c r="BA148" s="70" t="e">
        <f>ReviewCalcs[[#This Row],[Fixture Proposed Demand (kW)]]+ReviewCalcs[[#This Row],[Control Proposed Demand (kW)]]</f>
        <v>#VALUE!</v>
      </c>
      <c r="BB148" s="118">
        <f>ReviewCalcs[[#This Row],[Fixture Demand Savings (kW)]]+ReviewCalcs[[#This Row],[Control Demand Savings (kW)]]</f>
        <v>0</v>
      </c>
      <c r="BC148" s="118">
        <f>ReviewCalcs[[#This Row],[Fixture Existing Energy (kWh)]]+ReviewCalcs[[#This Row],[Control Existing Energy (kWh)]]</f>
        <v>0</v>
      </c>
      <c r="BD148" s="118">
        <f>ReviewCalcs[[#This Row],[Fixture Proposed Energy (kWh)]]+ReviewCalcs[[#This Row],[Control Proposed Energy (kWh)]]</f>
        <v>0</v>
      </c>
      <c r="BE148" s="118">
        <f>ReviewCalcs[[#This Row],[Fixture Energy Savings]]+ReviewCalcs[[#This Row],[Control Energy Savings (kWh)]]</f>
        <v>0</v>
      </c>
      <c r="BF148" s="118">
        <f>ReviewCalcs[[#This Row],[Fixture Existing Cost ($)]]+ReviewCalcs[[#This Row],[Control Existing Cost ($)]]</f>
        <v>0</v>
      </c>
      <c r="BG148" s="118">
        <f>ReviewCalcs[[#This Row],[Fixture Proposed Cost ($)]]+ReviewCalcs[[#This Row],[Controls Proposed Cost ($)]]</f>
        <v>0</v>
      </c>
      <c r="BH148" s="70">
        <f>ReviewCalcs[[#This Row],[Total Energy Savings (kWh)]]*Avg_KWh_Rate</f>
        <v>0</v>
      </c>
      <c r="BI1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8" s="70">
        <f>ReviewCalcs[[#This Row],[Retrofit Cost]]</f>
        <v>0</v>
      </c>
      <c r="BK148" s="70">
        <f>ReviewCalcs[[#This Row],[Retrofit Cost]]-ReviewCalcs[[#This Row],[Incentive ($)]]</f>
        <v>0</v>
      </c>
      <c r="BL148" s="118" t="e">
        <f>IFERROR(ReviewCalcs[[#This Row],[Net Project Cost ($)]]/ReviewCalcs[[#This Row],[Fixture Energy Cost Savings ($)]], #N/A)</f>
        <v>#N/A</v>
      </c>
      <c r="BM148" s="118" t="e">
        <f>IF(VLOOKUP(ReviewCalcs[[#This Row],[Existing Fixture Code]], Table7[[FIXTURE CODE]:[Baseline Fixture Code]], 8, FALSE)="N", VLOOKUP(ReviewCalcs[[#This Row],[Existing Fixture Code]], Table7[[FIXTURE CODE]:[Baseline Fixture Code]], 9, FALSE), ReviewCalcs[[#This Row],[Existing Fixture Code]])</f>
        <v>#N/A</v>
      </c>
      <c r="BN148" s="118" t="e">
        <f>INDEX(Table7[WATT/ FIXT], MATCH(ReviewCalcs[Baseline Fixture Code], Table7[FIXTURE CODE], 0))</f>
        <v>#N/A</v>
      </c>
      <c r="BO148" s="118">
        <f>IFERROR((ReviewCalcs[[#This Row],[Existing Fixture Quantity]]*ReviewCalcs[[#This Row],[Baseline Fixture Watts]]/1000-ReviewCalcs[[#This Row],[Proposed Fixture Quantity]]*ReviewCalcs[[#This Row],[Proposed Fixture Watts]]/1000)*ReviewCalcs[[#This Row],[Existing CF]]*ReviewCalcs[[#This Row],[IEFD]], 0)</f>
        <v>0</v>
      </c>
      <c r="BP1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8" s="118">
        <f>IF(ReviewCalcs[[#This Row],[Existing CF]]=ReviewCalcs[[#This Row],[Proposed CF]], 0, ReviewCalcs[[#This Row],[Proposed Fixture Quantity]]*ReviewCalcs[[#This Row],[Proposed Fixture Watts]]/1000*ReviewCalcs[[#This Row],[Proposed CF]]*ReviewCalcs[[#This Row],[IEFD]])</f>
        <v>0</v>
      </c>
      <c r="BR148" s="118">
        <f>IFERROR(ReviewCalcs[[#This Row],[Proposed Fixture Quantity]]*ReviewCalcs[[#This Row],[Proposed Fixture Watts]]/1000*(ReviewCalcs[[#This Row],[Existing PAF]]-ReviewCalcs[[#This Row],[Proposed PAF]])*ReviewCalcs[[#This Row],[AOH]]*ReviewCalcs[[#This Row],[IEFE]],0)</f>
        <v>0</v>
      </c>
      <c r="BS148" s="118">
        <f>ReviewCalcs[[#This Row],[Incentive Fixture Demand Savings (kW)]]+ReviewCalcs[[#This Row],[Incentive Control Demand Savings (kW)]]</f>
        <v>0</v>
      </c>
      <c r="BT148" s="118">
        <f>ReviewCalcs[[#This Row],[Incentive Fixture Energy Savings (kWh)]]+ReviewCalcs[[#This Row],[Incentive Control Energy Savings (kWh)]]</f>
        <v>0</v>
      </c>
      <c r="BU148" s="73"/>
    </row>
    <row r="149" spans="1:73" ht="30" customHeight="1">
      <c r="A149" s="68">
        <v>146</v>
      </c>
      <c r="B149" s="96">
        <f>VLOOKUP(ReviewCalcs[[#This Row],[Project Index]], ProjectInput[], D$1, FALSE)</f>
        <v>0</v>
      </c>
      <c r="C149" s="97">
        <f>VLOOKUP(ReviewCalcs[[#This Row],[Project Index]], ProjectInput[], E$1, FALSE)</f>
        <v>0</v>
      </c>
      <c r="D149" s="97">
        <f>VLOOKUP(ReviewCalcs[[#This Row],[Project Index]], ProjectInput[], F$1, FALSE)</f>
        <v>0</v>
      </c>
      <c r="E149" s="97">
        <f>VLOOKUP(ReviewCalcs[[#This Row],[Project Index]], ProjectInput[], G$1, FALSE)</f>
        <v>0</v>
      </c>
      <c r="F149" s="97">
        <f>VLOOKUP(ReviewCalcs[[#This Row],[Project Index]], ProjectInput[], H$1, FALSE)</f>
        <v>0</v>
      </c>
      <c r="G149" s="98" t="str">
        <f>VLOOKUP(ReviewCalcs[[#This Row],[Project Index]], ProjectInput[], I$1, FALSE)</f>
        <v/>
      </c>
      <c r="H149" s="96">
        <f>VLOOKUP(ReviewCalcs[[#This Row],[Project Index]], ProjectInput[], J$1, FALSE)</f>
        <v>0</v>
      </c>
      <c r="I149" s="97">
        <f>VLOOKUP(ReviewCalcs[[#This Row],[Project Index]], ProjectInput[], K$1, FALSE)</f>
        <v>0</v>
      </c>
      <c r="J149" s="97">
        <f>VLOOKUP(ReviewCalcs[[#This Row],[Project Index]], ProjectInput[], L$1, FALSE)</f>
        <v>0</v>
      </c>
      <c r="K149" s="97">
        <f>VLOOKUP(ReviewCalcs[[#This Row],[Project Index]], ProjectInput[], M$1, FALSE)</f>
        <v>0</v>
      </c>
      <c r="L149" s="97">
        <f>VLOOKUP(ReviewCalcs[[#This Row],[Project Index]], ProjectInput[], N$1, FALSE)</f>
        <v>0</v>
      </c>
      <c r="M149" s="98" t="str">
        <f>VLOOKUP(ReviewCalcs[[#This Row],[Project Index]], ProjectInput[], O$1, FALSE)</f>
        <v/>
      </c>
      <c r="N149" s="96">
        <f>VLOOKUP(ReviewCalcs[[#This Row],[Project Index]], ProjectInput[], P$1, FALSE)</f>
        <v>0</v>
      </c>
      <c r="O149" s="97">
        <f>VLOOKUP(ReviewCalcs[[#This Row],[Project Index]], ProjectInput[], Q$1, FALSE)</f>
        <v>0</v>
      </c>
      <c r="P149" s="97">
        <f>VLOOKUP(ReviewCalcs[[#This Row],[Project Index]], ProjectInput[], R$1, FALSE)</f>
        <v>0</v>
      </c>
      <c r="Q149" s="97">
        <f>VLOOKUP(ReviewCalcs[[#This Row],[Project Index]], ProjectInput[], S$1, FALSE)</f>
        <v>0</v>
      </c>
      <c r="R149" s="97">
        <f>VLOOKUP(ReviewCalcs[[#This Row],[Project Index]], ProjectInput[], T$1, FALSE)</f>
        <v>0</v>
      </c>
      <c r="S149" s="97">
        <f>VLOOKUP(ReviewCalcs[[#This Row],[Project Index]], ProjectInput[], U$1, FALSE)</f>
        <v>0</v>
      </c>
      <c r="T149" s="97">
        <f>VLOOKUP(ReviewCalcs[[#This Row],[Project Index]], ProjectInput[], V$1, FALSE)</f>
        <v>0</v>
      </c>
      <c r="U149" s="97">
        <f>VLOOKUP(ReviewCalcs[[#This Row],[Project Index]], ProjectInput[], W$1, FALSE)</f>
        <v>0</v>
      </c>
      <c r="V149" s="98" t="str">
        <f>VLOOKUP(ReviewCalcs[[#This Row],[Project Index]], ProjectInput[], X$1, FALSE)</f>
        <v/>
      </c>
      <c r="W1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49" s="75" t="e">
        <f>IF(VLOOKUP(ReviewCalcs[[#This Row],[Proposed Fixture Code]], Table7[[FIXTURE CODE]:[Baseline Fixture Code]], 8, FALSE)="N", "ERROR", "PASS")</f>
        <v>#N/A</v>
      </c>
      <c r="Y1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49" s="75" t="e">
        <f>IF(OR(ReviewCalcs[[#This Row],[Baseline Fixture Watts]]&gt;=ReviewCalcs[[#This Row],[Proposed Fixture Watts]],ReviewCalcs[[#This Row],[Existing Fixture Watts]]&gt;=ReviewCalcs[[#This Row],[Proposed Fixture Watts]] ), "PASS", "ERROR")</f>
        <v>#N/A</v>
      </c>
      <c r="AA149" s="69" t="e">
        <f>VLOOKUP(ReviewCalcs[[#This Row],[Space Conditions]], Table_365[], 5, FALSE)</f>
        <v>#N/A</v>
      </c>
      <c r="AB149" s="68" t="str">
        <f>ReviewCalcs[[#This Row],[Annual Hours]]</f>
        <v/>
      </c>
      <c r="AC149" s="68" t="e">
        <f>VLOOKUP(ReviewCalcs[[#This Row],[Space Conditions]], Table_365[], 6, FALSE)</f>
        <v>#N/A</v>
      </c>
      <c r="AD149" s="68">
        <f>IF(ReviewCalcs[[#This Row],[Existing Control(s)]]='Tables &amp; Ranges'!$A$25, VLOOKUP(ReviewCalcs[[#This Row],[Building/Space Type]], Table_364[], 3, FALSE), CF_Contols)</f>
        <v>0.26</v>
      </c>
      <c r="AE149" s="68" t="e">
        <f>VLOOKUP(ReviewCalcs[[#This Row],[Existing Control(s)]], Table_358[], 2, FALSE)</f>
        <v>#N/A</v>
      </c>
      <c r="AF149" s="68">
        <f>IF(ReviewCalcs[[#This Row],[Proposed Control(s)]]='Tables &amp; Ranges'!$A$25, VLOOKUP(ReviewCalcs[[#This Row],[Building/Space Type]], Table_364[], 3, FALSE), CF_Contols)</f>
        <v>0.26</v>
      </c>
      <c r="AG149" s="68" t="e">
        <f>VLOOKUP(ReviewCalcs[[#This Row],[Proposed Control(s)]], Table_358[], 2, FALSE)</f>
        <v>#N/A</v>
      </c>
      <c r="AH149" s="68">
        <f>IFERROR((ReviewCalcs[[#This Row],[Existing Fixture Quantity]]*ReviewCalcs[[#This Row],[Existing Fixture Watts]]/1000)*ReviewCalcs[[#This Row],[Existing CF]]*ReviewCalcs[[#This Row],[IEFD]], 0)</f>
        <v>0</v>
      </c>
      <c r="AI149" s="68">
        <f>IFERROR((ReviewCalcs[[#This Row],[Proposed Fixture Quantity]]*ReviewCalcs[[#This Row],[Proposed Fixture Watts]]/1000)*ReviewCalcs[[#This Row],[Existing CF]]*ReviewCalcs[[#This Row],[IEFD]], 0)</f>
        <v>0</v>
      </c>
      <c r="AJ149" s="118">
        <f>IFERROR((ReviewCalcs[[#This Row],[Existing Fixture Quantity]]*ReviewCalcs[[#This Row],[Existing Fixture Watts]]/1000-ReviewCalcs[[#This Row],[Proposed Fixture Quantity]]*ReviewCalcs[[#This Row],[Proposed Fixture Watts]]/1000)*ReviewCalcs[[#This Row],[Existing CF]]*ReviewCalcs[[#This Row],[IEFD]], 0)</f>
        <v>0</v>
      </c>
      <c r="AK149" s="118">
        <f>IFERROR((ReviewCalcs[[#This Row],[Existing Fixture Quantity]]*ReviewCalcs[[#This Row],[Existing Fixture Watts]]/1000)*ReviewCalcs[[#This Row],[AOH]]*ReviewCalcs[[#This Row],[IEFE]]*ReviewCalcs[[#This Row],[Existing PAF]], 0)</f>
        <v>0</v>
      </c>
      <c r="AL149" s="118">
        <f>IFERROR((ReviewCalcs[[#This Row],[Proposed Fixture Quantity]]*ReviewCalcs[[#This Row],[Proposed Fixture Watts]]/1000)*ReviewCalcs[[#This Row],[AOH]]*ReviewCalcs[[#This Row],[IEFE]]*ReviewCalcs[[#This Row],[Existing PAF]], 0)</f>
        <v>0</v>
      </c>
      <c r="AM1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49" s="118">
        <f>ReviewCalcs[[#This Row],[Fixture Existing Energy (kWh)]]*Avg_KWh_Rate</f>
        <v>0</v>
      </c>
      <c r="AO149" s="118">
        <f>ReviewCalcs[[#This Row],[Fixture Proposed Energy (kWh)]]*Avg_KWh_Rate</f>
        <v>0</v>
      </c>
      <c r="AP149" s="70">
        <f>ReviewCalcs[[#This Row],[Fixture Energy Savings]]*Avg_KWh_Rate</f>
        <v>0</v>
      </c>
      <c r="AQ149" s="129" t="e">
        <f>ReviewCalcs[[#This Row],[Existing Fixture Quantity]]*ReviewCalcs[[#This Row],[Existing Fixture Watts]]/1000*ReviewCalcs[[#This Row],[Existing CF]]*ReviewCalcs[[#This Row],[IEFD]]</f>
        <v>#VALUE!</v>
      </c>
      <c r="AR149" s="129" t="e">
        <f>ReviewCalcs[[#This Row],[Proposed Fixture Quantity]]*ReviewCalcs[[#This Row],[Proposed Fixture Watts]]/1000*ReviewCalcs[[#This Row],[Proposed CF]]*ReviewCalcs[[#This Row],[IEFD]]</f>
        <v>#VALUE!</v>
      </c>
      <c r="AS149" s="118">
        <f>IF(ReviewCalcs[[#This Row],[Existing CF]]=ReviewCalcs[[#This Row],[Proposed CF]], 0, ReviewCalcs[[#This Row],[Proposed Fixture Quantity]]*ReviewCalcs[[#This Row],[Proposed Fixture Watts]]/1000*ReviewCalcs[[#This Row],[Proposed CF]]*ReviewCalcs[[#This Row],[IEFD]])</f>
        <v>0</v>
      </c>
      <c r="AT149" s="118">
        <f>IFERROR(ReviewCalcs[[#This Row],[Existing Fixture Quantity]]*ReviewCalcs[[#This Row],[Existing Fixture Watts]]/1000*ReviewCalcs[[#This Row],[Existing PAF]]*ReviewCalcs[[#This Row],[AOH]]*ReviewCalcs[[#This Row],[IEFE]], 0)</f>
        <v>0</v>
      </c>
      <c r="AU149" s="118">
        <f>IFERROR(ReviewCalcs[[#This Row],[Proposed Fixture Quantity]]*ReviewCalcs[[#This Row],[Proposed Fixture Watts]]/1000*ReviewCalcs[[#This Row],[Proposed PAF]]*ReviewCalcs[[#This Row],[AOH]]*ReviewCalcs[[#This Row],[IEFE]], 0)</f>
        <v>0</v>
      </c>
      <c r="AV149" s="118">
        <f>IFERROR(ReviewCalcs[[#This Row],[Proposed Fixture Quantity]]*ReviewCalcs[[#This Row],[Proposed Fixture Watts]]/1000*(ReviewCalcs[[#This Row],[Existing PAF]]-ReviewCalcs[[#This Row],[Proposed PAF]])*ReviewCalcs[[#This Row],[AOH]]*ReviewCalcs[[#This Row],[IEFE]], 0)</f>
        <v>0</v>
      </c>
      <c r="AW149" s="118">
        <f>ReviewCalcs[[#This Row],[Control Existing Energy (kWh)]]*kWh_Incentive_Rate</f>
        <v>0</v>
      </c>
      <c r="AX149" s="118">
        <f>ReviewCalcs[[#This Row],[Control Proposed Energy (kWh)]]*kWh_Incentive_Rate</f>
        <v>0</v>
      </c>
      <c r="AY149" s="70">
        <f>ReviewCalcs[[#This Row],[Control Energy Savings (kWh)]]*kWh_Incentive_Rate</f>
        <v>0</v>
      </c>
      <c r="AZ149" s="70" t="e">
        <f>ReviewCalcs[[#This Row],[Fixture Existing Demand (kW)]]+ReviewCalcs[[#This Row],[Control Existing Demand (kW)]]</f>
        <v>#VALUE!</v>
      </c>
      <c r="BA149" s="70" t="e">
        <f>ReviewCalcs[[#This Row],[Fixture Proposed Demand (kW)]]+ReviewCalcs[[#This Row],[Control Proposed Demand (kW)]]</f>
        <v>#VALUE!</v>
      </c>
      <c r="BB149" s="118">
        <f>ReviewCalcs[[#This Row],[Fixture Demand Savings (kW)]]+ReviewCalcs[[#This Row],[Control Demand Savings (kW)]]</f>
        <v>0</v>
      </c>
      <c r="BC149" s="118">
        <f>ReviewCalcs[[#This Row],[Fixture Existing Energy (kWh)]]+ReviewCalcs[[#This Row],[Control Existing Energy (kWh)]]</f>
        <v>0</v>
      </c>
      <c r="BD149" s="118">
        <f>ReviewCalcs[[#This Row],[Fixture Proposed Energy (kWh)]]+ReviewCalcs[[#This Row],[Control Proposed Energy (kWh)]]</f>
        <v>0</v>
      </c>
      <c r="BE149" s="118">
        <f>ReviewCalcs[[#This Row],[Fixture Energy Savings]]+ReviewCalcs[[#This Row],[Control Energy Savings (kWh)]]</f>
        <v>0</v>
      </c>
      <c r="BF149" s="118">
        <f>ReviewCalcs[[#This Row],[Fixture Existing Cost ($)]]+ReviewCalcs[[#This Row],[Control Existing Cost ($)]]</f>
        <v>0</v>
      </c>
      <c r="BG149" s="118">
        <f>ReviewCalcs[[#This Row],[Fixture Proposed Cost ($)]]+ReviewCalcs[[#This Row],[Controls Proposed Cost ($)]]</f>
        <v>0</v>
      </c>
      <c r="BH149" s="70">
        <f>ReviewCalcs[[#This Row],[Total Energy Savings (kWh)]]*Avg_KWh_Rate</f>
        <v>0</v>
      </c>
      <c r="BI1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49" s="70">
        <f>ReviewCalcs[[#This Row],[Retrofit Cost]]</f>
        <v>0</v>
      </c>
      <c r="BK149" s="70">
        <f>ReviewCalcs[[#This Row],[Retrofit Cost]]-ReviewCalcs[[#This Row],[Incentive ($)]]</f>
        <v>0</v>
      </c>
      <c r="BL149" s="118" t="e">
        <f>IFERROR(ReviewCalcs[[#This Row],[Net Project Cost ($)]]/ReviewCalcs[[#This Row],[Fixture Energy Cost Savings ($)]], #N/A)</f>
        <v>#N/A</v>
      </c>
      <c r="BM149" s="118" t="e">
        <f>IF(VLOOKUP(ReviewCalcs[[#This Row],[Existing Fixture Code]], Table7[[FIXTURE CODE]:[Baseline Fixture Code]], 8, FALSE)="N", VLOOKUP(ReviewCalcs[[#This Row],[Existing Fixture Code]], Table7[[FIXTURE CODE]:[Baseline Fixture Code]], 9, FALSE), ReviewCalcs[[#This Row],[Existing Fixture Code]])</f>
        <v>#N/A</v>
      </c>
      <c r="BN149" s="118" t="e">
        <f>INDEX(Table7[WATT/ FIXT], MATCH(ReviewCalcs[Baseline Fixture Code], Table7[FIXTURE CODE], 0))</f>
        <v>#N/A</v>
      </c>
      <c r="BO149" s="118">
        <f>IFERROR((ReviewCalcs[[#This Row],[Existing Fixture Quantity]]*ReviewCalcs[[#This Row],[Baseline Fixture Watts]]/1000-ReviewCalcs[[#This Row],[Proposed Fixture Quantity]]*ReviewCalcs[[#This Row],[Proposed Fixture Watts]]/1000)*ReviewCalcs[[#This Row],[Existing CF]]*ReviewCalcs[[#This Row],[IEFD]], 0)</f>
        <v>0</v>
      </c>
      <c r="BP1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49" s="118">
        <f>IF(ReviewCalcs[[#This Row],[Existing CF]]=ReviewCalcs[[#This Row],[Proposed CF]], 0, ReviewCalcs[[#This Row],[Proposed Fixture Quantity]]*ReviewCalcs[[#This Row],[Proposed Fixture Watts]]/1000*ReviewCalcs[[#This Row],[Proposed CF]]*ReviewCalcs[[#This Row],[IEFD]])</f>
        <v>0</v>
      </c>
      <c r="BR149" s="118">
        <f>IFERROR(ReviewCalcs[[#This Row],[Proposed Fixture Quantity]]*ReviewCalcs[[#This Row],[Proposed Fixture Watts]]/1000*(ReviewCalcs[[#This Row],[Existing PAF]]-ReviewCalcs[[#This Row],[Proposed PAF]])*ReviewCalcs[[#This Row],[AOH]]*ReviewCalcs[[#This Row],[IEFE]],0)</f>
        <v>0</v>
      </c>
      <c r="BS149" s="118">
        <f>ReviewCalcs[[#This Row],[Incentive Fixture Demand Savings (kW)]]+ReviewCalcs[[#This Row],[Incentive Control Demand Savings (kW)]]</f>
        <v>0</v>
      </c>
      <c r="BT149" s="118">
        <f>ReviewCalcs[[#This Row],[Incentive Fixture Energy Savings (kWh)]]+ReviewCalcs[[#This Row],[Incentive Control Energy Savings (kWh)]]</f>
        <v>0</v>
      </c>
      <c r="BU149" s="73"/>
    </row>
    <row r="150" spans="1:73" ht="30" customHeight="1">
      <c r="A150" s="68">
        <v>147</v>
      </c>
      <c r="B150" s="96">
        <f>VLOOKUP(ReviewCalcs[[#This Row],[Project Index]], ProjectInput[], D$1, FALSE)</f>
        <v>0</v>
      </c>
      <c r="C150" s="97">
        <f>VLOOKUP(ReviewCalcs[[#This Row],[Project Index]], ProjectInput[], E$1, FALSE)</f>
        <v>0</v>
      </c>
      <c r="D150" s="97">
        <f>VLOOKUP(ReviewCalcs[[#This Row],[Project Index]], ProjectInput[], F$1, FALSE)</f>
        <v>0</v>
      </c>
      <c r="E150" s="97">
        <f>VLOOKUP(ReviewCalcs[[#This Row],[Project Index]], ProjectInput[], G$1, FALSE)</f>
        <v>0</v>
      </c>
      <c r="F150" s="97">
        <f>VLOOKUP(ReviewCalcs[[#This Row],[Project Index]], ProjectInput[], H$1, FALSE)</f>
        <v>0</v>
      </c>
      <c r="G150" s="98" t="str">
        <f>VLOOKUP(ReviewCalcs[[#This Row],[Project Index]], ProjectInput[], I$1, FALSE)</f>
        <v/>
      </c>
      <c r="H150" s="96">
        <f>VLOOKUP(ReviewCalcs[[#This Row],[Project Index]], ProjectInput[], J$1, FALSE)</f>
        <v>0</v>
      </c>
      <c r="I150" s="97">
        <f>VLOOKUP(ReviewCalcs[[#This Row],[Project Index]], ProjectInput[], K$1, FALSE)</f>
        <v>0</v>
      </c>
      <c r="J150" s="97">
        <f>VLOOKUP(ReviewCalcs[[#This Row],[Project Index]], ProjectInput[], L$1, FALSE)</f>
        <v>0</v>
      </c>
      <c r="K150" s="97">
        <f>VLOOKUP(ReviewCalcs[[#This Row],[Project Index]], ProjectInput[], M$1, FALSE)</f>
        <v>0</v>
      </c>
      <c r="L150" s="97">
        <f>VLOOKUP(ReviewCalcs[[#This Row],[Project Index]], ProjectInput[], N$1, FALSE)</f>
        <v>0</v>
      </c>
      <c r="M150" s="98" t="str">
        <f>VLOOKUP(ReviewCalcs[[#This Row],[Project Index]], ProjectInput[], O$1, FALSE)</f>
        <v/>
      </c>
      <c r="N150" s="96">
        <f>VLOOKUP(ReviewCalcs[[#This Row],[Project Index]], ProjectInput[], P$1, FALSE)</f>
        <v>0</v>
      </c>
      <c r="O150" s="97">
        <f>VLOOKUP(ReviewCalcs[[#This Row],[Project Index]], ProjectInput[], Q$1, FALSE)</f>
        <v>0</v>
      </c>
      <c r="P150" s="97">
        <f>VLOOKUP(ReviewCalcs[[#This Row],[Project Index]], ProjectInput[], R$1, FALSE)</f>
        <v>0</v>
      </c>
      <c r="Q150" s="97">
        <f>VLOOKUP(ReviewCalcs[[#This Row],[Project Index]], ProjectInput[], S$1, FALSE)</f>
        <v>0</v>
      </c>
      <c r="R150" s="97">
        <f>VLOOKUP(ReviewCalcs[[#This Row],[Project Index]], ProjectInput[], T$1, FALSE)</f>
        <v>0</v>
      </c>
      <c r="S150" s="97">
        <f>VLOOKUP(ReviewCalcs[[#This Row],[Project Index]], ProjectInput[], U$1, FALSE)</f>
        <v>0</v>
      </c>
      <c r="T150" s="97">
        <f>VLOOKUP(ReviewCalcs[[#This Row],[Project Index]], ProjectInput[], V$1, FALSE)</f>
        <v>0</v>
      </c>
      <c r="U150" s="97">
        <f>VLOOKUP(ReviewCalcs[[#This Row],[Project Index]], ProjectInput[], W$1, FALSE)</f>
        <v>0</v>
      </c>
      <c r="V150" s="98" t="str">
        <f>VLOOKUP(ReviewCalcs[[#This Row],[Project Index]], ProjectInput[], X$1, FALSE)</f>
        <v/>
      </c>
      <c r="W1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0" s="75" t="e">
        <f>IF(VLOOKUP(ReviewCalcs[[#This Row],[Proposed Fixture Code]], Table7[[FIXTURE CODE]:[Baseline Fixture Code]], 8, FALSE)="N", "ERROR", "PASS")</f>
        <v>#N/A</v>
      </c>
      <c r="Y1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0" s="75" t="e">
        <f>IF(OR(ReviewCalcs[[#This Row],[Baseline Fixture Watts]]&gt;=ReviewCalcs[[#This Row],[Proposed Fixture Watts]],ReviewCalcs[[#This Row],[Existing Fixture Watts]]&gt;=ReviewCalcs[[#This Row],[Proposed Fixture Watts]] ), "PASS", "ERROR")</f>
        <v>#N/A</v>
      </c>
      <c r="AA150" s="69" t="e">
        <f>VLOOKUP(ReviewCalcs[[#This Row],[Space Conditions]], Table_365[], 5, FALSE)</f>
        <v>#N/A</v>
      </c>
      <c r="AB150" s="68" t="str">
        <f>ReviewCalcs[[#This Row],[Annual Hours]]</f>
        <v/>
      </c>
      <c r="AC150" s="68" t="e">
        <f>VLOOKUP(ReviewCalcs[[#This Row],[Space Conditions]], Table_365[], 6, FALSE)</f>
        <v>#N/A</v>
      </c>
      <c r="AD150" s="68">
        <f>IF(ReviewCalcs[[#This Row],[Existing Control(s)]]='Tables &amp; Ranges'!$A$25, VLOOKUP(ReviewCalcs[[#This Row],[Building/Space Type]], Table_364[], 3, FALSE), CF_Contols)</f>
        <v>0.26</v>
      </c>
      <c r="AE150" s="68" t="e">
        <f>VLOOKUP(ReviewCalcs[[#This Row],[Existing Control(s)]], Table_358[], 2, FALSE)</f>
        <v>#N/A</v>
      </c>
      <c r="AF150" s="68">
        <f>IF(ReviewCalcs[[#This Row],[Proposed Control(s)]]='Tables &amp; Ranges'!$A$25, VLOOKUP(ReviewCalcs[[#This Row],[Building/Space Type]], Table_364[], 3, FALSE), CF_Contols)</f>
        <v>0.26</v>
      </c>
      <c r="AG150" s="68" t="e">
        <f>VLOOKUP(ReviewCalcs[[#This Row],[Proposed Control(s)]], Table_358[], 2, FALSE)</f>
        <v>#N/A</v>
      </c>
      <c r="AH150" s="68">
        <f>IFERROR((ReviewCalcs[[#This Row],[Existing Fixture Quantity]]*ReviewCalcs[[#This Row],[Existing Fixture Watts]]/1000)*ReviewCalcs[[#This Row],[Existing CF]]*ReviewCalcs[[#This Row],[IEFD]], 0)</f>
        <v>0</v>
      </c>
      <c r="AI150" s="68">
        <f>IFERROR((ReviewCalcs[[#This Row],[Proposed Fixture Quantity]]*ReviewCalcs[[#This Row],[Proposed Fixture Watts]]/1000)*ReviewCalcs[[#This Row],[Existing CF]]*ReviewCalcs[[#This Row],[IEFD]], 0)</f>
        <v>0</v>
      </c>
      <c r="AJ150" s="118">
        <f>IFERROR((ReviewCalcs[[#This Row],[Existing Fixture Quantity]]*ReviewCalcs[[#This Row],[Existing Fixture Watts]]/1000-ReviewCalcs[[#This Row],[Proposed Fixture Quantity]]*ReviewCalcs[[#This Row],[Proposed Fixture Watts]]/1000)*ReviewCalcs[[#This Row],[Existing CF]]*ReviewCalcs[[#This Row],[IEFD]], 0)</f>
        <v>0</v>
      </c>
      <c r="AK150" s="118">
        <f>IFERROR((ReviewCalcs[[#This Row],[Existing Fixture Quantity]]*ReviewCalcs[[#This Row],[Existing Fixture Watts]]/1000)*ReviewCalcs[[#This Row],[AOH]]*ReviewCalcs[[#This Row],[IEFE]]*ReviewCalcs[[#This Row],[Existing PAF]], 0)</f>
        <v>0</v>
      </c>
      <c r="AL150" s="118">
        <f>IFERROR((ReviewCalcs[[#This Row],[Proposed Fixture Quantity]]*ReviewCalcs[[#This Row],[Proposed Fixture Watts]]/1000)*ReviewCalcs[[#This Row],[AOH]]*ReviewCalcs[[#This Row],[IEFE]]*ReviewCalcs[[#This Row],[Existing PAF]], 0)</f>
        <v>0</v>
      </c>
      <c r="AM1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0" s="118">
        <f>ReviewCalcs[[#This Row],[Fixture Existing Energy (kWh)]]*Avg_KWh_Rate</f>
        <v>0</v>
      </c>
      <c r="AO150" s="118">
        <f>ReviewCalcs[[#This Row],[Fixture Proposed Energy (kWh)]]*Avg_KWh_Rate</f>
        <v>0</v>
      </c>
      <c r="AP150" s="70">
        <f>ReviewCalcs[[#This Row],[Fixture Energy Savings]]*Avg_KWh_Rate</f>
        <v>0</v>
      </c>
      <c r="AQ150" s="129" t="e">
        <f>ReviewCalcs[[#This Row],[Existing Fixture Quantity]]*ReviewCalcs[[#This Row],[Existing Fixture Watts]]/1000*ReviewCalcs[[#This Row],[Existing CF]]*ReviewCalcs[[#This Row],[IEFD]]</f>
        <v>#VALUE!</v>
      </c>
      <c r="AR150" s="129" t="e">
        <f>ReviewCalcs[[#This Row],[Proposed Fixture Quantity]]*ReviewCalcs[[#This Row],[Proposed Fixture Watts]]/1000*ReviewCalcs[[#This Row],[Proposed CF]]*ReviewCalcs[[#This Row],[IEFD]]</f>
        <v>#VALUE!</v>
      </c>
      <c r="AS150" s="118">
        <f>IF(ReviewCalcs[[#This Row],[Existing CF]]=ReviewCalcs[[#This Row],[Proposed CF]], 0, ReviewCalcs[[#This Row],[Proposed Fixture Quantity]]*ReviewCalcs[[#This Row],[Proposed Fixture Watts]]/1000*ReviewCalcs[[#This Row],[Proposed CF]]*ReviewCalcs[[#This Row],[IEFD]])</f>
        <v>0</v>
      </c>
      <c r="AT150" s="118">
        <f>IFERROR(ReviewCalcs[[#This Row],[Existing Fixture Quantity]]*ReviewCalcs[[#This Row],[Existing Fixture Watts]]/1000*ReviewCalcs[[#This Row],[Existing PAF]]*ReviewCalcs[[#This Row],[AOH]]*ReviewCalcs[[#This Row],[IEFE]], 0)</f>
        <v>0</v>
      </c>
      <c r="AU150" s="118">
        <f>IFERROR(ReviewCalcs[[#This Row],[Proposed Fixture Quantity]]*ReviewCalcs[[#This Row],[Proposed Fixture Watts]]/1000*ReviewCalcs[[#This Row],[Proposed PAF]]*ReviewCalcs[[#This Row],[AOH]]*ReviewCalcs[[#This Row],[IEFE]], 0)</f>
        <v>0</v>
      </c>
      <c r="AV150" s="118">
        <f>IFERROR(ReviewCalcs[[#This Row],[Proposed Fixture Quantity]]*ReviewCalcs[[#This Row],[Proposed Fixture Watts]]/1000*(ReviewCalcs[[#This Row],[Existing PAF]]-ReviewCalcs[[#This Row],[Proposed PAF]])*ReviewCalcs[[#This Row],[AOH]]*ReviewCalcs[[#This Row],[IEFE]], 0)</f>
        <v>0</v>
      </c>
      <c r="AW150" s="118">
        <f>ReviewCalcs[[#This Row],[Control Existing Energy (kWh)]]*kWh_Incentive_Rate</f>
        <v>0</v>
      </c>
      <c r="AX150" s="118">
        <f>ReviewCalcs[[#This Row],[Control Proposed Energy (kWh)]]*kWh_Incentive_Rate</f>
        <v>0</v>
      </c>
      <c r="AY150" s="70">
        <f>ReviewCalcs[[#This Row],[Control Energy Savings (kWh)]]*kWh_Incentive_Rate</f>
        <v>0</v>
      </c>
      <c r="AZ150" s="70" t="e">
        <f>ReviewCalcs[[#This Row],[Fixture Existing Demand (kW)]]+ReviewCalcs[[#This Row],[Control Existing Demand (kW)]]</f>
        <v>#VALUE!</v>
      </c>
      <c r="BA150" s="70" t="e">
        <f>ReviewCalcs[[#This Row],[Fixture Proposed Demand (kW)]]+ReviewCalcs[[#This Row],[Control Proposed Demand (kW)]]</f>
        <v>#VALUE!</v>
      </c>
      <c r="BB150" s="118">
        <f>ReviewCalcs[[#This Row],[Fixture Demand Savings (kW)]]+ReviewCalcs[[#This Row],[Control Demand Savings (kW)]]</f>
        <v>0</v>
      </c>
      <c r="BC150" s="118">
        <f>ReviewCalcs[[#This Row],[Fixture Existing Energy (kWh)]]+ReviewCalcs[[#This Row],[Control Existing Energy (kWh)]]</f>
        <v>0</v>
      </c>
      <c r="BD150" s="118">
        <f>ReviewCalcs[[#This Row],[Fixture Proposed Energy (kWh)]]+ReviewCalcs[[#This Row],[Control Proposed Energy (kWh)]]</f>
        <v>0</v>
      </c>
      <c r="BE150" s="118">
        <f>ReviewCalcs[[#This Row],[Fixture Energy Savings]]+ReviewCalcs[[#This Row],[Control Energy Savings (kWh)]]</f>
        <v>0</v>
      </c>
      <c r="BF150" s="118">
        <f>ReviewCalcs[[#This Row],[Fixture Existing Cost ($)]]+ReviewCalcs[[#This Row],[Control Existing Cost ($)]]</f>
        <v>0</v>
      </c>
      <c r="BG150" s="118">
        <f>ReviewCalcs[[#This Row],[Fixture Proposed Cost ($)]]+ReviewCalcs[[#This Row],[Controls Proposed Cost ($)]]</f>
        <v>0</v>
      </c>
      <c r="BH150" s="70">
        <f>ReviewCalcs[[#This Row],[Total Energy Savings (kWh)]]*Avg_KWh_Rate</f>
        <v>0</v>
      </c>
      <c r="BI1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0" s="70">
        <f>ReviewCalcs[[#This Row],[Retrofit Cost]]</f>
        <v>0</v>
      </c>
      <c r="BK150" s="70">
        <f>ReviewCalcs[[#This Row],[Retrofit Cost]]-ReviewCalcs[[#This Row],[Incentive ($)]]</f>
        <v>0</v>
      </c>
      <c r="BL150" s="118" t="e">
        <f>IFERROR(ReviewCalcs[[#This Row],[Net Project Cost ($)]]/ReviewCalcs[[#This Row],[Fixture Energy Cost Savings ($)]], #N/A)</f>
        <v>#N/A</v>
      </c>
      <c r="BM150" s="118" t="e">
        <f>IF(VLOOKUP(ReviewCalcs[[#This Row],[Existing Fixture Code]], Table7[[FIXTURE CODE]:[Baseline Fixture Code]], 8, FALSE)="N", VLOOKUP(ReviewCalcs[[#This Row],[Existing Fixture Code]], Table7[[FIXTURE CODE]:[Baseline Fixture Code]], 9, FALSE), ReviewCalcs[[#This Row],[Existing Fixture Code]])</f>
        <v>#N/A</v>
      </c>
      <c r="BN150" s="118" t="e">
        <f>INDEX(Table7[WATT/ FIXT], MATCH(ReviewCalcs[Baseline Fixture Code], Table7[FIXTURE CODE], 0))</f>
        <v>#N/A</v>
      </c>
      <c r="BO150" s="118">
        <f>IFERROR((ReviewCalcs[[#This Row],[Existing Fixture Quantity]]*ReviewCalcs[[#This Row],[Baseline Fixture Watts]]/1000-ReviewCalcs[[#This Row],[Proposed Fixture Quantity]]*ReviewCalcs[[#This Row],[Proposed Fixture Watts]]/1000)*ReviewCalcs[[#This Row],[Existing CF]]*ReviewCalcs[[#This Row],[IEFD]], 0)</f>
        <v>0</v>
      </c>
      <c r="BP1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0" s="118">
        <f>IF(ReviewCalcs[[#This Row],[Existing CF]]=ReviewCalcs[[#This Row],[Proposed CF]], 0, ReviewCalcs[[#This Row],[Proposed Fixture Quantity]]*ReviewCalcs[[#This Row],[Proposed Fixture Watts]]/1000*ReviewCalcs[[#This Row],[Proposed CF]]*ReviewCalcs[[#This Row],[IEFD]])</f>
        <v>0</v>
      </c>
      <c r="BR150" s="118">
        <f>IFERROR(ReviewCalcs[[#This Row],[Proposed Fixture Quantity]]*ReviewCalcs[[#This Row],[Proposed Fixture Watts]]/1000*(ReviewCalcs[[#This Row],[Existing PAF]]-ReviewCalcs[[#This Row],[Proposed PAF]])*ReviewCalcs[[#This Row],[AOH]]*ReviewCalcs[[#This Row],[IEFE]],0)</f>
        <v>0</v>
      </c>
      <c r="BS150" s="118">
        <f>ReviewCalcs[[#This Row],[Incentive Fixture Demand Savings (kW)]]+ReviewCalcs[[#This Row],[Incentive Control Demand Savings (kW)]]</f>
        <v>0</v>
      </c>
      <c r="BT150" s="118">
        <f>ReviewCalcs[[#This Row],[Incentive Fixture Energy Savings (kWh)]]+ReviewCalcs[[#This Row],[Incentive Control Energy Savings (kWh)]]</f>
        <v>0</v>
      </c>
      <c r="BU150" s="73"/>
    </row>
    <row r="151" spans="1:73" ht="30" customHeight="1">
      <c r="A151" s="68">
        <v>148</v>
      </c>
      <c r="B151" s="96">
        <f>VLOOKUP(ReviewCalcs[[#This Row],[Project Index]], ProjectInput[], D$1, FALSE)</f>
        <v>0</v>
      </c>
      <c r="C151" s="97">
        <f>VLOOKUP(ReviewCalcs[[#This Row],[Project Index]], ProjectInput[], E$1, FALSE)</f>
        <v>0</v>
      </c>
      <c r="D151" s="97">
        <f>VLOOKUP(ReviewCalcs[[#This Row],[Project Index]], ProjectInput[], F$1, FALSE)</f>
        <v>0</v>
      </c>
      <c r="E151" s="97">
        <f>VLOOKUP(ReviewCalcs[[#This Row],[Project Index]], ProjectInput[], G$1, FALSE)</f>
        <v>0</v>
      </c>
      <c r="F151" s="97">
        <f>VLOOKUP(ReviewCalcs[[#This Row],[Project Index]], ProjectInput[], H$1, FALSE)</f>
        <v>0</v>
      </c>
      <c r="G151" s="98" t="str">
        <f>VLOOKUP(ReviewCalcs[[#This Row],[Project Index]], ProjectInput[], I$1, FALSE)</f>
        <v/>
      </c>
      <c r="H151" s="96">
        <f>VLOOKUP(ReviewCalcs[[#This Row],[Project Index]], ProjectInput[], J$1, FALSE)</f>
        <v>0</v>
      </c>
      <c r="I151" s="97">
        <f>VLOOKUP(ReviewCalcs[[#This Row],[Project Index]], ProjectInput[], K$1, FALSE)</f>
        <v>0</v>
      </c>
      <c r="J151" s="97">
        <f>VLOOKUP(ReviewCalcs[[#This Row],[Project Index]], ProjectInput[], L$1, FALSE)</f>
        <v>0</v>
      </c>
      <c r="K151" s="97">
        <f>VLOOKUP(ReviewCalcs[[#This Row],[Project Index]], ProjectInput[], M$1, FALSE)</f>
        <v>0</v>
      </c>
      <c r="L151" s="97">
        <f>VLOOKUP(ReviewCalcs[[#This Row],[Project Index]], ProjectInput[], N$1, FALSE)</f>
        <v>0</v>
      </c>
      <c r="M151" s="98" t="str">
        <f>VLOOKUP(ReviewCalcs[[#This Row],[Project Index]], ProjectInput[], O$1, FALSE)</f>
        <v/>
      </c>
      <c r="N151" s="96">
        <f>VLOOKUP(ReviewCalcs[[#This Row],[Project Index]], ProjectInput[], P$1, FALSE)</f>
        <v>0</v>
      </c>
      <c r="O151" s="97">
        <f>VLOOKUP(ReviewCalcs[[#This Row],[Project Index]], ProjectInput[], Q$1, FALSE)</f>
        <v>0</v>
      </c>
      <c r="P151" s="97">
        <f>VLOOKUP(ReviewCalcs[[#This Row],[Project Index]], ProjectInput[], R$1, FALSE)</f>
        <v>0</v>
      </c>
      <c r="Q151" s="97">
        <f>VLOOKUP(ReviewCalcs[[#This Row],[Project Index]], ProjectInput[], S$1, FALSE)</f>
        <v>0</v>
      </c>
      <c r="R151" s="97">
        <f>VLOOKUP(ReviewCalcs[[#This Row],[Project Index]], ProjectInput[], T$1, FALSE)</f>
        <v>0</v>
      </c>
      <c r="S151" s="97">
        <f>VLOOKUP(ReviewCalcs[[#This Row],[Project Index]], ProjectInput[], U$1, FALSE)</f>
        <v>0</v>
      </c>
      <c r="T151" s="97">
        <f>VLOOKUP(ReviewCalcs[[#This Row],[Project Index]], ProjectInput[], V$1, FALSE)</f>
        <v>0</v>
      </c>
      <c r="U151" s="97">
        <f>VLOOKUP(ReviewCalcs[[#This Row],[Project Index]], ProjectInput[], W$1, FALSE)</f>
        <v>0</v>
      </c>
      <c r="V151" s="98" t="str">
        <f>VLOOKUP(ReviewCalcs[[#This Row],[Project Index]], ProjectInput[], X$1, FALSE)</f>
        <v/>
      </c>
      <c r="W1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1" s="75" t="e">
        <f>IF(VLOOKUP(ReviewCalcs[[#This Row],[Proposed Fixture Code]], Table7[[FIXTURE CODE]:[Baseline Fixture Code]], 8, FALSE)="N", "ERROR", "PASS")</f>
        <v>#N/A</v>
      </c>
      <c r="Y1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1" s="75" t="e">
        <f>IF(OR(ReviewCalcs[[#This Row],[Baseline Fixture Watts]]&gt;=ReviewCalcs[[#This Row],[Proposed Fixture Watts]],ReviewCalcs[[#This Row],[Existing Fixture Watts]]&gt;=ReviewCalcs[[#This Row],[Proposed Fixture Watts]] ), "PASS", "ERROR")</f>
        <v>#N/A</v>
      </c>
      <c r="AA151" s="69" t="e">
        <f>VLOOKUP(ReviewCalcs[[#This Row],[Space Conditions]], Table_365[], 5, FALSE)</f>
        <v>#N/A</v>
      </c>
      <c r="AB151" s="68" t="str">
        <f>ReviewCalcs[[#This Row],[Annual Hours]]</f>
        <v/>
      </c>
      <c r="AC151" s="68" t="e">
        <f>VLOOKUP(ReviewCalcs[[#This Row],[Space Conditions]], Table_365[], 6, FALSE)</f>
        <v>#N/A</v>
      </c>
      <c r="AD151" s="68">
        <f>IF(ReviewCalcs[[#This Row],[Existing Control(s)]]='Tables &amp; Ranges'!$A$25, VLOOKUP(ReviewCalcs[[#This Row],[Building/Space Type]], Table_364[], 3, FALSE), CF_Contols)</f>
        <v>0.26</v>
      </c>
      <c r="AE151" s="68" t="e">
        <f>VLOOKUP(ReviewCalcs[[#This Row],[Existing Control(s)]], Table_358[], 2, FALSE)</f>
        <v>#N/A</v>
      </c>
      <c r="AF151" s="68">
        <f>IF(ReviewCalcs[[#This Row],[Proposed Control(s)]]='Tables &amp; Ranges'!$A$25, VLOOKUP(ReviewCalcs[[#This Row],[Building/Space Type]], Table_364[], 3, FALSE), CF_Contols)</f>
        <v>0.26</v>
      </c>
      <c r="AG151" s="68" t="e">
        <f>VLOOKUP(ReviewCalcs[[#This Row],[Proposed Control(s)]], Table_358[], 2, FALSE)</f>
        <v>#N/A</v>
      </c>
      <c r="AH151" s="68">
        <f>IFERROR((ReviewCalcs[[#This Row],[Existing Fixture Quantity]]*ReviewCalcs[[#This Row],[Existing Fixture Watts]]/1000)*ReviewCalcs[[#This Row],[Existing CF]]*ReviewCalcs[[#This Row],[IEFD]], 0)</f>
        <v>0</v>
      </c>
      <c r="AI151" s="68">
        <f>IFERROR((ReviewCalcs[[#This Row],[Proposed Fixture Quantity]]*ReviewCalcs[[#This Row],[Proposed Fixture Watts]]/1000)*ReviewCalcs[[#This Row],[Existing CF]]*ReviewCalcs[[#This Row],[IEFD]], 0)</f>
        <v>0</v>
      </c>
      <c r="AJ151" s="118">
        <f>IFERROR((ReviewCalcs[[#This Row],[Existing Fixture Quantity]]*ReviewCalcs[[#This Row],[Existing Fixture Watts]]/1000-ReviewCalcs[[#This Row],[Proposed Fixture Quantity]]*ReviewCalcs[[#This Row],[Proposed Fixture Watts]]/1000)*ReviewCalcs[[#This Row],[Existing CF]]*ReviewCalcs[[#This Row],[IEFD]], 0)</f>
        <v>0</v>
      </c>
      <c r="AK151" s="118">
        <f>IFERROR((ReviewCalcs[[#This Row],[Existing Fixture Quantity]]*ReviewCalcs[[#This Row],[Existing Fixture Watts]]/1000)*ReviewCalcs[[#This Row],[AOH]]*ReviewCalcs[[#This Row],[IEFE]]*ReviewCalcs[[#This Row],[Existing PAF]], 0)</f>
        <v>0</v>
      </c>
      <c r="AL151" s="118">
        <f>IFERROR((ReviewCalcs[[#This Row],[Proposed Fixture Quantity]]*ReviewCalcs[[#This Row],[Proposed Fixture Watts]]/1000)*ReviewCalcs[[#This Row],[AOH]]*ReviewCalcs[[#This Row],[IEFE]]*ReviewCalcs[[#This Row],[Existing PAF]], 0)</f>
        <v>0</v>
      </c>
      <c r="AM1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1" s="118">
        <f>ReviewCalcs[[#This Row],[Fixture Existing Energy (kWh)]]*Avg_KWh_Rate</f>
        <v>0</v>
      </c>
      <c r="AO151" s="118">
        <f>ReviewCalcs[[#This Row],[Fixture Proposed Energy (kWh)]]*Avg_KWh_Rate</f>
        <v>0</v>
      </c>
      <c r="AP151" s="70">
        <f>ReviewCalcs[[#This Row],[Fixture Energy Savings]]*Avg_KWh_Rate</f>
        <v>0</v>
      </c>
      <c r="AQ151" s="129" t="e">
        <f>ReviewCalcs[[#This Row],[Existing Fixture Quantity]]*ReviewCalcs[[#This Row],[Existing Fixture Watts]]/1000*ReviewCalcs[[#This Row],[Existing CF]]*ReviewCalcs[[#This Row],[IEFD]]</f>
        <v>#VALUE!</v>
      </c>
      <c r="AR151" s="129" t="e">
        <f>ReviewCalcs[[#This Row],[Proposed Fixture Quantity]]*ReviewCalcs[[#This Row],[Proposed Fixture Watts]]/1000*ReviewCalcs[[#This Row],[Proposed CF]]*ReviewCalcs[[#This Row],[IEFD]]</f>
        <v>#VALUE!</v>
      </c>
      <c r="AS151" s="118">
        <f>IF(ReviewCalcs[[#This Row],[Existing CF]]=ReviewCalcs[[#This Row],[Proposed CF]], 0, ReviewCalcs[[#This Row],[Proposed Fixture Quantity]]*ReviewCalcs[[#This Row],[Proposed Fixture Watts]]/1000*ReviewCalcs[[#This Row],[Proposed CF]]*ReviewCalcs[[#This Row],[IEFD]])</f>
        <v>0</v>
      </c>
      <c r="AT151" s="118">
        <f>IFERROR(ReviewCalcs[[#This Row],[Existing Fixture Quantity]]*ReviewCalcs[[#This Row],[Existing Fixture Watts]]/1000*ReviewCalcs[[#This Row],[Existing PAF]]*ReviewCalcs[[#This Row],[AOH]]*ReviewCalcs[[#This Row],[IEFE]], 0)</f>
        <v>0</v>
      </c>
      <c r="AU151" s="118">
        <f>IFERROR(ReviewCalcs[[#This Row],[Proposed Fixture Quantity]]*ReviewCalcs[[#This Row],[Proposed Fixture Watts]]/1000*ReviewCalcs[[#This Row],[Proposed PAF]]*ReviewCalcs[[#This Row],[AOH]]*ReviewCalcs[[#This Row],[IEFE]], 0)</f>
        <v>0</v>
      </c>
      <c r="AV151" s="118">
        <f>IFERROR(ReviewCalcs[[#This Row],[Proposed Fixture Quantity]]*ReviewCalcs[[#This Row],[Proposed Fixture Watts]]/1000*(ReviewCalcs[[#This Row],[Existing PAF]]-ReviewCalcs[[#This Row],[Proposed PAF]])*ReviewCalcs[[#This Row],[AOH]]*ReviewCalcs[[#This Row],[IEFE]], 0)</f>
        <v>0</v>
      </c>
      <c r="AW151" s="118">
        <f>ReviewCalcs[[#This Row],[Control Existing Energy (kWh)]]*kWh_Incentive_Rate</f>
        <v>0</v>
      </c>
      <c r="AX151" s="118">
        <f>ReviewCalcs[[#This Row],[Control Proposed Energy (kWh)]]*kWh_Incentive_Rate</f>
        <v>0</v>
      </c>
      <c r="AY151" s="70">
        <f>ReviewCalcs[[#This Row],[Control Energy Savings (kWh)]]*kWh_Incentive_Rate</f>
        <v>0</v>
      </c>
      <c r="AZ151" s="70" t="e">
        <f>ReviewCalcs[[#This Row],[Fixture Existing Demand (kW)]]+ReviewCalcs[[#This Row],[Control Existing Demand (kW)]]</f>
        <v>#VALUE!</v>
      </c>
      <c r="BA151" s="70" t="e">
        <f>ReviewCalcs[[#This Row],[Fixture Proposed Demand (kW)]]+ReviewCalcs[[#This Row],[Control Proposed Demand (kW)]]</f>
        <v>#VALUE!</v>
      </c>
      <c r="BB151" s="118">
        <f>ReviewCalcs[[#This Row],[Fixture Demand Savings (kW)]]+ReviewCalcs[[#This Row],[Control Demand Savings (kW)]]</f>
        <v>0</v>
      </c>
      <c r="BC151" s="118">
        <f>ReviewCalcs[[#This Row],[Fixture Existing Energy (kWh)]]+ReviewCalcs[[#This Row],[Control Existing Energy (kWh)]]</f>
        <v>0</v>
      </c>
      <c r="BD151" s="118">
        <f>ReviewCalcs[[#This Row],[Fixture Proposed Energy (kWh)]]+ReviewCalcs[[#This Row],[Control Proposed Energy (kWh)]]</f>
        <v>0</v>
      </c>
      <c r="BE151" s="118">
        <f>ReviewCalcs[[#This Row],[Fixture Energy Savings]]+ReviewCalcs[[#This Row],[Control Energy Savings (kWh)]]</f>
        <v>0</v>
      </c>
      <c r="BF151" s="118">
        <f>ReviewCalcs[[#This Row],[Fixture Existing Cost ($)]]+ReviewCalcs[[#This Row],[Control Existing Cost ($)]]</f>
        <v>0</v>
      </c>
      <c r="BG151" s="118">
        <f>ReviewCalcs[[#This Row],[Fixture Proposed Cost ($)]]+ReviewCalcs[[#This Row],[Controls Proposed Cost ($)]]</f>
        <v>0</v>
      </c>
      <c r="BH151" s="70">
        <f>ReviewCalcs[[#This Row],[Total Energy Savings (kWh)]]*Avg_KWh_Rate</f>
        <v>0</v>
      </c>
      <c r="BI1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1" s="70">
        <f>ReviewCalcs[[#This Row],[Retrofit Cost]]</f>
        <v>0</v>
      </c>
      <c r="BK151" s="70">
        <f>ReviewCalcs[[#This Row],[Retrofit Cost]]-ReviewCalcs[[#This Row],[Incentive ($)]]</f>
        <v>0</v>
      </c>
      <c r="BL151" s="118" t="e">
        <f>IFERROR(ReviewCalcs[[#This Row],[Net Project Cost ($)]]/ReviewCalcs[[#This Row],[Fixture Energy Cost Savings ($)]], #N/A)</f>
        <v>#N/A</v>
      </c>
      <c r="BM151" s="118" t="e">
        <f>IF(VLOOKUP(ReviewCalcs[[#This Row],[Existing Fixture Code]], Table7[[FIXTURE CODE]:[Baseline Fixture Code]], 8, FALSE)="N", VLOOKUP(ReviewCalcs[[#This Row],[Existing Fixture Code]], Table7[[FIXTURE CODE]:[Baseline Fixture Code]], 9, FALSE), ReviewCalcs[[#This Row],[Existing Fixture Code]])</f>
        <v>#N/A</v>
      </c>
      <c r="BN151" s="118" t="e">
        <f>INDEX(Table7[WATT/ FIXT], MATCH(ReviewCalcs[Baseline Fixture Code], Table7[FIXTURE CODE], 0))</f>
        <v>#N/A</v>
      </c>
      <c r="BO151" s="118">
        <f>IFERROR((ReviewCalcs[[#This Row],[Existing Fixture Quantity]]*ReviewCalcs[[#This Row],[Baseline Fixture Watts]]/1000-ReviewCalcs[[#This Row],[Proposed Fixture Quantity]]*ReviewCalcs[[#This Row],[Proposed Fixture Watts]]/1000)*ReviewCalcs[[#This Row],[Existing CF]]*ReviewCalcs[[#This Row],[IEFD]], 0)</f>
        <v>0</v>
      </c>
      <c r="BP1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1" s="118">
        <f>IF(ReviewCalcs[[#This Row],[Existing CF]]=ReviewCalcs[[#This Row],[Proposed CF]], 0, ReviewCalcs[[#This Row],[Proposed Fixture Quantity]]*ReviewCalcs[[#This Row],[Proposed Fixture Watts]]/1000*ReviewCalcs[[#This Row],[Proposed CF]]*ReviewCalcs[[#This Row],[IEFD]])</f>
        <v>0</v>
      </c>
      <c r="BR151" s="118">
        <f>IFERROR(ReviewCalcs[[#This Row],[Proposed Fixture Quantity]]*ReviewCalcs[[#This Row],[Proposed Fixture Watts]]/1000*(ReviewCalcs[[#This Row],[Existing PAF]]-ReviewCalcs[[#This Row],[Proposed PAF]])*ReviewCalcs[[#This Row],[AOH]]*ReviewCalcs[[#This Row],[IEFE]],0)</f>
        <v>0</v>
      </c>
      <c r="BS151" s="118">
        <f>ReviewCalcs[[#This Row],[Incentive Fixture Demand Savings (kW)]]+ReviewCalcs[[#This Row],[Incentive Control Demand Savings (kW)]]</f>
        <v>0</v>
      </c>
      <c r="BT151" s="118">
        <f>ReviewCalcs[[#This Row],[Incentive Fixture Energy Savings (kWh)]]+ReviewCalcs[[#This Row],[Incentive Control Energy Savings (kWh)]]</f>
        <v>0</v>
      </c>
      <c r="BU151" s="73"/>
    </row>
    <row r="152" spans="1:73" ht="30" customHeight="1">
      <c r="A152" s="68">
        <v>149</v>
      </c>
      <c r="B152" s="96">
        <f>VLOOKUP(ReviewCalcs[[#This Row],[Project Index]], ProjectInput[], D$1, FALSE)</f>
        <v>0</v>
      </c>
      <c r="C152" s="97">
        <f>VLOOKUP(ReviewCalcs[[#This Row],[Project Index]], ProjectInput[], E$1, FALSE)</f>
        <v>0</v>
      </c>
      <c r="D152" s="97">
        <f>VLOOKUP(ReviewCalcs[[#This Row],[Project Index]], ProjectInput[], F$1, FALSE)</f>
        <v>0</v>
      </c>
      <c r="E152" s="97">
        <f>VLOOKUP(ReviewCalcs[[#This Row],[Project Index]], ProjectInput[], G$1, FALSE)</f>
        <v>0</v>
      </c>
      <c r="F152" s="97">
        <f>VLOOKUP(ReviewCalcs[[#This Row],[Project Index]], ProjectInput[], H$1, FALSE)</f>
        <v>0</v>
      </c>
      <c r="G152" s="98" t="str">
        <f>VLOOKUP(ReviewCalcs[[#This Row],[Project Index]], ProjectInput[], I$1, FALSE)</f>
        <v/>
      </c>
      <c r="H152" s="96">
        <f>VLOOKUP(ReviewCalcs[[#This Row],[Project Index]], ProjectInput[], J$1, FALSE)</f>
        <v>0</v>
      </c>
      <c r="I152" s="97">
        <f>VLOOKUP(ReviewCalcs[[#This Row],[Project Index]], ProjectInput[], K$1, FALSE)</f>
        <v>0</v>
      </c>
      <c r="J152" s="97">
        <f>VLOOKUP(ReviewCalcs[[#This Row],[Project Index]], ProjectInput[], L$1, FALSE)</f>
        <v>0</v>
      </c>
      <c r="K152" s="97">
        <f>VLOOKUP(ReviewCalcs[[#This Row],[Project Index]], ProjectInput[], M$1, FALSE)</f>
        <v>0</v>
      </c>
      <c r="L152" s="97">
        <f>VLOOKUP(ReviewCalcs[[#This Row],[Project Index]], ProjectInput[], N$1, FALSE)</f>
        <v>0</v>
      </c>
      <c r="M152" s="98" t="str">
        <f>VLOOKUP(ReviewCalcs[[#This Row],[Project Index]], ProjectInput[], O$1, FALSE)</f>
        <v/>
      </c>
      <c r="N152" s="96">
        <f>VLOOKUP(ReviewCalcs[[#This Row],[Project Index]], ProjectInput[], P$1, FALSE)</f>
        <v>0</v>
      </c>
      <c r="O152" s="97">
        <f>VLOOKUP(ReviewCalcs[[#This Row],[Project Index]], ProjectInput[], Q$1, FALSE)</f>
        <v>0</v>
      </c>
      <c r="P152" s="97">
        <f>VLOOKUP(ReviewCalcs[[#This Row],[Project Index]], ProjectInput[], R$1, FALSE)</f>
        <v>0</v>
      </c>
      <c r="Q152" s="97">
        <f>VLOOKUP(ReviewCalcs[[#This Row],[Project Index]], ProjectInput[], S$1, FALSE)</f>
        <v>0</v>
      </c>
      <c r="R152" s="97">
        <f>VLOOKUP(ReviewCalcs[[#This Row],[Project Index]], ProjectInput[], T$1, FALSE)</f>
        <v>0</v>
      </c>
      <c r="S152" s="97">
        <f>VLOOKUP(ReviewCalcs[[#This Row],[Project Index]], ProjectInput[], U$1, FALSE)</f>
        <v>0</v>
      </c>
      <c r="T152" s="97">
        <f>VLOOKUP(ReviewCalcs[[#This Row],[Project Index]], ProjectInput[], V$1, FALSE)</f>
        <v>0</v>
      </c>
      <c r="U152" s="97">
        <f>VLOOKUP(ReviewCalcs[[#This Row],[Project Index]], ProjectInput[], W$1, FALSE)</f>
        <v>0</v>
      </c>
      <c r="V152" s="98" t="str">
        <f>VLOOKUP(ReviewCalcs[[#This Row],[Project Index]], ProjectInput[], X$1, FALSE)</f>
        <v/>
      </c>
      <c r="W1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2" s="75" t="e">
        <f>IF(VLOOKUP(ReviewCalcs[[#This Row],[Proposed Fixture Code]], Table7[[FIXTURE CODE]:[Baseline Fixture Code]], 8, FALSE)="N", "ERROR", "PASS")</f>
        <v>#N/A</v>
      </c>
      <c r="Y1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2" s="75" t="e">
        <f>IF(OR(ReviewCalcs[[#This Row],[Baseline Fixture Watts]]&gt;=ReviewCalcs[[#This Row],[Proposed Fixture Watts]],ReviewCalcs[[#This Row],[Existing Fixture Watts]]&gt;=ReviewCalcs[[#This Row],[Proposed Fixture Watts]] ), "PASS", "ERROR")</f>
        <v>#N/A</v>
      </c>
      <c r="AA152" s="69" t="e">
        <f>VLOOKUP(ReviewCalcs[[#This Row],[Space Conditions]], Table_365[], 5, FALSE)</f>
        <v>#N/A</v>
      </c>
      <c r="AB152" s="68" t="str">
        <f>ReviewCalcs[[#This Row],[Annual Hours]]</f>
        <v/>
      </c>
      <c r="AC152" s="68" t="e">
        <f>VLOOKUP(ReviewCalcs[[#This Row],[Space Conditions]], Table_365[], 6, FALSE)</f>
        <v>#N/A</v>
      </c>
      <c r="AD152" s="68">
        <f>IF(ReviewCalcs[[#This Row],[Existing Control(s)]]='Tables &amp; Ranges'!$A$25, VLOOKUP(ReviewCalcs[[#This Row],[Building/Space Type]], Table_364[], 3, FALSE), CF_Contols)</f>
        <v>0.26</v>
      </c>
      <c r="AE152" s="68" t="e">
        <f>VLOOKUP(ReviewCalcs[[#This Row],[Existing Control(s)]], Table_358[], 2, FALSE)</f>
        <v>#N/A</v>
      </c>
      <c r="AF152" s="68">
        <f>IF(ReviewCalcs[[#This Row],[Proposed Control(s)]]='Tables &amp; Ranges'!$A$25, VLOOKUP(ReviewCalcs[[#This Row],[Building/Space Type]], Table_364[], 3, FALSE), CF_Contols)</f>
        <v>0.26</v>
      </c>
      <c r="AG152" s="68" t="e">
        <f>VLOOKUP(ReviewCalcs[[#This Row],[Proposed Control(s)]], Table_358[], 2, FALSE)</f>
        <v>#N/A</v>
      </c>
      <c r="AH152" s="68">
        <f>IFERROR((ReviewCalcs[[#This Row],[Existing Fixture Quantity]]*ReviewCalcs[[#This Row],[Existing Fixture Watts]]/1000)*ReviewCalcs[[#This Row],[Existing CF]]*ReviewCalcs[[#This Row],[IEFD]], 0)</f>
        <v>0</v>
      </c>
      <c r="AI152" s="68">
        <f>IFERROR((ReviewCalcs[[#This Row],[Proposed Fixture Quantity]]*ReviewCalcs[[#This Row],[Proposed Fixture Watts]]/1000)*ReviewCalcs[[#This Row],[Existing CF]]*ReviewCalcs[[#This Row],[IEFD]], 0)</f>
        <v>0</v>
      </c>
      <c r="AJ152" s="118">
        <f>IFERROR((ReviewCalcs[[#This Row],[Existing Fixture Quantity]]*ReviewCalcs[[#This Row],[Existing Fixture Watts]]/1000-ReviewCalcs[[#This Row],[Proposed Fixture Quantity]]*ReviewCalcs[[#This Row],[Proposed Fixture Watts]]/1000)*ReviewCalcs[[#This Row],[Existing CF]]*ReviewCalcs[[#This Row],[IEFD]], 0)</f>
        <v>0</v>
      </c>
      <c r="AK152" s="118">
        <f>IFERROR((ReviewCalcs[[#This Row],[Existing Fixture Quantity]]*ReviewCalcs[[#This Row],[Existing Fixture Watts]]/1000)*ReviewCalcs[[#This Row],[AOH]]*ReviewCalcs[[#This Row],[IEFE]]*ReviewCalcs[[#This Row],[Existing PAF]], 0)</f>
        <v>0</v>
      </c>
      <c r="AL152" s="118">
        <f>IFERROR((ReviewCalcs[[#This Row],[Proposed Fixture Quantity]]*ReviewCalcs[[#This Row],[Proposed Fixture Watts]]/1000)*ReviewCalcs[[#This Row],[AOH]]*ReviewCalcs[[#This Row],[IEFE]]*ReviewCalcs[[#This Row],[Existing PAF]], 0)</f>
        <v>0</v>
      </c>
      <c r="AM1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2" s="118">
        <f>ReviewCalcs[[#This Row],[Fixture Existing Energy (kWh)]]*Avg_KWh_Rate</f>
        <v>0</v>
      </c>
      <c r="AO152" s="118">
        <f>ReviewCalcs[[#This Row],[Fixture Proposed Energy (kWh)]]*Avg_KWh_Rate</f>
        <v>0</v>
      </c>
      <c r="AP152" s="70">
        <f>ReviewCalcs[[#This Row],[Fixture Energy Savings]]*Avg_KWh_Rate</f>
        <v>0</v>
      </c>
      <c r="AQ152" s="129" t="e">
        <f>ReviewCalcs[[#This Row],[Existing Fixture Quantity]]*ReviewCalcs[[#This Row],[Existing Fixture Watts]]/1000*ReviewCalcs[[#This Row],[Existing CF]]*ReviewCalcs[[#This Row],[IEFD]]</f>
        <v>#VALUE!</v>
      </c>
      <c r="AR152" s="129" t="e">
        <f>ReviewCalcs[[#This Row],[Proposed Fixture Quantity]]*ReviewCalcs[[#This Row],[Proposed Fixture Watts]]/1000*ReviewCalcs[[#This Row],[Proposed CF]]*ReviewCalcs[[#This Row],[IEFD]]</f>
        <v>#VALUE!</v>
      </c>
      <c r="AS152" s="118">
        <f>IF(ReviewCalcs[[#This Row],[Existing CF]]=ReviewCalcs[[#This Row],[Proposed CF]], 0, ReviewCalcs[[#This Row],[Proposed Fixture Quantity]]*ReviewCalcs[[#This Row],[Proposed Fixture Watts]]/1000*ReviewCalcs[[#This Row],[Proposed CF]]*ReviewCalcs[[#This Row],[IEFD]])</f>
        <v>0</v>
      </c>
      <c r="AT152" s="118">
        <f>IFERROR(ReviewCalcs[[#This Row],[Existing Fixture Quantity]]*ReviewCalcs[[#This Row],[Existing Fixture Watts]]/1000*ReviewCalcs[[#This Row],[Existing PAF]]*ReviewCalcs[[#This Row],[AOH]]*ReviewCalcs[[#This Row],[IEFE]], 0)</f>
        <v>0</v>
      </c>
      <c r="AU152" s="118">
        <f>IFERROR(ReviewCalcs[[#This Row],[Proposed Fixture Quantity]]*ReviewCalcs[[#This Row],[Proposed Fixture Watts]]/1000*ReviewCalcs[[#This Row],[Proposed PAF]]*ReviewCalcs[[#This Row],[AOH]]*ReviewCalcs[[#This Row],[IEFE]], 0)</f>
        <v>0</v>
      </c>
      <c r="AV152" s="118">
        <f>IFERROR(ReviewCalcs[[#This Row],[Proposed Fixture Quantity]]*ReviewCalcs[[#This Row],[Proposed Fixture Watts]]/1000*(ReviewCalcs[[#This Row],[Existing PAF]]-ReviewCalcs[[#This Row],[Proposed PAF]])*ReviewCalcs[[#This Row],[AOH]]*ReviewCalcs[[#This Row],[IEFE]], 0)</f>
        <v>0</v>
      </c>
      <c r="AW152" s="118">
        <f>ReviewCalcs[[#This Row],[Control Existing Energy (kWh)]]*kWh_Incentive_Rate</f>
        <v>0</v>
      </c>
      <c r="AX152" s="118">
        <f>ReviewCalcs[[#This Row],[Control Proposed Energy (kWh)]]*kWh_Incentive_Rate</f>
        <v>0</v>
      </c>
      <c r="AY152" s="70">
        <f>ReviewCalcs[[#This Row],[Control Energy Savings (kWh)]]*kWh_Incentive_Rate</f>
        <v>0</v>
      </c>
      <c r="AZ152" s="70" t="e">
        <f>ReviewCalcs[[#This Row],[Fixture Existing Demand (kW)]]+ReviewCalcs[[#This Row],[Control Existing Demand (kW)]]</f>
        <v>#VALUE!</v>
      </c>
      <c r="BA152" s="70" t="e">
        <f>ReviewCalcs[[#This Row],[Fixture Proposed Demand (kW)]]+ReviewCalcs[[#This Row],[Control Proposed Demand (kW)]]</f>
        <v>#VALUE!</v>
      </c>
      <c r="BB152" s="118">
        <f>ReviewCalcs[[#This Row],[Fixture Demand Savings (kW)]]+ReviewCalcs[[#This Row],[Control Demand Savings (kW)]]</f>
        <v>0</v>
      </c>
      <c r="BC152" s="118">
        <f>ReviewCalcs[[#This Row],[Fixture Existing Energy (kWh)]]+ReviewCalcs[[#This Row],[Control Existing Energy (kWh)]]</f>
        <v>0</v>
      </c>
      <c r="BD152" s="118">
        <f>ReviewCalcs[[#This Row],[Fixture Proposed Energy (kWh)]]+ReviewCalcs[[#This Row],[Control Proposed Energy (kWh)]]</f>
        <v>0</v>
      </c>
      <c r="BE152" s="118">
        <f>ReviewCalcs[[#This Row],[Fixture Energy Savings]]+ReviewCalcs[[#This Row],[Control Energy Savings (kWh)]]</f>
        <v>0</v>
      </c>
      <c r="BF152" s="118">
        <f>ReviewCalcs[[#This Row],[Fixture Existing Cost ($)]]+ReviewCalcs[[#This Row],[Control Existing Cost ($)]]</f>
        <v>0</v>
      </c>
      <c r="BG152" s="118">
        <f>ReviewCalcs[[#This Row],[Fixture Proposed Cost ($)]]+ReviewCalcs[[#This Row],[Controls Proposed Cost ($)]]</f>
        <v>0</v>
      </c>
      <c r="BH152" s="70">
        <f>ReviewCalcs[[#This Row],[Total Energy Savings (kWh)]]*Avg_KWh_Rate</f>
        <v>0</v>
      </c>
      <c r="BI1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2" s="70">
        <f>ReviewCalcs[[#This Row],[Retrofit Cost]]</f>
        <v>0</v>
      </c>
      <c r="BK152" s="70">
        <f>ReviewCalcs[[#This Row],[Retrofit Cost]]-ReviewCalcs[[#This Row],[Incentive ($)]]</f>
        <v>0</v>
      </c>
      <c r="BL152" s="118" t="e">
        <f>IFERROR(ReviewCalcs[[#This Row],[Net Project Cost ($)]]/ReviewCalcs[[#This Row],[Fixture Energy Cost Savings ($)]], #N/A)</f>
        <v>#N/A</v>
      </c>
      <c r="BM152" s="118" t="e">
        <f>IF(VLOOKUP(ReviewCalcs[[#This Row],[Existing Fixture Code]], Table7[[FIXTURE CODE]:[Baseline Fixture Code]], 8, FALSE)="N", VLOOKUP(ReviewCalcs[[#This Row],[Existing Fixture Code]], Table7[[FIXTURE CODE]:[Baseline Fixture Code]], 9, FALSE), ReviewCalcs[[#This Row],[Existing Fixture Code]])</f>
        <v>#N/A</v>
      </c>
      <c r="BN152" s="118" t="e">
        <f>INDEX(Table7[WATT/ FIXT], MATCH(ReviewCalcs[Baseline Fixture Code], Table7[FIXTURE CODE], 0))</f>
        <v>#N/A</v>
      </c>
      <c r="BO152" s="118">
        <f>IFERROR((ReviewCalcs[[#This Row],[Existing Fixture Quantity]]*ReviewCalcs[[#This Row],[Baseline Fixture Watts]]/1000-ReviewCalcs[[#This Row],[Proposed Fixture Quantity]]*ReviewCalcs[[#This Row],[Proposed Fixture Watts]]/1000)*ReviewCalcs[[#This Row],[Existing CF]]*ReviewCalcs[[#This Row],[IEFD]], 0)</f>
        <v>0</v>
      </c>
      <c r="BP1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2" s="118">
        <f>IF(ReviewCalcs[[#This Row],[Existing CF]]=ReviewCalcs[[#This Row],[Proposed CF]], 0, ReviewCalcs[[#This Row],[Proposed Fixture Quantity]]*ReviewCalcs[[#This Row],[Proposed Fixture Watts]]/1000*ReviewCalcs[[#This Row],[Proposed CF]]*ReviewCalcs[[#This Row],[IEFD]])</f>
        <v>0</v>
      </c>
      <c r="BR152" s="118">
        <f>IFERROR(ReviewCalcs[[#This Row],[Proposed Fixture Quantity]]*ReviewCalcs[[#This Row],[Proposed Fixture Watts]]/1000*(ReviewCalcs[[#This Row],[Existing PAF]]-ReviewCalcs[[#This Row],[Proposed PAF]])*ReviewCalcs[[#This Row],[AOH]]*ReviewCalcs[[#This Row],[IEFE]],0)</f>
        <v>0</v>
      </c>
      <c r="BS152" s="118">
        <f>ReviewCalcs[[#This Row],[Incentive Fixture Demand Savings (kW)]]+ReviewCalcs[[#This Row],[Incentive Control Demand Savings (kW)]]</f>
        <v>0</v>
      </c>
      <c r="BT152" s="118">
        <f>ReviewCalcs[[#This Row],[Incentive Fixture Energy Savings (kWh)]]+ReviewCalcs[[#This Row],[Incentive Control Energy Savings (kWh)]]</f>
        <v>0</v>
      </c>
      <c r="BU152" s="73"/>
    </row>
    <row r="153" spans="1:73" ht="30" customHeight="1">
      <c r="A153" s="68">
        <v>150</v>
      </c>
      <c r="B153" s="96">
        <f>VLOOKUP(ReviewCalcs[[#This Row],[Project Index]], ProjectInput[], D$1, FALSE)</f>
        <v>0</v>
      </c>
      <c r="C153" s="97">
        <f>VLOOKUP(ReviewCalcs[[#This Row],[Project Index]], ProjectInput[], E$1, FALSE)</f>
        <v>0</v>
      </c>
      <c r="D153" s="97">
        <f>VLOOKUP(ReviewCalcs[[#This Row],[Project Index]], ProjectInput[], F$1, FALSE)</f>
        <v>0</v>
      </c>
      <c r="E153" s="97">
        <f>VLOOKUP(ReviewCalcs[[#This Row],[Project Index]], ProjectInput[], G$1, FALSE)</f>
        <v>0</v>
      </c>
      <c r="F153" s="97">
        <f>VLOOKUP(ReviewCalcs[[#This Row],[Project Index]], ProjectInput[], H$1, FALSE)</f>
        <v>0</v>
      </c>
      <c r="G153" s="98" t="str">
        <f>VLOOKUP(ReviewCalcs[[#This Row],[Project Index]], ProjectInput[], I$1, FALSE)</f>
        <v/>
      </c>
      <c r="H153" s="96">
        <f>VLOOKUP(ReviewCalcs[[#This Row],[Project Index]], ProjectInput[], J$1, FALSE)</f>
        <v>0</v>
      </c>
      <c r="I153" s="97">
        <f>VLOOKUP(ReviewCalcs[[#This Row],[Project Index]], ProjectInput[], K$1, FALSE)</f>
        <v>0</v>
      </c>
      <c r="J153" s="97">
        <f>VLOOKUP(ReviewCalcs[[#This Row],[Project Index]], ProjectInput[], L$1, FALSE)</f>
        <v>0</v>
      </c>
      <c r="K153" s="97">
        <f>VLOOKUP(ReviewCalcs[[#This Row],[Project Index]], ProjectInput[], M$1, FALSE)</f>
        <v>0</v>
      </c>
      <c r="L153" s="97">
        <f>VLOOKUP(ReviewCalcs[[#This Row],[Project Index]], ProjectInput[], N$1, FALSE)</f>
        <v>0</v>
      </c>
      <c r="M153" s="98" t="str">
        <f>VLOOKUP(ReviewCalcs[[#This Row],[Project Index]], ProjectInput[], O$1, FALSE)</f>
        <v/>
      </c>
      <c r="N153" s="96">
        <f>VLOOKUP(ReviewCalcs[[#This Row],[Project Index]], ProjectInput[], P$1, FALSE)</f>
        <v>0</v>
      </c>
      <c r="O153" s="97">
        <f>VLOOKUP(ReviewCalcs[[#This Row],[Project Index]], ProjectInput[], Q$1, FALSE)</f>
        <v>0</v>
      </c>
      <c r="P153" s="97">
        <f>VLOOKUP(ReviewCalcs[[#This Row],[Project Index]], ProjectInput[], R$1, FALSE)</f>
        <v>0</v>
      </c>
      <c r="Q153" s="97">
        <f>VLOOKUP(ReviewCalcs[[#This Row],[Project Index]], ProjectInput[], S$1, FALSE)</f>
        <v>0</v>
      </c>
      <c r="R153" s="97">
        <f>VLOOKUP(ReviewCalcs[[#This Row],[Project Index]], ProjectInput[], T$1, FALSE)</f>
        <v>0</v>
      </c>
      <c r="S153" s="97">
        <f>VLOOKUP(ReviewCalcs[[#This Row],[Project Index]], ProjectInput[], U$1, FALSE)</f>
        <v>0</v>
      </c>
      <c r="T153" s="97">
        <f>VLOOKUP(ReviewCalcs[[#This Row],[Project Index]], ProjectInput[], V$1, FALSE)</f>
        <v>0</v>
      </c>
      <c r="U153" s="97">
        <f>VLOOKUP(ReviewCalcs[[#This Row],[Project Index]], ProjectInput[], W$1, FALSE)</f>
        <v>0</v>
      </c>
      <c r="V153" s="98" t="str">
        <f>VLOOKUP(ReviewCalcs[[#This Row],[Project Index]], ProjectInput[], X$1, FALSE)</f>
        <v/>
      </c>
      <c r="W1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3" s="75" t="e">
        <f>IF(VLOOKUP(ReviewCalcs[[#This Row],[Proposed Fixture Code]], Table7[[FIXTURE CODE]:[Baseline Fixture Code]], 8, FALSE)="N", "ERROR", "PASS")</f>
        <v>#N/A</v>
      </c>
      <c r="Y1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3" s="75" t="e">
        <f>IF(OR(ReviewCalcs[[#This Row],[Baseline Fixture Watts]]&gt;=ReviewCalcs[[#This Row],[Proposed Fixture Watts]],ReviewCalcs[[#This Row],[Existing Fixture Watts]]&gt;=ReviewCalcs[[#This Row],[Proposed Fixture Watts]] ), "PASS", "ERROR")</f>
        <v>#N/A</v>
      </c>
      <c r="AA153" s="69" t="e">
        <f>VLOOKUP(ReviewCalcs[[#This Row],[Space Conditions]], Table_365[], 5, FALSE)</f>
        <v>#N/A</v>
      </c>
      <c r="AB153" s="68" t="str">
        <f>ReviewCalcs[[#This Row],[Annual Hours]]</f>
        <v/>
      </c>
      <c r="AC153" s="68" t="e">
        <f>VLOOKUP(ReviewCalcs[[#This Row],[Space Conditions]], Table_365[], 6, FALSE)</f>
        <v>#N/A</v>
      </c>
      <c r="AD153" s="68">
        <f>IF(ReviewCalcs[[#This Row],[Existing Control(s)]]='Tables &amp; Ranges'!$A$25, VLOOKUP(ReviewCalcs[[#This Row],[Building/Space Type]], Table_364[], 3, FALSE), CF_Contols)</f>
        <v>0.26</v>
      </c>
      <c r="AE153" s="68" t="e">
        <f>VLOOKUP(ReviewCalcs[[#This Row],[Existing Control(s)]], Table_358[], 2, FALSE)</f>
        <v>#N/A</v>
      </c>
      <c r="AF153" s="68">
        <f>IF(ReviewCalcs[[#This Row],[Proposed Control(s)]]='Tables &amp; Ranges'!$A$25, VLOOKUP(ReviewCalcs[[#This Row],[Building/Space Type]], Table_364[], 3, FALSE), CF_Contols)</f>
        <v>0.26</v>
      </c>
      <c r="AG153" s="68" t="e">
        <f>VLOOKUP(ReviewCalcs[[#This Row],[Proposed Control(s)]], Table_358[], 2, FALSE)</f>
        <v>#N/A</v>
      </c>
      <c r="AH153" s="68">
        <f>IFERROR((ReviewCalcs[[#This Row],[Existing Fixture Quantity]]*ReviewCalcs[[#This Row],[Existing Fixture Watts]]/1000)*ReviewCalcs[[#This Row],[Existing CF]]*ReviewCalcs[[#This Row],[IEFD]], 0)</f>
        <v>0</v>
      </c>
      <c r="AI153" s="68">
        <f>IFERROR((ReviewCalcs[[#This Row],[Proposed Fixture Quantity]]*ReviewCalcs[[#This Row],[Proposed Fixture Watts]]/1000)*ReviewCalcs[[#This Row],[Existing CF]]*ReviewCalcs[[#This Row],[IEFD]], 0)</f>
        <v>0</v>
      </c>
      <c r="AJ153" s="118">
        <f>IFERROR((ReviewCalcs[[#This Row],[Existing Fixture Quantity]]*ReviewCalcs[[#This Row],[Existing Fixture Watts]]/1000-ReviewCalcs[[#This Row],[Proposed Fixture Quantity]]*ReviewCalcs[[#This Row],[Proposed Fixture Watts]]/1000)*ReviewCalcs[[#This Row],[Existing CF]]*ReviewCalcs[[#This Row],[IEFD]], 0)</f>
        <v>0</v>
      </c>
      <c r="AK153" s="118">
        <f>IFERROR((ReviewCalcs[[#This Row],[Existing Fixture Quantity]]*ReviewCalcs[[#This Row],[Existing Fixture Watts]]/1000)*ReviewCalcs[[#This Row],[AOH]]*ReviewCalcs[[#This Row],[IEFE]]*ReviewCalcs[[#This Row],[Existing PAF]], 0)</f>
        <v>0</v>
      </c>
      <c r="AL153" s="118">
        <f>IFERROR((ReviewCalcs[[#This Row],[Proposed Fixture Quantity]]*ReviewCalcs[[#This Row],[Proposed Fixture Watts]]/1000)*ReviewCalcs[[#This Row],[AOH]]*ReviewCalcs[[#This Row],[IEFE]]*ReviewCalcs[[#This Row],[Existing PAF]], 0)</f>
        <v>0</v>
      </c>
      <c r="AM1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3" s="118">
        <f>ReviewCalcs[[#This Row],[Fixture Existing Energy (kWh)]]*Avg_KWh_Rate</f>
        <v>0</v>
      </c>
      <c r="AO153" s="118">
        <f>ReviewCalcs[[#This Row],[Fixture Proposed Energy (kWh)]]*Avg_KWh_Rate</f>
        <v>0</v>
      </c>
      <c r="AP153" s="70">
        <f>ReviewCalcs[[#This Row],[Fixture Energy Savings]]*Avg_KWh_Rate</f>
        <v>0</v>
      </c>
      <c r="AQ153" s="129" t="e">
        <f>ReviewCalcs[[#This Row],[Existing Fixture Quantity]]*ReviewCalcs[[#This Row],[Existing Fixture Watts]]/1000*ReviewCalcs[[#This Row],[Existing CF]]*ReviewCalcs[[#This Row],[IEFD]]</f>
        <v>#VALUE!</v>
      </c>
      <c r="AR153" s="129" t="e">
        <f>ReviewCalcs[[#This Row],[Proposed Fixture Quantity]]*ReviewCalcs[[#This Row],[Proposed Fixture Watts]]/1000*ReviewCalcs[[#This Row],[Proposed CF]]*ReviewCalcs[[#This Row],[IEFD]]</f>
        <v>#VALUE!</v>
      </c>
      <c r="AS153" s="118">
        <f>IF(ReviewCalcs[[#This Row],[Existing CF]]=ReviewCalcs[[#This Row],[Proposed CF]], 0, ReviewCalcs[[#This Row],[Proposed Fixture Quantity]]*ReviewCalcs[[#This Row],[Proposed Fixture Watts]]/1000*ReviewCalcs[[#This Row],[Proposed CF]]*ReviewCalcs[[#This Row],[IEFD]])</f>
        <v>0</v>
      </c>
      <c r="AT153" s="118">
        <f>IFERROR(ReviewCalcs[[#This Row],[Existing Fixture Quantity]]*ReviewCalcs[[#This Row],[Existing Fixture Watts]]/1000*ReviewCalcs[[#This Row],[Existing PAF]]*ReviewCalcs[[#This Row],[AOH]]*ReviewCalcs[[#This Row],[IEFE]], 0)</f>
        <v>0</v>
      </c>
      <c r="AU153" s="118">
        <f>IFERROR(ReviewCalcs[[#This Row],[Proposed Fixture Quantity]]*ReviewCalcs[[#This Row],[Proposed Fixture Watts]]/1000*ReviewCalcs[[#This Row],[Proposed PAF]]*ReviewCalcs[[#This Row],[AOH]]*ReviewCalcs[[#This Row],[IEFE]], 0)</f>
        <v>0</v>
      </c>
      <c r="AV153" s="118">
        <f>IFERROR(ReviewCalcs[[#This Row],[Proposed Fixture Quantity]]*ReviewCalcs[[#This Row],[Proposed Fixture Watts]]/1000*(ReviewCalcs[[#This Row],[Existing PAF]]-ReviewCalcs[[#This Row],[Proposed PAF]])*ReviewCalcs[[#This Row],[AOH]]*ReviewCalcs[[#This Row],[IEFE]], 0)</f>
        <v>0</v>
      </c>
      <c r="AW153" s="118">
        <f>ReviewCalcs[[#This Row],[Control Existing Energy (kWh)]]*kWh_Incentive_Rate</f>
        <v>0</v>
      </c>
      <c r="AX153" s="118">
        <f>ReviewCalcs[[#This Row],[Control Proposed Energy (kWh)]]*kWh_Incentive_Rate</f>
        <v>0</v>
      </c>
      <c r="AY153" s="70">
        <f>ReviewCalcs[[#This Row],[Control Energy Savings (kWh)]]*kWh_Incentive_Rate</f>
        <v>0</v>
      </c>
      <c r="AZ153" s="70" t="e">
        <f>ReviewCalcs[[#This Row],[Fixture Existing Demand (kW)]]+ReviewCalcs[[#This Row],[Control Existing Demand (kW)]]</f>
        <v>#VALUE!</v>
      </c>
      <c r="BA153" s="70" t="e">
        <f>ReviewCalcs[[#This Row],[Fixture Proposed Demand (kW)]]+ReviewCalcs[[#This Row],[Control Proposed Demand (kW)]]</f>
        <v>#VALUE!</v>
      </c>
      <c r="BB153" s="118">
        <f>ReviewCalcs[[#This Row],[Fixture Demand Savings (kW)]]+ReviewCalcs[[#This Row],[Control Demand Savings (kW)]]</f>
        <v>0</v>
      </c>
      <c r="BC153" s="118">
        <f>ReviewCalcs[[#This Row],[Fixture Existing Energy (kWh)]]+ReviewCalcs[[#This Row],[Control Existing Energy (kWh)]]</f>
        <v>0</v>
      </c>
      <c r="BD153" s="118">
        <f>ReviewCalcs[[#This Row],[Fixture Proposed Energy (kWh)]]+ReviewCalcs[[#This Row],[Control Proposed Energy (kWh)]]</f>
        <v>0</v>
      </c>
      <c r="BE153" s="118">
        <f>ReviewCalcs[[#This Row],[Fixture Energy Savings]]+ReviewCalcs[[#This Row],[Control Energy Savings (kWh)]]</f>
        <v>0</v>
      </c>
      <c r="BF153" s="118">
        <f>ReviewCalcs[[#This Row],[Fixture Existing Cost ($)]]+ReviewCalcs[[#This Row],[Control Existing Cost ($)]]</f>
        <v>0</v>
      </c>
      <c r="BG153" s="118">
        <f>ReviewCalcs[[#This Row],[Fixture Proposed Cost ($)]]+ReviewCalcs[[#This Row],[Controls Proposed Cost ($)]]</f>
        <v>0</v>
      </c>
      <c r="BH153" s="70">
        <f>ReviewCalcs[[#This Row],[Total Energy Savings (kWh)]]*Avg_KWh_Rate</f>
        <v>0</v>
      </c>
      <c r="BI1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3" s="70">
        <f>ReviewCalcs[[#This Row],[Retrofit Cost]]</f>
        <v>0</v>
      </c>
      <c r="BK153" s="70">
        <f>ReviewCalcs[[#This Row],[Retrofit Cost]]-ReviewCalcs[[#This Row],[Incentive ($)]]</f>
        <v>0</v>
      </c>
      <c r="BL153" s="118" t="e">
        <f>IFERROR(ReviewCalcs[[#This Row],[Net Project Cost ($)]]/ReviewCalcs[[#This Row],[Fixture Energy Cost Savings ($)]], #N/A)</f>
        <v>#N/A</v>
      </c>
      <c r="BM153" s="118" t="e">
        <f>IF(VLOOKUP(ReviewCalcs[[#This Row],[Existing Fixture Code]], Table7[[FIXTURE CODE]:[Baseline Fixture Code]], 8, FALSE)="N", VLOOKUP(ReviewCalcs[[#This Row],[Existing Fixture Code]], Table7[[FIXTURE CODE]:[Baseline Fixture Code]], 9, FALSE), ReviewCalcs[[#This Row],[Existing Fixture Code]])</f>
        <v>#N/A</v>
      </c>
      <c r="BN153" s="118" t="e">
        <f>INDEX(Table7[WATT/ FIXT], MATCH(ReviewCalcs[Baseline Fixture Code], Table7[FIXTURE CODE], 0))</f>
        <v>#N/A</v>
      </c>
      <c r="BO153" s="118">
        <f>IFERROR((ReviewCalcs[[#This Row],[Existing Fixture Quantity]]*ReviewCalcs[[#This Row],[Baseline Fixture Watts]]/1000-ReviewCalcs[[#This Row],[Proposed Fixture Quantity]]*ReviewCalcs[[#This Row],[Proposed Fixture Watts]]/1000)*ReviewCalcs[[#This Row],[Existing CF]]*ReviewCalcs[[#This Row],[IEFD]], 0)</f>
        <v>0</v>
      </c>
      <c r="BP1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3" s="118">
        <f>IF(ReviewCalcs[[#This Row],[Existing CF]]=ReviewCalcs[[#This Row],[Proposed CF]], 0, ReviewCalcs[[#This Row],[Proposed Fixture Quantity]]*ReviewCalcs[[#This Row],[Proposed Fixture Watts]]/1000*ReviewCalcs[[#This Row],[Proposed CF]]*ReviewCalcs[[#This Row],[IEFD]])</f>
        <v>0</v>
      </c>
      <c r="BR153" s="118">
        <f>IFERROR(ReviewCalcs[[#This Row],[Proposed Fixture Quantity]]*ReviewCalcs[[#This Row],[Proposed Fixture Watts]]/1000*(ReviewCalcs[[#This Row],[Existing PAF]]-ReviewCalcs[[#This Row],[Proposed PAF]])*ReviewCalcs[[#This Row],[AOH]]*ReviewCalcs[[#This Row],[IEFE]],0)</f>
        <v>0</v>
      </c>
      <c r="BS153" s="118">
        <f>ReviewCalcs[[#This Row],[Incentive Fixture Demand Savings (kW)]]+ReviewCalcs[[#This Row],[Incentive Control Demand Savings (kW)]]</f>
        <v>0</v>
      </c>
      <c r="BT153" s="118">
        <f>ReviewCalcs[[#This Row],[Incentive Fixture Energy Savings (kWh)]]+ReviewCalcs[[#This Row],[Incentive Control Energy Savings (kWh)]]</f>
        <v>0</v>
      </c>
      <c r="BU153" s="73"/>
    </row>
    <row r="154" spans="1:73" ht="30" customHeight="1">
      <c r="A154" s="68">
        <v>151</v>
      </c>
      <c r="B154" s="96">
        <f>VLOOKUP(ReviewCalcs[[#This Row],[Project Index]], ProjectInput[], D$1, FALSE)</f>
        <v>0</v>
      </c>
      <c r="C154" s="97">
        <f>VLOOKUP(ReviewCalcs[[#This Row],[Project Index]], ProjectInput[], E$1, FALSE)</f>
        <v>0</v>
      </c>
      <c r="D154" s="97">
        <f>VLOOKUP(ReviewCalcs[[#This Row],[Project Index]], ProjectInput[], F$1, FALSE)</f>
        <v>0</v>
      </c>
      <c r="E154" s="97">
        <f>VLOOKUP(ReviewCalcs[[#This Row],[Project Index]], ProjectInput[], G$1, FALSE)</f>
        <v>0</v>
      </c>
      <c r="F154" s="97">
        <f>VLOOKUP(ReviewCalcs[[#This Row],[Project Index]], ProjectInput[], H$1, FALSE)</f>
        <v>0</v>
      </c>
      <c r="G154" s="98" t="str">
        <f>VLOOKUP(ReviewCalcs[[#This Row],[Project Index]], ProjectInput[], I$1, FALSE)</f>
        <v/>
      </c>
      <c r="H154" s="96">
        <f>VLOOKUP(ReviewCalcs[[#This Row],[Project Index]], ProjectInput[], J$1, FALSE)</f>
        <v>0</v>
      </c>
      <c r="I154" s="97">
        <f>VLOOKUP(ReviewCalcs[[#This Row],[Project Index]], ProjectInput[], K$1, FALSE)</f>
        <v>0</v>
      </c>
      <c r="J154" s="97">
        <f>VLOOKUP(ReviewCalcs[[#This Row],[Project Index]], ProjectInput[], L$1, FALSE)</f>
        <v>0</v>
      </c>
      <c r="K154" s="97">
        <f>VLOOKUP(ReviewCalcs[[#This Row],[Project Index]], ProjectInput[], M$1, FALSE)</f>
        <v>0</v>
      </c>
      <c r="L154" s="97">
        <f>VLOOKUP(ReviewCalcs[[#This Row],[Project Index]], ProjectInput[], N$1, FALSE)</f>
        <v>0</v>
      </c>
      <c r="M154" s="98" t="str">
        <f>VLOOKUP(ReviewCalcs[[#This Row],[Project Index]], ProjectInput[], O$1, FALSE)</f>
        <v/>
      </c>
      <c r="N154" s="96">
        <f>VLOOKUP(ReviewCalcs[[#This Row],[Project Index]], ProjectInput[], P$1, FALSE)</f>
        <v>0</v>
      </c>
      <c r="O154" s="97">
        <f>VLOOKUP(ReviewCalcs[[#This Row],[Project Index]], ProjectInput[], Q$1, FALSE)</f>
        <v>0</v>
      </c>
      <c r="P154" s="97">
        <f>VLOOKUP(ReviewCalcs[[#This Row],[Project Index]], ProjectInput[], R$1, FALSE)</f>
        <v>0</v>
      </c>
      <c r="Q154" s="97">
        <f>VLOOKUP(ReviewCalcs[[#This Row],[Project Index]], ProjectInput[], S$1, FALSE)</f>
        <v>0</v>
      </c>
      <c r="R154" s="97">
        <f>VLOOKUP(ReviewCalcs[[#This Row],[Project Index]], ProjectInput[], T$1, FALSE)</f>
        <v>0</v>
      </c>
      <c r="S154" s="97">
        <f>VLOOKUP(ReviewCalcs[[#This Row],[Project Index]], ProjectInput[], U$1, FALSE)</f>
        <v>0</v>
      </c>
      <c r="T154" s="97">
        <f>VLOOKUP(ReviewCalcs[[#This Row],[Project Index]], ProjectInput[], V$1, FALSE)</f>
        <v>0</v>
      </c>
      <c r="U154" s="97">
        <f>VLOOKUP(ReviewCalcs[[#This Row],[Project Index]], ProjectInput[], W$1, FALSE)</f>
        <v>0</v>
      </c>
      <c r="V154" s="98" t="str">
        <f>VLOOKUP(ReviewCalcs[[#This Row],[Project Index]], ProjectInput[], X$1, FALSE)</f>
        <v/>
      </c>
      <c r="W1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4" s="75" t="e">
        <f>IF(VLOOKUP(ReviewCalcs[[#This Row],[Proposed Fixture Code]], Table7[[FIXTURE CODE]:[Baseline Fixture Code]], 8, FALSE)="N", "ERROR", "PASS")</f>
        <v>#N/A</v>
      </c>
      <c r="Y1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4" s="75" t="e">
        <f>IF(OR(ReviewCalcs[[#This Row],[Baseline Fixture Watts]]&gt;=ReviewCalcs[[#This Row],[Proposed Fixture Watts]],ReviewCalcs[[#This Row],[Existing Fixture Watts]]&gt;=ReviewCalcs[[#This Row],[Proposed Fixture Watts]] ), "PASS", "ERROR")</f>
        <v>#N/A</v>
      </c>
      <c r="AA154" s="69" t="e">
        <f>VLOOKUP(ReviewCalcs[[#This Row],[Space Conditions]], Table_365[], 5, FALSE)</f>
        <v>#N/A</v>
      </c>
      <c r="AB154" s="68" t="str">
        <f>ReviewCalcs[[#This Row],[Annual Hours]]</f>
        <v/>
      </c>
      <c r="AC154" s="68" t="e">
        <f>VLOOKUP(ReviewCalcs[[#This Row],[Space Conditions]], Table_365[], 6, FALSE)</f>
        <v>#N/A</v>
      </c>
      <c r="AD154" s="68">
        <f>IF(ReviewCalcs[[#This Row],[Existing Control(s)]]='Tables &amp; Ranges'!$A$25, VLOOKUP(ReviewCalcs[[#This Row],[Building/Space Type]], Table_364[], 3, FALSE), CF_Contols)</f>
        <v>0.26</v>
      </c>
      <c r="AE154" s="68" t="e">
        <f>VLOOKUP(ReviewCalcs[[#This Row],[Existing Control(s)]], Table_358[], 2, FALSE)</f>
        <v>#N/A</v>
      </c>
      <c r="AF154" s="68">
        <f>IF(ReviewCalcs[[#This Row],[Proposed Control(s)]]='Tables &amp; Ranges'!$A$25, VLOOKUP(ReviewCalcs[[#This Row],[Building/Space Type]], Table_364[], 3, FALSE), CF_Contols)</f>
        <v>0.26</v>
      </c>
      <c r="AG154" s="68" t="e">
        <f>VLOOKUP(ReviewCalcs[[#This Row],[Proposed Control(s)]], Table_358[], 2, FALSE)</f>
        <v>#N/A</v>
      </c>
      <c r="AH154" s="68">
        <f>IFERROR((ReviewCalcs[[#This Row],[Existing Fixture Quantity]]*ReviewCalcs[[#This Row],[Existing Fixture Watts]]/1000)*ReviewCalcs[[#This Row],[Existing CF]]*ReviewCalcs[[#This Row],[IEFD]], 0)</f>
        <v>0</v>
      </c>
      <c r="AI154" s="68">
        <f>IFERROR((ReviewCalcs[[#This Row],[Proposed Fixture Quantity]]*ReviewCalcs[[#This Row],[Proposed Fixture Watts]]/1000)*ReviewCalcs[[#This Row],[Existing CF]]*ReviewCalcs[[#This Row],[IEFD]], 0)</f>
        <v>0</v>
      </c>
      <c r="AJ154" s="118">
        <f>IFERROR((ReviewCalcs[[#This Row],[Existing Fixture Quantity]]*ReviewCalcs[[#This Row],[Existing Fixture Watts]]/1000-ReviewCalcs[[#This Row],[Proposed Fixture Quantity]]*ReviewCalcs[[#This Row],[Proposed Fixture Watts]]/1000)*ReviewCalcs[[#This Row],[Existing CF]]*ReviewCalcs[[#This Row],[IEFD]], 0)</f>
        <v>0</v>
      </c>
      <c r="AK154" s="118">
        <f>IFERROR((ReviewCalcs[[#This Row],[Existing Fixture Quantity]]*ReviewCalcs[[#This Row],[Existing Fixture Watts]]/1000)*ReviewCalcs[[#This Row],[AOH]]*ReviewCalcs[[#This Row],[IEFE]]*ReviewCalcs[[#This Row],[Existing PAF]], 0)</f>
        <v>0</v>
      </c>
      <c r="AL154" s="118">
        <f>IFERROR((ReviewCalcs[[#This Row],[Proposed Fixture Quantity]]*ReviewCalcs[[#This Row],[Proposed Fixture Watts]]/1000)*ReviewCalcs[[#This Row],[AOH]]*ReviewCalcs[[#This Row],[IEFE]]*ReviewCalcs[[#This Row],[Existing PAF]], 0)</f>
        <v>0</v>
      </c>
      <c r="AM1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4" s="118">
        <f>ReviewCalcs[[#This Row],[Fixture Existing Energy (kWh)]]*Avg_KWh_Rate</f>
        <v>0</v>
      </c>
      <c r="AO154" s="118">
        <f>ReviewCalcs[[#This Row],[Fixture Proposed Energy (kWh)]]*Avg_KWh_Rate</f>
        <v>0</v>
      </c>
      <c r="AP154" s="70">
        <f>ReviewCalcs[[#This Row],[Fixture Energy Savings]]*Avg_KWh_Rate</f>
        <v>0</v>
      </c>
      <c r="AQ154" s="129" t="e">
        <f>ReviewCalcs[[#This Row],[Existing Fixture Quantity]]*ReviewCalcs[[#This Row],[Existing Fixture Watts]]/1000*ReviewCalcs[[#This Row],[Existing CF]]*ReviewCalcs[[#This Row],[IEFD]]</f>
        <v>#VALUE!</v>
      </c>
      <c r="AR154" s="129" t="e">
        <f>ReviewCalcs[[#This Row],[Proposed Fixture Quantity]]*ReviewCalcs[[#This Row],[Proposed Fixture Watts]]/1000*ReviewCalcs[[#This Row],[Proposed CF]]*ReviewCalcs[[#This Row],[IEFD]]</f>
        <v>#VALUE!</v>
      </c>
      <c r="AS154" s="118">
        <f>IF(ReviewCalcs[[#This Row],[Existing CF]]=ReviewCalcs[[#This Row],[Proposed CF]], 0, ReviewCalcs[[#This Row],[Proposed Fixture Quantity]]*ReviewCalcs[[#This Row],[Proposed Fixture Watts]]/1000*ReviewCalcs[[#This Row],[Proposed CF]]*ReviewCalcs[[#This Row],[IEFD]])</f>
        <v>0</v>
      </c>
      <c r="AT154" s="118">
        <f>IFERROR(ReviewCalcs[[#This Row],[Existing Fixture Quantity]]*ReviewCalcs[[#This Row],[Existing Fixture Watts]]/1000*ReviewCalcs[[#This Row],[Existing PAF]]*ReviewCalcs[[#This Row],[AOH]]*ReviewCalcs[[#This Row],[IEFE]], 0)</f>
        <v>0</v>
      </c>
      <c r="AU154" s="118">
        <f>IFERROR(ReviewCalcs[[#This Row],[Proposed Fixture Quantity]]*ReviewCalcs[[#This Row],[Proposed Fixture Watts]]/1000*ReviewCalcs[[#This Row],[Proposed PAF]]*ReviewCalcs[[#This Row],[AOH]]*ReviewCalcs[[#This Row],[IEFE]], 0)</f>
        <v>0</v>
      </c>
      <c r="AV154" s="118">
        <f>IFERROR(ReviewCalcs[[#This Row],[Proposed Fixture Quantity]]*ReviewCalcs[[#This Row],[Proposed Fixture Watts]]/1000*(ReviewCalcs[[#This Row],[Existing PAF]]-ReviewCalcs[[#This Row],[Proposed PAF]])*ReviewCalcs[[#This Row],[AOH]]*ReviewCalcs[[#This Row],[IEFE]], 0)</f>
        <v>0</v>
      </c>
      <c r="AW154" s="118">
        <f>ReviewCalcs[[#This Row],[Control Existing Energy (kWh)]]*kWh_Incentive_Rate</f>
        <v>0</v>
      </c>
      <c r="AX154" s="118">
        <f>ReviewCalcs[[#This Row],[Control Proposed Energy (kWh)]]*kWh_Incentive_Rate</f>
        <v>0</v>
      </c>
      <c r="AY154" s="70">
        <f>ReviewCalcs[[#This Row],[Control Energy Savings (kWh)]]*kWh_Incentive_Rate</f>
        <v>0</v>
      </c>
      <c r="AZ154" s="70" t="e">
        <f>ReviewCalcs[[#This Row],[Fixture Existing Demand (kW)]]+ReviewCalcs[[#This Row],[Control Existing Demand (kW)]]</f>
        <v>#VALUE!</v>
      </c>
      <c r="BA154" s="70" t="e">
        <f>ReviewCalcs[[#This Row],[Fixture Proposed Demand (kW)]]+ReviewCalcs[[#This Row],[Control Proposed Demand (kW)]]</f>
        <v>#VALUE!</v>
      </c>
      <c r="BB154" s="118">
        <f>ReviewCalcs[[#This Row],[Fixture Demand Savings (kW)]]+ReviewCalcs[[#This Row],[Control Demand Savings (kW)]]</f>
        <v>0</v>
      </c>
      <c r="BC154" s="118">
        <f>ReviewCalcs[[#This Row],[Fixture Existing Energy (kWh)]]+ReviewCalcs[[#This Row],[Control Existing Energy (kWh)]]</f>
        <v>0</v>
      </c>
      <c r="BD154" s="118">
        <f>ReviewCalcs[[#This Row],[Fixture Proposed Energy (kWh)]]+ReviewCalcs[[#This Row],[Control Proposed Energy (kWh)]]</f>
        <v>0</v>
      </c>
      <c r="BE154" s="118">
        <f>ReviewCalcs[[#This Row],[Fixture Energy Savings]]+ReviewCalcs[[#This Row],[Control Energy Savings (kWh)]]</f>
        <v>0</v>
      </c>
      <c r="BF154" s="118">
        <f>ReviewCalcs[[#This Row],[Fixture Existing Cost ($)]]+ReviewCalcs[[#This Row],[Control Existing Cost ($)]]</f>
        <v>0</v>
      </c>
      <c r="BG154" s="118">
        <f>ReviewCalcs[[#This Row],[Fixture Proposed Cost ($)]]+ReviewCalcs[[#This Row],[Controls Proposed Cost ($)]]</f>
        <v>0</v>
      </c>
      <c r="BH154" s="70">
        <f>ReviewCalcs[[#This Row],[Total Energy Savings (kWh)]]*Avg_KWh_Rate</f>
        <v>0</v>
      </c>
      <c r="BI1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4" s="70">
        <f>ReviewCalcs[[#This Row],[Retrofit Cost]]</f>
        <v>0</v>
      </c>
      <c r="BK154" s="70">
        <f>ReviewCalcs[[#This Row],[Retrofit Cost]]-ReviewCalcs[[#This Row],[Incentive ($)]]</f>
        <v>0</v>
      </c>
      <c r="BL154" s="118" t="e">
        <f>IFERROR(ReviewCalcs[[#This Row],[Net Project Cost ($)]]/ReviewCalcs[[#This Row],[Fixture Energy Cost Savings ($)]], #N/A)</f>
        <v>#N/A</v>
      </c>
      <c r="BM154" s="118" t="e">
        <f>IF(VLOOKUP(ReviewCalcs[[#This Row],[Existing Fixture Code]], Table7[[FIXTURE CODE]:[Baseline Fixture Code]], 8, FALSE)="N", VLOOKUP(ReviewCalcs[[#This Row],[Existing Fixture Code]], Table7[[FIXTURE CODE]:[Baseline Fixture Code]], 9, FALSE), ReviewCalcs[[#This Row],[Existing Fixture Code]])</f>
        <v>#N/A</v>
      </c>
      <c r="BN154" s="118" t="e">
        <f>INDEX(Table7[WATT/ FIXT], MATCH(ReviewCalcs[Baseline Fixture Code], Table7[FIXTURE CODE], 0))</f>
        <v>#N/A</v>
      </c>
      <c r="BO154" s="118">
        <f>IFERROR((ReviewCalcs[[#This Row],[Existing Fixture Quantity]]*ReviewCalcs[[#This Row],[Baseline Fixture Watts]]/1000-ReviewCalcs[[#This Row],[Proposed Fixture Quantity]]*ReviewCalcs[[#This Row],[Proposed Fixture Watts]]/1000)*ReviewCalcs[[#This Row],[Existing CF]]*ReviewCalcs[[#This Row],[IEFD]], 0)</f>
        <v>0</v>
      </c>
      <c r="BP1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4" s="118">
        <f>IF(ReviewCalcs[[#This Row],[Existing CF]]=ReviewCalcs[[#This Row],[Proposed CF]], 0, ReviewCalcs[[#This Row],[Proposed Fixture Quantity]]*ReviewCalcs[[#This Row],[Proposed Fixture Watts]]/1000*ReviewCalcs[[#This Row],[Proposed CF]]*ReviewCalcs[[#This Row],[IEFD]])</f>
        <v>0</v>
      </c>
      <c r="BR154" s="118">
        <f>IFERROR(ReviewCalcs[[#This Row],[Proposed Fixture Quantity]]*ReviewCalcs[[#This Row],[Proposed Fixture Watts]]/1000*(ReviewCalcs[[#This Row],[Existing PAF]]-ReviewCalcs[[#This Row],[Proposed PAF]])*ReviewCalcs[[#This Row],[AOH]]*ReviewCalcs[[#This Row],[IEFE]],0)</f>
        <v>0</v>
      </c>
      <c r="BS154" s="118">
        <f>ReviewCalcs[[#This Row],[Incentive Fixture Demand Savings (kW)]]+ReviewCalcs[[#This Row],[Incentive Control Demand Savings (kW)]]</f>
        <v>0</v>
      </c>
      <c r="BT154" s="118">
        <f>ReviewCalcs[[#This Row],[Incentive Fixture Energy Savings (kWh)]]+ReviewCalcs[[#This Row],[Incentive Control Energy Savings (kWh)]]</f>
        <v>0</v>
      </c>
      <c r="BU154" s="73"/>
    </row>
    <row r="155" spans="1:73" ht="30" customHeight="1">
      <c r="A155" s="68">
        <v>152</v>
      </c>
      <c r="B155" s="96">
        <f>VLOOKUP(ReviewCalcs[[#This Row],[Project Index]], ProjectInput[], D$1, FALSE)</f>
        <v>0</v>
      </c>
      <c r="C155" s="97">
        <f>VLOOKUP(ReviewCalcs[[#This Row],[Project Index]], ProjectInput[], E$1, FALSE)</f>
        <v>0</v>
      </c>
      <c r="D155" s="97">
        <f>VLOOKUP(ReviewCalcs[[#This Row],[Project Index]], ProjectInput[], F$1, FALSE)</f>
        <v>0</v>
      </c>
      <c r="E155" s="97">
        <f>VLOOKUP(ReviewCalcs[[#This Row],[Project Index]], ProjectInput[], G$1, FALSE)</f>
        <v>0</v>
      </c>
      <c r="F155" s="97">
        <f>VLOOKUP(ReviewCalcs[[#This Row],[Project Index]], ProjectInput[], H$1, FALSE)</f>
        <v>0</v>
      </c>
      <c r="G155" s="98" t="str">
        <f>VLOOKUP(ReviewCalcs[[#This Row],[Project Index]], ProjectInput[], I$1, FALSE)</f>
        <v/>
      </c>
      <c r="H155" s="96">
        <f>VLOOKUP(ReviewCalcs[[#This Row],[Project Index]], ProjectInput[], J$1, FALSE)</f>
        <v>0</v>
      </c>
      <c r="I155" s="97">
        <f>VLOOKUP(ReviewCalcs[[#This Row],[Project Index]], ProjectInput[], K$1, FALSE)</f>
        <v>0</v>
      </c>
      <c r="J155" s="97">
        <f>VLOOKUP(ReviewCalcs[[#This Row],[Project Index]], ProjectInput[], L$1, FALSE)</f>
        <v>0</v>
      </c>
      <c r="K155" s="97">
        <f>VLOOKUP(ReviewCalcs[[#This Row],[Project Index]], ProjectInput[], M$1, FALSE)</f>
        <v>0</v>
      </c>
      <c r="L155" s="97">
        <f>VLOOKUP(ReviewCalcs[[#This Row],[Project Index]], ProjectInput[], N$1, FALSE)</f>
        <v>0</v>
      </c>
      <c r="M155" s="98" t="str">
        <f>VLOOKUP(ReviewCalcs[[#This Row],[Project Index]], ProjectInput[], O$1, FALSE)</f>
        <v/>
      </c>
      <c r="N155" s="96">
        <f>VLOOKUP(ReviewCalcs[[#This Row],[Project Index]], ProjectInput[], P$1, FALSE)</f>
        <v>0</v>
      </c>
      <c r="O155" s="97">
        <f>VLOOKUP(ReviewCalcs[[#This Row],[Project Index]], ProjectInput[], Q$1, FALSE)</f>
        <v>0</v>
      </c>
      <c r="P155" s="97">
        <f>VLOOKUP(ReviewCalcs[[#This Row],[Project Index]], ProjectInput[], R$1, FALSE)</f>
        <v>0</v>
      </c>
      <c r="Q155" s="97">
        <f>VLOOKUP(ReviewCalcs[[#This Row],[Project Index]], ProjectInput[], S$1, FALSE)</f>
        <v>0</v>
      </c>
      <c r="R155" s="97">
        <f>VLOOKUP(ReviewCalcs[[#This Row],[Project Index]], ProjectInput[], T$1, FALSE)</f>
        <v>0</v>
      </c>
      <c r="S155" s="97">
        <f>VLOOKUP(ReviewCalcs[[#This Row],[Project Index]], ProjectInput[], U$1, FALSE)</f>
        <v>0</v>
      </c>
      <c r="T155" s="97">
        <f>VLOOKUP(ReviewCalcs[[#This Row],[Project Index]], ProjectInput[], V$1, FALSE)</f>
        <v>0</v>
      </c>
      <c r="U155" s="97">
        <f>VLOOKUP(ReviewCalcs[[#This Row],[Project Index]], ProjectInput[], W$1, FALSE)</f>
        <v>0</v>
      </c>
      <c r="V155" s="98" t="str">
        <f>VLOOKUP(ReviewCalcs[[#This Row],[Project Index]], ProjectInput[], X$1, FALSE)</f>
        <v/>
      </c>
      <c r="W1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5" s="75" t="e">
        <f>IF(VLOOKUP(ReviewCalcs[[#This Row],[Proposed Fixture Code]], Table7[[FIXTURE CODE]:[Baseline Fixture Code]], 8, FALSE)="N", "ERROR", "PASS")</f>
        <v>#N/A</v>
      </c>
      <c r="Y1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5" s="75" t="e">
        <f>IF(OR(ReviewCalcs[[#This Row],[Baseline Fixture Watts]]&gt;=ReviewCalcs[[#This Row],[Proposed Fixture Watts]],ReviewCalcs[[#This Row],[Existing Fixture Watts]]&gt;=ReviewCalcs[[#This Row],[Proposed Fixture Watts]] ), "PASS", "ERROR")</f>
        <v>#N/A</v>
      </c>
      <c r="AA155" s="69" t="e">
        <f>VLOOKUP(ReviewCalcs[[#This Row],[Space Conditions]], Table_365[], 5, FALSE)</f>
        <v>#N/A</v>
      </c>
      <c r="AB155" s="68" t="str">
        <f>ReviewCalcs[[#This Row],[Annual Hours]]</f>
        <v/>
      </c>
      <c r="AC155" s="68" t="e">
        <f>VLOOKUP(ReviewCalcs[[#This Row],[Space Conditions]], Table_365[], 6, FALSE)</f>
        <v>#N/A</v>
      </c>
      <c r="AD155" s="68">
        <f>IF(ReviewCalcs[[#This Row],[Existing Control(s)]]='Tables &amp; Ranges'!$A$25, VLOOKUP(ReviewCalcs[[#This Row],[Building/Space Type]], Table_364[], 3, FALSE), CF_Contols)</f>
        <v>0.26</v>
      </c>
      <c r="AE155" s="68" t="e">
        <f>VLOOKUP(ReviewCalcs[[#This Row],[Existing Control(s)]], Table_358[], 2, FALSE)</f>
        <v>#N/A</v>
      </c>
      <c r="AF155" s="68">
        <f>IF(ReviewCalcs[[#This Row],[Proposed Control(s)]]='Tables &amp; Ranges'!$A$25, VLOOKUP(ReviewCalcs[[#This Row],[Building/Space Type]], Table_364[], 3, FALSE), CF_Contols)</f>
        <v>0.26</v>
      </c>
      <c r="AG155" s="68" t="e">
        <f>VLOOKUP(ReviewCalcs[[#This Row],[Proposed Control(s)]], Table_358[], 2, FALSE)</f>
        <v>#N/A</v>
      </c>
      <c r="AH155" s="68">
        <f>IFERROR((ReviewCalcs[[#This Row],[Existing Fixture Quantity]]*ReviewCalcs[[#This Row],[Existing Fixture Watts]]/1000)*ReviewCalcs[[#This Row],[Existing CF]]*ReviewCalcs[[#This Row],[IEFD]], 0)</f>
        <v>0</v>
      </c>
      <c r="AI155" s="68">
        <f>IFERROR((ReviewCalcs[[#This Row],[Proposed Fixture Quantity]]*ReviewCalcs[[#This Row],[Proposed Fixture Watts]]/1000)*ReviewCalcs[[#This Row],[Existing CF]]*ReviewCalcs[[#This Row],[IEFD]], 0)</f>
        <v>0</v>
      </c>
      <c r="AJ155" s="118">
        <f>IFERROR((ReviewCalcs[[#This Row],[Existing Fixture Quantity]]*ReviewCalcs[[#This Row],[Existing Fixture Watts]]/1000-ReviewCalcs[[#This Row],[Proposed Fixture Quantity]]*ReviewCalcs[[#This Row],[Proposed Fixture Watts]]/1000)*ReviewCalcs[[#This Row],[Existing CF]]*ReviewCalcs[[#This Row],[IEFD]], 0)</f>
        <v>0</v>
      </c>
      <c r="AK155" s="118">
        <f>IFERROR((ReviewCalcs[[#This Row],[Existing Fixture Quantity]]*ReviewCalcs[[#This Row],[Existing Fixture Watts]]/1000)*ReviewCalcs[[#This Row],[AOH]]*ReviewCalcs[[#This Row],[IEFE]]*ReviewCalcs[[#This Row],[Existing PAF]], 0)</f>
        <v>0</v>
      </c>
      <c r="AL155" s="118">
        <f>IFERROR((ReviewCalcs[[#This Row],[Proposed Fixture Quantity]]*ReviewCalcs[[#This Row],[Proposed Fixture Watts]]/1000)*ReviewCalcs[[#This Row],[AOH]]*ReviewCalcs[[#This Row],[IEFE]]*ReviewCalcs[[#This Row],[Existing PAF]], 0)</f>
        <v>0</v>
      </c>
      <c r="AM1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5" s="118">
        <f>ReviewCalcs[[#This Row],[Fixture Existing Energy (kWh)]]*Avg_KWh_Rate</f>
        <v>0</v>
      </c>
      <c r="AO155" s="118">
        <f>ReviewCalcs[[#This Row],[Fixture Proposed Energy (kWh)]]*Avg_KWh_Rate</f>
        <v>0</v>
      </c>
      <c r="AP155" s="70">
        <f>ReviewCalcs[[#This Row],[Fixture Energy Savings]]*Avg_KWh_Rate</f>
        <v>0</v>
      </c>
      <c r="AQ155" s="129" t="e">
        <f>ReviewCalcs[[#This Row],[Existing Fixture Quantity]]*ReviewCalcs[[#This Row],[Existing Fixture Watts]]/1000*ReviewCalcs[[#This Row],[Existing CF]]*ReviewCalcs[[#This Row],[IEFD]]</f>
        <v>#VALUE!</v>
      </c>
      <c r="AR155" s="129" t="e">
        <f>ReviewCalcs[[#This Row],[Proposed Fixture Quantity]]*ReviewCalcs[[#This Row],[Proposed Fixture Watts]]/1000*ReviewCalcs[[#This Row],[Proposed CF]]*ReviewCalcs[[#This Row],[IEFD]]</f>
        <v>#VALUE!</v>
      </c>
      <c r="AS155" s="118">
        <f>IF(ReviewCalcs[[#This Row],[Existing CF]]=ReviewCalcs[[#This Row],[Proposed CF]], 0, ReviewCalcs[[#This Row],[Proposed Fixture Quantity]]*ReviewCalcs[[#This Row],[Proposed Fixture Watts]]/1000*ReviewCalcs[[#This Row],[Proposed CF]]*ReviewCalcs[[#This Row],[IEFD]])</f>
        <v>0</v>
      </c>
      <c r="AT155" s="118">
        <f>IFERROR(ReviewCalcs[[#This Row],[Existing Fixture Quantity]]*ReviewCalcs[[#This Row],[Existing Fixture Watts]]/1000*ReviewCalcs[[#This Row],[Existing PAF]]*ReviewCalcs[[#This Row],[AOH]]*ReviewCalcs[[#This Row],[IEFE]], 0)</f>
        <v>0</v>
      </c>
      <c r="AU155" s="118">
        <f>IFERROR(ReviewCalcs[[#This Row],[Proposed Fixture Quantity]]*ReviewCalcs[[#This Row],[Proposed Fixture Watts]]/1000*ReviewCalcs[[#This Row],[Proposed PAF]]*ReviewCalcs[[#This Row],[AOH]]*ReviewCalcs[[#This Row],[IEFE]], 0)</f>
        <v>0</v>
      </c>
      <c r="AV155" s="118">
        <f>IFERROR(ReviewCalcs[[#This Row],[Proposed Fixture Quantity]]*ReviewCalcs[[#This Row],[Proposed Fixture Watts]]/1000*(ReviewCalcs[[#This Row],[Existing PAF]]-ReviewCalcs[[#This Row],[Proposed PAF]])*ReviewCalcs[[#This Row],[AOH]]*ReviewCalcs[[#This Row],[IEFE]], 0)</f>
        <v>0</v>
      </c>
      <c r="AW155" s="118">
        <f>ReviewCalcs[[#This Row],[Control Existing Energy (kWh)]]*kWh_Incentive_Rate</f>
        <v>0</v>
      </c>
      <c r="AX155" s="118">
        <f>ReviewCalcs[[#This Row],[Control Proposed Energy (kWh)]]*kWh_Incentive_Rate</f>
        <v>0</v>
      </c>
      <c r="AY155" s="70">
        <f>ReviewCalcs[[#This Row],[Control Energy Savings (kWh)]]*kWh_Incentive_Rate</f>
        <v>0</v>
      </c>
      <c r="AZ155" s="70" t="e">
        <f>ReviewCalcs[[#This Row],[Fixture Existing Demand (kW)]]+ReviewCalcs[[#This Row],[Control Existing Demand (kW)]]</f>
        <v>#VALUE!</v>
      </c>
      <c r="BA155" s="70" t="e">
        <f>ReviewCalcs[[#This Row],[Fixture Proposed Demand (kW)]]+ReviewCalcs[[#This Row],[Control Proposed Demand (kW)]]</f>
        <v>#VALUE!</v>
      </c>
      <c r="BB155" s="118">
        <f>ReviewCalcs[[#This Row],[Fixture Demand Savings (kW)]]+ReviewCalcs[[#This Row],[Control Demand Savings (kW)]]</f>
        <v>0</v>
      </c>
      <c r="BC155" s="118">
        <f>ReviewCalcs[[#This Row],[Fixture Existing Energy (kWh)]]+ReviewCalcs[[#This Row],[Control Existing Energy (kWh)]]</f>
        <v>0</v>
      </c>
      <c r="BD155" s="118">
        <f>ReviewCalcs[[#This Row],[Fixture Proposed Energy (kWh)]]+ReviewCalcs[[#This Row],[Control Proposed Energy (kWh)]]</f>
        <v>0</v>
      </c>
      <c r="BE155" s="118">
        <f>ReviewCalcs[[#This Row],[Fixture Energy Savings]]+ReviewCalcs[[#This Row],[Control Energy Savings (kWh)]]</f>
        <v>0</v>
      </c>
      <c r="BF155" s="118">
        <f>ReviewCalcs[[#This Row],[Fixture Existing Cost ($)]]+ReviewCalcs[[#This Row],[Control Existing Cost ($)]]</f>
        <v>0</v>
      </c>
      <c r="BG155" s="118">
        <f>ReviewCalcs[[#This Row],[Fixture Proposed Cost ($)]]+ReviewCalcs[[#This Row],[Controls Proposed Cost ($)]]</f>
        <v>0</v>
      </c>
      <c r="BH155" s="70">
        <f>ReviewCalcs[[#This Row],[Total Energy Savings (kWh)]]*Avg_KWh_Rate</f>
        <v>0</v>
      </c>
      <c r="BI1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5" s="70">
        <f>ReviewCalcs[[#This Row],[Retrofit Cost]]</f>
        <v>0</v>
      </c>
      <c r="BK155" s="70">
        <f>ReviewCalcs[[#This Row],[Retrofit Cost]]-ReviewCalcs[[#This Row],[Incentive ($)]]</f>
        <v>0</v>
      </c>
      <c r="BL155" s="118" t="e">
        <f>IFERROR(ReviewCalcs[[#This Row],[Net Project Cost ($)]]/ReviewCalcs[[#This Row],[Fixture Energy Cost Savings ($)]], #N/A)</f>
        <v>#N/A</v>
      </c>
      <c r="BM155" s="118" t="e">
        <f>IF(VLOOKUP(ReviewCalcs[[#This Row],[Existing Fixture Code]], Table7[[FIXTURE CODE]:[Baseline Fixture Code]], 8, FALSE)="N", VLOOKUP(ReviewCalcs[[#This Row],[Existing Fixture Code]], Table7[[FIXTURE CODE]:[Baseline Fixture Code]], 9, FALSE), ReviewCalcs[[#This Row],[Existing Fixture Code]])</f>
        <v>#N/A</v>
      </c>
      <c r="BN155" s="118" t="e">
        <f>INDEX(Table7[WATT/ FIXT], MATCH(ReviewCalcs[Baseline Fixture Code], Table7[FIXTURE CODE], 0))</f>
        <v>#N/A</v>
      </c>
      <c r="BO155" s="118">
        <f>IFERROR((ReviewCalcs[[#This Row],[Existing Fixture Quantity]]*ReviewCalcs[[#This Row],[Baseline Fixture Watts]]/1000-ReviewCalcs[[#This Row],[Proposed Fixture Quantity]]*ReviewCalcs[[#This Row],[Proposed Fixture Watts]]/1000)*ReviewCalcs[[#This Row],[Existing CF]]*ReviewCalcs[[#This Row],[IEFD]], 0)</f>
        <v>0</v>
      </c>
      <c r="BP1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5" s="118">
        <f>IF(ReviewCalcs[[#This Row],[Existing CF]]=ReviewCalcs[[#This Row],[Proposed CF]], 0, ReviewCalcs[[#This Row],[Proposed Fixture Quantity]]*ReviewCalcs[[#This Row],[Proposed Fixture Watts]]/1000*ReviewCalcs[[#This Row],[Proposed CF]]*ReviewCalcs[[#This Row],[IEFD]])</f>
        <v>0</v>
      </c>
      <c r="BR155" s="118">
        <f>IFERROR(ReviewCalcs[[#This Row],[Proposed Fixture Quantity]]*ReviewCalcs[[#This Row],[Proposed Fixture Watts]]/1000*(ReviewCalcs[[#This Row],[Existing PAF]]-ReviewCalcs[[#This Row],[Proposed PAF]])*ReviewCalcs[[#This Row],[AOH]]*ReviewCalcs[[#This Row],[IEFE]],0)</f>
        <v>0</v>
      </c>
      <c r="BS155" s="118">
        <f>ReviewCalcs[[#This Row],[Incentive Fixture Demand Savings (kW)]]+ReviewCalcs[[#This Row],[Incentive Control Demand Savings (kW)]]</f>
        <v>0</v>
      </c>
      <c r="BT155" s="118">
        <f>ReviewCalcs[[#This Row],[Incentive Fixture Energy Savings (kWh)]]+ReviewCalcs[[#This Row],[Incentive Control Energy Savings (kWh)]]</f>
        <v>0</v>
      </c>
      <c r="BU155" s="73"/>
    </row>
    <row r="156" spans="1:73" ht="30" customHeight="1">
      <c r="A156" s="68">
        <v>153</v>
      </c>
      <c r="B156" s="96">
        <f>VLOOKUP(ReviewCalcs[[#This Row],[Project Index]], ProjectInput[], D$1, FALSE)</f>
        <v>0</v>
      </c>
      <c r="C156" s="97">
        <f>VLOOKUP(ReviewCalcs[[#This Row],[Project Index]], ProjectInput[], E$1, FALSE)</f>
        <v>0</v>
      </c>
      <c r="D156" s="97">
        <f>VLOOKUP(ReviewCalcs[[#This Row],[Project Index]], ProjectInput[], F$1, FALSE)</f>
        <v>0</v>
      </c>
      <c r="E156" s="97">
        <f>VLOOKUP(ReviewCalcs[[#This Row],[Project Index]], ProjectInput[], G$1, FALSE)</f>
        <v>0</v>
      </c>
      <c r="F156" s="97">
        <f>VLOOKUP(ReviewCalcs[[#This Row],[Project Index]], ProjectInput[], H$1, FALSE)</f>
        <v>0</v>
      </c>
      <c r="G156" s="98" t="str">
        <f>VLOOKUP(ReviewCalcs[[#This Row],[Project Index]], ProjectInput[], I$1, FALSE)</f>
        <v/>
      </c>
      <c r="H156" s="96">
        <f>VLOOKUP(ReviewCalcs[[#This Row],[Project Index]], ProjectInput[], J$1, FALSE)</f>
        <v>0</v>
      </c>
      <c r="I156" s="97">
        <f>VLOOKUP(ReviewCalcs[[#This Row],[Project Index]], ProjectInput[], K$1, FALSE)</f>
        <v>0</v>
      </c>
      <c r="J156" s="97">
        <f>VLOOKUP(ReviewCalcs[[#This Row],[Project Index]], ProjectInput[], L$1, FALSE)</f>
        <v>0</v>
      </c>
      <c r="K156" s="97">
        <f>VLOOKUP(ReviewCalcs[[#This Row],[Project Index]], ProjectInput[], M$1, FALSE)</f>
        <v>0</v>
      </c>
      <c r="L156" s="97">
        <f>VLOOKUP(ReviewCalcs[[#This Row],[Project Index]], ProjectInput[], N$1, FALSE)</f>
        <v>0</v>
      </c>
      <c r="M156" s="98" t="str">
        <f>VLOOKUP(ReviewCalcs[[#This Row],[Project Index]], ProjectInput[], O$1, FALSE)</f>
        <v/>
      </c>
      <c r="N156" s="96">
        <f>VLOOKUP(ReviewCalcs[[#This Row],[Project Index]], ProjectInput[], P$1, FALSE)</f>
        <v>0</v>
      </c>
      <c r="O156" s="97">
        <f>VLOOKUP(ReviewCalcs[[#This Row],[Project Index]], ProjectInput[], Q$1, FALSE)</f>
        <v>0</v>
      </c>
      <c r="P156" s="97">
        <f>VLOOKUP(ReviewCalcs[[#This Row],[Project Index]], ProjectInput[], R$1, FALSE)</f>
        <v>0</v>
      </c>
      <c r="Q156" s="97">
        <f>VLOOKUP(ReviewCalcs[[#This Row],[Project Index]], ProjectInput[], S$1, FALSE)</f>
        <v>0</v>
      </c>
      <c r="R156" s="97">
        <f>VLOOKUP(ReviewCalcs[[#This Row],[Project Index]], ProjectInput[], T$1, FALSE)</f>
        <v>0</v>
      </c>
      <c r="S156" s="97">
        <f>VLOOKUP(ReviewCalcs[[#This Row],[Project Index]], ProjectInput[], U$1, FALSE)</f>
        <v>0</v>
      </c>
      <c r="T156" s="97">
        <f>VLOOKUP(ReviewCalcs[[#This Row],[Project Index]], ProjectInput[], V$1, FALSE)</f>
        <v>0</v>
      </c>
      <c r="U156" s="97">
        <f>VLOOKUP(ReviewCalcs[[#This Row],[Project Index]], ProjectInput[], W$1, FALSE)</f>
        <v>0</v>
      </c>
      <c r="V156" s="98" t="str">
        <f>VLOOKUP(ReviewCalcs[[#This Row],[Project Index]], ProjectInput[], X$1, FALSE)</f>
        <v/>
      </c>
      <c r="W1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6" s="75" t="e">
        <f>IF(VLOOKUP(ReviewCalcs[[#This Row],[Proposed Fixture Code]], Table7[[FIXTURE CODE]:[Baseline Fixture Code]], 8, FALSE)="N", "ERROR", "PASS")</f>
        <v>#N/A</v>
      </c>
      <c r="Y1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6" s="75" t="e">
        <f>IF(OR(ReviewCalcs[[#This Row],[Baseline Fixture Watts]]&gt;=ReviewCalcs[[#This Row],[Proposed Fixture Watts]],ReviewCalcs[[#This Row],[Existing Fixture Watts]]&gt;=ReviewCalcs[[#This Row],[Proposed Fixture Watts]] ), "PASS", "ERROR")</f>
        <v>#N/A</v>
      </c>
      <c r="AA156" s="69" t="e">
        <f>VLOOKUP(ReviewCalcs[[#This Row],[Space Conditions]], Table_365[], 5, FALSE)</f>
        <v>#N/A</v>
      </c>
      <c r="AB156" s="68" t="str">
        <f>ReviewCalcs[[#This Row],[Annual Hours]]</f>
        <v/>
      </c>
      <c r="AC156" s="68" t="e">
        <f>VLOOKUP(ReviewCalcs[[#This Row],[Space Conditions]], Table_365[], 6, FALSE)</f>
        <v>#N/A</v>
      </c>
      <c r="AD156" s="68">
        <f>IF(ReviewCalcs[[#This Row],[Existing Control(s)]]='Tables &amp; Ranges'!$A$25, VLOOKUP(ReviewCalcs[[#This Row],[Building/Space Type]], Table_364[], 3, FALSE), CF_Contols)</f>
        <v>0.26</v>
      </c>
      <c r="AE156" s="68" t="e">
        <f>VLOOKUP(ReviewCalcs[[#This Row],[Existing Control(s)]], Table_358[], 2, FALSE)</f>
        <v>#N/A</v>
      </c>
      <c r="AF156" s="68">
        <f>IF(ReviewCalcs[[#This Row],[Proposed Control(s)]]='Tables &amp; Ranges'!$A$25, VLOOKUP(ReviewCalcs[[#This Row],[Building/Space Type]], Table_364[], 3, FALSE), CF_Contols)</f>
        <v>0.26</v>
      </c>
      <c r="AG156" s="68" t="e">
        <f>VLOOKUP(ReviewCalcs[[#This Row],[Proposed Control(s)]], Table_358[], 2, FALSE)</f>
        <v>#N/A</v>
      </c>
      <c r="AH156" s="68">
        <f>IFERROR((ReviewCalcs[[#This Row],[Existing Fixture Quantity]]*ReviewCalcs[[#This Row],[Existing Fixture Watts]]/1000)*ReviewCalcs[[#This Row],[Existing CF]]*ReviewCalcs[[#This Row],[IEFD]], 0)</f>
        <v>0</v>
      </c>
      <c r="AI156" s="68">
        <f>IFERROR((ReviewCalcs[[#This Row],[Proposed Fixture Quantity]]*ReviewCalcs[[#This Row],[Proposed Fixture Watts]]/1000)*ReviewCalcs[[#This Row],[Existing CF]]*ReviewCalcs[[#This Row],[IEFD]], 0)</f>
        <v>0</v>
      </c>
      <c r="AJ156" s="118">
        <f>IFERROR((ReviewCalcs[[#This Row],[Existing Fixture Quantity]]*ReviewCalcs[[#This Row],[Existing Fixture Watts]]/1000-ReviewCalcs[[#This Row],[Proposed Fixture Quantity]]*ReviewCalcs[[#This Row],[Proposed Fixture Watts]]/1000)*ReviewCalcs[[#This Row],[Existing CF]]*ReviewCalcs[[#This Row],[IEFD]], 0)</f>
        <v>0</v>
      </c>
      <c r="AK156" s="118">
        <f>IFERROR((ReviewCalcs[[#This Row],[Existing Fixture Quantity]]*ReviewCalcs[[#This Row],[Existing Fixture Watts]]/1000)*ReviewCalcs[[#This Row],[AOH]]*ReviewCalcs[[#This Row],[IEFE]]*ReviewCalcs[[#This Row],[Existing PAF]], 0)</f>
        <v>0</v>
      </c>
      <c r="AL156" s="118">
        <f>IFERROR((ReviewCalcs[[#This Row],[Proposed Fixture Quantity]]*ReviewCalcs[[#This Row],[Proposed Fixture Watts]]/1000)*ReviewCalcs[[#This Row],[AOH]]*ReviewCalcs[[#This Row],[IEFE]]*ReviewCalcs[[#This Row],[Existing PAF]], 0)</f>
        <v>0</v>
      </c>
      <c r="AM1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6" s="118">
        <f>ReviewCalcs[[#This Row],[Fixture Existing Energy (kWh)]]*Avg_KWh_Rate</f>
        <v>0</v>
      </c>
      <c r="AO156" s="118">
        <f>ReviewCalcs[[#This Row],[Fixture Proposed Energy (kWh)]]*Avg_KWh_Rate</f>
        <v>0</v>
      </c>
      <c r="AP156" s="70">
        <f>ReviewCalcs[[#This Row],[Fixture Energy Savings]]*Avg_KWh_Rate</f>
        <v>0</v>
      </c>
      <c r="AQ156" s="129" t="e">
        <f>ReviewCalcs[[#This Row],[Existing Fixture Quantity]]*ReviewCalcs[[#This Row],[Existing Fixture Watts]]/1000*ReviewCalcs[[#This Row],[Existing CF]]*ReviewCalcs[[#This Row],[IEFD]]</f>
        <v>#VALUE!</v>
      </c>
      <c r="AR156" s="129" t="e">
        <f>ReviewCalcs[[#This Row],[Proposed Fixture Quantity]]*ReviewCalcs[[#This Row],[Proposed Fixture Watts]]/1000*ReviewCalcs[[#This Row],[Proposed CF]]*ReviewCalcs[[#This Row],[IEFD]]</f>
        <v>#VALUE!</v>
      </c>
      <c r="AS156" s="118">
        <f>IF(ReviewCalcs[[#This Row],[Existing CF]]=ReviewCalcs[[#This Row],[Proposed CF]], 0, ReviewCalcs[[#This Row],[Proposed Fixture Quantity]]*ReviewCalcs[[#This Row],[Proposed Fixture Watts]]/1000*ReviewCalcs[[#This Row],[Proposed CF]]*ReviewCalcs[[#This Row],[IEFD]])</f>
        <v>0</v>
      </c>
      <c r="AT156" s="118">
        <f>IFERROR(ReviewCalcs[[#This Row],[Existing Fixture Quantity]]*ReviewCalcs[[#This Row],[Existing Fixture Watts]]/1000*ReviewCalcs[[#This Row],[Existing PAF]]*ReviewCalcs[[#This Row],[AOH]]*ReviewCalcs[[#This Row],[IEFE]], 0)</f>
        <v>0</v>
      </c>
      <c r="AU156" s="118">
        <f>IFERROR(ReviewCalcs[[#This Row],[Proposed Fixture Quantity]]*ReviewCalcs[[#This Row],[Proposed Fixture Watts]]/1000*ReviewCalcs[[#This Row],[Proposed PAF]]*ReviewCalcs[[#This Row],[AOH]]*ReviewCalcs[[#This Row],[IEFE]], 0)</f>
        <v>0</v>
      </c>
      <c r="AV156" s="118">
        <f>IFERROR(ReviewCalcs[[#This Row],[Proposed Fixture Quantity]]*ReviewCalcs[[#This Row],[Proposed Fixture Watts]]/1000*(ReviewCalcs[[#This Row],[Existing PAF]]-ReviewCalcs[[#This Row],[Proposed PAF]])*ReviewCalcs[[#This Row],[AOH]]*ReviewCalcs[[#This Row],[IEFE]], 0)</f>
        <v>0</v>
      </c>
      <c r="AW156" s="118">
        <f>ReviewCalcs[[#This Row],[Control Existing Energy (kWh)]]*kWh_Incentive_Rate</f>
        <v>0</v>
      </c>
      <c r="AX156" s="118">
        <f>ReviewCalcs[[#This Row],[Control Proposed Energy (kWh)]]*kWh_Incentive_Rate</f>
        <v>0</v>
      </c>
      <c r="AY156" s="70">
        <f>ReviewCalcs[[#This Row],[Control Energy Savings (kWh)]]*kWh_Incentive_Rate</f>
        <v>0</v>
      </c>
      <c r="AZ156" s="70" t="e">
        <f>ReviewCalcs[[#This Row],[Fixture Existing Demand (kW)]]+ReviewCalcs[[#This Row],[Control Existing Demand (kW)]]</f>
        <v>#VALUE!</v>
      </c>
      <c r="BA156" s="70" t="e">
        <f>ReviewCalcs[[#This Row],[Fixture Proposed Demand (kW)]]+ReviewCalcs[[#This Row],[Control Proposed Demand (kW)]]</f>
        <v>#VALUE!</v>
      </c>
      <c r="BB156" s="118">
        <f>ReviewCalcs[[#This Row],[Fixture Demand Savings (kW)]]+ReviewCalcs[[#This Row],[Control Demand Savings (kW)]]</f>
        <v>0</v>
      </c>
      <c r="BC156" s="118">
        <f>ReviewCalcs[[#This Row],[Fixture Existing Energy (kWh)]]+ReviewCalcs[[#This Row],[Control Existing Energy (kWh)]]</f>
        <v>0</v>
      </c>
      <c r="BD156" s="118">
        <f>ReviewCalcs[[#This Row],[Fixture Proposed Energy (kWh)]]+ReviewCalcs[[#This Row],[Control Proposed Energy (kWh)]]</f>
        <v>0</v>
      </c>
      <c r="BE156" s="118">
        <f>ReviewCalcs[[#This Row],[Fixture Energy Savings]]+ReviewCalcs[[#This Row],[Control Energy Savings (kWh)]]</f>
        <v>0</v>
      </c>
      <c r="BF156" s="118">
        <f>ReviewCalcs[[#This Row],[Fixture Existing Cost ($)]]+ReviewCalcs[[#This Row],[Control Existing Cost ($)]]</f>
        <v>0</v>
      </c>
      <c r="BG156" s="118">
        <f>ReviewCalcs[[#This Row],[Fixture Proposed Cost ($)]]+ReviewCalcs[[#This Row],[Controls Proposed Cost ($)]]</f>
        <v>0</v>
      </c>
      <c r="BH156" s="70">
        <f>ReviewCalcs[[#This Row],[Total Energy Savings (kWh)]]*Avg_KWh_Rate</f>
        <v>0</v>
      </c>
      <c r="BI1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6" s="70">
        <f>ReviewCalcs[[#This Row],[Retrofit Cost]]</f>
        <v>0</v>
      </c>
      <c r="BK156" s="70">
        <f>ReviewCalcs[[#This Row],[Retrofit Cost]]-ReviewCalcs[[#This Row],[Incentive ($)]]</f>
        <v>0</v>
      </c>
      <c r="BL156" s="118" t="e">
        <f>IFERROR(ReviewCalcs[[#This Row],[Net Project Cost ($)]]/ReviewCalcs[[#This Row],[Fixture Energy Cost Savings ($)]], #N/A)</f>
        <v>#N/A</v>
      </c>
      <c r="BM156" s="118" t="e">
        <f>IF(VLOOKUP(ReviewCalcs[[#This Row],[Existing Fixture Code]], Table7[[FIXTURE CODE]:[Baseline Fixture Code]], 8, FALSE)="N", VLOOKUP(ReviewCalcs[[#This Row],[Existing Fixture Code]], Table7[[FIXTURE CODE]:[Baseline Fixture Code]], 9, FALSE), ReviewCalcs[[#This Row],[Existing Fixture Code]])</f>
        <v>#N/A</v>
      </c>
      <c r="BN156" s="118" t="e">
        <f>INDEX(Table7[WATT/ FIXT], MATCH(ReviewCalcs[Baseline Fixture Code], Table7[FIXTURE CODE], 0))</f>
        <v>#N/A</v>
      </c>
      <c r="BO156" s="118">
        <f>IFERROR((ReviewCalcs[[#This Row],[Existing Fixture Quantity]]*ReviewCalcs[[#This Row],[Baseline Fixture Watts]]/1000-ReviewCalcs[[#This Row],[Proposed Fixture Quantity]]*ReviewCalcs[[#This Row],[Proposed Fixture Watts]]/1000)*ReviewCalcs[[#This Row],[Existing CF]]*ReviewCalcs[[#This Row],[IEFD]], 0)</f>
        <v>0</v>
      </c>
      <c r="BP1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6" s="118">
        <f>IF(ReviewCalcs[[#This Row],[Existing CF]]=ReviewCalcs[[#This Row],[Proposed CF]], 0, ReviewCalcs[[#This Row],[Proposed Fixture Quantity]]*ReviewCalcs[[#This Row],[Proposed Fixture Watts]]/1000*ReviewCalcs[[#This Row],[Proposed CF]]*ReviewCalcs[[#This Row],[IEFD]])</f>
        <v>0</v>
      </c>
      <c r="BR156" s="118">
        <f>IFERROR(ReviewCalcs[[#This Row],[Proposed Fixture Quantity]]*ReviewCalcs[[#This Row],[Proposed Fixture Watts]]/1000*(ReviewCalcs[[#This Row],[Existing PAF]]-ReviewCalcs[[#This Row],[Proposed PAF]])*ReviewCalcs[[#This Row],[AOH]]*ReviewCalcs[[#This Row],[IEFE]],0)</f>
        <v>0</v>
      </c>
      <c r="BS156" s="118">
        <f>ReviewCalcs[[#This Row],[Incentive Fixture Demand Savings (kW)]]+ReviewCalcs[[#This Row],[Incentive Control Demand Savings (kW)]]</f>
        <v>0</v>
      </c>
      <c r="BT156" s="118">
        <f>ReviewCalcs[[#This Row],[Incentive Fixture Energy Savings (kWh)]]+ReviewCalcs[[#This Row],[Incentive Control Energy Savings (kWh)]]</f>
        <v>0</v>
      </c>
      <c r="BU156" s="73"/>
    </row>
    <row r="157" spans="1:73" ht="30" customHeight="1">
      <c r="A157" s="68">
        <v>154</v>
      </c>
      <c r="B157" s="96">
        <f>VLOOKUP(ReviewCalcs[[#This Row],[Project Index]], ProjectInput[], D$1, FALSE)</f>
        <v>0</v>
      </c>
      <c r="C157" s="97">
        <f>VLOOKUP(ReviewCalcs[[#This Row],[Project Index]], ProjectInput[], E$1, FALSE)</f>
        <v>0</v>
      </c>
      <c r="D157" s="97">
        <f>VLOOKUP(ReviewCalcs[[#This Row],[Project Index]], ProjectInput[], F$1, FALSE)</f>
        <v>0</v>
      </c>
      <c r="E157" s="97">
        <f>VLOOKUP(ReviewCalcs[[#This Row],[Project Index]], ProjectInput[], G$1, FALSE)</f>
        <v>0</v>
      </c>
      <c r="F157" s="97">
        <f>VLOOKUP(ReviewCalcs[[#This Row],[Project Index]], ProjectInput[], H$1, FALSE)</f>
        <v>0</v>
      </c>
      <c r="G157" s="98" t="str">
        <f>VLOOKUP(ReviewCalcs[[#This Row],[Project Index]], ProjectInput[], I$1, FALSE)</f>
        <v/>
      </c>
      <c r="H157" s="96">
        <f>VLOOKUP(ReviewCalcs[[#This Row],[Project Index]], ProjectInput[], J$1, FALSE)</f>
        <v>0</v>
      </c>
      <c r="I157" s="97">
        <f>VLOOKUP(ReviewCalcs[[#This Row],[Project Index]], ProjectInput[], K$1, FALSE)</f>
        <v>0</v>
      </c>
      <c r="J157" s="97">
        <f>VLOOKUP(ReviewCalcs[[#This Row],[Project Index]], ProjectInput[], L$1, FALSE)</f>
        <v>0</v>
      </c>
      <c r="K157" s="97">
        <f>VLOOKUP(ReviewCalcs[[#This Row],[Project Index]], ProjectInput[], M$1, FALSE)</f>
        <v>0</v>
      </c>
      <c r="L157" s="97">
        <f>VLOOKUP(ReviewCalcs[[#This Row],[Project Index]], ProjectInput[], N$1, FALSE)</f>
        <v>0</v>
      </c>
      <c r="M157" s="98" t="str">
        <f>VLOOKUP(ReviewCalcs[[#This Row],[Project Index]], ProjectInput[], O$1, FALSE)</f>
        <v/>
      </c>
      <c r="N157" s="96">
        <f>VLOOKUP(ReviewCalcs[[#This Row],[Project Index]], ProjectInput[], P$1, FALSE)</f>
        <v>0</v>
      </c>
      <c r="O157" s="97">
        <f>VLOOKUP(ReviewCalcs[[#This Row],[Project Index]], ProjectInput[], Q$1, FALSE)</f>
        <v>0</v>
      </c>
      <c r="P157" s="97">
        <f>VLOOKUP(ReviewCalcs[[#This Row],[Project Index]], ProjectInput[], R$1, FALSE)</f>
        <v>0</v>
      </c>
      <c r="Q157" s="97">
        <f>VLOOKUP(ReviewCalcs[[#This Row],[Project Index]], ProjectInput[], S$1, FALSE)</f>
        <v>0</v>
      </c>
      <c r="R157" s="97">
        <f>VLOOKUP(ReviewCalcs[[#This Row],[Project Index]], ProjectInput[], T$1, FALSE)</f>
        <v>0</v>
      </c>
      <c r="S157" s="97">
        <f>VLOOKUP(ReviewCalcs[[#This Row],[Project Index]], ProjectInput[], U$1, FALSE)</f>
        <v>0</v>
      </c>
      <c r="T157" s="97">
        <f>VLOOKUP(ReviewCalcs[[#This Row],[Project Index]], ProjectInput[], V$1, FALSE)</f>
        <v>0</v>
      </c>
      <c r="U157" s="97">
        <f>VLOOKUP(ReviewCalcs[[#This Row],[Project Index]], ProjectInput[], W$1, FALSE)</f>
        <v>0</v>
      </c>
      <c r="V157" s="98" t="str">
        <f>VLOOKUP(ReviewCalcs[[#This Row],[Project Index]], ProjectInput[], X$1, FALSE)</f>
        <v/>
      </c>
      <c r="W1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7" s="75" t="e">
        <f>IF(VLOOKUP(ReviewCalcs[[#This Row],[Proposed Fixture Code]], Table7[[FIXTURE CODE]:[Baseline Fixture Code]], 8, FALSE)="N", "ERROR", "PASS")</f>
        <v>#N/A</v>
      </c>
      <c r="Y1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7" s="75" t="e">
        <f>IF(OR(ReviewCalcs[[#This Row],[Baseline Fixture Watts]]&gt;=ReviewCalcs[[#This Row],[Proposed Fixture Watts]],ReviewCalcs[[#This Row],[Existing Fixture Watts]]&gt;=ReviewCalcs[[#This Row],[Proposed Fixture Watts]] ), "PASS", "ERROR")</f>
        <v>#N/A</v>
      </c>
      <c r="AA157" s="69" t="e">
        <f>VLOOKUP(ReviewCalcs[[#This Row],[Space Conditions]], Table_365[], 5, FALSE)</f>
        <v>#N/A</v>
      </c>
      <c r="AB157" s="68" t="str">
        <f>ReviewCalcs[[#This Row],[Annual Hours]]</f>
        <v/>
      </c>
      <c r="AC157" s="68" t="e">
        <f>VLOOKUP(ReviewCalcs[[#This Row],[Space Conditions]], Table_365[], 6, FALSE)</f>
        <v>#N/A</v>
      </c>
      <c r="AD157" s="68">
        <f>IF(ReviewCalcs[[#This Row],[Existing Control(s)]]='Tables &amp; Ranges'!$A$25, VLOOKUP(ReviewCalcs[[#This Row],[Building/Space Type]], Table_364[], 3, FALSE), CF_Contols)</f>
        <v>0.26</v>
      </c>
      <c r="AE157" s="68" t="e">
        <f>VLOOKUP(ReviewCalcs[[#This Row],[Existing Control(s)]], Table_358[], 2, FALSE)</f>
        <v>#N/A</v>
      </c>
      <c r="AF157" s="68">
        <f>IF(ReviewCalcs[[#This Row],[Proposed Control(s)]]='Tables &amp; Ranges'!$A$25, VLOOKUP(ReviewCalcs[[#This Row],[Building/Space Type]], Table_364[], 3, FALSE), CF_Contols)</f>
        <v>0.26</v>
      </c>
      <c r="AG157" s="68" t="e">
        <f>VLOOKUP(ReviewCalcs[[#This Row],[Proposed Control(s)]], Table_358[], 2, FALSE)</f>
        <v>#N/A</v>
      </c>
      <c r="AH157" s="68">
        <f>IFERROR((ReviewCalcs[[#This Row],[Existing Fixture Quantity]]*ReviewCalcs[[#This Row],[Existing Fixture Watts]]/1000)*ReviewCalcs[[#This Row],[Existing CF]]*ReviewCalcs[[#This Row],[IEFD]], 0)</f>
        <v>0</v>
      </c>
      <c r="AI157" s="68">
        <f>IFERROR((ReviewCalcs[[#This Row],[Proposed Fixture Quantity]]*ReviewCalcs[[#This Row],[Proposed Fixture Watts]]/1000)*ReviewCalcs[[#This Row],[Existing CF]]*ReviewCalcs[[#This Row],[IEFD]], 0)</f>
        <v>0</v>
      </c>
      <c r="AJ157" s="118">
        <f>IFERROR((ReviewCalcs[[#This Row],[Existing Fixture Quantity]]*ReviewCalcs[[#This Row],[Existing Fixture Watts]]/1000-ReviewCalcs[[#This Row],[Proposed Fixture Quantity]]*ReviewCalcs[[#This Row],[Proposed Fixture Watts]]/1000)*ReviewCalcs[[#This Row],[Existing CF]]*ReviewCalcs[[#This Row],[IEFD]], 0)</f>
        <v>0</v>
      </c>
      <c r="AK157" s="118">
        <f>IFERROR((ReviewCalcs[[#This Row],[Existing Fixture Quantity]]*ReviewCalcs[[#This Row],[Existing Fixture Watts]]/1000)*ReviewCalcs[[#This Row],[AOH]]*ReviewCalcs[[#This Row],[IEFE]]*ReviewCalcs[[#This Row],[Existing PAF]], 0)</f>
        <v>0</v>
      </c>
      <c r="AL157" s="118">
        <f>IFERROR((ReviewCalcs[[#This Row],[Proposed Fixture Quantity]]*ReviewCalcs[[#This Row],[Proposed Fixture Watts]]/1000)*ReviewCalcs[[#This Row],[AOH]]*ReviewCalcs[[#This Row],[IEFE]]*ReviewCalcs[[#This Row],[Existing PAF]], 0)</f>
        <v>0</v>
      </c>
      <c r="AM1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7" s="118">
        <f>ReviewCalcs[[#This Row],[Fixture Existing Energy (kWh)]]*Avg_KWh_Rate</f>
        <v>0</v>
      </c>
      <c r="AO157" s="118">
        <f>ReviewCalcs[[#This Row],[Fixture Proposed Energy (kWh)]]*Avg_KWh_Rate</f>
        <v>0</v>
      </c>
      <c r="AP157" s="70">
        <f>ReviewCalcs[[#This Row],[Fixture Energy Savings]]*Avg_KWh_Rate</f>
        <v>0</v>
      </c>
      <c r="AQ157" s="129" t="e">
        <f>ReviewCalcs[[#This Row],[Existing Fixture Quantity]]*ReviewCalcs[[#This Row],[Existing Fixture Watts]]/1000*ReviewCalcs[[#This Row],[Existing CF]]*ReviewCalcs[[#This Row],[IEFD]]</f>
        <v>#VALUE!</v>
      </c>
      <c r="AR157" s="129" t="e">
        <f>ReviewCalcs[[#This Row],[Proposed Fixture Quantity]]*ReviewCalcs[[#This Row],[Proposed Fixture Watts]]/1000*ReviewCalcs[[#This Row],[Proposed CF]]*ReviewCalcs[[#This Row],[IEFD]]</f>
        <v>#VALUE!</v>
      </c>
      <c r="AS157" s="118">
        <f>IF(ReviewCalcs[[#This Row],[Existing CF]]=ReviewCalcs[[#This Row],[Proposed CF]], 0, ReviewCalcs[[#This Row],[Proposed Fixture Quantity]]*ReviewCalcs[[#This Row],[Proposed Fixture Watts]]/1000*ReviewCalcs[[#This Row],[Proposed CF]]*ReviewCalcs[[#This Row],[IEFD]])</f>
        <v>0</v>
      </c>
      <c r="AT157" s="118">
        <f>IFERROR(ReviewCalcs[[#This Row],[Existing Fixture Quantity]]*ReviewCalcs[[#This Row],[Existing Fixture Watts]]/1000*ReviewCalcs[[#This Row],[Existing PAF]]*ReviewCalcs[[#This Row],[AOH]]*ReviewCalcs[[#This Row],[IEFE]], 0)</f>
        <v>0</v>
      </c>
      <c r="AU157" s="118">
        <f>IFERROR(ReviewCalcs[[#This Row],[Proposed Fixture Quantity]]*ReviewCalcs[[#This Row],[Proposed Fixture Watts]]/1000*ReviewCalcs[[#This Row],[Proposed PAF]]*ReviewCalcs[[#This Row],[AOH]]*ReviewCalcs[[#This Row],[IEFE]], 0)</f>
        <v>0</v>
      </c>
      <c r="AV157" s="118">
        <f>IFERROR(ReviewCalcs[[#This Row],[Proposed Fixture Quantity]]*ReviewCalcs[[#This Row],[Proposed Fixture Watts]]/1000*(ReviewCalcs[[#This Row],[Existing PAF]]-ReviewCalcs[[#This Row],[Proposed PAF]])*ReviewCalcs[[#This Row],[AOH]]*ReviewCalcs[[#This Row],[IEFE]], 0)</f>
        <v>0</v>
      </c>
      <c r="AW157" s="118">
        <f>ReviewCalcs[[#This Row],[Control Existing Energy (kWh)]]*kWh_Incentive_Rate</f>
        <v>0</v>
      </c>
      <c r="AX157" s="118">
        <f>ReviewCalcs[[#This Row],[Control Proposed Energy (kWh)]]*kWh_Incentive_Rate</f>
        <v>0</v>
      </c>
      <c r="AY157" s="70">
        <f>ReviewCalcs[[#This Row],[Control Energy Savings (kWh)]]*kWh_Incentive_Rate</f>
        <v>0</v>
      </c>
      <c r="AZ157" s="70" t="e">
        <f>ReviewCalcs[[#This Row],[Fixture Existing Demand (kW)]]+ReviewCalcs[[#This Row],[Control Existing Demand (kW)]]</f>
        <v>#VALUE!</v>
      </c>
      <c r="BA157" s="70" t="e">
        <f>ReviewCalcs[[#This Row],[Fixture Proposed Demand (kW)]]+ReviewCalcs[[#This Row],[Control Proposed Demand (kW)]]</f>
        <v>#VALUE!</v>
      </c>
      <c r="BB157" s="118">
        <f>ReviewCalcs[[#This Row],[Fixture Demand Savings (kW)]]+ReviewCalcs[[#This Row],[Control Demand Savings (kW)]]</f>
        <v>0</v>
      </c>
      <c r="BC157" s="118">
        <f>ReviewCalcs[[#This Row],[Fixture Existing Energy (kWh)]]+ReviewCalcs[[#This Row],[Control Existing Energy (kWh)]]</f>
        <v>0</v>
      </c>
      <c r="BD157" s="118">
        <f>ReviewCalcs[[#This Row],[Fixture Proposed Energy (kWh)]]+ReviewCalcs[[#This Row],[Control Proposed Energy (kWh)]]</f>
        <v>0</v>
      </c>
      <c r="BE157" s="118">
        <f>ReviewCalcs[[#This Row],[Fixture Energy Savings]]+ReviewCalcs[[#This Row],[Control Energy Savings (kWh)]]</f>
        <v>0</v>
      </c>
      <c r="BF157" s="118">
        <f>ReviewCalcs[[#This Row],[Fixture Existing Cost ($)]]+ReviewCalcs[[#This Row],[Control Existing Cost ($)]]</f>
        <v>0</v>
      </c>
      <c r="BG157" s="118">
        <f>ReviewCalcs[[#This Row],[Fixture Proposed Cost ($)]]+ReviewCalcs[[#This Row],[Controls Proposed Cost ($)]]</f>
        <v>0</v>
      </c>
      <c r="BH157" s="70">
        <f>ReviewCalcs[[#This Row],[Total Energy Savings (kWh)]]*Avg_KWh_Rate</f>
        <v>0</v>
      </c>
      <c r="BI1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7" s="70">
        <f>ReviewCalcs[[#This Row],[Retrofit Cost]]</f>
        <v>0</v>
      </c>
      <c r="BK157" s="70">
        <f>ReviewCalcs[[#This Row],[Retrofit Cost]]-ReviewCalcs[[#This Row],[Incentive ($)]]</f>
        <v>0</v>
      </c>
      <c r="BL157" s="118" t="e">
        <f>IFERROR(ReviewCalcs[[#This Row],[Net Project Cost ($)]]/ReviewCalcs[[#This Row],[Fixture Energy Cost Savings ($)]], #N/A)</f>
        <v>#N/A</v>
      </c>
      <c r="BM157" s="118" t="e">
        <f>IF(VLOOKUP(ReviewCalcs[[#This Row],[Existing Fixture Code]], Table7[[FIXTURE CODE]:[Baseline Fixture Code]], 8, FALSE)="N", VLOOKUP(ReviewCalcs[[#This Row],[Existing Fixture Code]], Table7[[FIXTURE CODE]:[Baseline Fixture Code]], 9, FALSE), ReviewCalcs[[#This Row],[Existing Fixture Code]])</f>
        <v>#N/A</v>
      </c>
      <c r="BN157" s="118" t="e">
        <f>INDEX(Table7[WATT/ FIXT], MATCH(ReviewCalcs[Baseline Fixture Code], Table7[FIXTURE CODE], 0))</f>
        <v>#N/A</v>
      </c>
      <c r="BO157" s="118">
        <f>IFERROR((ReviewCalcs[[#This Row],[Existing Fixture Quantity]]*ReviewCalcs[[#This Row],[Baseline Fixture Watts]]/1000-ReviewCalcs[[#This Row],[Proposed Fixture Quantity]]*ReviewCalcs[[#This Row],[Proposed Fixture Watts]]/1000)*ReviewCalcs[[#This Row],[Existing CF]]*ReviewCalcs[[#This Row],[IEFD]], 0)</f>
        <v>0</v>
      </c>
      <c r="BP1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7" s="118">
        <f>IF(ReviewCalcs[[#This Row],[Existing CF]]=ReviewCalcs[[#This Row],[Proposed CF]], 0, ReviewCalcs[[#This Row],[Proposed Fixture Quantity]]*ReviewCalcs[[#This Row],[Proposed Fixture Watts]]/1000*ReviewCalcs[[#This Row],[Proposed CF]]*ReviewCalcs[[#This Row],[IEFD]])</f>
        <v>0</v>
      </c>
      <c r="BR157" s="118">
        <f>IFERROR(ReviewCalcs[[#This Row],[Proposed Fixture Quantity]]*ReviewCalcs[[#This Row],[Proposed Fixture Watts]]/1000*(ReviewCalcs[[#This Row],[Existing PAF]]-ReviewCalcs[[#This Row],[Proposed PAF]])*ReviewCalcs[[#This Row],[AOH]]*ReviewCalcs[[#This Row],[IEFE]],0)</f>
        <v>0</v>
      </c>
      <c r="BS157" s="118">
        <f>ReviewCalcs[[#This Row],[Incentive Fixture Demand Savings (kW)]]+ReviewCalcs[[#This Row],[Incentive Control Demand Savings (kW)]]</f>
        <v>0</v>
      </c>
      <c r="BT157" s="118">
        <f>ReviewCalcs[[#This Row],[Incentive Fixture Energy Savings (kWh)]]+ReviewCalcs[[#This Row],[Incentive Control Energy Savings (kWh)]]</f>
        <v>0</v>
      </c>
      <c r="BU157" s="73"/>
    </row>
    <row r="158" spans="1:73" ht="30" customHeight="1">
      <c r="A158" s="68">
        <v>155</v>
      </c>
      <c r="B158" s="96">
        <f>VLOOKUP(ReviewCalcs[[#This Row],[Project Index]], ProjectInput[], D$1, FALSE)</f>
        <v>0</v>
      </c>
      <c r="C158" s="97">
        <f>VLOOKUP(ReviewCalcs[[#This Row],[Project Index]], ProjectInput[], E$1, FALSE)</f>
        <v>0</v>
      </c>
      <c r="D158" s="97">
        <f>VLOOKUP(ReviewCalcs[[#This Row],[Project Index]], ProjectInput[], F$1, FALSE)</f>
        <v>0</v>
      </c>
      <c r="E158" s="97">
        <f>VLOOKUP(ReviewCalcs[[#This Row],[Project Index]], ProjectInput[], G$1, FALSE)</f>
        <v>0</v>
      </c>
      <c r="F158" s="97">
        <f>VLOOKUP(ReviewCalcs[[#This Row],[Project Index]], ProjectInput[], H$1, FALSE)</f>
        <v>0</v>
      </c>
      <c r="G158" s="98" t="str">
        <f>VLOOKUP(ReviewCalcs[[#This Row],[Project Index]], ProjectInput[], I$1, FALSE)</f>
        <v/>
      </c>
      <c r="H158" s="96">
        <f>VLOOKUP(ReviewCalcs[[#This Row],[Project Index]], ProjectInput[], J$1, FALSE)</f>
        <v>0</v>
      </c>
      <c r="I158" s="97">
        <f>VLOOKUP(ReviewCalcs[[#This Row],[Project Index]], ProjectInput[], K$1, FALSE)</f>
        <v>0</v>
      </c>
      <c r="J158" s="97">
        <f>VLOOKUP(ReviewCalcs[[#This Row],[Project Index]], ProjectInput[], L$1, FALSE)</f>
        <v>0</v>
      </c>
      <c r="K158" s="97">
        <f>VLOOKUP(ReviewCalcs[[#This Row],[Project Index]], ProjectInput[], M$1, FALSE)</f>
        <v>0</v>
      </c>
      <c r="L158" s="97">
        <f>VLOOKUP(ReviewCalcs[[#This Row],[Project Index]], ProjectInput[], N$1, FALSE)</f>
        <v>0</v>
      </c>
      <c r="M158" s="98" t="str">
        <f>VLOOKUP(ReviewCalcs[[#This Row],[Project Index]], ProjectInput[], O$1, FALSE)</f>
        <v/>
      </c>
      <c r="N158" s="96">
        <f>VLOOKUP(ReviewCalcs[[#This Row],[Project Index]], ProjectInput[], P$1, FALSE)</f>
        <v>0</v>
      </c>
      <c r="O158" s="97">
        <f>VLOOKUP(ReviewCalcs[[#This Row],[Project Index]], ProjectInput[], Q$1, FALSE)</f>
        <v>0</v>
      </c>
      <c r="P158" s="97">
        <f>VLOOKUP(ReviewCalcs[[#This Row],[Project Index]], ProjectInput[], R$1, FALSE)</f>
        <v>0</v>
      </c>
      <c r="Q158" s="97">
        <f>VLOOKUP(ReviewCalcs[[#This Row],[Project Index]], ProjectInput[], S$1, FALSE)</f>
        <v>0</v>
      </c>
      <c r="R158" s="97">
        <f>VLOOKUP(ReviewCalcs[[#This Row],[Project Index]], ProjectInput[], T$1, FALSE)</f>
        <v>0</v>
      </c>
      <c r="S158" s="97">
        <f>VLOOKUP(ReviewCalcs[[#This Row],[Project Index]], ProjectInput[], U$1, FALSE)</f>
        <v>0</v>
      </c>
      <c r="T158" s="97">
        <f>VLOOKUP(ReviewCalcs[[#This Row],[Project Index]], ProjectInput[], V$1, FALSE)</f>
        <v>0</v>
      </c>
      <c r="U158" s="97">
        <f>VLOOKUP(ReviewCalcs[[#This Row],[Project Index]], ProjectInput[], W$1, FALSE)</f>
        <v>0</v>
      </c>
      <c r="V158" s="98" t="str">
        <f>VLOOKUP(ReviewCalcs[[#This Row],[Project Index]], ProjectInput[], X$1, FALSE)</f>
        <v/>
      </c>
      <c r="W1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8" s="75" t="e">
        <f>IF(VLOOKUP(ReviewCalcs[[#This Row],[Proposed Fixture Code]], Table7[[FIXTURE CODE]:[Baseline Fixture Code]], 8, FALSE)="N", "ERROR", "PASS")</f>
        <v>#N/A</v>
      </c>
      <c r="Y1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8" s="75" t="e">
        <f>IF(OR(ReviewCalcs[[#This Row],[Baseline Fixture Watts]]&gt;=ReviewCalcs[[#This Row],[Proposed Fixture Watts]],ReviewCalcs[[#This Row],[Existing Fixture Watts]]&gt;=ReviewCalcs[[#This Row],[Proposed Fixture Watts]] ), "PASS", "ERROR")</f>
        <v>#N/A</v>
      </c>
      <c r="AA158" s="69" t="e">
        <f>VLOOKUP(ReviewCalcs[[#This Row],[Space Conditions]], Table_365[], 5, FALSE)</f>
        <v>#N/A</v>
      </c>
      <c r="AB158" s="68" t="str">
        <f>ReviewCalcs[[#This Row],[Annual Hours]]</f>
        <v/>
      </c>
      <c r="AC158" s="68" t="e">
        <f>VLOOKUP(ReviewCalcs[[#This Row],[Space Conditions]], Table_365[], 6, FALSE)</f>
        <v>#N/A</v>
      </c>
      <c r="AD158" s="68">
        <f>IF(ReviewCalcs[[#This Row],[Existing Control(s)]]='Tables &amp; Ranges'!$A$25, VLOOKUP(ReviewCalcs[[#This Row],[Building/Space Type]], Table_364[], 3, FALSE), CF_Contols)</f>
        <v>0.26</v>
      </c>
      <c r="AE158" s="68" t="e">
        <f>VLOOKUP(ReviewCalcs[[#This Row],[Existing Control(s)]], Table_358[], 2, FALSE)</f>
        <v>#N/A</v>
      </c>
      <c r="AF158" s="68">
        <f>IF(ReviewCalcs[[#This Row],[Proposed Control(s)]]='Tables &amp; Ranges'!$A$25, VLOOKUP(ReviewCalcs[[#This Row],[Building/Space Type]], Table_364[], 3, FALSE), CF_Contols)</f>
        <v>0.26</v>
      </c>
      <c r="AG158" s="68" t="e">
        <f>VLOOKUP(ReviewCalcs[[#This Row],[Proposed Control(s)]], Table_358[], 2, FALSE)</f>
        <v>#N/A</v>
      </c>
      <c r="AH158" s="68">
        <f>IFERROR((ReviewCalcs[[#This Row],[Existing Fixture Quantity]]*ReviewCalcs[[#This Row],[Existing Fixture Watts]]/1000)*ReviewCalcs[[#This Row],[Existing CF]]*ReviewCalcs[[#This Row],[IEFD]], 0)</f>
        <v>0</v>
      </c>
      <c r="AI158" s="68">
        <f>IFERROR((ReviewCalcs[[#This Row],[Proposed Fixture Quantity]]*ReviewCalcs[[#This Row],[Proposed Fixture Watts]]/1000)*ReviewCalcs[[#This Row],[Existing CF]]*ReviewCalcs[[#This Row],[IEFD]], 0)</f>
        <v>0</v>
      </c>
      <c r="AJ158" s="118">
        <f>IFERROR((ReviewCalcs[[#This Row],[Existing Fixture Quantity]]*ReviewCalcs[[#This Row],[Existing Fixture Watts]]/1000-ReviewCalcs[[#This Row],[Proposed Fixture Quantity]]*ReviewCalcs[[#This Row],[Proposed Fixture Watts]]/1000)*ReviewCalcs[[#This Row],[Existing CF]]*ReviewCalcs[[#This Row],[IEFD]], 0)</f>
        <v>0</v>
      </c>
      <c r="AK158" s="118">
        <f>IFERROR((ReviewCalcs[[#This Row],[Existing Fixture Quantity]]*ReviewCalcs[[#This Row],[Existing Fixture Watts]]/1000)*ReviewCalcs[[#This Row],[AOH]]*ReviewCalcs[[#This Row],[IEFE]]*ReviewCalcs[[#This Row],[Existing PAF]], 0)</f>
        <v>0</v>
      </c>
      <c r="AL158" s="118">
        <f>IFERROR((ReviewCalcs[[#This Row],[Proposed Fixture Quantity]]*ReviewCalcs[[#This Row],[Proposed Fixture Watts]]/1000)*ReviewCalcs[[#This Row],[AOH]]*ReviewCalcs[[#This Row],[IEFE]]*ReviewCalcs[[#This Row],[Existing PAF]], 0)</f>
        <v>0</v>
      </c>
      <c r="AM1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8" s="118">
        <f>ReviewCalcs[[#This Row],[Fixture Existing Energy (kWh)]]*Avg_KWh_Rate</f>
        <v>0</v>
      </c>
      <c r="AO158" s="118">
        <f>ReviewCalcs[[#This Row],[Fixture Proposed Energy (kWh)]]*Avg_KWh_Rate</f>
        <v>0</v>
      </c>
      <c r="AP158" s="70">
        <f>ReviewCalcs[[#This Row],[Fixture Energy Savings]]*Avg_KWh_Rate</f>
        <v>0</v>
      </c>
      <c r="AQ158" s="129" t="e">
        <f>ReviewCalcs[[#This Row],[Existing Fixture Quantity]]*ReviewCalcs[[#This Row],[Existing Fixture Watts]]/1000*ReviewCalcs[[#This Row],[Existing CF]]*ReviewCalcs[[#This Row],[IEFD]]</f>
        <v>#VALUE!</v>
      </c>
      <c r="AR158" s="129" t="e">
        <f>ReviewCalcs[[#This Row],[Proposed Fixture Quantity]]*ReviewCalcs[[#This Row],[Proposed Fixture Watts]]/1000*ReviewCalcs[[#This Row],[Proposed CF]]*ReviewCalcs[[#This Row],[IEFD]]</f>
        <v>#VALUE!</v>
      </c>
      <c r="AS158" s="118">
        <f>IF(ReviewCalcs[[#This Row],[Existing CF]]=ReviewCalcs[[#This Row],[Proposed CF]], 0, ReviewCalcs[[#This Row],[Proposed Fixture Quantity]]*ReviewCalcs[[#This Row],[Proposed Fixture Watts]]/1000*ReviewCalcs[[#This Row],[Proposed CF]]*ReviewCalcs[[#This Row],[IEFD]])</f>
        <v>0</v>
      </c>
      <c r="AT158" s="118">
        <f>IFERROR(ReviewCalcs[[#This Row],[Existing Fixture Quantity]]*ReviewCalcs[[#This Row],[Existing Fixture Watts]]/1000*ReviewCalcs[[#This Row],[Existing PAF]]*ReviewCalcs[[#This Row],[AOH]]*ReviewCalcs[[#This Row],[IEFE]], 0)</f>
        <v>0</v>
      </c>
      <c r="AU158" s="118">
        <f>IFERROR(ReviewCalcs[[#This Row],[Proposed Fixture Quantity]]*ReviewCalcs[[#This Row],[Proposed Fixture Watts]]/1000*ReviewCalcs[[#This Row],[Proposed PAF]]*ReviewCalcs[[#This Row],[AOH]]*ReviewCalcs[[#This Row],[IEFE]], 0)</f>
        <v>0</v>
      </c>
      <c r="AV158" s="118">
        <f>IFERROR(ReviewCalcs[[#This Row],[Proposed Fixture Quantity]]*ReviewCalcs[[#This Row],[Proposed Fixture Watts]]/1000*(ReviewCalcs[[#This Row],[Existing PAF]]-ReviewCalcs[[#This Row],[Proposed PAF]])*ReviewCalcs[[#This Row],[AOH]]*ReviewCalcs[[#This Row],[IEFE]], 0)</f>
        <v>0</v>
      </c>
      <c r="AW158" s="118">
        <f>ReviewCalcs[[#This Row],[Control Existing Energy (kWh)]]*kWh_Incentive_Rate</f>
        <v>0</v>
      </c>
      <c r="AX158" s="118">
        <f>ReviewCalcs[[#This Row],[Control Proposed Energy (kWh)]]*kWh_Incentive_Rate</f>
        <v>0</v>
      </c>
      <c r="AY158" s="70">
        <f>ReviewCalcs[[#This Row],[Control Energy Savings (kWh)]]*kWh_Incentive_Rate</f>
        <v>0</v>
      </c>
      <c r="AZ158" s="70" t="e">
        <f>ReviewCalcs[[#This Row],[Fixture Existing Demand (kW)]]+ReviewCalcs[[#This Row],[Control Existing Demand (kW)]]</f>
        <v>#VALUE!</v>
      </c>
      <c r="BA158" s="70" t="e">
        <f>ReviewCalcs[[#This Row],[Fixture Proposed Demand (kW)]]+ReviewCalcs[[#This Row],[Control Proposed Demand (kW)]]</f>
        <v>#VALUE!</v>
      </c>
      <c r="BB158" s="118">
        <f>ReviewCalcs[[#This Row],[Fixture Demand Savings (kW)]]+ReviewCalcs[[#This Row],[Control Demand Savings (kW)]]</f>
        <v>0</v>
      </c>
      <c r="BC158" s="118">
        <f>ReviewCalcs[[#This Row],[Fixture Existing Energy (kWh)]]+ReviewCalcs[[#This Row],[Control Existing Energy (kWh)]]</f>
        <v>0</v>
      </c>
      <c r="BD158" s="118">
        <f>ReviewCalcs[[#This Row],[Fixture Proposed Energy (kWh)]]+ReviewCalcs[[#This Row],[Control Proposed Energy (kWh)]]</f>
        <v>0</v>
      </c>
      <c r="BE158" s="118">
        <f>ReviewCalcs[[#This Row],[Fixture Energy Savings]]+ReviewCalcs[[#This Row],[Control Energy Savings (kWh)]]</f>
        <v>0</v>
      </c>
      <c r="BF158" s="118">
        <f>ReviewCalcs[[#This Row],[Fixture Existing Cost ($)]]+ReviewCalcs[[#This Row],[Control Existing Cost ($)]]</f>
        <v>0</v>
      </c>
      <c r="BG158" s="118">
        <f>ReviewCalcs[[#This Row],[Fixture Proposed Cost ($)]]+ReviewCalcs[[#This Row],[Controls Proposed Cost ($)]]</f>
        <v>0</v>
      </c>
      <c r="BH158" s="70">
        <f>ReviewCalcs[[#This Row],[Total Energy Savings (kWh)]]*Avg_KWh_Rate</f>
        <v>0</v>
      </c>
      <c r="BI1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8" s="70">
        <f>ReviewCalcs[[#This Row],[Retrofit Cost]]</f>
        <v>0</v>
      </c>
      <c r="BK158" s="70">
        <f>ReviewCalcs[[#This Row],[Retrofit Cost]]-ReviewCalcs[[#This Row],[Incentive ($)]]</f>
        <v>0</v>
      </c>
      <c r="BL158" s="118" t="e">
        <f>IFERROR(ReviewCalcs[[#This Row],[Net Project Cost ($)]]/ReviewCalcs[[#This Row],[Fixture Energy Cost Savings ($)]], #N/A)</f>
        <v>#N/A</v>
      </c>
      <c r="BM158" s="118" t="e">
        <f>IF(VLOOKUP(ReviewCalcs[[#This Row],[Existing Fixture Code]], Table7[[FIXTURE CODE]:[Baseline Fixture Code]], 8, FALSE)="N", VLOOKUP(ReviewCalcs[[#This Row],[Existing Fixture Code]], Table7[[FIXTURE CODE]:[Baseline Fixture Code]], 9, FALSE), ReviewCalcs[[#This Row],[Existing Fixture Code]])</f>
        <v>#N/A</v>
      </c>
      <c r="BN158" s="118" t="e">
        <f>INDEX(Table7[WATT/ FIXT], MATCH(ReviewCalcs[Baseline Fixture Code], Table7[FIXTURE CODE], 0))</f>
        <v>#N/A</v>
      </c>
      <c r="BO158" s="118">
        <f>IFERROR((ReviewCalcs[[#This Row],[Existing Fixture Quantity]]*ReviewCalcs[[#This Row],[Baseline Fixture Watts]]/1000-ReviewCalcs[[#This Row],[Proposed Fixture Quantity]]*ReviewCalcs[[#This Row],[Proposed Fixture Watts]]/1000)*ReviewCalcs[[#This Row],[Existing CF]]*ReviewCalcs[[#This Row],[IEFD]], 0)</f>
        <v>0</v>
      </c>
      <c r="BP1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8" s="118">
        <f>IF(ReviewCalcs[[#This Row],[Existing CF]]=ReviewCalcs[[#This Row],[Proposed CF]], 0, ReviewCalcs[[#This Row],[Proposed Fixture Quantity]]*ReviewCalcs[[#This Row],[Proposed Fixture Watts]]/1000*ReviewCalcs[[#This Row],[Proposed CF]]*ReviewCalcs[[#This Row],[IEFD]])</f>
        <v>0</v>
      </c>
      <c r="BR158" s="118">
        <f>IFERROR(ReviewCalcs[[#This Row],[Proposed Fixture Quantity]]*ReviewCalcs[[#This Row],[Proposed Fixture Watts]]/1000*(ReviewCalcs[[#This Row],[Existing PAF]]-ReviewCalcs[[#This Row],[Proposed PAF]])*ReviewCalcs[[#This Row],[AOH]]*ReviewCalcs[[#This Row],[IEFE]],0)</f>
        <v>0</v>
      </c>
      <c r="BS158" s="118">
        <f>ReviewCalcs[[#This Row],[Incentive Fixture Demand Savings (kW)]]+ReviewCalcs[[#This Row],[Incentive Control Demand Savings (kW)]]</f>
        <v>0</v>
      </c>
      <c r="BT158" s="118">
        <f>ReviewCalcs[[#This Row],[Incentive Fixture Energy Savings (kWh)]]+ReviewCalcs[[#This Row],[Incentive Control Energy Savings (kWh)]]</f>
        <v>0</v>
      </c>
      <c r="BU158" s="73"/>
    </row>
    <row r="159" spans="1:73" ht="30" customHeight="1">
      <c r="A159" s="68">
        <v>156</v>
      </c>
      <c r="B159" s="96">
        <f>VLOOKUP(ReviewCalcs[[#This Row],[Project Index]], ProjectInput[], D$1, FALSE)</f>
        <v>0</v>
      </c>
      <c r="C159" s="97">
        <f>VLOOKUP(ReviewCalcs[[#This Row],[Project Index]], ProjectInput[], E$1, FALSE)</f>
        <v>0</v>
      </c>
      <c r="D159" s="97">
        <f>VLOOKUP(ReviewCalcs[[#This Row],[Project Index]], ProjectInput[], F$1, FALSE)</f>
        <v>0</v>
      </c>
      <c r="E159" s="97">
        <f>VLOOKUP(ReviewCalcs[[#This Row],[Project Index]], ProjectInput[], G$1, FALSE)</f>
        <v>0</v>
      </c>
      <c r="F159" s="97">
        <f>VLOOKUP(ReviewCalcs[[#This Row],[Project Index]], ProjectInput[], H$1, FALSE)</f>
        <v>0</v>
      </c>
      <c r="G159" s="98" t="str">
        <f>VLOOKUP(ReviewCalcs[[#This Row],[Project Index]], ProjectInput[], I$1, FALSE)</f>
        <v/>
      </c>
      <c r="H159" s="96">
        <f>VLOOKUP(ReviewCalcs[[#This Row],[Project Index]], ProjectInput[], J$1, FALSE)</f>
        <v>0</v>
      </c>
      <c r="I159" s="97">
        <f>VLOOKUP(ReviewCalcs[[#This Row],[Project Index]], ProjectInput[], K$1, FALSE)</f>
        <v>0</v>
      </c>
      <c r="J159" s="97">
        <f>VLOOKUP(ReviewCalcs[[#This Row],[Project Index]], ProjectInput[], L$1, FALSE)</f>
        <v>0</v>
      </c>
      <c r="K159" s="97">
        <f>VLOOKUP(ReviewCalcs[[#This Row],[Project Index]], ProjectInput[], M$1, FALSE)</f>
        <v>0</v>
      </c>
      <c r="L159" s="97">
        <f>VLOOKUP(ReviewCalcs[[#This Row],[Project Index]], ProjectInput[], N$1, FALSE)</f>
        <v>0</v>
      </c>
      <c r="M159" s="98" t="str">
        <f>VLOOKUP(ReviewCalcs[[#This Row],[Project Index]], ProjectInput[], O$1, FALSE)</f>
        <v/>
      </c>
      <c r="N159" s="96">
        <f>VLOOKUP(ReviewCalcs[[#This Row],[Project Index]], ProjectInput[], P$1, FALSE)</f>
        <v>0</v>
      </c>
      <c r="O159" s="97">
        <f>VLOOKUP(ReviewCalcs[[#This Row],[Project Index]], ProjectInput[], Q$1, FALSE)</f>
        <v>0</v>
      </c>
      <c r="P159" s="97">
        <f>VLOOKUP(ReviewCalcs[[#This Row],[Project Index]], ProjectInput[], R$1, FALSE)</f>
        <v>0</v>
      </c>
      <c r="Q159" s="97">
        <f>VLOOKUP(ReviewCalcs[[#This Row],[Project Index]], ProjectInput[], S$1, FALSE)</f>
        <v>0</v>
      </c>
      <c r="R159" s="97">
        <f>VLOOKUP(ReviewCalcs[[#This Row],[Project Index]], ProjectInput[], T$1, FALSE)</f>
        <v>0</v>
      </c>
      <c r="S159" s="97">
        <f>VLOOKUP(ReviewCalcs[[#This Row],[Project Index]], ProjectInput[], U$1, FALSE)</f>
        <v>0</v>
      </c>
      <c r="T159" s="97">
        <f>VLOOKUP(ReviewCalcs[[#This Row],[Project Index]], ProjectInput[], V$1, FALSE)</f>
        <v>0</v>
      </c>
      <c r="U159" s="97">
        <f>VLOOKUP(ReviewCalcs[[#This Row],[Project Index]], ProjectInput[], W$1, FALSE)</f>
        <v>0</v>
      </c>
      <c r="V159" s="98" t="str">
        <f>VLOOKUP(ReviewCalcs[[#This Row],[Project Index]], ProjectInput[], X$1, FALSE)</f>
        <v/>
      </c>
      <c r="W1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59" s="75" t="e">
        <f>IF(VLOOKUP(ReviewCalcs[[#This Row],[Proposed Fixture Code]], Table7[[FIXTURE CODE]:[Baseline Fixture Code]], 8, FALSE)="N", "ERROR", "PASS")</f>
        <v>#N/A</v>
      </c>
      <c r="Y1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59" s="75" t="e">
        <f>IF(OR(ReviewCalcs[[#This Row],[Baseline Fixture Watts]]&gt;=ReviewCalcs[[#This Row],[Proposed Fixture Watts]],ReviewCalcs[[#This Row],[Existing Fixture Watts]]&gt;=ReviewCalcs[[#This Row],[Proposed Fixture Watts]] ), "PASS", "ERROR")</f>
        <v>#N/A</v>
      </c>
      <c r="AA159" s="69" t="e">
        <f>VLOOKUP(ReviewCalcs[[#This Row],[Space Conditions]], Table_365[], 5, FALSE)</f>
        <v>#N/A</v>
      </c>
      <c r="AB159" s="68" t="str">
        <f>ReviewCalcs[[#This Row],[Annual Hours]]</f>
        <v/>
      </c>
      <c r="AC159" s="68" t="e">
        <f>VLOOKUP(ReviewCalcs[[#This Row],[Space Conditions]], Table_365[], 6, FALSE)</f>
        <v>#N/A</v>
      </c>
      <c r="AD159" s="68">
        <f>IF(ReviewCalcs[[#This Row],[Existing Control(s)]]='Tables &amp; Ranges'!$A$25, VLOOKUP(ReviewCalcs[[#This Row],[Building/Space Type]], Table_364[], 3, FALSE), CF_Contols)</f>
        <v>0.26</v>
      </c>
      <c r="AE159" s="68" t="e">
        <f>VLOOKUP(ReviewCalcs[[#This Row],[Existing Control(s)]], Table_358[], 2, FALSE)</f>
        <v>#N/A</v>
      </c>
      <c r="AF159" s="68">
        <f>IF(ReviewCalcs[[#This Row],[Proposed Control(s)]]='Tables &amp; Ranges'!$A$25, VLOOKUP(ReviewCalcs[[#This Row],[Building/Space Type]], Table_364[], 3, FALSE), CF_Contols)</f>
        <v>0.26</v>
      </c>
      <c r="AG159" s="68" t="e">
        <f>VLOOKUP(ReviewCalcs[[#This Row],[Proposed Control(s)]], Table_358[], 2, FALSE)</f>
        <v>#N/A</v>
      </c>
      <c r="AH159" s="68">
        <f>IFERROR((ReviewCalcs[[#This Row],[Existing Fixture Quantity]]*ReviewCalcs[[#This Row],[Existing Fixture Watts]]/1000)*ReviewCalcs[[#This Row],[Existing CF]]*ReviewCalcs[[#This Row],[IEFD]], 0)</f>
        <v>0</v>
      </c>
      <c r="AI159" s="68">
        <f>IFERROR((ReviewCalcs[[#This Row],[Proposed Fixture Quantity]]*ReviewCalcs[[#This Row],[Proposed Fixture Watts]]/1000)*ReviewCalcs[[#This Row],[Existing CF]]*ReviewCalcs[[#This Row],[IEFD]], 0)</f>
        <v>0</v>
      </c>
      <c r="AJ159" s="118">
        <f>IFERROR((ReviewCalcs[[#This Row],[Existing Fixture Quantity]]*ReviewCalcs[[#This Row],[Existing Fixture Watts]]/1000-ReviewCalcs[[#This Row],[Proposed Fixture Quantity]]*ReviewCalcs[[#This Row],[Proposed Fixture Watts]]/1000)*ReviewCalcs[[#This Row],[Existing CF]]*ReviewCalcs[[#This Row],[IEFD]], 0)</f>
        <v>0</v>
      </c>
      <c r="AK159" s="118">
        <f>IFERROR((ReviewCalcs[[#This Row],[Existing Fixture Quantity]]*ReviewCalcs[[#This Row],[Existing Fixture Watts]]/1000)*ReviewCalcs[[#This Row],[AOH]]*ReviewCalcs[[#This Row],[IEFE]]*ReviewCalcs[[#This Row],[Existing PAF]], 0)</f>
        <v>0</v>
      </c>
      <c r="AL159" s="118">
        <f>IFERROR((ReviewCalcs[[#This Row],[Proposed Fixture Quantity]]*ReviewCalcs[[#This Row],[Proposed Fixture Watts]]/1000)*ReviewCalcs[[#This Row],[AOH]]*ReviewCalcs[[#This Row],[IEFE]]*ReviewCalcs[[#This Row],[Existing PAF]], 0)</f>
        <v>0</v>
      </c>
      <c r="AM1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59" s="118">
        <f>ReviewCalcs[[#This Row],[Fixture Existing Energy (kWh)]]*Avg_KWh_Rate</f>
        <v>0</v>
      </c>
      <c r="AO159" s="118">
        <f>ReviewCalcs[[#This Row],[Fixture Proposed Energy (kWh)]]*Avg_KWh_Rate</f>
        <v>0</v>
      </c>
      <c r="AP159" s="70">
        <f>ReviewCalcs[[#This Row],[Fixture Energy Savings]]*Avg_KWh_Rate</f>
        <v>0</v>
      </c>
      <c r="AQ159" s="129" t="e">
        <f>ReviewCalcs[[#This Row],[Existing Fixture Quantity]]*ReviewCalcs[[#This Row],[Existing Fixture Watts]]/1000*ReviewCalcs[[#This Row],[Existing CF]]*ReviewCalcs[[#This Row],[IEFD]]</f>
        <v>#VALUE!</v>
      </c>
      <c r="AR159" s="129" t="e">
        <f>ReviewCalcs[[#This Row],[Proposed Fixture Quantity]]*ReviewCalcs[[#This Row],[Proposed Fixture Watts]]/1000*ReviewCalcs[[#This Row],[Proposed CF]]*ReviewCalcs[[#This Row],[IEFD]]</f>
        <v>#VALUE!</v>
      </c>
      <c r="AS159" s="118">
        <f>IF(ReviewCalcs[[#This Row],[Existing CF]]=ReviewCalcs[[#This Row],[Proposed CF]], 0, ReviewCalcs[[#This Row],[Proposed Fixture Quantity]]*ReviewCalcs[[#This Row],[Proposed Fixture Watts]]/1000*ReviewCalcs[[#This Row],[Proposed CF]]*ReviewCalcs[[#This Row],[IEFD]])</f>
        <v>0</v>
      </c>
      <c r="AT159" s="118">
        <f>IFERROR(ReviewCalcs[[#This Row],[Existing Fixture Quantity]]*ReviewCalcs[[#This Row],[Existing Fixture Watts]]/1000*ReviewCalcs[[#This Row],[Existing PAF]]*ReviewCalcs[[#This Row],[AOH]]*ReviewCalcs[[#This Row],[IEFE]], 0)</f>
        <v>0</v>
      </c>
      <c r="AU159" s="118">
        <f>IFERROR(ReviewCalcs[[#This Row],[Proposed Fixture Quantity]]*ReviewCalcs[[#This Row],[Proposed Fixture Watts]]/1000*ReviewCalcs[[#This Row],[Proposed PAF]]*ReviewCalcs[[#This Row],[AOH]]*ReviewCalcs[[#This Row],[IEFE]], 0)</f>
        <v>0</v>
      </c>
      <c r="AV159" s="118">
        <f>IFERROR(ReviewCalcs[[#This Row],[Proposed Fixture Quantity]]*ReviewCalcs[[#This Row],[Proposed Fixture Watts]]/1000*(ReviewCalcs[[#This Row],[Existing PAF]]-ReviewCalcs[[#This Row],[Proposed PAF]])*ReviewCalcs[[#This Row],[AOH]]*ReviewCalcs[[#This Row],[IEFE]], 0)</f>
        <v>0</v>
      </c>
      <c r="AW159" s="118">
        <f>ReviewCalcs[[#This Row],[Control Existing Energy (kWh)]]*kWh_Incentive_Rate</f>
        <v>0</v>
      </c>
      <c r="AX159" s="118">
        <f>ReviewCalcs[[#This Row],[Control Proposed Energy (kWh)]]*kWh_Incentive_Rate</f>
        <v>0</v>
      </c>
      <c r="AY159" s="70">
        <f>ReviewCalcs[[#This Row],[Control Energy Savings (kWh)]]*kWh_Incentive_Rate</f>
        <v>0</v>
      </c>
      <c r="AZ159" s="70" t="e">
        <f>ReviewCalcs[[#This Row],[Fixture Existing Demand (kW)]]+ReviewCalcs[[#This Row],[Control Existing Demand (kW)]]</f>
        <v>#VALUE!</v>
      </c>
      <c r="BA159" s="70" t="e">
        <f>ReviewCalcs[[#This Row],[Fixture Proposed Demand (kW)]]+ReviewCalcs[[#This Row],[Control Proposed Demand (kW)]]</f>
        <v>#VALUE!</v>
      </c>
      <c r="BB159" s="118">
        <f>ReviewCalcs[[#This Row],[Fixture Demand Savings (kW)]]+ReviewCalcs[[#This Row],[Control Demand Savings (kW)]]</f>
        <v>0</v>
      </c>
      <c r="BC159" s="118">
        <f>ReviewCalcs[[#This Row],[Fixture Existing Energy (kWh)]]+ReviewCalcs[[#This Row],[Control Existing Energy (kWh)]]</f>
        <v>0</v>
      </c>
      <c r="BD159" s="118">
        <f>ReviewCalcs[[#This Row],[Fixture Proposed Energy (kWh)]]+ReviewCalcs[[#This Row],[Control Proposed Energy (kWh)]]</f>
        <v>0</v>
      </c>
      <c r="BE159" s="118">
        <f>ReviewCalcs[[#This Row],[Fixture Energy Savings]]+ReviewCalcs[[#This Row],[Control Energy Savings (kWh)]]</f>
        <v>0</v>
      </c>
      <c r="BF159" s="118">
        <f>ReviewCalcs[[#This Row],[Fixture Existing Cost ($)]]+ReviewCalcs[[#This Row],[Control Existing Cost ($)]]</f>
        <v>0</v>
      </c>
      <c r="BG159" s="118">
        <f>ReviewCalcs[[#This Row],[Fixture Proposed Cost ($)]]+ReviewCalcs[[#This Row],[Controls Proposed Cost ($)]]</f>
        <v>0</v>
      </c>
      <c r="BH159" s="70">
        <f>ReviewCalcs[[#This Row],[Total Energy Savings (kWh)]]*Avg_KWh_Rate</f>
        <v>0</v>
      </c>
      <c r="BI1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59" s="70">
        <f>ReviewCalcs[[#This Row],[Retrofit Cost]]</f>
        <v>0</v>
      </c>
      <c r="BK159" s="70">
        <f>ReviewCalcs[[#This Row],[Retrofit Cost]]-ReviewCalcs[[#This Row],[Incentive ($)]]</f>
        <v>0</v>
      </c>
      <c r="BL159" s="118" t="e">
        <f>IFERROR(ReviewCalcs[[#This Row],[Net Project Cost ($)]]/ReviewCalcs[[#This Row],[Fixture Energy Cost Savings ($)]], #N/A)</f>
        <v>#N/A</v>
      </c>
      <c r="BM159" s="118" t="e">
        <f>IF(VLOOKUP(ReviewCalcs[[#This Row],[Existing Fixture Code]], Table7[[FIXTURE CODE]:[Baseline Fixture Code]], 8, FALSE)="N", VLOOKUP(ReviewCalcs[[#This Row],[Existing Fixture Code]], Table7[[FIXTURE CODE]:[Baseline Fixture Code]], 9, FALSE), ReviewCalcs[[#This Row],[Existing Fixture Code]])</f>
        <v>#N/A</v>
      </c>
      <c r="BN159" s="118" t="e">
        <f>INDEX(Table7[WATT/ FIXT], MATCH(ReviewCalcs[Baseline Fixture Code], Table7[FIXTURE CODE], 0))</f>
        <v>#N/A</v>
      </c>
      <c r="BO159" s="118">
        <f>IFERROR((ReviewCalcs[[#This Row],[Existing Fixture Quantity]]*ReviewCalcs[[#This Row],[Baseline Fixture Watts]]/1000-ReviewCalcs[[#This Row],[Proposed Fixture Quantity]]*ReviewCalcs[[#This Row],[Proposed Fixture Watts]]/1000)*ReviewCalcs[[#This Row],[Existing CF]]*ReviewCalcs[[#This Row],[IEFD]], 0)</f>
        <v>0</v>
      </c>
      <c r="BP1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59" s="118">
        <f>IF(ReviewCalcs[[#This Row],[Existing CF]]=ReviewCalcs[[#This Row],[Proposed CF]], 0, ReviewCalcs[[#This Row],[Proposed Fixture Quantity]]*ReviewCalcs[[#This Row],[Proposed Fixture Watts]]/1000*ReviewCalcs[[#This Row],[Proposed CF]]*ReviewCalcs[[#This Row],[IEFD]])</f>
        <v>0</v>
      </c>
      <c r="BR159" s="118">
        <f>IFERROR(ReviewCalcs[[#This Row],[Proposed Fixture Quantity]]*ReviewCalcs[[#This Row],[Proposed Fixture Watts]]/1000*(ReviewCalcs[[#This Row],[Existing PAF]]-ReviewCalcs[[#This Row],[Proposed PAF]])*ReviewCalcs[[#This Row],[AOH]]*ReviewCalcs[[#This Row],[IEFE]],0)</f>
        <v>0</v>
      </c>
      <c r="BS159" s="118">
        <f>ReviewCalcs[[#This Row],[Incentive Fixture Demand Savings (kW)]]+ReviewCalcs[[#This Row],[Incentive Control Demand Savings (kW)]]</f>
        <v>0</v>
      </c>
      <c r="BT159" s="118">
        <f>ReviewCalcs[[#This Row],[Incentive Fixture Energy Savings (kWh)]]+ReviewCalcs[[#This Row],[Incentive Control Energy Savings (kWh)]]</f>
        <v>0</v>
      </c>
      <c r="BU159" s="73"/>
    </row>
    <row r="160" spans="1:73" ht="30" customHeight="1">
      <c r="A160" s="68">
        <v>157</v>
      </c>
      <c r="B160" s="96">
        <f>VLOOKUP(ReviewCalcs[[#This Row],[Project Index]], ProjectInput[], D$1, FALSE)</f>
        <v>0</v>
      </c>
      <c r="C160" s="97">
        <f>VLOOKUP(ReviewCalcs[[#This Row],[Project Index]], ProjectInput[], E$1, FALSE)</f>
        <v>0</v>
      </c>
      <c r="D160" s="97">
        <f>VLOOKUP(ReviewCalcs[[#This Row],[Project Index]], ProjectInput[], F$1, FALSE)</f>
        <v>0</v>
      </c>
      <c r="E160" s="97">
        <f>VLOOKUP(ReviewCalcs[[#This Row],[Project Index]], ProjectInput[], G$1, FALSE)</f>
        <v>0</v>
      </c>
      <c r="F160" s="97">
        <f>VLOOKUP(ReviewCalcs[[#This Row],[Project Index]], ProjectInput[], H$1, FALSE)</f>
        <v>0</v>
      </c>
      <c r="G160" s="98" t="str">
        <f>VLOOKUP(ReviewCalcs[[#This Row],[Project Index]], ProjectInput[], I$1, FALSE)</f>
        <v/>
      </c>
      <c r="H160" s="96">
        <f>VLOOKUP(ReviewCalcs[[#This Row],[Project Index]], ProjectInput[], J$1, FALSE)</f>
        <v>0</v>
      </c>
      <c r="I160" s="97">
        <f>VLOOKUP(ReviewCalcs[[#This Row],[Project Index]], ProjectInput[], K$1, FALSE)</f>
        <v>0</v>
      </c>
      <c r="J160" s="97">
        <f>VLOOKUP(ReviewCalcs[[#This Row],[Project Index]], ProjectInput[], L$1, FALSE)</f>
        <v>0</v>
      </c>
      <c r="K160" s="97">
        <f>VLOOKUP(ReviewCalcs[[#This Row],[Project Index]], ProjectInput[], M$1, FALSE)</f>
        <v>0</v>
      </c>
      <c r="L160" s="97">
        <f>VLOOKUP(ReviewCalcs[[#This Row],[Project Index]], ProjectInput[], N$1, FALSE)</f>
        <v>0</v>
      </c>
      <c r="M160" s="98" t="str">
        <f>VLOOKUP(ReviewCalcs[[#This Row],[Project Index]], ProjectInput[], O$1, FALSE)</f>
        <v/>
      </c>
      <c r="N160" s="96">
        <f>VLOOKUP(ReviewCalcs[[#This Row],[Project Index]], ProjectInput[], P$1, FALSE)</f>
        <v>0</v>
      </c>
      <c r="O160" s="97">
        <f>VLOOKUP(ReviewCalcs[[#This Row],[Project Index]], ProjectInput[], Q$1, FALSE)</f>
        <v>0</v>
      </c>
      <c r="P160" s="97">
        <f>VLOOKUP(ReviewCalcs[[#This Row],[Project Index]], ProjectInput[], R$1, FALSE)</f>
        <v>0</v>
      </c>
      <c r="Q160" s="97">
        <f>VLOOKUP(ReviewCalcs[[#This Row],[Project Index]], ProjectInput[], S$1, FALSE)</f>
        <v>0</v>
      </c>
      <c r="R160" s="97">
        <f>VLOOKUP(ReviewCalcs[[#This Row],[Project Index]], ProjectInput[], T$1, FALSE)</f>
        <v>0</v>
      </c>
      <c r="S160" s="97">
        <f>VLOOKUP(ReviewCalcs[[#This Row],[Project Index]], ProjectInput[], U$1, FALSE)</f>
        <v>0</v>
      </c>
      <c r="T160" s="97">
        <f>VLOOKUP(ReviewCalcs[[#This Row],[Project Index]], ProjectInput[], V$1, FALSE)</f>
        <v>0</v>
      </c>
      <c r="U160" s="97">
        <f>VLOOKUP(ReviewCalcs[[#This Row],[Project Index]], ProjectInput[], W$1, FALSE)</f>
        <v>0</v>
      </c>
      <c r="V160" s="98" t="str">
        <f>VLOOKUP(ReviewCalcs[[#This Row],[Project Index]], ProjectInput[], X$1, FALSE)</f>
        <v/>
      </c>
      <c r="W1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0" s="75" t="e">
        <f>IF(VLOOKUP(ReviewCalcs[[#This Row],[Proposed Fixture Code]], Table7[[FIXTURE CODE]:[Baseline Fixture Code]], 8, FALSE)="N", "ERROR", "PASS")</f>
        <v>#N/A</v>
      </c>
      <c r="Y1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0" s="75" t="e">
        <f>IF(OR(ReviewCalcs[[#This Row],[Baseline Fixture Watts]]&gt;=ReviewCalcs[[#This Row],[Proposed Fixture Watts]],ReviewCalcs[[#This Row],[Existing Fixture Watts]]&gt;=ReviewCalcs[[#This Row],[Proposed Fixture Watts]] ), "PASS", "ERROR")</f>
        <v>#N/A</v>
      </c>
      <c r="AA160" s="69" t="e">
        <f>VLOOKUP(ReviewCalcs[[#This Row],[Space Conditions]], Table_365[], 5, FALSE)</f>
        <v>#N/A</v>
      </c>
      <c r="AB160" s="68" t="str">
        <f>ReviewCalcs[[#This Row],[Annual Hours]]</f>
        <v/>
      </c>
      <c r="AC160" s="68" t="e">
        <f>VLOOKUP(ReviewCalcs[[#This Row],[Space Conditions]], Table_365[], 6, FALSE)</f>
        <v>#N/A</v>
      </c>
      <c r="AD160" s="68">
        <f>IF(ReviewCalcs[[#This Row],[Existing Control(s)]]='Tables &amp; Ranges'!$A$25, VLOOKUP(ReviewCalcs[[#This Row],[Building/Space Type]], Table_364[], 3, FALSE), CF_Contols)</f>
        <v>0.26</v>
      </c>
      <c r="AE160" s="68" t="e">
        <f>VLOOKUP(ReviewCalcs[[#This Row],[Existing Control(s)]], Table_358[], 2, FALSE)</f>
        <v>#N/A</v>
      </c>
      <c r="AF160" s="68">
        <f>IF(ReviewCalcs[[#This Row],[Proposed Control(s)]]='Tables &amp; Ranges'!$A$25, VLOOKUP(ReviewCalcs[[#This Row],[Building/Space Type]], Table_364[], 3, FALSE), CF_Contols)</f>
        <v>0.26</v>
      </c>
      <c r="AG160" s="68" t="e">
        <f>VLOOKUP(ReviewCalcs[[#This Row],[Proposed Control(s)]], Table_358[], 2, FALSE)</f>
        <v>#N/A</v>
      </c>
      <c r="AH160" s="68">
        <f>IFERROR((ReviewCalcs[[#This Row],[Existing Fixture Quantity]]*ReviewCalcs[[#This Row],[Existing Fixture Watts]]/1000)*ReviewCalcs[[#This Row],[Existing CF]]*ReviewCalcs[[#This Row],[IEFD]], 0)</f>
        <v>0</v>
      </c>
      <c r="AI160" s="68">
        <f>IFERROR((ReviewCalcs[[#This Row],[Proposed Fixture Quantity]]*ReviewCalcs[[#This Row],[Proposed Fixture Watts]]/1000)*ReviewCalcs[[#This Row],[Existing CF]]*ReviewCalcs[[#This Row],[IEFD]], 0)</f>
        <v>0</v>
      </c>
      <c r="AJ160" s="118">
        <f>IFERROR((ReviewCalcs[[#This Row],[Existing Fixture Quantity]]*ReviewCalcs[[#This Row],[Existing Fixture Watts]]/1000-ReviewCalcs[[#This Row],[Proposed Fixture Quantity]]*ReviewCalcs[[#This Row],[Proposed Fixture Watts]]/1000)*ReviewCalcs[[#This Row],[Existing CF]]*ReviewCalcs[[#This Row],[IEFD]], 0)</f>
        <v>0</v>
      </c>
      <c r="AK160" s="118">
        <f>IFERROR((ReviewCalcs[[#This Row],[Existing Fixture Quantity]]*ReviewCalcs[[#This Row],[Existing Fixture Watts]]/1000)*ReviewCalcs[[#This Row],[AOH]]*ReviewCalcs[[#This Row],[IEFE]]*ReviewCalcs[[#This Row],[Existing PAF]], 0)</f>
        <v>0</v>
      </c>
      <c r="AL160" s="118">
        <f>IFERROR((ReviewCalcs[[#This Row],[Proposed Fixture Quantity]]*ReviewCalcs[[#This Row],[Proposed Fixture Watts]]/1000)*ReviewCalcs[[#This Row],[AOH]]*ReviewCalcs[[#This Row],[IEFE]]*ReviewCalcs[[#This Row],[Existing PAF]], 0)</f>
        <v>0</v>
      </c>
      <c r="AM1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0" s="118">
        <f>ReviewCalcs[[#This Row],[Fixture Existing Energy (kWh)]]*Avg_KWh_Rate</f>
        <v>0</v>
      </c>
      <c r="AO160" s="118">
        <f>ReviewCalcs[[#This Row],[Fixture Proposed Energy (kWh)]]*Avg_KWh_Rate</f>
        <v>0</v>
      </c>
      <c r="AP160" s="70">
        <f>ReviewCalcs[[#This Row],[Fixture Energy Savings]]*Avg_KWh_Rate</f>
        <v>0</v>
      </c>
      <c r="AQ160" s="129" t="e">
        <f>ReviewCalcs[[#This Row],[Existing Fixture Quantity]]*ReviewCalcs[[#This Row],[Existing Fixture Watts]]/1000*ReviewCalcs[[#This Row],[Existing CF]]*ReviewCalcs[[#This Row],[IEFD]]</f>
        <v>#VALUE!</v>
      </c>
      <c r="AR160" s="129" t="e">
        <f>ReviewCalcs[[#This Row],[Proposed Fixture Quantity]]*ReviewCalcs[[#This Row],[Proposed Fixture Watts]]/1000*ReviewCalcs[[#This Row],[Proposed CF]]*ReviewCalcs[[#This Row],[IEFD]]</f>
        <v>#VALUE!</v>
      </c>
      <c r="AS160" s="118">
        <f>IF(ReviewCalcs[[#This Row],[Existing CF]]=ReviewCalcs[[#This Row],[Proposed CF]], 0, ReviewCalcs[[#This Row],[Proposed Fixture Quantity]]*ReviewCalcs[[#This Row],[Proposed Fixture Watts]]/1000*ReviewCalcs[[#This Row],[Proposed CF]]*ReviewCalcs[[#This Row],[IEFD]])</f>
        <v>0</v>
      </c>
      <c r="AT160" s="118">
        <f>IFERROR(ReviewCalcs[[#This Row],[Existing Fixture Quantity]]*ReviewCalcs[[#This Row],[Existing Fixture Watts]]/1000*ReviewCalcs[[#This Row],[Existing PAF]]*ReviewCalcs[[#This Row],[AOH]]*ReviewCalcs[[#This Row],[IEFE]], 0)</f>
        <v>0</v>
      </c>
      <c r="AU160" s="118">
        <f>IFERROR(ReviewCalcs[[#This Row],[Proposed Fixture Quantity]]*ReviewCalcs[[#This Row],[Proposed Fixture Watts]]/1000*ReviewCalcs[[#This Row],[Proposed PAF]]*ReviewCalcs[[#This Row],[AOH]]*ReviewCalcs[[#This Row],[IEFE]], 0)</f>
        <v>0</v>
      </c>
      <c r="AV160" s="118">
        <f>IFERROR(ReviewCalcs[[#This Row],[Proposed Fixture Quantity]]*ReviewCalcs[[#This Row],[Proposed Fixture Watts]]/1000*(ReviewCalcs[[#This Row],[Existing PAF]]-ReviewCalcs[[#This Row],[Proposed PAF]])*ReviewCalcs[[#This Row],[AOH]]*ReviewCalcs[[#This Row],[IEFE]], 0)</f>
        <v>0</v>
      </c>
      <c r="AW160" s="118">
        <f>ReviewCalcs[[#This Row],[Control Existing Energy (kWh)]]*kWh_Incentive_Rate</f>
        <v>0</v>
      </c>
      <c r="AX160" s="118">
        <f>ReviewCalcs[[#This Row],[Control Proposed Energy (kWh)]]*kWh_Incentive_Rate</f>
        <v>0</v>
      </c>
      <c r="AY160" s="70">
        <f>ReviewCalcs[[#This Row],[Control Energy Savings (kWh)]]*kWh_Incentive_Rate</f>
        <v>0</v>
      </c>
      <c r="AZ160" s="70" t="e">
        <f>ReviewCalcs[[#This Row],[Fixture Existing Demand (kW)]]+ReviewCalcs[[#This Row],[Control Existing Demand (kW)]]</f>
        <v>#VALUE!</v>
      </c>
      <c r="BA160" s="70" t="e">
        <f>ReviewCalcs[[#This Row],[Fixture Proposed Demand (kW)]]+ReviewCalcs[[#This Row],[Control Proposed Demand (kW)]]</f>
        <v>#VALUE!</v>
      </c>
      <c r="BB160" s="118">
        <f>ReviewCalcs[[#This Row],[Fixture Demand Savings (kW)]]+ReviewCalcs[[#This Row],[Control Demand Savings (kW)]]</f>
        <v>0</v>
      </c>
      <c r="BC160" s="118">
        <f>ReviewCalcs[[#This Row],[Fixture Existing Energy (kWh)]]+ReviewCalcs[[#This Row],[Control Existing Energy (kWh)]]</f>
        <v>0</v>
      </c>
      <c r="BD160" s="118">
        <f>ReviewCalcs[[#This Row],[Fixture Proposed Energy (kWh)]]+ReviewCalcs[[#This Row],[Control Proposed Energy (kWh)]]</f>
        <v>0</v>
      </c>
      <c r="BE160" s="118">
        <f>ReviewCalcs[[#This Row],[Fixture Energy Savings]]+ReviewCalcs[[#This Row],[Control Energy Savings (kWh)]]</f>
        <v>0</v>
      </c>
      <c r="BF160" s="118">
        <f>ReviewCalcs[[#This Row],[Fixture Existing Cost ($)]]+ReviewCalcs[[#This Row],[Control Existing Cost ($)]]</f>
        <v>0</v>
      </c>
      <c r="BG160" s="118">
        <f>ReviewCalcs[[#This Row],[Fixture Proposed Cost ($)]]+ReviewCalcs[[#This Row],[Controls Proposed Cost ($)]]</f>
        <v>0</v>
      </c>
      <c r="BH160" s="70">
        <f>ReviewCalcs[[#This Row],[Total Energy Savings (kWh)]]*Avg_KWh_Rate</f>
        <v>0</v>
      </c>
      <c r="BI1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0" s="70">
        <f>ReviewCalcs[[#This Row],[Retrofit Cost]]</f>
        <v>0</v>
      </c>
      <c r="BK160" s="70">
        <f>ReviewCalcs[[#This Row],[Retrofit Cost]]-ReviewCalcs[[#This Row],[Incentive ($)]]</f>
        <v>0</v>
      </c>
      <c r="BL160" s="118" t="e">
        <f>IFERROR(ReviewCalcs[[#This Row],[Net Project Cost ($)]]/ReviewCalcs[[#This Row],[Fixture Energy Cost Savings ($)]], #N/A)</f>
        <v>#N/A</v>
      </c>
      <c r="BM160" s="118" t="e">
        <f>IF(VLOOKUP(ReviewCalcs[[#This Row],[Existing Fixture Code]], Table7[[FIXTURE CODE]:[Baseline Fixture Code]], 8, FALSE)="N", VLOOKUP(ReviewCalcs[[#This Row],[Existing Fixture Code]], Table7[[FIXTURE CODE]:[Baseline Fixture Code]], 9, FALSE), ReviewCalcs[[#This Row],[Existing Fixture Code]])</f>
        <v>#N/A</v>
      </c>
      <c r="BN160" s="118" t="e">
        <f>INDEX(Table7[WATT/ FIXT], MATCH(ReviewCalcs[Baseline Fixture Code], Table7[FIXTURE CODE], 0))</f>
        <v>#N/A</v>
      </c>
      <c r="BO160" s="118">
        <f>IFERROR((ReviewCalcs[[#This Row],[Existing Fixture Quantity]]*ReviewCalcs[[#This Row],[Baseline Fixture Watts]]/1000-ReviewCalcs[[#This Row],[Proposed Fixture Quantity]]*ReviewCalcs[[#This Row],[Proposed Fixture Watts]]/1000)*ReviewCalcs[[#This Row],[Existing CF]]*ReviewCalcs[[#This Row],[IEFD]], 0)</f>
        <v>0</v>
      </c>
      <c r="BP1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0" s="118">
        <f>IF(ReviewCalcs[[#This Row],[Existing CF]]=ReviewCalcs[[#This Row],[Proposed CF]], 0, ReviewCalcs[[#This Row],[Proposed Fixture Quantity]]*ReviewCalcs[[#This Row],[Proposed Fixture Watts]]/1000*ReviewCalcs[[#This Row],[Proposed CF]]*ReviewCalcs[[#This Row],[IEFD]])</f>
        <v>0</v>
      </c>
      <c r="BR160" s="118">
        <f>IFERROR(ReviewCalcs[[#This Row],[Proposed Fixture Quantity]]*ReviewCalcs[[#This Row],[Proposed Fixture Watts]]/1000*(ReviewCalcs[[#This Row],[Existing PAF]]-ReviewCalcs[[#This Row],[Proposed PAF]])*ReviewCalcs[[#This Row],[AOH]]*ReviewCalcs[[#This Row],[IEFE]],0)</f>
        <v>0</v>
      </c>
      <c r="BS160" s="118">
        <f>ReviewCalcs[[#This Row],[Incentive Fixture Demand Savings (kW)]]+ReviewCalcs[[#This Row],[Incentive Control Demand Savings (kW)]]</f>
        <v>0</v>
      </c>
      <c r="BT160" s="118">
        <f>ReviewCalcs[[#This Row],[Incentive Fixture Energy Savings (kWh)]]+ReviewCalcs[[#This Row],[Incentive Control Energy Savings (kWh)]]</f>
        <v>0</v>
      </c>
      <c r="BU160" s="73"/>
    </row>
    <row r="161" spans="1:73" ht="30" customHeight="1">
      <c r="A161" s="68">
        <v>158</v>
      </c>
      <c r="B161" s="96">
        <f>VLOOKUP(ReviewCalcs[[#This Row],[Project Index]], ProjectInput[], D$1, FALSE)</f>
        <v>0</v>
      </c>
      <c r="C161" s="97">
        <f>VLOOKUP(ReviewCalcs[[#This Row],[Project Index]], ProjectInput[], E$1, FALSE)</f>
        <v>0</v>
      </c>
      <c r="D161" s="97">
        <f>VLOOKUP(ReviewCalcs[[#This Row],[Project Index]], ProjectInput[], F$1, FALSE)</f>
        <v>0</v>
      </c>
      <c r="E161" s="97">
        <f>VLOOKUP(ReviewCalcs[[#This Row],[Project Index]], ProjectInput[], G$1, FALSE)</f>
        <v>0</v>
      </c>
      <c r="F161" s="97">
        <f>VLOOKUP(ReviewCalcs[[#This Row],[Project Index]], ProjectInput[], H$1, FALSE)</f>
        <v>0</v>
      </c>
      <c r="G161" s="98" t="str">
        <f>VLOOKUP(ReviewCalcs[[#This Row],[Project Index]], ProjectInput[], I$1, FALSE)</f>
        <v/>
      </c>
      <c r="H161" s="96">
        <f>VLOOKUP(ReviewCalcs[[#This Row],[Project Index]], ProjectInput[], J$1, FALSE)</f>
        <v>0</v>
      </c>
      <c r="I161" s="97">
        <f>VLOOKUP(ReviewCalcs[[#This Row],[Project Index]], ProjectInput[], K$1, FALSE)</f>
        <v>0</v>
      </c>
      <c r="J161" s="97">
        <f>VLOOKUP(ReviewCalcs[[#This Row],[Project Index]], ProjectInput[], L$1, FALSE)</f>
        <v>0</v>
      </c>
      <c r="K161" s="97">
        <f>VLOOKUP(ReviewCalcs[[#This Row],[Project Index]], ProjectInput[], M$1, FALSE)</f>
        <v>0</v>
      </c>
      <c r="L161" s="97">
        <f>VLOOKUP(ReviewCalcs[[#This Row],[Project Index]], ProjectInput[], N$1, FALSE)</f>
        <v>0</v>
      </c>
      <c r="M161" s="98" t="str">
        <f>VLOOKUP(ReviewCalcs[[#This Row],[Project Index]], ProjectInput[], O$1, FALSE)</f>
        <v/>
      </c>
      <c r="N161" s="96">
        <f>VLOOKUP(ReviewCalcs[[#This Row],[Project Index]], ProjectInput[], P$1, FALSE)</f>
        <v>0</v>
      </c>
      <c r="O161" s="97">
        <f>VLOOKUP(ReviewCalcs[[#This Row],[Project Index]], ProjectInput[], Q$1, FALSE)</f>
        <v>0</v>
      </c>
      <c r="P161" s="97">
        <f>VLOOKUP(ReviewCalcs[[#This Row],[Project Index]], ProjectInput[], R$1, FALSE)</f>
        <v>0</v>
      </c>
      <c r="Q161" s="97">
        <f>VLOOKUP(ReviewCalcs[[#This Row],[Project Index]], ProjectInput[], S$1, FALSE)</f>
        <v>0</v>
      </c>
      <c r="R161" s="97">
        <f>VLOOKUP(ReviewCalcs[[#This Row],[Project Index]], ProjectInput[], T$1, FALSE)</f>
        <v>0</v>
      </c>
      <c r="S161" s="97">
        <f>VLOOKUP(ReviewCalcs[[#This Row],[Project Index]], ProjectInput[], U$1, FALSE)</f>
        <v>0</v>
      </c>
      <c r="T161" s="97">
        <f>VLOOKUP(ReviewCalcs[[#This Row],[Project Index]], ProjectInput[], V$1, FALSE)</f>
        <v>0</v>
      </c>
      <c r="U161" s="97">
        <f>VLOOKUP(ReviewCalcs[[#This Row],[Project Index]], ProjectInput[], W$1, FALSE)</f>
        <v>0</v>
      </c>
      <c r="V161" s="98" t="str">
        <f>VLOOKUP(ReviewCalcs[[#This Row],[Project Index]], ProjectInput[], X$1, FALSE)</f>
        <v/>
      </c>
      <c r="W1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1" s="75" t="e">
        <f>IF(VLOOKUP(ReviewCalcs[[#This Row],[Proposed Fixture Code]], Table7[[FIXTURE CODE]:[Baseline Fixture Code]], 8, FALSE)="N", "ERROR", "PASS")</f>
        <v>#N/A</v>
      </c>
      <c r="Y1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1" s="75" t="e">
        <f>IF(OR(ReviewCalcs[[#This Row],[Baseline Fixture Watts]]&gt;=ReviewCalcs[[#This Row],[Proposed Fixture Watts]],ReviewCalcs[[#This Row],[Existing Fixture Watts]]&gt;=ReviewCalcs[[#This Row],[Proposed Fixture Watts]] ), "PASS", "ERROR")</f>
        <v>#N/A</v>
      </c>
      <c r="AA161" s="69" t="e">
        <f>VLOOKUP(ReviewCalcs[[#This Row],[Space Conditions]], Table_365[], 5, FALSE)</f>
        <v>#N/A</v>
      </c>
      <c r="AB161" s="68" t="str">
        <f>ReviewCalcs[[#This Row],[Annual Hours]]</f>
        <v/>
      </c>
      <c r="AC161" s="68" t="e">
        <f>VLOOKUP(ReviewCalcs[[#This Row],[Space Conditions]], Table_365[], 6, FALSE)</f>
        <v>#N/A</v>
      </c>
      <c r="AD161" s="68">
        <f>IF(ReviewCalcs[[#This Row],[Existing Control(s)]]='Tables &amp; Ranges'!$A$25, VLOOKUP(ReviewCalcs[[#This Row],[Building/Space Type]], Table_364[], 3, FALSE), CF_Contols)</f>
        <v>0.26</v>
      </c>
      <c r="AE161" s="68" t="e">
        <f>VLOOKUP(ReviewCalcs[[#This Row],[Existing Control(s)]], Table_358[], 2, FALSE)</f>
        <v>#N/A</v>
      </c>
      <c r="AF161" s="68">
        <f>IF(ReviewCalcs[[#This Row],[Proposed Control(s)]]='Tables &amp; Ranges'!$A$25, VLOOKUP(ReviewCalcs[[#This Row],[Building/Space Type]], Table_364[], 3, FALSE), CF_Contols)</f>
        <v>0.26</v>
      </c>
      <c r="AG161" s="68" t="e">
        <f>VLOOKUP(ReviewCalcs[[#This Row],[Proposed Control(s)]], Table_358[], 2, FALSE)</f>
        <v>#N/A</v>
      </c>
      <c r="AH161" s="68">
        <f>IFERROR((ReviewCalcs[[#This Row],[Existing Fixture Quantity]]*ReviewCalcs[[#This Row],[Existing Fixture Watts]]/1000)*ReviewCalcs[[#This Row],[Existing CF]]*ReviewCalcs[[#This Row],[IEFD]], 0)</f>
        <v>0</v>
      </c>
      <c r="AI161" s="68">
        <f>IFERROR((ReviewCalcs[[#This Row],[Proposed Fixture Quantity]]*ReviewCalcs[[#This Row],[Proposed Fixture Watts]]/1000)*ReviewCalcs[[#This Row],[Existing CF]]*ReviewCalcs[[#This Row],[IEFD]], 0)</f>
        <v>0</v>
      </c>
      <c r="AJ161" s="118">
        <f>IFERROR((ReviewCalcs[[#This Row],[Existing Fixture Quantity]]*ReviewCalcs[[#This Row],[Existing Fixture Watts]]/1000-ReviewCalcs[[#This Row],[Proposed Fixture Quantity]]*ReviewCalcs[[#This Row],[Proposed Fixture Watts]]/1000)*ReviewCalcs[[#This Row],[Existing CF]]*ReviewCalcs[[#This Row],[IEFD]], 0)</f>
        <v>0</v>
      </c>
      <c r="AK161" s="118">
        <f>IFERROR((ReviewCalcs[[#This Row],[Existing Fixture Quantity]]*ReviewCalcs[[#This Row],[Existing Fixture Watts]]/1000)*ReviewCalcs[[#This Row],[AOH]]*ReviewCalcs[[#This Row],[IEFE]]*ReviewCalcs[[#This Row],[Existing PAF]], 0)</f>
        <v>0</v>
      </c>
      <c r="AL161" s="118">
        <f>IFERROR((ReviewCalcs[[#This Row],[Proposed Fixture Quantity]]*ReviewCalcs[[#This Row],[Proposed Fixture Watts]]/1000)*ReviewCalcs[[#This Row],[AOH]]*ReviewCalcs[[#This Row],[IEFE]]*ReviewCalcs[[#This Row],[Existing PAF]], 0)</f>
        <v>0</v>
      </c>
      <c r="AM1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1" s="118">
        <f>ReviewCalcs[[#This Row],[Fixture Existing Energy (kWh)]]*Avg_KWh_Rate</f>
        <v>0</v>
      </c>
      <c r="AO161" s="118">
        <f>ReviewCalcs[[#This Row],[Fixture Proposed Energy (kWh)]]*Avg_KWh_Rate</f>
        <v>0</v>
      </c>
      <c r="AP161" s="70">
        <f>ReviewCalcs[[#This Row],[Fixture Energy Savings]]*Avg_KWh_Rate</f>
        <v>0</v>
      </c>
      <c r="AQ161" s="129" t="e">
        <f>ReviewCalcs[[#This Row],[Existing Fixture Quantity]]*ReviewCalcs[[#This Row],[Existing Fixture Watts]]/1000*ReviewCalcs[[#This Row],[Existing CF]]*ReviewCalcs[[#This Row],[IEFD]]</f>
        <v>#VALUE!</v>
      </c>
      <c r="AR161" s="129" t="e">
        <f>ReviewCalcs[[#This Row],[Proposed Fixture Quantity]]*ReviewCalcs[[#This Row],[Proposed Fixture Watts]]/1000*ReviewCalcs[[#This Row],[Proposed CF]]*ReviewCalcs[[#This Row],[IEFD]]</f>
        <v>#VALUE!</v>
      </c>
      <c r="AS161" s="118">
        <f>IF(ReviewCalcs[[#This Row],[Existing CF]]=ReviewCalcs[[#This Row],[Proposed CF]], 0, ReviewCalcs[[#This Row],[Proposed Fixture Quantity]]*ReviewCalcs[[#This Row],[Proposed Fixture Watts]]/1000*ReviewCalcs[[#This Row],[Proposed CF]]*ReviewCalcs[[#This Row],[IEFD]])</f>
        <v>0</v>
      </c>
      <c r="AT161" s="118">
        <f>IFERROR(ReviewCalcs[[#This Row],[Existing Fixture Quantity]]*ReviewCalcs[[#This Row],[Existing Fixture Watts]]/1000*ReviewCalcs[[#This Row],[Existing PAF]]*ReviewCalcs[[#This Row],[AOH]]*ReviewCalcs[[#This Row],[IEFE]], 0)</f>
        <v>0</v>
      </c>
      <c r="AU161" s="118">
        <f>IFERROR(ReviewCalcs[[#This Row],[Proposed Fixture Quantity]]*ReviewCalcs[[#This Row],[Proposed Fixture Watts]]/1000*ReviewCalcs[[#This Row],[Proposed PAF]]*ReviewCalcs[[#This Row],[AOH]]*ReviewCalcs[[#This Row],[IEFE]], 0)</f>
        <v>0</v>
      </c>
      <c r="AV161" s="118">
        <f>IFERROR(ReviewCalcs[[#This Row],[Proposed Fixture Quantity]]*ReviewCalcs[[#This Row],[Proposed Fixture Watts]]/1000*(ReviewCalcs[[#This Row],[Existing PAF]]-ReviewCalcs[[#This Row],[Proposed PAF]])*ReviewCalcs[[#This Row],[AOH]]*ReviewCalcs[[#This Row],[IEFE]], 0)</f>
        <v>0</v>
      </c>
      <c r="AW161" s="118">
        <f>ReviewCalcs[[#This Row],[Control Existing Energy (kWh)]]*kWh_Incentive_Rate</f>
        <v>0</v>
      </c>
      <c r="AX161" s="118">
        <f>ReviewCalcs[[#This Row],[Control Proposed Energy (kWh)]]*kWh_Incentive_Rate</f>
        <v>0</v>
      </c>
      <c r="AY161" s="70">
        <f>ReviewCalcs[[#This Row],[Control Energy Savings (kWh)]]*kWh_Incentive_Rate</f>
        <v>0</v>
      </c>
      <c r="AZ161" s="70" t="e">
        <f>ReviewCalcs[[#This Row],[Fixture Existing Demand (kW)]]+ReviewCalcs[[#This Row],[Control Existing Demand (kW)]]</f>
        <v>#VALUE!</v>
      </c>
      <c r="BA161" s="70" t="e">
        <f>ReviewCalcs[[#This Row],[Fixture Proposed Demand (kW)]]+ReviewCalcs[[#This Row],[Control Proposed Demand (kW)]]</f>
        <v>#VALUE!</v>
      </c>
      <c r="BB161" s="118">
        <f>ReviewCalcs[[#This Row],[Fixture Demand Savings (kW)]]+ReviewCalcs[[#This Row],[Control Demand Savings (kW)]]</f>
        <v>0</v>
      </c>
      <c r="BC161" s="118">
        <f>ReviewCalcs[[#This Row],[Fixture Existing Energy (kWh)]]+ReviewCalcs[[#This Row],[Control Existing Energy (kWh)]]</f>
        <v>0</v>
      </c>
      <c r="BD161" s="118">
        <f>ReviewCalcs[[#This Row],[Fixture Proposed Energy (kWh)]]+ReviewCalcs[[#This Row],[Control Proposed Energy (kWh)]]</f>
        <v>0</v>
      </c>
      <c r="BE161" s="118">
        <f>ReviewCalcs[[#This Row],[Fixture Energy Savings]]+ReviewCalcs[[#This Row],[Control Energy Savings (kWh)]]</f>
        <v>0</v>
      </c>
      <c r="BF161" s="118">
        <f>ReviewCalcs[[#This Row],[Fixture Existing Cost ($)]]+ReviewCalcs[[#This Row],[Control Existing Cost ($)]]</f>
        <v>0</v>
      </c>
      <c r="BG161" s="118">
        <f>ReviewCalcs[[#This Row],[Fixture Proposed Cost ($)]]+ReviewCalcs[[#This Row],[Controls Proposed Cost ($)]]</f>
        <v>0</v>
      </c>
      <c r="BH161" s="70">
        <f>ReviewCalcs[[#This Row],[Total Energy Savings (kWh)]]*Avg_KWh_Rate</f>
        <v>0</v>
      </c>
      <c r="BI1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1" s="70">
        <f>ReviewCalcs[[#This Row],[Retrofit Cost]]</f>
        <v>0</v>
      </c>
      <c r="BK161" s="70">
        <f>ReviewCalcs[[#This Row],[Retrofit Cost]]-ReviewCalcs[[#This Row],[Incentive ($)]]</f>
        <v>0</v>
      </c>
      <c r="BL161" s="118" t="e">
        <f>IFERROR(ReviewCalcs[[#This Row],[Net Project Cost ($)]]/ReviewCalcs[[#This Row],[Fixture Energy Cost Savings ($)]], #N/A)</f>
        <v>#N/A</v>
      </c>
      <c r="BM161" s="118" t="e">
        <f>IF(VLOOKUP(ReviewCalcs[[#This Row],[Existing Fixture Code]], Table7[[FIXTURE CODE]:[Baseline Fixture Code]], 8, FALSE)="N", VLOOKUP(ReviewCalcs[[#This Row],[Existing Fixture Code]], Table7[[FIXTURE CODE]:[Baseline Fixture Code]], 9, FALSE), ReviewCalcs[[#This Row],[Existing Fixture Code]])</f>
        <v>#N/A</v>
      </c>
      <c r="BN161" s="118" t="e">
        <f>INDEX(Table7[WATT/ FIXT], MATCH(ReviewCalcs[Baseline Fixture Code], Table7[FIXTURE CODE], 0))</f>
        <v>#N/A</v>
      </c>
      <c r="BO161" s="118">
        <f>IFERROR((ReviewCalcs[[#This Row],[Existing Fixture Quantity]]*ReviewCalcs[[#This Row],[Baseline Fixture Watts]]/1000-ReviewCalcs[[#This Row],[Proposed Fixture Quantity]]*ReviewCalcs[[#This Row],[Proposed Fixture Watts]]/1000)*ReviewCalcs[[#This Row],[Existing CF]]*ReviewCalcs[[#This Row],[IEFD]], 0)</f>
        <v>0</v>
      </c>
      <c r="BP1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1" s="118">
        <f>IF(ReviewCalcs[[#This Row],[Existing CF]]=ReviewCalcs[[#This Row],[Proposed CF]], 0, ReviewCalcs[[#This Row],[Proposed Fixture Quantity]]*ReviewCalcs[[#This Row],[Proposed Fixture Watts]]/1000*ReviewCalcs[[#This Row],[Proposed CF]]*ReviewCalcs[[#This Row],[IEFD]])</f>
        <v>0</v>
      </c>
      <c r="BR161" s="118">
        <f>IFERROR(ReviewCalcs[[#This Row],[Proposed Fixture Quantity]]*ReviewCalcs[[#This Row],[Proposed Fixture Watts]]/1000*(ReviewCalcs[[#This Row],[Existing PAF]]-ReviewCalcs[[#This Row],[Proposed PAF]])*ReviewCalcs[[#This Row],[AOH]]*ReviewCalcs[[#This Row],[IEFE]],0)</f>
        <v>0</v>
      </c>
      <c r="BS161" s="118">
        <f>ReviewCalcs[[#This Row],[Incentive Fixture Demand Savings (kW)]]+ReviewCalcs[[#This Row],[Incentive Control Demand Savings (kW)]]</f>
        <v>0</v>
      </c>
      <c r="BT161" s="118">
        <f>ReviewCalcs[[#This Row],[Incentive Fixture Energy Savings (kWh)]]+ReviewCalcs[[#This Row],[Incentive Control Energy Savings (kWh)]]</f>
        <v>0</v>
      </c>
      <c r="BU161" s="73"/>
    </row>
    <row r="162" spans="1:73" ht="30" customHeight="1">
      <c r="A162" s="68">
        <v>159</v>
      </c>
      <c r="B162" s="96">
        <f>VLOOKUP(ReviewCalcs[[#This Row],[Project Index]], ProjectInput[], D$1, FALSE)</f>
        <v>0</v>
      </c>
      <c r="C162" s="97">
        <f>VLOOKUP(ReviewCalcs[[#This Row],[Project Index]], ProjectInput[], E$1, FALSE)</f>
        <v>0</v>
      </c>
      <c r="D162" s="97">
        <f>VLOOKUP(ReviewCalcs[[#This Row],[Project Index]], ProjectInput[], F$1, FALSE)</f>
        <v>0</v>
      </c>
      <c r="E162" s="97">
        <f>VLOOKUP(ReviewCalcs[[#This Row],[Project Index]], ProjectInput[], G$1, FALSE)</f>
        <v>0</v>
      </c>
      <c r="F162" s="97">
        <f>VLOOKUP(ReviewCalcs[[#This Row],[Project Index]], ProjectInput[], H$1, FALSE)</f>
        <v>0</v>
      </c>
      <c r="G162" s="98" t="str">
        <f>VLOOKUP(ReviewCalcs[[#This Row],[Project Index]], ProjectInput[], I$1, FALSE)</f>
        <v/>
      </c>
      <c r="H162" s="96">
        <f>VLOOKUP(ReviewCalcs[[#This Row],[Project Index]], ProjectInput[], J$1, FALSE)</f>
        <v>0</v>
      </c>
      <c r="I162" s="97">
        <f>VLOOKUP(ReviewCalcs[[#This Row],[Project Index]], ProjectInput[], K$1, FALSE)</f>
        <v>0</v>
      </c>
      <c r="J162" s="97">
        <f>VLOOKUP(ReviewCalcs[[#This Row],[Project Index]], ProjectInput[], L$1, FALSE)</f>
        <v>0</v>
      </c>
      <c r="K162" s="97">
        <f>VLOOKUP(ReviewCalcs[[#This Row],[Project Index]], ProjectInput[], M$1, FALSE)</f>
        <v>0</v>
      </c>
      <c r="L162" s="97">
        <f>VLOOKUP(ReviewCalcs[[#This Row],[Project Index]], ProjectInput[], N$1, FALSE)</f>
        <v>0</v>
      </c>
      <c r="M162" s="98" t="str">
        <f>VLOOKUP(ReviewCalcs[[#This Row],[Project Index]], ProjectInput[], O$1, FALSE)</f>
        <v/>
      </c>
      <c r="N162" s="96">
        <f>VLOOKUP(ReviewCalcs[[#This Row],[Project Index]], ProjectInput[], P$1, FALSE)</f>
        <v>0</v>
      </c>
      <c r="O162" s="97">
        <f>VLOOKUP(ReviewCalcs[[#This Row],[Project Index]], ProjectInput[], Q$1, FALSE)</f>
        <v>0</v>
      </c>
      <c r="P162" s="97">
        <f>VLOOKUP(ReviewCalcs[[#This Row],[Project Index]], ProjectInput[], R$1, FALSE)</f>
        <v>0</v>
      </c>
      <c r="Q162" s="97">
        <f>VLOOKUP(ReviewCalcs[[#This Row],[Project Index]], ProjectInput[], S$1, FALSE)</f>
        <v>0</v>
      </c>
      <c r="R162" s="97">
        <f>VLOOKUP(ReviewCalcs[[#This Row],[Project Index]], ProjectInput[], T$1, FALSE)</f>
        <v>0</v>
      </c>
      <c r="S162" s="97">
        <f>VLOOKUP(ReviewCalcs[[#This Row],[Project Index]], ProjectInput[], U$1, FALSE)</f>
        <v>0</v>
      </c>
      <c r="T162" s="97">
        <f>VLOOKUP(ReviewCalcs[[#This Row],[Project Index]], ProjectInput[], V$1, FALSE)</f>
        <v>0</v>
      </c>
      <c r="U162" s="97">
        <f>VLOOKUP(ReviewCalcs[[#This Row],[Project Index]], ProjectInput[], W$1, FALSE)</f>
        <v>0</v>
      </c>
      <c r="V162" s="98" t="str">
        <f>VLOOKUP(ReviewCalcs[[#This Row],[Project Index]], ProjectInput[], X$1, FALSE)</f>
        <v/>
      </c>
      <c r="W1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2" s="75" t="e">
        <f>IF(VLOOKUP(ReviewCalcs[[#This Row],[Proposed Fixture Code]], Table7[[FIXTURE CODE]:[Baseline Fixture Code]], 8, FALSE)="N", "ERROR", "PASS")</f>
        <v>#N/A</v>
      </c>
      <c r="Y1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2" s="75" t="e">
        <f>IF(OR(ReviewCalcs[[#This Row],[Baseline Fixture Watts]]&gt;=ReviewCalcs[[#This Row],[Proposed Fixture Watts]],ReviewCalcs[[#This Row],[Existing Fixture Watts]]&gt;=ReviewCalcs[[#This Row],[Proposed Fixture Watts]] ), "PASS", "ERROR")</f>
        <v>#N/A</v>
      </c>
      <c r="AA162" s="69" t="e">
        <f>VLOOKUP(ReviewCalcs[[#This Row],[Space Conditions]], Table_365[], 5, FALSE)</f>
        <v>#N/A</v>
      </c>
      <c r="AB162" s="68" t="str">
        <f>ReviewCalcs[[#This Row],[Annual Hours]]</f>
        <v/>
      </c>
      <c r="AC162" s="68" t="e">
        <f>VLOOKUP(ReviewCalcs[[#This Row],[Space Conditions]], Table_365[], 6, FALSE)</f>
        <v>#N/A</v>
      </c>
      <c r="AD162" s="68">
        <f>IF(ReviewCalcs[[#This Row],[Existing Control(s)]]='Tables &amp; Ranges'!$A$25, VLOOKUP(ReviewCalcs[[#This Row],[Building/Space Type]], Table_364[], 3, FALSE), CF_Contols)</f>
        <v>0.26</v>
      </c>
      <c r="AE162" s="68" t="e">
        <f>VLOOKUP(ReviewCalcs[[#This Row],[Existing Control(s)]], Table_358[], 2, FALSE)</f>
        <v>#N/A</v>
      </c>
      <c r="AF162" s="68">
        <f>IF(ReviewCalcs[[#This Row],[Proposed Control(s)]]='Tables &amp; Ranges'!$A$25, VLOOKUP(ReviewCalcs[[#This Row],[Building/Space Type]], Table_364[], 3, FALSE), CF_Contols)</f>
        <v>0.26</v>
      </c>
      <c r="AG162" s="68" t="e">
        <f>VLOOKUP(ReviewCalcs[[#This Row],[Proposed Control(s)]], Table_358[], 2, FALSE)</f>
        <v>#N/A</v>
      </c>
      <c r="AH162" s="68">
        <f>IFERROR((ReviewCalcs[[#This Row],[Existing Fixture Quantity]]*ReviewCalcs[[#This Row],[Existing Fixture Watts]]/1000)*ReviewCalcs[[#This Row],[Existing CF]]*ReviewCalcs[[#This Row],[IEFD]], 0)</f>
        <v>0</v>
      </c>
      <c r="AI162" s="68">
        <f>IFERROR((ReviewCalcs[[#This Row],[Proposed Fixture Quantity]]*ReviewCalcs[[#This Row],[Proposed Fixture Watts]]/1000)*ReviewCalcs[[#This Row],[Existing CF]]*ReviewCalcs[[#This Row],[IEFD]], 0)</f>
        <v>0</v>
      </c>
      <c r="AJ162" s="118">
        <f>IFERROR((ReviewCalcs[[#This Row],[Existing Fixture Quantity]]*ReviewCalcs[[#This Row],[Existing Fixture Watts]]/1000-ReviewCalcs[[#This Row],[Proposed Fixture Quantity]]*ReviewCalcs[[#This Row],[Proposed Fixture Watts]]/1000)*ReviewCalcs[[#This Row],[Existing CF]]*ReviewCalcs[[#This Row],[IEFD]], 0)</f>
        <v>0</v>
      </c>
      <c r="AK162" s="118">
        <f>IFERROR((ReviewCalcs[[#This Row],[Existing Fixture Quantity]]*ReviewCalcs[[#This Row],[Existing Fixture Watts]]/1000)*ReviewCalcs[[#This Row],[AOH]]*ReviewCalcs[[#This Row],[IEFE]]*ReviewCalcs[[#This Row],[Existing PAF]], 0)</f>
        <v>0</v>
      </c>
      <c r="AL162" s="118">
        <f>IFERROR((ReviewCalcs[[#This Row],[Proposed Fixture Quantity]]*ReviewCalcs[[#This Row],[Proposed Fixture Watts]]/1000)*ReviewCalcs[[#This Row],[AOH]]*ReviewCalcs[[#This Row],[IEFE]]*ReviewCalcs[[#This Row],[Existing PAF]], 0)</f>
        <v>0</v>
      </c>
      <c r="AM1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2" s="118">
        <f>ReviewCalcs[[#This Row],[Fixture Existing Energy (kWh)]]*Avg_KWh_Rate</f>
        <v>0</v>
      </c>
      <c r="AO162" s="118">
        <f>ReviewCalcs[[#This Row],[Fixture Proposed Energy (kWh)]]*Avg_KWh_Rate</f>
        <v>0</v>
      </c>
      <c r="AP162" s="70">
        <f>ReviewCalcs[[#This Row],[Fixture Energy Savings]]*Avg_KWh_Rate</f>
        <v>0</v>
      </c>
      <c r="AQ162" s="129" t="e">
        <f>ReviewCalcs[[#This Row],[Existing Fixture Quantity]]*ReviewCalcs[[#This Row],[Existing Fixture Watts]]/1000*ReviewCalcs[[#This Row],[Existing CF]]*ReviewCalcs[[#This Row],[IEFD]]</f>
        <v>#VALUE!</v>
      </c>
      <c r="AR162" s="129" t="e">
        <f>ReviewCalcs[[#This Row],[Proposed Fixture Quantity]]*ReviewCalcs[[#This Row],[Proposed Fixture Watts]]/1000*ReviewCalcs[[#This Row],[Proposed CF]]*ReviewCalcs[[#This Row],[IEFD]]</f>
        <v>#VALUE!</v>
      </c>
      <c r="AS162" s="118">
        <f>IF(ReviewCalcs[[#This Row],[Existing CF]]=ReviewCalcs[[#This Row],[Proposed CF]], 0, ReviewCalcs[[#This Row],[Proposed Fixture Quantity]]*ReviewCalcs[[#This Row],[Proposed Fixture Watts]]/1000*ReviewCalcs[[#This Row],[Proposed CF]]*ReviewCalcs[[#This Row],[IEFD]])</f>
        <v>0</v>
      </c>
      <c r="AT162" s="118">
        <f>IFERROR(ReviewCalcs[[#This Row],[Existing Fixture Quantity]]*ReviewCalcs[[#This Row],[Existing Fixture Watts]]/1000*ReviewCalcs[[#This Row],[Existing PAF]]*ReviewCalcs[[#This Row],[AOH]]*ReviewCalcs[[#This Row],[IEFE]], 0)</f>
        <v>0</v>
      </c>
      <c r="AU162" s="118">
        <f>IFERROR(ReviewCalcs[[#This Row],[Proposed Fixture Quantity]]*ReviewCalcs[[#This Row],[Proposed Fixture Watts]]/1000*ReviewCalcs[[#This Row],[Proposed PAF]]*ReviewCalcs[[#This Row],[AOH]]*ReviewCalcs[[#This Row],[IEFE]], 0)</f>
        <v>0</v>
      </c>
      <c r="AV162" s="118">
        <f>IFERROR(ReviewCalcs[[#This Row],[Proposed Fixture Quantity]]*ReviewCalcs[[#This Row],[Proposed Fixture Watts]]/1000*(ReviewCalcs[[#This Row],[Existing PAF]]-ReviewCalcs[[#This Row],[Proposed PAF]])*ReviewCalcs[[#This Row],[AOH]]*ReviewCalcs[[#This Row],[IEFE]], 0)</f>
        <v>0</v>
      </c>
      <c r="AW162" s="118">
        <f>ReviewCalcs[[#This Row],[Control Existing Energy (kWh)]]*kWh_Incentive_Rate</f>
        <v>0</v>
      </c>
      <c r="AX162" s="118">
        <f>ReviewCalcs[[#This Row],[Control Proposed Energy (kWh)]]*kWh_Incentive_Rate</f>
        <v>0</v>
      </c>
      <c r="AY162" s="70">
        <f>ReviewCalcs[[#This Row],[Control Energy Savings (kWh)]]*kWh_Incentive_Rate</f>
        <v>0</v>
      </c>
      <c r="AZ162" s="70" t="e">
        <f>ReviewCalcs[[#This Row],[Fixture Existing Demand (kW)]]+ReviewCalcs[[#This Row],[Control Existing Demand (kW)]]</f>
        <v>#VALUE!</v>
      </c>
      <c r="BA162" s="70" t="e">
        <f>ReviewCalcs[[#This Row],[Fixture Proposed Demand (kW)]]+ReviewCalcs[[#This Row],[Control Proposed Demand (kW)]]</f>
        <v>#VALUE!</v>
      </c>
      <c r="BB162" s="118">
        <f>ReviewCalcs[[#This Row],[Fixture Demand Savings (kW)]]+ReviewCalcs[[#This Row],[Control Demand Savings (kW)]]</f>
        <v>0</v>
      </c>
      <c r="BC162" s="118">
        <f>ReviewCalcs[[#This Row],[Fixture Existing Energy (kWh)]]+ReviewCalcs[[#This Row],[Control Existing Energy (kWh)]]</f>
        <v>0</v>
      </c>
      <c r="BD162" s="118">
        <f>ReviewCalcs[[#This Row],[Fixture Proposed Energy (kWh)]]+ReviewCalcs[[#This Row],[Control Proposed Energy (kWh)]]</f>
        <v>0</v>
      </c>
      <c r="BE162" s="118">
        <f>ReviewCalcs[[#This Row],[Fixture Energy Savings]]+ReviewCalcs[[#This Row],[Control Energy Savings (kWh)]]</f>
        <v>0</v>
      </c>
      <c r="BF162" s="118">
        <f>ReviewCalcs[[#This Row],[Fixture Existing Cost ($)]]+ReviewCalcs[[#This Row],[Control Existing Cost ($)]]</f>
        <v>0</v>
      </c>
      <c r="BG162" s="118">
        <f>ReviewCalcs[[#This Row],[Fixture Proposed Cost ($)]]+ReviewCalcs[[#This Row],[Controls Proposed Cost ($)]]</f>
        <v>0</v>
      </c>
      <c r="BH162" s="70">
        <f>ReviewCalcs[[#This Row],[Total Energy Savings (kWh)]]*Avg_KWh_Rate</f>
        <v>0</v>
      </c>
      <c r="BI1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2" s="70">
        <f>ReviewCalcs[[#This Row],[Retrofit Cost]]</f>
        <v>0</v>
      </c>
      <c r="BK162" s="70">
        <f>ReviewCalcs[[#This Row],[Retrofit Cost]]-ReviewCalcs[[#This Row],[Incentive ($)]]</f>
        <v>0</v>
      </c>
      <c r="BL162" s="118" t="e">
        <f>IFERROR(ReviewCalcs[[#This Row],[Net Project Cost ($)]]/ReviewCalcs[[#This Row],[Fixture Energy Cost Savings ($)]], #N/A)</f>
        <v>#N/A</v>
      </c>
      <c r="BM162" s="118" t="e">
        <f>IF(VLOOKUP(ReviewCalcs[[#This Row],[Existing Fixture Code]], Table7[[FIXTURE CODE]:[Baseline Fixture Code]], 8, FALSE)="N", VLOOKUP(ReviewCalcs[[#This Row],[Existing Fixture Code]], Table7[[FIXTURE CODE]:[Baseline Fixture Code]], 9, FALSE), ReviewCalcs[[#This Row],[Existing Fixture Code]])</f>
        <v>#N/A</v>
      </c>
      <c r="BN162" s="118" t="e">
        <f>INDEX(Table7[WATT/ FIXT], MATCH(ReviewCalcs[Baseline Fixture Code], Table7[FIXTURE CODE], 0))</f>
        <v>#N/A</v>
      </c>
      <c r="BO162" s="118">
        <f>IFERROR((ReviewCalcs[[#This Row],[Existing Fixture Quantity]]*ReviewCalcs[[#This Row],[Baseline Fixture Watts]]/1000-ReviewCalcs[[#This Row],[Proposed Fixture Quantity]]*ReviewCalcs[[#This Row],[Proposed Fixture Watts]]/1000)*ReviewCalcs[[#This Row],[Existing CF]]*ReviewCalcs[[#This Row],[IEFD]], 0)</f>
        <v>0</v>
      </c>
      <c r="BP1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2" s="118">
        <f>IF(ReviewCalcs[[#This Row],[Existing CF]]=ReviewCalcs[[#This Row],[Proposed CF]], 0, ReviewCalcs[[#This Row],[Proposed Fixture Quantity]]*ReviewCalcs[[#This Row],[Proposed Fixture Watts]]/1000*ReviewCalcs[[#This Row],[Proposed CF]]*ReviewCalcs[[#This Row],[IEFD]])</f>
        <v>0</v>
      </c>
      <c r="BR162" s="118">
        <f>IFERROR(ReviewCalcs[[#This Row],[Proposed Fixture Quantity]]*ReviewCalcs[[#This Row],[Proposed Fixture Watts]]/1000*(ReviewCalcs[[#This Row],[Existing PAF]]-ReviewCalcs[[#This Row],[Proposed PAF]])*ReviewCalcs[[#This Row],[AOH]]*ReviewCalcs[[#This Row],[IEFE]],0)</f>
        <v>0</v>
      </c>
      <c r="BS162" s="118">
        <f>ReviewCalcs[[#This Row],[Incentive Fixture Demand Savings (kW)]]+ReviewCalcs[[#This Row],[Incentive Control Demand Savings (kW)]]</f>
        <v>0</v>
      </c>
      <c r="BT162" s="118">
        <f>ReviewCalcs[[#This Row],[Incentive Fixture Energy Savings (kWh)]]+ReviewCalcs[[#This Row],[Incentive Control Energy Savings (kWh)]]</f>
        <v>0</v>
      </c>
      <c r="BU162" s="73"/>
    </row>
    <row r="163" spans="1:73" ht="30" customHeight="1">
      <c r="A163" s="68">
        <v>160</v>
      </c>
      <c r="B163" s="96">
        <f>VLOOKUP(ReviewCalcs[[#This Row],[Project Index]], ProjectInput[], D$1, FALSE)</f>
        <v>0</v>
      </c>
      <c r="C163" s="97">
        <f>VLOOKUP(ReviewCalcs[[#This Row],[Project Index]], ProjectInput[], E$1, FALSE)</f>
        <v>0</v>
      </c>
      <c r="D163" s="97">
        <f>VLOOKUP(ReviewCalcs[[#This Row],[Project Index]], ProjectInput[], F$1, FALSE)</f>
        <v>0</v>
      </c>
      <c r="E163" s="97">
        <f>VLOOKUP(ReviewCalcs[[#This Row],[Project Index]], ProjectInput[], G$1, FALSE)</f>
        <v>0</v>
      </c>
      <c r="F163" s="97">
        <f>VLOOKUP(ReviewCalcs[[#This Row],[Project Index]], ProjectInput[], H$1, FALSE)</f>
        <v>0</v>
      </c>
      <c r="G163" s="98" t="str">
        <f>VLOOKUP(ReviewCalcs[[#This Row],[Project Index]], ProjectInput[], I$1, FALSE)</f>
        <v/>
      </c>
      <c r="H163" s="96">
        <f>VLOOKUP(ReviewCalcs[[#This Row],[Project Index]], ProjectInput[], J$1, FALSE)</f>
        <v>0</v>
      </c>
      <c r="I163" s="97">
        <f>VLOOKUP(ReviewCalcs[[#This Row],[Project Index]], ProjectInput[], K$1, FALSE)</f>
        <v>0</v>
      </c>
      <c r="J163" s="97">
        <f>VLOOKUP(ReviewCalcs[[#This Row],[Project Index]], ProjectInput[], L$1, FALSE)</f>
        <v>0</v>
      </c>
      <c r="K163" s="97">
        <f>VLOOKUP(ReviewCalcs[[#This Row],[Project Index]], ProjectInput[], M$1, FALSE)</f>
        <v>0</v>
      </c>
      <c r="L163" s="97">
        <f>VLOOKUP(ReviewCalcs[[#This Row],[Project Index]], ProjectInput[], N$1, FALSE)</f>
        <v>0</v>
      </c>
      <c r="M163" s="98" t="str">
        <f>VLOOKUP(ReviewCalcs[[#This Row],[Project Index]], ProjectInput[], O$1, FALSE)</f>
        <v/>
      </c>
      <c r="N163" s="96">
        <f>VLOOKUP(ReviewCalcs[[#This Row],[Project Index]], ProjectInput[], P$1, FALSE)</f>
        <v>0</v>
      </c>
      <c r="O163" s="97">
        <f>VLOOKUP(ReviewCalcs[[#This Row],[Project Index]], ProjectInput[], Q$1, FALSE)</f>
        <v>0</v>
      </c>
      <c r="P163" s="97">
        <f>VLOOKUP(ReviewCalcs[[#This Row],[Project Index]], ProjectInput[], R$1, FALSE)</f>
        <v>0</v>
      </c>
      <c r="Q163" s="97">
        <f>VLOOKUP(ReviewCalcs[[#This Row],[Project Index]], ProjectInput[], S$1, FALSE)</f>
        <v>0</v>
      </c>
      <c r="R163" s="97">
        <f>VLOOKUP(ReviewCalcs[[#This Row],[Project Index]], ProjectInput[], T$1, FALSE)</f>
        <v>0</v>
      </c>
      <c r="S163" s="97">
        <f>VLOOKUP(ReviewCalcs[[#This Row],[Project Index]], ProjectInput[], U$1, FALSE)</f>
        <v>0</v>
      </c>
      <c r="T163" s="97">
        <f>VLOOKUP(ReviewCalcs[[#This Row],[Project Index]], ProjectInput[], V$1, FALSE)</f>
        <v>0</v>
      </c>
      <c r="U163" s="97">
        <f>VLOOKUP(ReviewCalcs[[#This Row],[Project Index]], ProjectInput[], W$1, FALSE)</f>
        <v>0</v>
      </c>
      <c r="V163" s="98" t="str">
        <f>VLOOKUP(ReviewCalcs[[#This Row],[Project Index]], ProjectInput[], X$1, FALSE)</f>
        <v/>
      </c>
      <c r="W1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3" s="75" t="e">
        <f>IF(VLOOKUP(ReviewCalcs[[#This Row],[Proposed Fixture Code]], Table7[[FIXTURE CODE]:[Baseline Fixture Code]], 8, FALSE)="N", "ERROR", "PASS")</f>
        <v>#N/A</v>
      </c>
      <c r="Y1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3" s="75" t="e">
        <f>IF(OR(ReviewCalcs[[#This Row],[Baseline Fixture Watts]]&gt;=ReviewCalcs[[#This Row],[Proposed Fixture Watts]],ReviewCalcs[[#This Row],[Existing Fixture Watts]]&gt;=ReviewCalcs[[#This Row],[Proposed Fixture Watts]] ), "PASS", "ERROR")</f>
        <v>#N/A</v>
      </c>
      <c r="AA163" s="69" t="e">
        <f>VLOOKUP(ReviewCalcs[[#This Row],[Space Conditions]], Table_365[], 5, FALSE)</f>
        <v>#N/A</v>
      </c>
      <c r="AB163" s="68" t="str">
        <f>ReviewCalcs[[#This Row],[Annual Hours]]</f>
        <v/>
      </c>
      <c r="AC163" s="68" t="e">
        <f>VLOOKUP(ReviewCalcs[[#This Row],[Space Conditions]], Table_365[], 6, FALSE)</f>
        <v>#N/A</v>
      </c>
      <c r="AD163" s="68">
        <f>IF(ReviewCalcs[[#This Row],[Existing Control(s)]]='Tables &amp; Ranges'!$A$25, VLOOKUP(ReviewCalcs[[#This Row],[Building/Space Type]], Table_364[], 3, FALSE), CF_Contols)</f>
        <v>0.26</v>
      </c>
      <c r="AE163" s="68" t="e">
        <f>VLOOKUP(ReviewCalcs[[#This Row],[Existing Control(s)]], Table_358[], 2, FALSE)</f>
        <v>#N/A</v>
      </c>
      <c r="AF163" s="68">
        <f>IF(ReviewCalcs[[#This Row],[Proposed Control(s)]]='Tables &amp; Ranges'!$A$25, VLOOKUP(ReviewCalcs[[#This Row],[Building/Space Type]], Table_364[], 3, FALSE), CF_Contols)</f>
        <v>0.26</v>
      </c>
      <c r="AG163" s="68" t="e">
        <f>VLOOKUP(ReviewCalcs[[#This Row],[Proposed Control(s)]], Table_358[], 2, FALSE)</f>
        <v>#N/A</v>
      </c>
      <c r="AH163" s="68">
        <f>IFERROR((ReviewCalcs[[#This Row],[Existing Fixture Quantity]]*ReviewCalcs[[#This Row],[Existing Fixture Watts]]/1000)*ReviewCalcs[[#This Row],[Existing CF]]*ReviewCalcs[[#This Row],[IEFD]], 0)</f>
        <v>0</v>
      </c>
      <c r="AI163" s="68">
        <f>IFERROR((ReviewCalcs[[#This Row],[Proposed Fixture Quantity]]*ReviewCalcs[[#This Row],[Proposed Fixture Watts]]/1000)*ReviewCalcs[[#This Row],[Existing CF]]*ReviewCalcs[[#This Row],[IEFD]], 0)</f>
        <v>0</v>
      </c>
      <c r="AJ163" s="118">
        <f>IFERROR((ReviewCalcs[[#This Row],[Existing Fixture Quantity]]*ReviewCalcs[[#This Row],[Existing Fixture Watts]]/1000-ReviewCalcs[[#This Row],[Proposed Fixture Quantity]]*ReviewCalcs[[#This Row],[Proposed Fixture Watts]]/1000)*ReviewCalcs[[#This Row],[Existing CF]]*ReviewCalcs[[#This Row],[IEFD]], 0)</f>
        <v>0</v>
      </c>
      <c r="AK163" s="118">
        <f>IFERROR((ReviewCalcs[[#This Row],[Existing Fixture Quantity]]*ReviewCalcs[[#This Row],[Existing Fixture Watts]]/1000)*ReviewCalcs[[#This Row],[AOH]]*ReviewCalcs[[#This Row],[IEFE]]*ReviewCalcs[[#This Row],[Existing PAF]], 0)</f>
        <v>0</v>
      </c>
      <c r="AL163" s="118">
        <f>IFERROR((ReviewCalcs[[#This Row],[Proposed Fixture Quantity]]*ReviewCalcs[[#This Row],[Proposed Fixture Watts]]/1000)*ReviewCalcs[[#This Row],[AOH]]*ReviewCalcs[[#This Row],[IEFE]]*ReviewCalcs[[#This Row],[Existing PAF]], 0)</f>
        <v>0</v>
      </c>
      <c r="AM1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3" s="118">
        <f>ReviewCalcs[[#This Row],[Fixture Existing Energy (kWh)]]*Avg_KWh_Rate</f>
        <v>0</v>
      </c>
      <c r="AO163" s="118">
        <f>ReviewCalcs[[#This Row],[Fixture Proposed Energy (kWh)]]*Avg_KWh_Rate</f>
        <v>0</v>
      </c>
      <c r="AP163" s="70">
        <f>ReviewCalcs[[#This Row],[Fixture Energy Savings]]*Avg_KWh_Rate</f>
        <v>0</v>
      </c>
      <c r="AQ163" s="129" t="e">
        <f>ReviewCalcs[[#This Row],[Existing Fixture Quantity]]*ReviewCalcs[[#This Row],[Existing Fixture Watts]]/1000*ReviewCalcs[[#This Row],[Existing CF]]*ReviewCalcs[[#This Row],[IEFD]]</f>
        <v>#VALUE!</v>
      </c>
      <c r="AR163" s="129" t="e">
        <f>ReviewCalcs[[#This Row],[Proposed Fixture Quantity]]*ReviewCalcs[[#This Row],[Proposed Fixture Watts]]/1000*ReviewCalcs[[#This Row],[Proposed CF]]*ReviewCalcs[[#This Row],[IEFD]]</f>
        <v>#VALUE!</v>
      </c>
      <c r="AS163" s="118">
        <f>IF(ReviewCalcs[[#This Row],[Existing CF]]=ReviewCalcs[[#This Row],[Proposed CF]], 0, ReviewCalcs[[#This Row],[Proposed Fixture Quantity]]*ReviewCalcs[[#This Row],[Proposed Fixture Watts]]/1000*ReviewCalcs[[#This Row],[Proposed CF]]*ReviewCalcs[[#This Row],[IEFD]])</f>
        <v>0</v>
      </c>
      <c r="AT163" s="118">
        <f>IFERROR(ReviewCalcs[[#This Row],[Existing Fixture Quantity]]*ReviewCalcs[[#This Row],[Existing Fixture Watts]]/1000*ReviewCalcs[[#This Row],[Existing PAF]]*ReviewCalcs[[#This Row],[AOH]]*ReviewCalcs[[#This Row],[IEFE]], 0)</f>
        <v>0</v>
      </c>
      <c r="AU163" s="118">
        <f>IFERROR(ReviewCalcs[[#This Row],[Proposed Fixture Quantity]]*ReviewCalcs[[#This Row],[Proposed Fixture Watts]]/1000*ReviewCalcs[[#This Row],[Proposed PAF]]*ReviewCalcs[[#This Row],[AOH]]*ReviewCalcs[[#This Row],[IEFE]], 0)</f>
        <v>0</v>
      </c>
      <c r="AV163" s="118">
        <f>IFERROR(ReviewCalcs[[#This Row],[Proposed Fixture Quantity]]*ReviewCalcs[[#This Row],[Proposed Fixture Watts]]/1000*(ReviewCalcs[[#This Row],[Existing PAF]]-ReviewCalcs[[#This Row],[Proposed PAF]])*ReviewCalcs[[#This Row],[AOH]]*ReviewCalcs[[#This Row],[IEFE]], 0)</f>
        <v>0</v>
      </c>
      <c r="AW163" s="118">
        <f>ReviewCalcs[[#This Row],[Control Existing Energy (kWh)]]*kWh_Incentive_Rate</f>
        <v>0</v>
      </c>
      <c r="AX163" s="118">
        <f>ReviewCalcs[[#This Row],[Control Proposed Energy (kWh)]]*kWh_Incentive_Rate</f>
        <v>0</v>
      </c>
      <c r="AY163" s="70">
        <f>ReviewCalcs[[#This Row],[Control Energy Savings (kWh)]]*kWh_Incentive_Rate</f>
        <v>0</v>
      </c>
      <c r="AZ163" s="70" t="e">
        <f>ReviewCalcs[[#This Row],[Fixture Existing Demand (kW)]]+ReviewCalcs[[#This Row],[Control Existing Demand (kW)]]</f>
        <v>#VALUE!</v>
      </c>
      <c r="BA163" s="70" t="e">
        <f>ReviewCalcs[[#This Row],[Fixture Proposed Demand (kW)]]+ReviewCalcs[[#This Row],[Control Proposed Demand (kW)]]</f>
        <v>#VALUE!</v>
      </c>
      <c r="BB163" s="118">
        <f>ReviewCalcs[[#This Row],[Fixture Demand Savings (kW)]]+ReviewCalcs[[#This Row],[Control Demand Savings (kW)]]</f>
        <v>0</v>
      </c>
      <c r="BC163" s="118">
        <f>ReviewCalcs[[#This Row],[Fixture Existing Energy (kWh)]]+ReviewCalcs[[#This Row],[Control Existing Energy (kWh)]]</f>
        <v>0</v>
      </c>
      <c r="BD163" s="118">
        <f>ReviewCalcs[[#This Row],[Fixture Proposed Energy (kWh)]]+ReviewCalcs[[#This Row],[Control Proposed Energy (kWh)]]</f>
        <v>0</v>
      </c>
      <c r="BE163" s="118">
        <f>ReviewCalcs[[#This Row],[Fixture Energy Savings]]+ReviewCalcs[[#This Row],[Control Energy Savings (kWh)]]</f>
        <v>0</v>
      </c>
      <c r="BF163" s="118">
        <f>ReviewCalcs[[#This Row],[Fixture Existing Cost ($)]]+ReviewCalcs[[#This Row],[Control Existing Cost ($)]]</f>
        <v>0</v>
      </c>
      <c r="BG163" s="118">
        <f>ReviewCalcs[[#This Row],[Fixture Proposed Cost ($)]]+ReviewCalcs[[#This Row],[Controls Proposed Cost ($)]]</f>
        <v>0</v>
      </c>
      <c r="BH163" s="70">
        <f>ReviewCalcs[[#This Row],[Total Energy Savings (kWh)]]*Avg_KWh_Rate</f>
        <v>0</v>
      </c>
      <c r="BI1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3" s="70">
        <f>ReviewCalcs[[#This Row],[Retrofit Cost]]</f>
        <v>0</v>
      </c>
      <c r="BK163" s="70">
        <f>ReviewCalcs[[#This Row],[Retrofit Cost]]-ReviewCalcs[[#This Row],[Incentive ($)]]</f>
        <v>0</v>
      </c>
      <c r="BL163" s="118" t="e">
        <f>IFERROR(ReviewCalcs[[#This Row],[Net Project Cost ($)]]/ReviewCalcs[[#This Row],[Fixture Energy Cost Savings ($)]], #N/A)</f>
        <v>#N/A</v>
      </c>
      <c r="BM163" s="118" t="e">
        <f>IF(VLOOKUP(ReviewCalcs[[#This Row],[Existing Fixture Code]], Table7[[FIXTURE CODE]:[Baseline Fixture Code]], 8, FALSE)="N", VLOOKUP(ReviewCalcs[[#This Row],[Existing Fixture Code]], Table7[[FIXTURE CODE]:[Baseline Fixture Code]], 9, FALSE), ReviewCalcs[[#This Row],[Existing Fixture Code]])</f>
        <v>#N/A</v>
      </c>
      <c r="BN163" s="118" t="e">
        <f>INDEX(Table7[WATT/ FIXT], MATCH(ReviewCalcs[Baseline Fixture Code], Table7[FIXTURE CODE], 0))</f>
        <v>#N/A</v>
      </c>
      <c r="BO163" s="118">
        <f>IFERROR((ReviewCalcs[[#This Row],[Existing Fixture Quantity]]*ReviewCalcs[[#This Row],[Baseline Fixture Watts]]/1000-ReviewCalcs[[#This Row],[Proposed Fixture Quantity]]*ReviewCalcs[[#This Row],[Proposed Fixture Watts]]/1000)*ReviewCalcs[[#This Row],[Existing CF]]*ReviewCalcs[[#This Row],[IEFD]], 0)</f>
        <v>0</v>
      </c>
      <c r="BP1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3" s="118">
        <f>IF(ReviewCalcs[[#This Row],[Existing CF]]=ReviewCalcs[[#This Row],[Proposed CF]], 0, ReviewCalcs[[#This Row],[Proposed Fixture Quantity]]*ReviewCalcs[[#This Row],[Proposed Fixture Watts]]/1000*ReviewCalcs[[#This Row],[Proposed CF]]*ReviewCalcs[[#This Row],[IEFD]])</f>
        <v>0</v>
      </c>
      <c r="BR163" s="118">
        <f>IFERROR(ReviewCalcs[[#This Row],[Proposed Fixture Quantity]]*ReviewCalcs[[#This Row],[Proposed Fixture Watts]]/1000*(ReviewCalcs[[#This Row],[Existing PAF]]-ReviewCalcs[[#This Row],[Proposed PAF]])*ReviewCalcs[[#This Row],[AOH]]*ReviewCalcs[[#This Row],[IEFE]],0)</f>
        <v>0</v>
      </c>
      <c r="BS163" s="118">
        <f>ReviewCalcs[[#This Row],[Incentive Fixture Demand Savings (kW)]]+ReviewCalcs[[#This Row],[Incentive Control Demand Savings (kW)]]</f>
        <v>0</v>
      </c>
      <c r="BT163" s="118">
        <f>ReviewCalcs[[#This Row],[Incentive Fixture Energy Savings (kWh)]]+ReviewCalcs[[#This Row],[Incentive Control Energy Savings (kWh)]]</f>
        <v>0</v>
      </c>
      <c r="BU163" s="73"/>
    </row>
    <row r="164" spans="1:73" ht="30" customHeight="1">
      <c r="A164" s="68">
        <v>161</v>
      </c>
      <c r="B164" s="96">
        <f>VLOOKUP(ReviewCalcs[[#This Row],[Project Index]], ProjectInput[], D$1, FALSE)</f>
        <v>0</v>
      </c>
      <c r="C164" s="97">
        <f>VLOOKUP(ReviewCalcs[[#This Row],[Project Index]], ProjectInput[], E$1, FALSE)</f>
        <v>0</v>
      </c>
      <c r="D164" s="97">
        <f>VLOOKUP(ReviewCalcs[[#This Row],[Project Index]], ProjectInput[], F$1, FALSE)</f>
        <v>0</v>
      </c>
      <c r="E164" s="97">
        <f>VLOOKUP(ReviewCalcs[[#This Row],[Project Index]], ProjectInput[], G$1, FALSE)</f>
        <v>0</v>
      </c>
      <c r="F164" s="97">
        <f>VLOOKUP(ReviewCalcs[[#This Row],[Project Index]], ProjectInput[], H$1, FALSE)</f>
        <v>0</v>
      </c>
      <c r="G164" s="98" t="str">
        <f>VLOOKUP(ReviewCalcs[[#This Row],[Project Index]], ProjectInput[], I$1, FALSE)</f>
        <v/>
      </c>
      <c r="H164" s="96">
        <f>VLOOKUP(ReviewCalcs[[#This Row],[Project Index]], ProjectInput[], J$1, FALSE)</f>
        <v>0</v>
      </c>
      <c r="I164" s="97">
        <f>VLOOKUP(ReviewCalcs[[#This Row],[Project Index]], ProjectInput[], K$1, FALSE)</f>
        <v>0</v>
      </c>
      <c r="J164" s="97">
        <f>VLOOKUP(ReviewCalcs[[#This Row],[Project Index]], ProjectInput[], L$1, FALSE)</f>
        <v>0</v>
      </c>
      <c r="K164" s="97">
        <f>VLOOKUP(ReviewCalcs[[#This Row],[Project Index]], ProjectInput[], M$1, FALSE)</f>
        <v>0</v>
      </c>
      <c r="L164" s="97">
        <f>VLOOKUP(ReviewCalcs[[#This Row],[Project Index]], ProjectInput[], N$1, FALSE)</f>
        <v>0</v>
      </c>
      <c r="M164" s="98" t="str">
        <f>VLOOKUP(ReviewCalcs[[#This Row],[Project Index]], ProjectInput[], O$1, FALSE)</f>
        <v/>
      </c>
      <c r="N164" s="96">
        <f>VLOOKUP(ReviewCalcs[[#This Row],[Project Index]], ProjectInput[], P$1, FALSE)</f>
        <v>0</v>
      </c>
      <c r="O164" s="97">
        <f>VLOOKUP(ReviewCalcs[[#This Row],[Project Index]], ProjectInput[], Q$1, FALSE)</f>
        <v>0</v>
      </c>
      <c r="P164" s="97">
        <f>VLOOKUP(ReviewCalcs[[#This Row],[Project Index]], ProjectInput[], R$1, FALSE)</f>
        <v>0</v>
      </c>
      <c r="Q164" s="97">
        <f>VLOOKUP(ReviewCalcs[[#This Row],[Project Index]], ProjectInput[], S$1, FALSE)</f>
        <v>0</v>
      </c>
      <c r="R164" s="97">
        <f>VLOOKUP(ReviewCalcs[[#This Row],[Project Index]], ProjectInput[], T$1, FALSE)</f>
        <v>0</v>
      </c>
      <c r="S164" s="97">
        <f>VLOOKUP(ReviewCalcs[[#This Row],[Project Index]], ProjectInput[], U$1, FALSE)</f>
        <v>0</v>
      </c>
      <c r="T164" s="97">
        <f>VLOOKUP(ReviewCalcs[[#This Row],[Project Index]], ProjectInput[], V$1, FALSE)</f>
        <v>0</v>
      </c>
      <c r="U164" s="97">
        <f>VLOOKUP(ReviewCalcs[[#This Row],[Project Index]], ProjectInput[], W$1, FALSE)</f>
        <v>0</v>
      </c>
      <c r="V164" s="98" t="str">
        <f>VLOOKUP(ReviewCalcs[[#This Row],[Project Index]], ProjectInput[], X$1, FALSE)</f>
        <v/>
      </c>
      <c r="W1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4" s="75" t="e">
        <f>IF(VLOOKUP(ReviewCalcs[[#This Row],[Proposed Fixture Code]], Table7[[FIXTURE CODE]:[Baseline Fixture Code]], 8, FALSE)="N", "ERROR", "PASS")</f>
        <v>#N/A</v>
      </c>
      <c r="Y1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4" s="75" t="e">
        <f>IF(OR(ReviewCalcs[[#This Row],[Baseline Fixture Watts]]&gt;=ReviewCalcs[[#This Row],[Proposed Fixture Watts]],ReviewCalcs[[#This Row],[Existing Fixture Watts]]&gt;=ReviewCalcs[[#This Row],[Proposed Fixture Watts]] ), "PASS", "ERROR")</f>
        <v>#N/A</v>
      </c>
      <c r="AA164" s="69" t="e">
        <f>VLOOKUP(ReviewCalcs[[#This Row],[Space Conditions]], Table_365[], 5, FALSE)</f>
        <v>#N/A</v>
      </c>
      <c r="AB164" s="68" t="str">
        <f>ReviewCalcs[[#This Row],[Annual Hours]]</f>
        <v/>
      </c>
      <c r="AC164" s="68" t="e">
        <f>VLOOKUP(ReviewCalcs[[#This Row],[Space Conditions]], Table_365[], 6, FALSE)</f>
        <v>#N/A</v>
      </c>
      <c r="AD164" s="68">
        <f>IF(ReviewCalcs[[#This Row],[Existing Control(s)]]='Tables &amp; Ranges'!$A$25, VLOOKUP(ReviewCalcs[[#This Row],[Building/Space Type]], Table_364[], 3, FALSE), CF_Contols)</f>
        <v>0.26</v>
      </c>
      <c r="AE164" s="68" t="e">
        <f>VLOOKUP(ReviewCalcs[[#This Row],[Existing Control(s)]], Table_358[], 2, FALSE)</f>
        <v>#N/A</v>
      </c>
      <c r="AF164" s="68">
        <f>IF(ReviewCalcs[[#This Row],[Proposed Control(s)]]='Tables &amp; Ranges'!$A$25, VLOOKUP(ReviewCalcs[[#This Row],[Building/Space Type]], Table_364[], 3, FALSE), CF_Contols)</f>
        <v>0.26</v>
      </c>
      <c r="AG164" s="68" t="e">
        <f>VLOOKUP(ReviewCalcs[[#This Row],[Proposed Control(s)]], Table_358[], 2, FALSE)</f>
        <v>#N/A</v>
      </c>
      <c r="AH164" s="68">
        <f>IFERROR((ReviewCalcs[[#This Row],[Existing Fixture Quantity]]*ReviewCalcs[[#This Row],[Existing Fixture Watts]]/1000)*ReviewCalcs[[#This Row],[Existing CF]]*ReviewCalcs[[#This Row],[IEFD]], 0)</f>
        <v>0</v>
      </c>
      <c r="AI164" s="68">
        <f>IFERROR((ReviewCalcs[[#This Row],[Proposed Fixture Quantity]]*ReviewCalcs[[#This Row],[Proposed Fixture Watts]]/1000)*ReviewCalcs[[#This Row],[Existing CF]]*ReviewCalcs[[#This Row],[IEFD]], 0)</f>
        <v>0</v>
      </c>
      <c r="AJ164" s="118">
        <f>IFERROR((ReviewCalcs[[#This Row],[Existing Fixture Quantity]]*ReviewCalcs[[#This Row],[Existing Fixture Watts]]/1000-ReviewCalcs[[#This Row],[Proposed Fixture Quantity]]*ReviewCalcs[[#This Row],[Proposed Fixture Watts]]/1000)*ReviewCalcs[[#This Row],[Existing CF]]*ReviewCalcs[[#This Row],[IEFD]], 0)</f>
        <v>0</v>
      </c>
      <c r="AK164" s="118">
        <f>IFERROR((ReviewCalcs[[#This Row],[Existing Fixture Quantity]]*ReviewCalcs[[#This Row],[Existing Fixture Watts]]/1000)*ReviewCalcs[[#This Row],[AOH]]*ReviewCalcs[[#This Row],[IEFE]]*ReviewCalcs[[#This Row],[Existing PAF]], 0)</f>
        <v>0</v>
      </c>
      <c r="AL164" s="118">
        <f>IFERROR((ReviewCalcs[[#This Row],[Proposed Fixture Quantity]]*ReviewCalcs[[#This Row],[Proposed Fixture Watts]]/1000)*ReviewCalcs[[#This Row],[AOH]]*ReviewCalcs[[#This Row],[IEFE]]*ReviewCalcs[[#This Row],[Existing PAF]], 0)</f>
        <v>0</v>
      </c>
      <c r="AM1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4" s="118">
        <f>ReviewCalcs[[#This Row],[Fixture Existing Energy (kWh)]]*Avg_KWh_Rate</f>
        <v>0</v>
      </c>
      <c r="AO164" s="118">
        <f>ReviewCalcs[[#This Row],[Fixture Proposed Energy (kWh)]]*Avg_KWh_Rate</f>
        <v>0</v>
      </c>
      <c r="AP164" s="70">
        <f>ReviewCalcs[[#This Row],[Fixture Energy Savings]]*Avg_KWh_Rate</f>
        <v>0</v>
      </c>
      <c r="AQ164" s="129" t="e">
        <f>ReviewCalcs[[#This Row],[Existing Fixture Quantity]]*ReviewCalcs[[#This Row],[Existing Fixture Watts]]/1000*ReviewCalcs[[#This Row],[Existing CF]]*ReviewCalcs[[#This Row],[IEFD]]</f>
        <v>#VALUE!</v>
      </c>
      <c r="AR164" s="129" t="e">
        <f>ReviewCalcs[[#This Row],[Proposed Fixture Quantity]]*ReviewCalcs[[#This Row],[Proposed Fixture Watts]]/1000*ReviewCalcs[[#This Row],[Proposed CF]]*ReviewCalcs[[#This Row],[IEFD]]</f>
        <v>#VALUE!</v>
      </c>
      <c r="AS164" s="118">
        <f>IF(ReviewCalcs[[#This Row],[Existing CF]]=ReviewCalcs[[#This Row],[Proposed CF]], 0, ReviewCalcs[[#This Row],[Proposed Fixture Quantity]]*ReviewCalcs[[#This Row],[Proposed Fixture Watts]]/1000*ReviewCalcs[[#This Row],[Proposed CF]]*ReviewCalcs[[#This Row],[IEFD]])</f>
        <v>0</v>
      </c>
      <c r="AT164" s="118">
        <f>IFERROR(ReviewCalcs[[#This Row],[Existing Fixture Quantity]]*ReviewCalcs[[#This Row],[Existing Fixture Watts]]/1000*ReviewCalcs[[#This Row],[Existing PAF]]*ReviewCalcs[[#This Row],[AOH]]*ReviewCalcs[[#This Row],[IEFE]], 0)</f>
        <v>0</v>
      </c>
      <c r="AU164" s="118">
        <f>IFERROR(ReviewCalcs[[#This Row],[Proposed Fixture Quantity]]*ReviewCalcs[[#This Row],[Proposed Fixture Watts]]/1000*ReviewCalcs[[#This Row],[Proposed PAF]]*ReviewCalcs[[#This Row],[AOH]]*ReviewCalcs[[#This Row],[IEFE]], 0)</f>
        <v>0</v>
      </c>
      <c r="AV164" s="118">
        <f>IFERROR(ReviewCalcs[[#This Row],[Proposed Fixture Quantity]]*ReviewCalcs[[#This Row],[Proposed Fixture Watts]]/1000*(ReviewCalcs[[#This Row],[Existing PAF]]-ReviewCalcs[[#This Row],[Proposed PAF]])*ReviewCalcs[[#This Row],[AOH]]*ReviewCalcs[[#This Row],[IEFE]], 0)</f>
        <v>0</v>
      </c>
      <c r="AW164" s="118">
        <f>ReviewCalcs[[#This Row],[Control Existing Energy (kWh)]]*kWh_Incentive_Rate</f>
        <v>0</v>
      </c>
      <c r="AX164" s="118">
        <f>ReviewCalcs[[#This Row],[Control Proposed Energy (kWh)]]*kWh_Incentive_Rate</f>
        <v>0</v>
      </c>
      <c r="AY164" s="70">
        <f>ReviewCalcs[[#This Row],[Control Energy Savings (kWh)]]*kWh_Incentive_Rate</f>
        <v>0</v>
      </c>
      <c r="AZ164" s="70" t="e">
        <f>ReviewCalcs[[#This Row],[Fixture Existing Demand (kW)]]+ReviewCalcs[[#This Row],[Control Existing Demand (kW)]]</f>
        <v>#VALUE!</v>
      </c>
      <c r="BA164" s="70" t="e">
        <f>ReviewCalcs[[#This Row],[Fixture Proposed Demand (kW)]]+ReviewCalcs[[#This Row],[Control Proposed Demand (kW)]]</f>
        <v>#VALUE!</v>
      </c>
      <c r="BB164" s="118">
        <f>ReviewCalcs[[#This Row],[Fixture Demand Savings (kW)]]+ReviewCalcs[[#This Row],[Control Demand Savings (kW)]]</f>
        <v>0</v>
      </c>
      <c r="BC164" s="118">
        <f>ReviewCalcs[[#This Row],[Fixture Existing Energy (kWh)]]+ReviewCalcs[[#This Row],[Control Existing Energy (kWh)]]</f>
        <v>0</v>
      </c>
      <c r="BD164" s="118">
        <f>ReviewCalcs[[#This Row],[Fixture Proposed Energy (kWh)]]+ReviewCalcs[[#This Row],[Control Proposed Energy (kWh)]]</f>
        <v>0</v>
      </c>
      <c r="BE164" s="118">
        <f>ReviewCalcs[[#This Row],[Fixture Energy Savings]]+ReviewCalcs[[#This Row],[Control Energy Savings (kWh)]]</f>
        <v>0</v>
      </c>
      <c r="BF164" s="118">
        <f>ReviewCalcs[[#This Row],[Fixture Existing Cost ($)]]+ReviewCalcs[[#This Row],[Control Existing Cost ($)]]</f>
        <v>0</v>
      </c>
      <c r="BG164" s="118">
        <f>ReviewCalcs[[#This Row],[Fixture Proposed Cost ($)]]+ReviewCalcs[[#This Row],[Controls Proposed Cost ($)]]</f>
        <v>0</v>
      </c>
      <c r="BH164" s="70">
        <f>ReviewCalcs[[#This Row],[Total Energy Savings (kWh)]]*Avg_KWh_Rate</f>
        <v>0</v>
      </c>
      <c r="BI1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4" s="70">
        <f>ReviewCalcs[[#This Row],[Retrofit Cost]]</f>
        <v>0</v>
      </c>
      <c r="BK164" s="70">
        <f>ReviewCalcs[[#This Row],[Retrofit Cost]]-ReviewCalcs[[#This Row],[Incentive ($)]]</f>
        <v>0</v>
      </c>
      <c r="BL164" s="118" t="e">
        <f>IFERROR(ReviewCalcs[[#This Row],[Net Project Cost ($)]]/ReviewCalcs[[#This Row],[Fixture Energy Cost Savings ($)]], #N/A)</f>
        <v>#N/A</v>
      </c>
      <c r="BM164" s="118" t="e">
        <f>IF(VLOOKUP(ReviewCalcs[[#This Row],[Existing Fixture Code]], Table7[[FIXTURE CODE]:[Baseline Fixture Code]], 8, FALSE)="N", VLOOKUP(ReviewCalcs[[#This Row],[Existing Fixture Code]], Table7[[FIXTURE CODE]:[Baseline Fixture Code]], 9, FALSE), ReviewCalcs[[#This Row],[Existing Fixture Code]])</f>
        <v>#N/A</v>
      </c>
      <c r="BN164" s="118" t="e">
        <f>INDEX(Table7[WATT/ FIXT], MATCH(ReviewCalcs[Baseline Fixture Code], Table7[FIXTURE CODE], 0))</f>
        <v>#N/A</v>
      </c>
      <c r="BO164" s="118">
        <f>IFERROR((ReviewCalcs[[#This Row],[Existing Fixture Quantity]]*ReviewCalcs[[#This Row],[Baseline Fixture Watts]]/1000-ReviewCalcs[[#This Row],[Proposed Fixture Quantity]]*ReviewCalcs[[#This Row],[Proposed Fixture Watts]]/1000)*ReviewCalcs[[#This Row],[Existing CF]]*ReviewCalcs[[#This Row],[IEFD]], 0)</f>
        <v>0</v>
      </c>
      <c r="BP1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4" s="118">
        <f>IF(ReviewCalcs[[#This Row],[Existing CF]]=ReviewCalcs[[#This Row],[Proposed CF]], 0, ReviewCalcs[[#This Row],[Proposed Fixture Quantity]]*ReviewCalcs[[#This Row],[Proposed Fixture Watts]]/1000*ReviewCalcs[[#This Row],[Proposed CF]]*ReviewCalcs[[#This Row],[IEFD]])</f>
        <v>0</v>
      </c>
      <c r="BR164" s="118">
        <f>IFERROR(ReviewCalcs[[#This Row],[Proposed Fixture Quantity]]*ReviewCalcs[[#This Row],[Proposed Fixture Watts]]/1000*(ReviewCalcs[[#This Row],[Existing PAF]]-ReviewCalcs[[#This Row],[Proposed PAF]])*ReviewCalcs[[#This Row],[AOH]]*ReviewCalcs[[#This Row],[IEFE]],0)</f>
        <v>0</v>
      </c>
      <c r="BS164" s="118">
        <f>ReviewCalcs[[#This Row],[Incentive Fixture Demand Savings (kW)]]+ReviewCalcs[[#This Row],[Incentive Control Demand Savings (kW)]]</f>
        <v>0</v>
      </c>
      <c r="BT164" s="118">
        <f>ReviewCalcs[[#This Row],[Incentive Fixture Energy Savings (kWh)]]+ReviewCalcs[[#This Row],[Incentive Control Energy Savings (kWh)]]</f>
        <v>0</v>
      </c>
      <c r="BU164" s="73"/>
    </row>
    <row r="165" spans="1:73" ht="30" customHeight="1">
      <c r="A165" s="68">
        <v>162</v>
      </c>
      <c r="B165" s="96">
        <f>VLOOKUP(ReviewCalcs[[#This Row],[Project Index]], ProjectInput[], D$1, FALSE)</f>
        <v>0</v>
      </c>
      <c r="C165" s="97">
        <f>VLOOKUP(ReviewCalcs[[#This Row],[Project Index]], ProjectInput[], E$1, FALSE)</f>
        <v>0</v>
      </c>
      <c r="D165" s="97">
        <f>VLOOKUP(ReviewCalcs[[#This Row],[Project Index]], ProjectInput[], F$1, FALSE)</f>
        <v>0</v>
      </c>
      <c r="E165" s="97">
        <f>VLOOKUP(ReviewCalcs[[#This Row],[Project Index]], ProjectInput[], G$1, FALSE)</f>
        <v>0</v>
      </c>
      <c r="F165" s="97">
        <f>VLOOKUP(ReviewCalcs[[#This Row],[Project Index]], ProjectInput[], H$1, FALSE)</f>
        <v>0</v>
      </c>
      <c r="G165" s="98" t="str">
        <f>VLOOKUP(ReviewCalcs[[#This Row],[Project Index]], ProjectInput[], I$1, FALSE)</f>
        <v/>
      </c>
      <c r="H165" s="96">
        <f>VLOOKUP(ReviewCalcs[[#This Row],[Project Index]], ProjectInput[], J$1, FALSE)</f>
        <v>0</v>
      </c>
      <c r="I165" s="97">
        <f>VLOOKUP(ReviewCalcs[[#This Row],[Project Index]], ProjectInput[], K$1, FALSE)</f>
        <v>0</v>
      </c>
      <c r="J165" s="97">
        <f>VLOOKUP(ReviewCalcs[[#This Row],[Project Index]], ProjectInput[], L$1, FALSE)</f>
        <v>0</v>
      </c>
      <c r="K165" s="97">
        <f>VLOOKUP(ReviewCalcs[[#This Row],[Project Index]], ProjectInput[], M$1, FALSE)</f>
        <v>0</v>
      </c>
      <c r="L165" s="97">
        <f>VLOOKUP(ReviewCalcs[[#This Row],[Project Index]], ProjectInput[], N$1, FALSE)</f>
        <v>0</v>
      </c>
      <c r="M165" s="98" t="str">
        <f>VLOOKUP(ReviewCalcs[[#This Row],[Project Index]], ProjectInput[], O$1, FALSE)</f>
        <v/>
      </c>
      <c r="N165" s="96">
        <f>VLOOKUP(ReviewCalcs[[#This Row],[Project Index]], ProjectInput[], P$1, FALSE)</f>
        <v>0</v>
      </c>
      <c r="O165" s="97">
        <f>VLOOKUP(ReviewCalcs[[#This Row],[Project Index]], ProjectInput[], Q$1, FALSE)</f>
        <v>0</v>
      </c>
      <c r="P165" s="97">
        <f>VLOOKUP(ReviewCalcs[[#This Row],[Project Index]], ProjectInput[], R$1, FALSE)</f>
        <v>0</v>
      </c>
      <c r="Q165" s="97">
        <f>VLOOKUP(ReviewCalcs[[#This Row],[Project Index]], ProjectInput[], S$1, FALSE)</f>
        <v>0</v>
      </c>
      <c r="R165" s="97">
        <f>VLOOKUP(ReviewCalcs[[#This Row],[Project Index]], ProjectInput[], T$1, FALSE)</f>
        <v>0</v>
      </c>
      <c r="S165" s="97">
        <f>VLOOKUP(ReviewCalcs[[#This Row],[Project Index]], ProjectInput[], U$1, FALSE)</f>
        <v>0</v>
      </c>
      <c r="T165" s="97">
        <f>VLOOKUP(ReviewCalcs[[#This Row],[Project Index]], ProjectInput[], V$1, FALSE)</f>
        <v>0</v>
      </c>
      <c r="U165" s="97">
        <f>VLOOKUP(ReviewCalcs[[#This Row],[Project Index]], ProjectInput[], W$1, FALSE)</f>
        <v>0</v>
      </c>
      <c r="V165" s="98" t="str">
        <f>VLOOKUP(ReviewCalcs[[#This Row],[Project Index]], ProjectInput[], X$1, FALSE)</f>
        <v/>
      </c>
      <c r="W1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5" s="75" t="e">
        <f>IF(VLOOKUP(ReviewCalcs[[#This Row],[Proposed Fixture Code]], Table7[[FIXTURE CODE]:[Baseline Fixture Code]], 8, FALSE)="N", "ERROR", "PASS")</f>
        <v>#N/A</v>
      </c>
      <c r="Y1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5" s="75" t="e">
        <f>IF(OR(ReviewCalcs[[#This Row],[Baseline Fixture Watts]]&gt;=ReviewCalcs[[#This Row],[Proposed Fixture Watts]],ReviewCalcs[[#This Row],[Existing Fixture Watts]]&gt;=ReviewCalcs[[#This Row],[Proposed Fixture Watts]] ), "PASS", "ERROR")</f>
        <v>#N/A</v>
      </c>
      <c r="AA165" s="69" t="e">
        <f>VLOOKUP(ReviewCalcs[[#This Row],[Space Conditions]], Table_365[], 5, FALSE)</f>
        <v>#N/A</v>
      </c>
      <c r="AB165" s="68" t="str">
        <f>ReviewCalcs[[#This Row],[Annual Hours]]</f>
        <v/>
      </c>
      <c r="AC165" s="68" t="e">
        <f>VLOOKUP(ReviewCalcs[[#This Row],[Space Conditions]], Table_365[], 6, FALSE)</f>
        <v>#N/A</v>
      </c>
      <c r="AD165" s="68">
        <f>IF(ReviewCalcs[[#This Row],[Existing Control(s)]]='Tables &amp; Ranges'!$A$25, VLOOKUP(ReviewCalcs[[#This Row],[Building/Space Type]], Table_364[], 3, FALSE), CF_Contols)</f>
        <v>0.26</v>
      </c>
      <c r="AE165" s="68" t="e">
        <f>VLOOKUP(ReviewCalcs[[#This Row],[Existing Control(s)]], Table_358[], 2, FALSE)</f>
        <v>#N/A</v>
      </c>
      <c r="AF165" s="68">
        <f>IF(ReviewCalcs[[#This Row],[Proposed Control(s)]]='Tables &amp; Ranges'!$A$25, VLOOKUP(ReviewCalcs[[#This Row],[Building/Space Type]], Table_364[], 3, FALSE), CF_Contols)</f>
        <v>0.26</v>
      </c>
      <c r="AG165" s="68" t="e">
        <f>VLOOKUP(ReviewCalcs[[#This Row],[Proposed Control(s)]], Table_358[], 2, FALSE)</f>
        <v>#N/A</v>
      </c>
      <c r="AH165" s="68">
        <f>IFERROR((ReviewCalcs[[#This Row],[Existing Fixture Quantity]]*ReviewCalcs[[#This Row],[Existing Fixture Watts]]/1000)*ReviewCalcs[[#This Row],[Existing CF]]*ReviewCalcs[[#This Row],[IEFD]], 0)</f>
        <v>0</v>
      </c>
      <c r="AI165" s="68">
        <f>IFERROR((ReviewCalcs[[#This Row],[Proposed Fixture Quantity]]*ReviewCalcs[[#This Row],[Proposed Fixture Watts]]/1000)*ReviewCalcs[[#This Row],[Existing CF]]*ReviewCalcs[[#This Row],[IEFD]], 0)</f>
        <v>0</v>
      </c>
      <c r="AJ165" s="118">
        <f>IFERROR((ReviewCalcs[[#This Row],[Existing Fixture Quantity]]*ReviewCalcs[[#This Row],[Existing Fixture Watts]]/1000-ReviewCalcs[[#This Row],[Proposed Fixture Quantity]]*ReviewCalcs[[#This Row],[Proposed Fixture Watts]]/1000)*ReviewCalcs[[#This Row],[Existing CF]]*ReviewCalcs[[#This Row],[IEFD]], 0)</f>
        <v>0</v>
      </c>
      <c r="AK165" s="118">
        <f>IFERROR((ReviewCalcs[[#This Row],[Existing Fixture Quantity]]*ReviewCalcs[[#This Row],[Existing Fixture Watts]]/1000)*ReviewCalcs[[#This Row],[AOH]]*ReviewCalcs[[#This Row],[IEFE]]*ReviewCalcs[[#This Row],[Existing PAF]], 0)</f>
        <v>0</v>
      </c>
      <c r="AL165" s="118">
        <f>IFERROR((ReviewCalcs[[#This Row],[Proposed Fixture Quantity]]*ReviewCalcs[[#This Row],[Proposed Fixture Watts]]/1000)*ReviewCalcs[[#This Row],[AOH]]*ReviewCalcs[[#This Row],[IEFE]]*ReviewCalcs[[#This Row],[Existing PAF]], 0)</f>
        <v>0</v>
      </c>
      <c r="AM1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5" s="118">
        <f>ReviewCalcs[[#This Row],[Fixture Existing Energy (kWh)]]*Avg_KWh_Rate</f>
        <v>0</v>
      </c>
      <c r="AO165" s="118">
        <f>ReviewCalcs[[#This Row],[Fixture Proposed Energy (kWh)]]*Avg_KWh_Rate</f>
        <v>0</v>
      </c>
      <c r="AP165" s="70">
        <f>ReviewCalcs[[#This Row],[Fixture Energy Savings]]*Avg_KWh_Rate</f>
        <v>0</v>
      </c>
      <c r="AQ165" s="129" t="e">
        <f>ReviewCalcs[[#This Row],[Existing Fixture Quantity]]*ReviewCalcs[[#This Row],[Existing Fixture Watts]]/1000*ReviewCalcs[[#This Row],[Existing CF]]*ReviewCalcs[[#This Row],[IEFD]]</f>
        <v>#VALUE!</v>
      </c>
      <c r="AR165" s="129" t="e">
        <f>ReviewCalcs[[#This Row],[Proposed Fixture Quantity]]*ReviewCalcs[[#This Row],[Proposed Fixture Watts]]/1000*ReviewCalcs[[#This Row],[Proposed CF]]*ReviewCalcs[[#This Row],[IEFD]]</f>
        <v>#VALUE!</v>
      </c>
      <c r="AS165" s="118">
        <f>IF(ReviewCalcs[[#This Row],[Existing CF]]=ReviewCalcs[[#This Row],[Proposed CF]], 0, ReviewCalcs[[#This Row],[Proposed Fixture Quantity]]*ReviewCalcs[[#This Row],[Proposed Fixture Watts]]/1000*ReviewCalcs[[#This Row],[Proposed CF]]*ReviewCalcs[[#This Row],[IEFD]])</f>
        <v>0</v>
      </c>
      <c r="AT165" s="118">
        <f>IFERROR(ReviewCalcs[[#This Row],[Existing Fixture Quantity]]*ReviewCalcs[[#This Row],[Existing Fixture Watts]]/1000*ReviewCalcs[[#This Row],[Existing PAF]]*ReviewCalcs[[#This Row],[AOH]]*ReviewCalcs[[#This Row],[IEFE]], 0)</f>
        <v>0</v>
      </c>
      <c r="AU165" s="118">
        <f>IFERROR(ReviewCalcs[[#This Row],[Proposed Fixture Quantity]]*ReviewCalcs[[#This Row],[Proposed Fixture Watts]]/1000*ReviewCalcs[[#This Row],[Proposed PAF]]*ReviewCalcs[[#This Row],[AOH]]*ReviewCalcs[[#This Row],[IEFE]], 0)</f>
        <v>0</v>
      </c>
      <c r="AV165" s="118">
        <f>IFERROR(ReviewCalcs[[#This Row],[Proposed Fixture Quantity]]*ReviewCalcs[[#This Row],[Proposed Fixture Watts]]/1000*(ReviewCalcs[[#This Row],[Existing PAF]]-ReviewCalcs[[#This Row],[Proposed PAF]])*ReviewCalcs[[#This Row],[AOH]]*ReviewCalcs[[#This Row],[IEFE]], 0)</f>
        <v>0</v>
      </c>
      <c r="AW165" s="118">
        <f>ReviewCalcs[[#This Row],[Control Existing Energy (kWh)]]*kWh_Incentive_Rate</f>
        <v>0</v>
      </c>
      <c r="AX165" s="118">
        <f>ReviewCalcs[[#This Row],[Control Proposed Energy (kWh)]]*kWh_Incentive_Rate</f>
        <v>0</v>
      </c>
      <c r="AY165" s="70">
        <f>ReviewCalcs[[#This Row],[Control Energy Savings (kWh)]]*kWh_Incentive_Rate</f>
        <v>0</v>
      </c>
      <c r="AZ165" s="70" t="e">
        <f>ReviewCalcs[[#This Row],[Fixture Existing Demand (kW)]]+ReviewCalcs[[#This Row],[Control Existing Demand (kW)]]</f>
        <v>#VALUE!</v>
      </c>
      <c r="BA165" s="70" t="e">
        <f>ReviewCalcs[[#This Row],[Fixture Proposed Demand (kW)]]+ReviewCalcs[[#This Row],[Control Proposed Demand (kW)]]</f>
        <v>#VALUE!</v>
      </c>
      <c r="BB165" s="118">
        <f>ReviewCalcs[[#This Row],[Fixture Demand Savings (kW)]]+ReviewCalcs[[#This Row],[Control Demand Savings (kW)]]</f>
        <v>0</v>
      </c>
      <c r="BC165" s="118">
        <f>ReviewCalcs[[#This Row],[Fixture Existing Energy (kWh)]]+ReviewCalcs[[#This Row],[Control Existing Energy (kWh)]]</f>
        <v>0</v>
      </c>
      <c r="BD165" s="118">
        <f>ReviewCalcs[[#This Row],[Fixture Proposed Energy (kWh)]]+ReviewCalcs[[#This Row],[Control Proposed Energy (kWh)]]</f>
        <v>0</v>
      </c>
      <c r="BE165" s="118">
        <f>ReviewCalcs[[#This Row],[Fixture Energy Savings]]+ReviewCalcs[[#This Row],[Control Energy Savings (kWh)]]</f>
        <v>0</v>
      </c>
      <c r="BF165" s="118">
        <f>ReviewCalcs[[#This Row],[Fixture Existing Cost ($)]]+ReviewCalcs[[#This Row],[Control Existing Cost ($)]]</f>
        <v>0</v>
      </c>
      <c r="BG165" s="118">
        <f>ReviewCalcs[[#This Row],[Fixture Proposed Cost ($)]]+ReviewCalcs[[#This Row],[Controls Proposed Cost ($)]]</f>
        <v>0</v>
      </c>
      <c r="BH165" s="70">
        <f>ReviewCalcs[[#This Row],[Total Energy Savings (kWh)]]*Avg_KWh_Rate</f>
        <v>0</v>
      </c>
      <c r="BI1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5" s="70">
        <f>ReviewCalcs[[#This Row],[Retrofit Cost]]</f>
        <v>0</v>
      </c>
      <c r="BK165" s="70">
        <f>ReviewCalcs[[#This Row],[Retrofit Cost]]-ReviewCalcs[[#This Row],[Incentive ($)]]</f>
        <v>0</v>
      </c>
      <c r="BL165" s="118" t="e">
        <f>IFERROR(ReviewCalcs[[#This Row],[Net Project Cost ($)]]/ReviewCalcs[[#This Row],[Fixture Energy Cost Savings ($)]], #N/A)</f>
        <v>#N/A</v>
      </c>
      <c r="BM165" s="118" t="e">
        <f>IF(VLOOKUP(ReviewCalcs[[#This Row],[Existing Fixture Code]], Table7[[FIXTURE CODE]:[Baseline Fixture Code]], 8, FALSE)="N", VLOOKUP(ReviewCalcs[[#This Row],[Existing Fixture Code]], Table7[[FIXTURE CODE]:[Baseline Fixture Code]], 9, FALSE), ReviewCalcs[[#This Row],[Existing Fixture Code]])</f>
        <v>#N/A</v>
      </c>
      <c r="BN165" s="118" t="e">
        <f>INDEX(Table7[WATT/ FIXT], MATCH(ReviewCalcs[Baseline Fixture Code], Table7[FIXTURE CODE], 0))</f>
        <v>#N/A</v>
      </c>
      <c r="BO165" s="118">
        <f>IFERROR((ReviewCalcs[[#This Row],[Existing Fixture Quantity]]*ReviewCalcs[[#This Row],[Baseline Fixture Watts]]/1000-ReviewCalcs[[#This Row],[Proposed Fixture Quantity]]*ReviewCalcs[[#This Row],[Proposed Fixture Watts]]/1000)*ReviewCalcs[[#This Row],[Existing CF]]*ReviewCalcs[[#This Row],[IEFD]], 0)</f>
        <v>0</v>
      </c>
      <c r="BP1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5" s="118">
        <f>IF(ReviewCalcs[[#This Row],[Existing CF]]=ReviewCalcs[[#This Row],[Proposed CF]], 0, ReviewCalcs[[#This Row],[Proposed Fixture Quantity]]*ReviewCalcs[[#This Row],[Proposed Fixture Watts]]/1000*ReviewCalcs[[#This Row],[Proposed CF]]*ReviewCalcs[[#This Row],[IEFD]])</f>
        <v>0</v>
      </c>
      <c r="BR165" s="118">
        <f>IFERROR(ReviewCalcs[[#This Row],[Proposed Fixture Quantity]]*ReviewCalcs[[#This Row],[Proposed Fixture Watts]]/1000*(ReviewCalcs[[#This Row],[Existing PAF]]-ReviewCalcs[[#This Row],[Proposed PAF]])*ReviewCalcs[[#This Row],[AOH]]*ReviewCalcs[[#This Row],[IEFE]],0)</f>
        <v>0</v>
      </c>
      <c r="BS165" s="118">
        <f>ReviewCalcs[[#This Row],[Incentive Fixture Demand Savings (kW)]]+ReviewCalcs[[#This Row],[Incentive Control Demand Savings (kW)]]</f>
        <v>0</v>
      </c>
      <c r="BT165" s="118">
        <f>ReviewCalcs[[#This Row],[Incentive Fixture Energy Savings (kWh)]]+ReviewCalcs[[#This Row],[Incentive Control Energy Savings (kWh)]]</f>
        <v>0</v>
      </c>
      <c r="BU165" s="73"/>
    </row>
    <row r="166" spans="1:73" ht="30" customHeight="1">
      <c r="A166" s="68">
        <v>163</v>
      </c>
      <c r="B166" s="96">
        <f>VLOOKUP(ReviewCalcs[[#This Row],[Project Index]], ProjectInput[], D$1, FALSE)</f>
        <v>0</v>
      </c>
      <c r="C166" s="97">
        <f>VLOOKUP(ReviewCalcs[[#This Row],[Project Index]], ProjectInput[], E$1, FALSE)</f>
        <v>0</v>
      </c>
      <c r="D166" s="97">
        <f>VLOOKUP(ReviewCalcs[[#This Row],[Project Index]], ProjectInput[], F$1, FALSE)</f>
        <v>0</v>
      </c>
      <c r="E166" s="97">
        <f>VLOOKUP(ReviewCalcs[[#This Row],[Project Index]], ProjectInput[], G$1, FALSE)</f>
        <v>0</v>
      </c>
      <c r="F166" s="97">
        <f>VLOOKUP(ReviewCalcs[[#This Row],[Project Index]], ProjectInput[], H$1, FALSE)</f>
        <v>0</v>
      </c>
      <c r="G166" s="98" t="str">
        <f>VLOOKUP(ReviewCalcs[[#This Row],[Project Index]], ProjectInput[], I$1, FALSE)</f>
        <v/>
      </c>
      <c r="H166" s="96">
        <f>VLOOKUP(ReviewCalcs[[#This Row],[Project Index]], ProjectInput[], J$1, FALSE)</f>
        <v>0</v>
      </c>
      <c r="I166" s="97">
        <f>VLOOKUP(ReviewCalcs[[#This Row],[Project Index]], ProjectInput[], K$1, FALSE)</f>
        <v>0</v>
      </c>
      <c r="J166" s="97">
        <f>VLOOKUP(ReviewCalcs[[#This Row],[Project Index]], ProjectInput[], L$1, FALSE)</f>
        <v>0</v>
      </c>
      <c r="K166" s="97">
        <f>VLOOKUP(ReviewCalcs[[#This Row],[Project Index]], ProjectInput[], M$1, FALSE)</f>
        <v>0</v>
      </c>
      <c r="L166" s="97">
        <f>VLOOKUP(ReviewCalcs[[#This Row],[Project Index]], ProjectInput[], N$1, FALSE)</f>
        <v>0</v>
      </c>
      <c r="M166" s="98" t="str">
        <f>VLOOKUP(ReviewCalcs[[#This Row],[Project Index]], ProjectInput[], O$1, FALSE)</f>
        <v/>
      </c>
      <c r="N166" s="96">
        <f>VLOOKUP(ReviewCalcs[[#This Row],[Project Index]], ProjectInput[], P$1, FALSE)</f>
        <v>0</v>
      </c>
      <c r="O166" s="97">
        <f>VLOOKUP(ReviewCalcs[[#This Row],[Project Index]], ProjectInput[], Q$1, FALSE)</f>
        <v>0</v>
      </c>
      <c r="P166" s="97">
        <f>VLOOKUP(ReviewCalcs[[#This Row],[Project Index]], ProjectInput[], R$1, FALSE)</f>
        <v>0</v>
      </c>
      <c r="Q166" s="97">
        <f>VLOOKUP(ReviewCalcs[[#This Row],[Project Index]], ProjectInput[], S$1, FALSE)</f>
        <v>0</v>
      </c>
      <c r="R166" s="97">
        <f>VLOOKUP(ReviewCalcs[[#This Row],[Project Index]], ProjectInput[], T$1, FALSE)</f>
        <v>0</v>
      </c>
      <c r="S166" s="97">
        <f>VLOOKUP(ReviewCalcs[[#This Row],[Project Index]], ProjectInput[], U$1, FALSE)</f>
        <v>0</v>
      </c>
      <c r="T166" s="97">
        <f>VLOOKUP(ReviewCalcs[[#This Row],[Project Index]], ProjectInput[], V$1, FALSE)</f>
        <v>0</v>
      </c>
      <c r="U166" s="97">
        <f>VLOOKUP(ReviewCalcs[[#This Row],[Project Index]], ProjectInput[], W$1, FALSE)</f>
        <v>0</v>
      </c>
      <c r="V166" s="98" t="str">
        <f>VLOOKUP(ReviewCalcs[[#This Row],[Project Index]], ProjectInput[], X$1, FALSE)</f>
        <v/>
      </c>
      <c r="W1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6" s="75" t="e">
        <f>IF(VLOOKUP(ReviewCalcs[[#This Row],[Proposed Fixture Code]], Table7[[FIXTURE CODE]:[Baseline Fixture Code]], 8, FALSE)="N", "ERROR", "PASS")</f>
        <v>#N/A</v>
      </c>
      <c r="Y1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6" s="75" t="e">
        <f>IF(OR(ReviewCalcs[[#This Row],[Baseline Fixture Watts]]&gt;=ReviewCalcs[[#This Row],[Proposed Fixture Watts]],ReviewCalcs[[#This Row],[Existing Fixture Watts]]&gt;=ReviewCalcs[[#This Row],[Proposed Fixture Watts]] ), "PASS", "ERROR")</f>
        <v>#N/A</v>
      </c>
      <c r="AA166" s="69" t="e">
        <f>VLOOKUP(ReviewCalcs[[#This Row],[Space Conditions]], Table_365[], 5, FALSE)</f>
        <v>#N/A</v>
      </c>
      <c r="AB166" s="68" t="str">
        <f>ReviewCalcs[[#This Row],[Annual Hours]]</f>
        <v/>
      </c>
      <c r="AC166" s="68" t="e">
        <f>VLOOKUP(ReviewCalcs[[#This Row],[Space Conditions]], Table_365[], 6, FALSE)</f>
        <v>#N/A</v>
      </c>
      <c r="AD166" s="68">
        <f>IF(ReviewCalcs[[#This Row],[Existing Control(s)]]='Tables &amp; Ranges'!$A$25, VLOOKUP(ReviewCalcs[[#This Row],[Building/Space Type]], Table_364[], 3, FALSE), CF_Contols)</f>
        <v>0.26</v>
      </c>
      <c r="AE166" s="68" t="e">
        <f>VLOOKUP(ReviewCalcs[[#This Row],[Existing Control(s)]], Table_358[], 2, FALSE)</f>
        <v>#N/A</v>
      </c>
      <c r="AF166" s="68">
        <f>IF(ReviewCalcs[[#This Row],[Proposed Control(s)]]='Tables &amp; Ranges'!$A$25, VLOOKUP(ReviewCalcs[[#This Row],[Building/Space Type]], Table_364[], 3, FALSE), CF_Contols)</f>
        <v>0.26</v>
      </c>
      <c r="AG166" s="68" t="e">
        <f>VLOOKUP(ReviewCalcs[[#This Row],[Proposed Control(s)]], Table_358[], 2, FALSE)</f>
        <v>#N/A</v>
      </c>
      <c r="AH166" s="68">
        <f>IFERROR((ReviewCalcs[[#This Row],[Existing Fixture Quantity]]*ReviewCalcs[[#This Row],[Existing Fixture Watts]]/1000)*ReviewCalcs[[#This Row],[Existing CF]]*ReviewCalcs[[#This Row],[IEFD]], 0)</f>
        <v>0</v>
      </c>
      <c r="AI166" s="68">
        <f>IFERROR((ReviewCalcs[[#This Row],[Proposed Fixture Quantity]]*ReviewCalcs[[#This Row],[Proposed Fixture Watts]]/1000)*ReviewCalcs[[#This Row],[Existing CF]]*ReviewCalcs[[#This Row],[IEFD]], 0)</f>
        <v>0</v>
      </c>
      <c r="AJ166" s="118">
        <f>IFERROR((ReviewCalcs[[#This Row],[Existing Fixture Quantity]]*ReviewCalcs[[#This Row],[Existing Fixture Watts]]/1000-ReviewCalcs[[#This Row],[Proposed Fixture Quantity]]*ReviewCalcs[[#This Row],[Proposed Fixture Watts]]/1000)*ReviewCalcs[[#This Row],[Existing CF]]*ReviewCalcs[[#This Row],[IEFD]], 0)</f>
        <v>0</v>
      </c>
      <c r="AK166" s="118">
        <f>IFERROR((ReviewCalcs[[#This Row],[Existing Fixture Quantity]]*ReviewCalcs[[#This Row],[Existing Fixture Watts]]/1000)*ReviewCalcs[[#This Row],[AOH]]*ReviewCalcs[[#This Row],[IEFE]]*ReviewCalcs[[#This Row],[Existing PAF]], 0)</f>
        <v>0</v>
      </c>
      <c r="AL166" s="118">
        <f>IFERROR((ReviewCalcs[[#This Row],[Proposed Fixture Quantity]]*ReviewCalcs[[#This Row],[Proposed Fixture Watts]]/1000)*ReviewCalcs[[#This Row],[AOH]]*ReviewCalcs[[#This Row],[IEFE]]*ReviewCalcs[[#This Row],[Existing PAF]], 0)</f>
        <v>0</v>
      </c>
      <c r="AM1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6" s="118">
        <f>ReviewCalcs[[#This Row],[Fixture Existing Energy (kWh)]]*Avg_KWh_Rate</f>
        <v>0</v>
      </c>
      <c r="AO166" s="118">
        <f>ReviewCalcs[[#This Row],[Fixture Proposed Energy (kWh)]]*Avg_KWh_Rate</f>
        <v>0</v>
      </c>
      <c r="AP166" s="70">
        <f>ReviewCalcs[[#This Row],[Fixture Energy Savings]]*Avg_KWh_Rate</f>
        <v>0</v>
      </c>
      <c r="AQ166" s="129" t="e">
        <f>ReviewCalcs[[#This Row],[Existing Fixture Quantity]]*ReviewCalcs[[#This Row],[Existing Fixture Watts]]/1000*ReviewCalcs[[#This Row],[Existing CF]]*ReviewCalcs[[#This Row],[IEFD]]</f>
        <v>#VALUE!</v>
      </c>
      <c r="AR166" s="129" t="e">
        <f>ReviewCalcs[[#This Row],[Proposed Fixture Quantity]]*ReviewCalcs[[#This Row],[Proposed Fixture Watts]]/1000*ReviewCalcs[[#This Row],[Proposed CF]]*ReviewCalcs[[#This Row],[IEFD]]</f>
        <v>#VALUE!</v>
      </c>
      <c r="AS166" s="118">
        <f>IF(ReviewCalcs[[#This Row],[Existing CF]]=ReviewCalcs[[#This Row],[Proposed CF]], 0, ReviewCalcs[[#This Row],[Proposed Fixture Quantity]]*ReviewCalcs[[#This Row],[Proposed Fixture Watts]]/1000*ReviewCalcs[[#This Row],[Proposed CF]]*ReviewCalcs[[#This Row],[IEFD]])</f>
        <v>0</v>
      </c>
      <c r="AT166" s="118">
        <f>IFERROR(ReviewCalcs[[#This Row],[Existing Fixture Quantity]]*ReviewCalcs[[#This Row],[Existing Fixture Watts]]/1000*ReviewCalcs[[#This Row],[Existing PAF]]*ReviewCalcs[[#This Row],[AOH]]*ReviewCalcs[[#This Row],[IEFE]], 0)</f>
        <v>0</v>
      </c>
      <c r="AU166" s="118">
        <f>IFERROR(ReviewCalcs[[#This Row],[Proposed Fixture Quantity]]*ReviewCalcs[[#This Row],[Proposed Fixture Watts]]/1000*ReviewCalcs[[#This Row],[Proposed PAF]]*ReviewCalcs[[#This Row],[AOH]]*ReviewCalcs[[#This Row],[IEFE]], 0)</f>
        <v>0</v>
      </c>
      <c r="AV166" s="118">
        <f>IFERROR(ReviewCalcs[[#This Row],[Proposed Fixture Quantity]]*ReviewCalcs[[#This Row],[Proposed Fixture Watts]]/1000*(ReviewCalcs[[#This Row],[Existing PAF]]-ReviewCalcs[[#This Row],[Proposed PAF]])*ReviewCalcs[[#This Row],[AOH]]*ReviewCalcs[[#This Row],[IEFE]], 0)</f>
        <v>0</v>
      </c>
      <c r="AW166" s="118">
        <f>ReviewCalcs[[#This Row],[Control Existing Energy (kWh)]]*kWh_Incentive_Rate</f>
        <v>0</v>
      </c>
      <c r="AX166" s="118">
        <f>ReviewCalcs[[#This Row],[Control Proposed Energy (kWh)]]*kWh_Incentive_Rate</f>
        <v>0</v>
      </c>
      <c r="AY166" s="70">
        <f>ReviewCalcs[[#This Row],[Control Energy Savings (kWh)]]*kWh_Incentive_Rate</f>
        <v>0</v>
      </c>
      <c r="AZ166" s="70" t="e">
        <f>ReviewCalcs[[#This Row],[Fixture Existing Demand (kW)]]+ReviewCalcs[[#This Row],[Control Existing Demand (kW)]]</f>
        <v>#VALUE!</v>
      </c>
      <c r="BA166" s="70" t="e">
        <f>ReviewCalcs[[#This Row],[Fixture Proposed Demand (kW)]]+ReviewCalcs[[#This Row],[Control Proposed Demand (kW)]]</f>
        <v>#VALUE!</v>
      </c>
      <c r="BB166" s="118">
        <f>ReviewCalcs[[#This Row],[Fixture Demand Savings (kW)]]+ReviewCalcs[[#This Row],[Control Demand Savings (kW)]]</f>
        <v>0</v>
      </c>
      <c r="BC166" s="118">
        <f>ReviewCalcs[[#This Row],[Fixture Existing Energy (kWh)]]+ReviewCalcs[[#This Row],[Control Existing Energy (kWh)]]</f>
        <v>0</v>
      </c>
      <c r="BD166" s="118">
        <f>ReviewCalcs[[#This Row],[Fixture Proposed Energy (kWh)]]+ReviewCalcs[[#This Row],[Control Proposed Energy (kWh)]]</f>
        <v>0</v>
      </c>
      <c r="BE166" s="118">
        <f>ReviewCalcs[[#This Row],[Fixture Energy Savings]]+ReviewCalcs[[#This Row],[Control Energy Savings (kWh)]]</f>
        <v>0</v>
      </c>
      <c r="BF166" s="118">
        <f>ReviewCalcs[[#This Row],[Fixture Existing Cost ($)]]+ReviewCalcs[[#This Row],[Control Existing Cost ($)]]</f>
        <v>0</v>
      </c>
      <c r="BG166" s="118">
        <f>ReviewCalcs[[#This Row],[Fixture Proposed Cost ($)]]+ReviewCalcs[[#This Row],[Controls Proposed Cost ($)]]</f>
        <v>0</v>
      </c>
      <c r="BH166" s="70">
        <f>ReviewCalcs[[#This Row],[Total Energy Savings (kWh)]]*Avg_KWh_Rate</f>
        <v>0</v>
      </c>
      <c r="BI1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6" s="70">
        <f>ReviewCalcs[[#This Row],[Retrofit Cost]]</f>
        <v>0</v>
      </c>
      <c r="BK166" s="70">
        <f>ReviewCalcs[[#This Row],[Retrofit Cost]]-ReviewCalcs[[#This Row],[Incentive ($)]]</f>
        <v>0</v>
      </c>
      <c r="BL166" s="118" t="e">
        <f>IFERROR(ReviewCalcs[[#This Row],[Net Project Cost ($)]]/ReviewCalcs[[#This Row],[Fixture Energy Cost Savings ($)]], #N/A)</f>
        <v>#N/A</v>
      </c>
      <c r="BM166" s="118" t="e">
        <f>IF(VLOOKUP(ReviewCalcs[[#This Row],[Existing Fixture Code]], Table7[[FIXTURE CODE]:[Baseline Fixture Code]], 8, FALSE)="N", VLOOKUP(ReviewCalcs[[#This Row],[Existing Fixture Code]], Table7[[FIXTURE CODE]:[Baseline Fixture Code]], 9, FALSE), ReviewCalcs[[#This Row],[Existing Fixture Code]])</f>
        <v>#N/A</v>
      </c>
      <c r="BN166" s="118" t="e">
        <f>INDEX(Table7[WATT/ FIXT], MATCH(ReviewCalcs[Baseline Fixture Code], Table7[FIXTURE CODE], 0))</f>
        <v>#N/A</v>
      </c>
      <c r="BO166" s="118">
        <f>IFERROR((ReviewCalcs[[#This Row],[Existing Fixture Quantity]]*ReviewCalcs[[#This Row],[Baseline Fixture Watts]]/1000-ReviewCalcs[[#This Row],[Proposed Fixture Quantity]]*ReviewCalcs[[#This Row],[Proposed Fixture Watts]]/1000)*ReviewCalcs[[#This Row],[Existing CF]]*ReviewCalcs[[#This Row],[IEFD]], 0)</f>
        <v>0</v>
      </c>
      <c r="BP1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6" s="118">
        <f>IF(ReviewCalcs[[#This Row],[Existing CF]]=ReviewCalcs[[#This Row],[Proposed CF]], 0, ReviewCalcs[[#This Row],[Proposed Fixture Quantity]]*ReviewCalcs[[#This Row],[Proposed Fixture Watts]]/1000*ReviewCalcs[[#This Row],[Proposed CF]]*ReviewCalcs[[#This Row],[IEFD]])</f>
        <v>0</v>
      </c>
      <c r="BR166" s="118">
        <f>IFERROR(ReviewCalcs[[#This Row],[Proposed Fixture Quantity]]*ReviewCalcs[[#This Row],[Proposed Fixture Watts]]/1000*(ReviewCalcs[[#This Row],[Existing PAF]]-ReviewCalcs[[#This Row],[Proposed PAF]])*ReviewCalcs[[#This Row],[AOH]]*ReviewCalcs[[#This Row],[IEFE]],0)</f>
        <v>0</v>
      </c>
      <c r="BS166" s="118">
        <f>ReviewCalcs[[#This Row],[Incentive Fixture Demand Savings (kW)]]+ReviewCalcs[[#This Row],[Incentive Control Demand Savings (kW)]]</f>
        <v>0</v>
      </c>
      <c r="BT166" s="118">
        <f>ReviewCalcs[[#This Row],[Incentive Fixture Energy Savings (kWh)]]+ReviewCalcs[[#This Row],[Incentive Control Energy Savings (kWh)]]</f>
        <v>0</v>
      </c>
      <c r="BU166" s="73"/>
    </row>
    <row r="167" spans="1:73" ht="30" customHeight="1">
      <c r="A167" s="68">
        <v>164</v>
      </c>
      <c r="B167" s="96">
        <f>VLOOKUP(ReviewCalcs[[#This Row],[Project Index]], ProjectInput[], D$1, FALSE)</f>
        <v>0</v>
      </c>
      <c r="C167" s="97">
        <f>VLOOKUP(ReviewCalcs[[#This Row],[Project Index]], ProjectInput[], E$1, FALSE)</f>
        <v>0</v>
      </c>
      <c r="D167" s="97">
        <f>VLOOKUP(ReviewCalcs[[#This Row],[Project Index]], ProjectInput[], F$1, FALSE)</f>
        <v>0</v>
      </c>
      <c r="E167" s="97">
        <f>VLOOKUP(ReviewCalcs[[#This Row],[Project Index]], ProjectInput[], G$1, FALSE)</f>
        <v>0</v>
      </c>
      <c r="F167" s="97">
        <f>VLOOKUP(ReviewCalcs[[#This Row],[Project Index]], ProjectInput[], H$1, FALSE)</f>
        <v>0</v>
      </c>
      <c r="G167" s="98" t="str">
        <f>VLOOKUP(ReviewCalcs[[#This Row],[Project Index]], ProjectInput[], I$1, FALSE)</f>
        <v/>
      </c>
      <c r="H167" s="96">
        <f>VLOOKUP(ReviewCalcs[[#This Row],[Project Index]], ProjectInput[], J$1, FALSE)</f>
        <v>0</v>
      </c>
      <c r="I167" s="97">
        <f>VLOOKUP(ReviewCalcs[[#This Row],[Project Index]], ProjectInput[], K$1, FALSE)</f>
        <v>0</v>
      </c>
      <c r="J167" s="97">
        <f>VLOOKUP(ReviewCalcs[[#This Row],[Project Index]], ProjectInput[], L$1, FALSE)</f>
        <v>0</v>
      </c>
      <c r="K167" s="97">
        <f>VLOOKUP(ReviewCalcs[[#This Row],[Project Index]], ProjectInput[], M$1, FALSE)</f>
        <v>0</v>
      </c>
      <c r="L167" s="97">
        <f>VLOOKUP(ReviewCalcs[[#This Row],[Project Index]], ProjectInput[], N$1, FALSE)</f>
        <v>0</v>
      </c>
      <c r="M167" s="98" t="str">
        <f>VLOOKUP(ReviewCalcs[[#This Row],[Project Index]], ProjectInput[], O$1, FALSE)</f>
        <v/>
      </c>
      <c r="N167" s="96">
        <f>VLOOKUP(ReviewCalcs[[#This Row],[Project Index]], ProjectInput[], P$1, FALSE)</f>
        <v>0</v>
      </c>
      <c r="O167" s="97">
        <f>VLOOKUP(ReviewCalcs[[#This Row],[Project Index]], ProjectInput[], Q$1, FALSE)</f>
        <v>0</v>
      </c>
      <c r="P167" s="97">
        <f>VLOOKUP(ReviewCalcs[[#This Row],[Project Index]], ProjectInput[], R$1, FALSE)</f>
        <v>0</v>
      </c>
      <c r="Q167" s="97">
        <f>VLOOKUP(ReviewCalcs[[#This Row],[Project Index]], ProjectInput[], S$1, FALSE)</f>
        <v>0</v>
      </c>
      <c r="R167" s="97">
        <f>VLOOKUP(ReviewCalcs[[#This Row],[Project Index]], ProjectInput[], T$1, FALSE)</f>
        <v>0</v>
      </c>
      <c r="S167" s="97">
        <f>VLOOKUP(ReviewCalcs[[#This Row],[Project Index]], ProjectInput[], U$1, FALSE)</f>
        <v>0</v>
      </c>
      <c r="T167" s="97">
        <f>VLOOKUP(ReviewCalcs[[#This Row],[Project Index]], ProjectInput[], V$1, FALSE)</f>
        <v>0</v>
      </c>
      <c r="U167" s="97">
        <f>VLOOKUP(ReviewCalcs[[#This Row],[Project Index]], ProjectInput[], W$1, FALSE)</f>
        <v>0</v>
      </c>
      <c r="V167" s="98" t="str">
        <f>VLOOKUP(ReviewCalcs[[#This Row],[Project Index]], ProjectInput[], X$1, FALSE)</f>
        <v/>
      </c>
      <c r="W1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7" s="75" t="e">
        <f>IF(VLOOKUP(ReviewCalcs[[#This Row],[Proposed Fixture Code]], Table7[[FIXTURE CODE]:[Baseline Fixture Code]], 8, FALSE)="N", "ERROR", "PASS")</f>
        <v>#N/A</v>
      </c>
      <c r="Y1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7" s="75" t="e">
        <f>IF(OR(ReviewCalcs[[#This Row],[Baseline Fixture Watts]]&gt;=ReviewCalcs[[#This Row],[Proposed Fixture Watts]],ReviewCalcs[[#This Row],[Existing Fixture Watts]]&gt;=ReviewCalcs[[#This Row],[Proposed Fixture Watts]] ), "PASS", "ERROR")</f>
        <v>#N/A</v>
      </c>
      <c r="AA167" s="69" t="e">
        <f>VLOOKUP(ReviewCalcs[[#This Row],[Space Conditions]], Table_365[], 5, FALSE)</f>
        <v>#N/A</v>
      </c>
      <c r="AB167" s="68" t="str">
        <f>ReviewCalcs[[#This Row],[Annual Hours]]</f>
        <v/>
      </c>
      <c r="AC167" s="68" t="e">
        <f>VLOOKUP(ReviewCalcs[[#This Row],[Space Conditions]], Table_365[], 6, FALSE)</f>
        <v>#N/A</v>
      </c>
      <c r="AD167" s="68">
        <f>IF(ReviewCalcs[[#This Row],[Existing Control(s)]]='Tables &amp; Ranges'!$A$25, VLOOKUP(ReviewCalcs[[#This Row],[Building/Space Type]], Table_364[], 3, FALSE), CF_Contols)</f>
        <v>0.26</v>
      </c>
      <c r="AE167" s="68" t="e">
        <f>VLOOKUP(ReviewCalcs[[#This Row],[Existing Control(s)]], Table_358[], 2, FALSE)</f>
        <v>#N/A</v>
      </c>
      <c r="AF167" s="68">
        <f>IF(ReviewCalcs[[#This Row],[Proposed Control(s)]]='Tables &amp; Ranges'!$A$25, VLOOKUP(ReviewCalcs[[#This Row],[Building/Space Type]], Table_364[], 3, FALSE), CF_Contols)</f>
        <v>0.26</v>
      </c>
      <c r="AG167" s="68" t="e">
        <f>VLOOKUP(ReviewCalcs[[#This Row],[Proposed Control(s)]], Table_358[], 2, FALSE)</f>
        <v>#N/A</v>
      </c>
      <c r="AH167" s="68">
        <f>IFERROR((ReviewCalcs[[#This Row],[Existing Fixture Quantity]]*ReviewCalcs[[#This Row],[Existing Fixture Watts]]/1000)*ReviewCalcs[[#This Row],[Existing CF]]*ReviewCalcs[[#This Row],[IEFD]], 0)</f>
        <v>0</v>
      </c>
      <c r="AI167" s="68">
        <f>IFERROR((ReviewCalcs[[#This Row],[Proposed Fixture Quantity]]*ReviewCalcs[[#This Row],[Proposed Fixture Watts]]/1000)*ReviewCalcs[[#This Row],[Existing CF]]*ReviewCalcs[[#This Row],[IEFD]], 0)</f>
        <v>0</v>
      </c>
      <c r="AJ167" s="118">
        <f>IFERROR((ReviewCalcs[[#This Row],[Existing Fixture Quantity]]*ReviewCalcs[[#This Row],[Existing Fixture Watts]]/1000-ReviewCalcs[[#This Row],[Proposed Fixture Quantity]]*ReviewCalcs[[#This Row],[Proposed Fixture Watts]]/1000)*ReviewCalcs[[#This Row],[Existing CF]]*ReviewCalcs[[#This Row],[IEFD]], 0)</f>
        <v>0</v>
      </c>
      <c r="AK167" s="118">
        <f>IFERROR((ReviewCalcs[[#This Row],[Existing Fixture Quantity]]*ReviewCalcs[[#This Row],[Existing Fixture Watts]]/1000)*ReviewCalcs[[#This Row],[AOH]]*ReviewCalcs[[#This Row],[IEFE]]*ReviewCalcs[[#This Row],[Existing PAF]], 0)</f>
        <v>0</v>
      </c>
      <c r="AL167" s="118">
        <f>IFERROR((ReviewCalcs[[#This Row],[Proposed Fixture Quantity]]*ReviewCalcs[[#This Row],[Proposed Fixture Watts]]/1000)*ReviewCalcs[[#This Row],[AOH]]*ReviewCalcs[[#This Row],[IEFE]]*ReviewCalcs[[#This Row],[Existing PAF]], 0)</f>
        <v>0</v>
      </c>
      <c r="AM1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7" s="118">
        <f>ReviewCalcs[[#This Row],[Fixture Existing Energy (kWh)]]*Avg_KWh_Rate</f>
        <v>0</v>
      </c>
      <c r="AO167" s="118">
        <f>ReviewCalcs[[#This Row],[Fixture Proposed Energy (kWh)]]*Avg_KWh_Rate</f>
        <v>0</v>
      </c>
      <c r="AP167" s="70">
        <f>ReviewCalcs[[#This Row],[Fixture Energy Savings]]*Avg_KWh_Rate</f>
        <v>0</v>
      </c>
      <c r="AQ167" s="129" t="e">
        <f>ReviewCalcs[[#This Row],[Existing Fixture Quantity]]*ReviewCalcs[[#This Row],[Existing Fixture Watts]]/1000*ReviewCalcs[[#This Row],[Existing CF]]*ReviewCalcs[[#This Row],[IEFD]]</f>
        <v>#VALUE!</v>
      </c>
      <c r="AR167" s="129" t="e">
        <f>ReviewCalcs[[#This Row],[Proposed Fixture Quantity]]*ReviewCalcs[[#This Row],[Proposed Fixture Watts]]/1000*ReviewCalcs[[#This Row],[Proposed CF]]*ReviewCalcs[[#This Row],[IEFD]]</f>
        <v>#VALUE!</v>
      </c>
      <c r="AS167" s="118">
        <f>IF(ReviewCalcs[[#This Row],[Existing CF]]=ReviewCalcs[[#This Row],[Proposed CF]], 0, ReviewCalcs[[#This Row],[Proposed Fixture Quantity]]*ReviewCalcs[[#This Row],[Proposed Fixture Watts]]/1000*ReviewCalcs[[#This Row],[Proposed CF]]*ReviewCalcs[[#This Row],[IEFD]])</f>
        <v>0</v>
      </c>
      <c r="AT167" s="118">
        <f>IFERROR(ReviewCalcs[[#This Row],[Existing Fixture Quantity]]*ReviewCalcs[[#This Row],[Existing Fixture Watts]]/1000*ReviewCalcs[[#This Row],[Existing PAF]]*ReviewCalcs[[#This Row],[AOH]]*ReviewCalcs[[#This Row],[IEFE]], 0)</f>
        <v>0</v>
      </c>
      <c r="AU167" s="118">
        <f>IFERROR(ReviewCalcs[[#This Row],[Proposed Fixture Quantity]]*ReviewCalcs[[#This Row],[Proposed Fixture Watts]]/1000*ReviewCalcs[[#This Row],[Proposed PAF]]*ReviewCalcs[[#This Row],[AOH]]*ReviewCalcs[[#This Row],[IEFE]], 0)</f>
        <v>0</v>
      </c>
      <c r="AV167" s="118">
        <f>IFERROR(ReviewCalcs[[#This Row],[Proposed Fixture Quantity]]*ReviewCalcs[[#This Row],[Proposed Fixture Watts]]/1000*(ReviewCalcs[[#This Row],[Existing PAF]]-ReviewCalcs[[#This Row],[Proposed PAF]])*ReviewCalcs[[#This Row],[AOH]]*ReviewCalcs[[#This Row],[IEFE]], 0)</f>
        <v>0</v>
      </c>
      <c r="AW167" s="118">
        <f>ReviewCalcs[[#This Row],[Control Existing Energy (kWh)]]*kWh_Incentive_Rate</f>
        <v>0</v>
      </c>
      <c r="AX167" s="118">
        <f>ReviewCalcs[[#This Row],[Control Proposed Energy (kWh)]]*kWh_Incentive_Rate</f>
        <v>0</v>
      </c>
      <c r="AY167" s="70">
        <f>ReviewCalcs[[#This Row],[Control Energy Savings (kWh)]]*kWh_Incentive_Rate</f>
        <v>0</v>
      </c>
      <c r="AZ167" s="70" t="e">
        <f>ReviewCalcs[[#This Row],[Fixture Existing Demand (kW)]]+ReviewCalcs[[#This Row],[Control Existing Demand (kW)]]</f>
        <v>#VALUE!</v>
      </c>
      <c r="BA167" s="70" t="e">
        <f>ReviewCalcs[[#This Row],[Fixture Proposed Demand (kW)]]+ReviewCalcs[[#This Row],[Control Proposed Demand (kW)]]</f>
        <v>#VALUE!</v>
      </c>
      <c r="BB167" s="118">
        <f>ReviewCalcs[[#This Row],[Fixture Demand Savings (kW)]]+ReviewCalcs[[#This Row],[Control Demand Savings (kW)]]</f>
        <v>0</v>
      </c>
      <c r="BC167" s="118">
        <f>ReviewCalcs[[#This Row],[Fixture Existing Energy (kWh)]]+ReviewCalcs[[#This Row],[Control Existing Energy (kWh)]]</f>
        <v>0</v>
      </c>
      <c r="BD167" s="118">
        <f>ReviewCalcs[[#This Row],[Fixture Proposed Energy (kWh)]]+ReviewCalcs[[#This Row],[Control Proposed Energy (kWh)]]</f>
        <v>0</v>
      </c>
      <c r="BE167" s="118">
        <f>ReviewCalcs[[#This Row],[Fixture Energy Savings]]+ReviewCalcs[[#This Row],[Control Energy Savings (kWh)]]</f>
        <v>0</v>
      </c>
      <c r="BF167" s="118">
        <f>ReviewCalcs[[#This Row],[Fixture Existing Cost ($)]]+ReviewCalcs[[#This Row],[Control Existing Cost ($)]]</f>
        <v>0</v>
      </c>
      <c r="BG167" s="118">
        <f>ReviewCalcs[[#This Row],[Fixture Proposed Cost ($)]]+ReviewCalcs[[#This Row],[Controls Proposed Cost ($)]]</f>
        <v>0</v>
      </c>
      <c r="BH167" s="70">
        <f>ReviewCalcs[[#This Row],[Total Energy Savings (kWh)]]*Avg_KWh_Rate</f>
        <v>0</v>
      </c>
      <c r="BI1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7" s="70">
        <f>ReviewCalcs[[#This Row],[Retrofit Cost]]</f>
        <v>0</v>
      </c>
      <c r="BK167" s="70">
        <f>ReviewCalcs[[#This Row],[Retrofit Cost]]-ReviewCalcs[[#This Row],[Incentive ($)]]</f>
        <v>0</v>
      </c>
      <c r="BL167" s="118" t="e">
        <f>IFERROR(ReviewCalcs[[#This Row],[Net Project Cost ($)]]/ReviewCalcs[[#This Row],[Fixture Energy Cost Savings ($)]], #N/A)</f>
        <v>#N/A</v>
      </c>
      <c r="BM167" s="118" t="e">
        <f>IF(VLOOKUP(ReviewCalcs[[#This Row],[Existing Fixture Code]], Table7[[FIXTURE CODE]:[Baseline Fixture Code]], 8, FALSE)="N", VLOOKUP(ReviewCalcs[[#This Row],[Existing Fixture Code]], Table7[[FIXTURE CODE]:[Baseline Fixture Code]], 9, FALSE), ReviewCalcs[[#This Row],[Existing Fixture Code]])</f>
        <v>#N/A</v>
      </c>
      <c r="BN167" s="118" t="e">
        <f>INDEX(Table7[WATT/ FIXT], MATCH(ReviewCalcs[Baseline Fixture Code], Table7[FIXTURE CODE], 0))</f>
        <v>#N/A</v>
      </c>
      <c r="BO167" s="118">
        <f>IFERROR((ReviewCalcs[[#This Row],[Existing Fixture Quantity]]*ReviewCalcs[[#This Row],[Baseline Fixture Watts]]/1000-ReviewCalcs[[#This Row],[Proposed Fixture Quantity]]*ReviewCalcs[[#This Row],[Proposed Fixture Watts]]/1000)*ReviewCalcs[[#This Row],[Existing CF]]*ReviewCalcs[[#This Row],[IEFD]], 0)</f>
        <v>0</v>
      </c>
      <c r="BP1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7" s="118">
        <f>IF(ReviewCalcs[[#This Row],[Existing CF]]=ReviewCalcs[[#This Row],[Proposed CF]], 0, ReviewCalcs[[#This Row],[Proposed Fixture Quantity]]*ReviewCalcs[[#This Row],[Proposed Fixture Watts]]/1000*ReviewCalcs[[#This Row],[Proposed CF]]*ReviewCalcs[[#This Row],[IEFD]])</f>
        <v>0</v>
      </c>
      <c r="BR167" s="118">
        <f>IFERROR(ReviewCalcs[[#This Row],[Proposed Fixture Quantity]]*ReviewCalcs[[#This Row],[Proposed Fixture Watts]]/1000*(ReviewCalcs[[#This Row],[Existing PAF]]-ReviewCalcs[[#This Row],[Proposed PAF]])*ReviewCalcs[[#This Row],[AOH]]*ReviewCalcs[[#This Row],[IEFE]],0)</f>
        <v>0</v>
      </c>
      <c r="BS167" s="118">
        <f>ReviewCalcs[[#This Row],[Incentive Fixture Demand Savings (kW)]]+ReviewCalcs[[#This Row],[Incentive Control Demand Savings (kW)]]</f>
        <v>0</v>
      </c>
      <c r="BT167" s="118">
        <f>ReviewCalcs[[#This Row],[Incentive Fixture Energy Savings (kWh)]]+ReviewCalcs[[#This Row],[Incentive Control Energy Savings (kWh)]]</f>
        <v>0</v>
      </c>
      <c r="BU167" s="73"/>
    </row>
    <row r="168" spans="1:73" ht="30" customHeight="1">
      <c r="A168" s="68">
        <v>165</v>
      </c>
      <c r="B168" s="96">
        <f>VLOOKUP(ReviewCalcs[[#This Row],[Project Index]], ProjectInput[], D$1, FALSE)</f>
        <v>0</v>
      </c>
      <c r="C168" s="97">
        <f>VLOOKUP(ReviewCalcs[[#This Row],[Project Index]], ProjectInput[], E$1, FALSE)</f>
        <v>0</v>
      </c>
      <c r="D168" s="97">
        <f>VLOOKUP(ReviewCalcs[[#This Row],[Project Index]], ProjectInput[], F$1, FALSE)</f>
        <v>0</v>
      </c>
      <c r="E168" s="97">
        <f>VLOOKUP(ReviewCalcs[[#This Row],[Project Index]], ProjectInput[], G$1, FALSE)</f>
        <v>0</v>
      </c>
      <c r="F168" s="97">
        <f>VLOOKUP(ReviewCalcs[[#This Row],[Project Index]], ProjectInput[], H$1, FALSE)</f>
        <v>0</v>
      </c>
      <c r="G168" s="98" t="str">
        <f>VLOOKUP(ReviewCalcs[[#This Row],[Project Index]], ProjectInput[], I$1, FALSE)</f>
        <v/>
      </c>
      <c r="H168" s="96">
        <f>VLOOKUP(ReviewCalcs[[#This Row],[Project Index]], ProjectInput[], J$1, FALSE)</f>
        <v>0</v>
      </c>
      <c r="I168" s="97">
        <f>VLOOKUP(ReviewCalcs[[#This Row],[Project Index]], ProjectInput[], K$1, FALSE)</f>
        <v>0</v>
      </c>
      <c r="J168" s="97">
        <f>VLOOKUP(ReviewCalcs[[#This Row],[Project Index]], ProjectInput[], L$1, FALSE)</f>
        <v>0</v>
      </c>
      <c r="K168" s="97">
        <f>VLOOKUP(ReviewCalcs[[#This Row],[Project Index]], ProjectInput[], M$1, FALSE)</f>
        <v>0</v>
      </c>
      <c r="L168" s="97">
        <f>VLOOKUP(ReviewCalcs[[#This Row],[Project Index]], ProjectInput[], N$1, FALSE)</f>
        <v>0</v>
      </c>
      <c r="M168" s="98" t="str">
        <f>VLOOKUP(ReviewCalcs[[#This Row],[Project Index]], ProjectInput[], O$1, FALSE)</f>
        <v/>
      </c>
      <c r="N168" s="96">
        <f>VLOOKUP(ReviewCalcs[[#This Row],[Project Index]], ProjectInput[], P$1, FALSE)</f>
        <v>0</v>
      </c>
      <c r="O168" s="97">
        <f>VLOOKUP(ReviewCalcs[[#This Row],[Project Index]], ProjectInput[], Q$1, FALSE)</f>
        <v>0</v>
      </c>
      <c r="P168" s="97">
        <f>VLOOKUP(ReviewCalcs[[#This Row],[Project Index]], ProjectInput[], R$1, FALSE)</f>
        <v>0</v>
      </c>
      <c r="Q168" s="97">
        <f>VLOOKUP(ReviewCalcs[[#This Row],[Project Index]], ProjectInput[], S$1, FALSE)</f>
        <v>0</v>
      </c>
      <c r="R168" s="97">
        <f>VLOOKUP(ReviewCalcs[[#This Row],[Project Index]], ProjectInput[], T$1, FALSE)</f>
        <v>0</v>
      </c>
      <c r="S168" s="97">
        <f>VLOOKUP(ReviewCalcs[[#This Row],[Project Index]], ProjectInput[], U$1, FALSE)</f>
        <v>0</v>
      </c>
      <c r="T168" s="97">
        <f>VLOOKUP(ReviewCalcs[[#This Row],[Project Index]], ProjectInput[], V$1, FALSE)</f>
        <v>0</v>
      </c>
      <c r="U168" s="97">
        <f>VLOOKUP(ReviewCalcs[[#This Row],[Project Index]], ProjectInput[], W$1, FALSE)</f>
        <v>0</v>
      </c>
      <c r="V168" s="98" t="str">
        <f>VLOOKUP(ReviewCalcs[[#This Row],[Project Index]], ProjectInput[], X$1, FALSE)</f>
        <v/>
      </c>
      <c r="W1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8" s="75" t="e">
        <f>IF(VLOOKUP(ReviewCalcs[[#This Row],[Proposed Fixture Code]], Table7[[FIXTURE CODE]:[Baseline Fixture Code]], 8, FALSE)="N", "ERROR", "PASS")</f>
        <v>#N/A</v>
      </c>
      <c r="Y1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8" s="75" t="e">
        <f>IF(OR(ReviewCalcs[[#This Row],[Baseline Fixture Watts]]&gt;=ReviewCalcs[[#This Row],[Proposed Fixture Watts]],ReviewCalcs[[#This Row],[Existing Fixture Watts]]&gt;=ReviewCalcs[[#This Row],[Proposed Fixture Watts]] ), "PASS", "ERROR")</f>
        <v>#N/A</v>
      </c>
      <c r="AA168" s="69" t="e">
        <f>VLOOKUP(ReviewCalcs[[#This Row],[Space Conditions]], Table_365[], 5, FALSE)</f>
        <v>#N/A</v>
      </c>
      <c r="AB168" s="68" t="str">
        <f>ReviewCalcs[[#This Row],[Annual Hours]]</f>
        <v/>
      </c>
      <c r="AC168" s="68" t="e">
        <f>VLOOKUP(ReviewCalcs[[#This Row],[Space Conditions]], Table_365[], 6, FALSE)</f>
        <v>#N/A</v>
      </c>
      <c r="AD168" s="68">
        <f>IF(ReviewCalcs[[#This Row],[Existing Control(s)]]='Tables &amp; Ranges'!$A$25, VLOOKUP(ReviewCalcs[[#This Row],[Building/Space Type]], Table_364[], 3, FALSE), CF_Contols)</f>
        <v>0.26</v>
      </c>
      <c r="AE168" s="68" t="e">
        <f>VLOOKUP(ReviewCalcs[[#This Row],[Existing Control(s)]], Table_358[], 2, FALSE)</f>
        <v>#N/A</v>
      </c>
      <c r="AF168" s="68">
        <f>IF(ReviewCalcs[[#This Row],[Proposed Control(s)]]='Tables &amp; Ranges'!$A$25, VLOOKUP(ReviewCalcs[[#This Row],[Building/Space Type]], Table_364[], 3, FALSE), CF_Contols)</f>
        <v>0.26</v>
      </c>
      <c r="AG168" s="68" t="e">
        <f>VLOOKUP(ReviewCalcs[[#This Row],[Proposed Control(s)]], Table_358[], 2, FALSE)</f>
        <v>#N/A</v>
      </c>
      <c r="AH168" s="68">
        <f>IFERROR((ReviewCalcs[[#This Row],[Existing Fixture Quantity]]*ReviewCalcs[[#This Row],[Existing Fixture Watts]]/1000)*ReviewCalcs[[#This Row],[Existing CF]]*ReviewCalcs[[#This Row],[IEFD]], 0)</f>
        <v>0</v>
      </c>
      <c r="AI168" s="68">
        <f>IFERROR((ReviewCalcs[[#This Row],[Proposed Fixture Quantity]]*ReviewCalcs[[#This Row],[Proposed Fixture Watts]]/1000)*ReviewCalcs[[#This Row],[Existing CF]]*ReviewCalcs[[#This Row],[IEFD]], 0)</f>
        <v>0</v>
      </c>
      <c r="AJ168" s="118">
        <f>IFERROR((ReviewCalcs[[#This Row],[Existing Fixture Quantity]]*ReviewCalcs[[#This Row],[Existing Fixture Watts]]/1000-ReviewCalcs[[#This Row],[Proposed Fixture Quantity]]*ReviewCalcs[[#This Row],[Proposed Fixture Watts]]/1000)*ReviewCalcs[[#This Row],[Existing CF]]*ReviewCalcs[[#This Row],[IEFD]], 0)</f>
        <v>0</v>
      </c>
      <c r="AK168" s="118">
        <f>IFERROR((ReviewCalcs[[#This Row],[Existing Fixture Quantity]]*ReviewCalcs[[#This Row],[Existing Fixture Watts]]/1000)*ReviewCalcs[[#This Row],[AOH]]*ReviewCalcs[[#This Row],[IEFE]]*ReviewCalcs[[#This Row],[Existing PAF]], 0)</f>
        <v>0</v>
      </c>
      <c r="AL168" s="118">
        <f>IFERROR((ReviewCalcs[[#This Row],[Proposed Fixture Quantity]]*ReviewCalcs[[#This Row],[Proposed Fixture Watts]]/1000)*ReviewCalcs[[#This Row],[AOH]]*ReviewCalcs[[#This Row],[IEFE]]*ReviewCalcs[[#This Row],[Existing PAF]], 0)</f>
        <v>0</v>
      </c>
      <c r="AM1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8" s="118">
        <f>ReviewCalcs[[#This Row],[Fixture Existing Energy (kWh)]]*Avg_KWh_Rate</f>
        <v>0</v>
      </c>
      <c r="AO168" s="118">
        <f>ReviewCalcs[[#This Row],[Fixture Proposed Energy (kWh)]]*Avg_KWh_Rate</f>
        <v>0</v>
      </c>
      <c r="AP168" s="70">
        <f>ReviewCalcs[[#This Row],[Fixture Energy Savings]]*Avg_KWh_Rate</f>
        <v>0</v>
      </c>
      <c r="AQ168" s="129" t="e">
        <f>ReviewCalcs[[#This Row],[Existing Fixture Quantity]]*ReviewCalcs[[#This Row],[Existing Fixture Watts]]/1000*ReviewCalcs[[#This Row],[Existing CF]]*ReviewCalcs[[#This Row],[IEFD]]</f>
        <v>#VALUE!</v>
      </c>
      <c r="AR168" s="129" t="e">
        <f>ReviewCalcs[[#This Row],[Proposed Fixture Quantity]]*ReviewCalcs[[#This Row],[Proposed Fixture Watts]]/1000*ReviewCalcs[[#This Row],[Proposed CF]]*ReviewCalcs[[#This Row],[IEFD]]</f>
        <v>#VALUE!</v>
      </c>
      <c r="AS168" s="118">
        <f>IF(ReviewCalcs[[#This Row],[Existing CF]]=ReviewCalcs[[#This Row],[Proposed CF]], 0, ReviewCalcs[[#This Row],[Proposed Fixture Quantity]]*ReviewCalcs[[#This Row],[Proposed Fixture Watts]]/1000*ReviewCalcs[[#This Row],[Proposed CF]]*ReviewCalcs[[#This Row],[IEFD]])</f>
        <v>0</v>
      </c>
      <c r="AT168" s="118">
        <f>IFERROR(ReviewCalcs[[#This Row],[Existing Fixture Quantity]]*ReviewCalcs[[#This Row],[Existing Fixture Watts]]/1000*ReviewCalcs[[#This Row],[Existing PAF]]*ReviewCalcs[[#This Row],[AOH]]*ReviewCalcs[[#This Row],[IEFE]], 0)</f>
        <v>0</v>
      </c>
      <c r="AU168" s="118">
        <f>IFERROR(ReviewCalcs[[#This Row],[Proposed Fixture Quantity]]*ReviewCalcs[[#This Row],[Proposed Fixture Watts]]/1000*ReviewCalcs[[#This Row],[Proposed PAF]]*ReviewCalcs[[#This Row],[AOH]]*ReviewCalcs[[#This Row],[IEFE]], 0)</f>
        <v>0</v>
      </c>
      <c r="AV168" s="118">
        <f>IFERROR(ReviewCalcs[[#This Row],[Proposed Fixture Quantity]]*ReviewCalcs[[#This Row],[Proposed Fixture Watts]]/1000*(ReviewCalcs[[#This Row],[Existing PAF]]-ReviewCalcs[[#This Row],[Proposed PAF]])*ReviewCalcs[[#This Row],[AOH]]*ReviewCalcs[[#This Row],[IEFE]], 0)</f>
        <v>0</v>
      </c>
      <c r="AW168" s="118">
        <f>ReviewCalcs[[#This Row],[Control Existing Energy (kWh)]]*kWh_Incentive_Rate</f>
        <v>0</v>
      </c>
      <c r="AX168" s="118">
        <f>ReviewCalcs[[#This Row],[Control Proposed Energy (kWh)]]*kWh_Incentive_Rate</f>
        <v>0</v>
      </c>
      <c r="AY168" s="70">
        <f>ReviewCalcs[[#This Row],[Control Energy Savings (kWh)]]*kWh_Incentive_Rate</f>
        <v>0</v>
      </c>
      <c r="AZ168" s="70" t="e">
        <f>ReviewCalcs[[#This Row],[Fixture Existing Demand (kW)]]+ReviewCalcs[[#This Row],[Control Existing Demand (kW)]]</f>
        <v>#VALUE!</v>
      </c>
      <c r="BA168" s="70" t="e">
        <f>ReviewCalcs[[#This Row],[Fixture Proposed Demand (kW)]]+ReviewCalcs[[#This Row],[Control Proposed Demand (kW)]]</f>
        <v>#VALUE!</v>
      </c>
      <c r="BB168" s="118">
        <f>ReviewCalcs[[#This Row],[Fixture Demand Savings (kW)]]+ReviewCalcs[[#This Row],[Control Demand Savings (kW)]]</f>
        <v>0</v>
      </c>
      <c r="BC168" s="118">
        <f>ReviewCalcs[[#This Row],[Fixture Existing Energy (kWh)]]+ReviewCalcs[[#This Row],[Control Existing Energy (kWh)]]</f>
        <v>0</v>
      </c>
      <c r="BD168" s="118">
        <f>ReviewCalcs[[#This Row],[Fixture Proposed Energy (kWh)]]+ReviewCalcs[[#This Row],[Control Proposed Energy (kWh)]]</f>
        <v>0</v>
      </c>
      <c r="BE168" s="118">
        <f>ReviewCalcs[[#This Row],[Fixture Energy Savings]]+ReviewCalcs[[#This Row],[Control Energy Savings (kWh)]]</f>
        <v>0</v>
      </c>
      <c r="BF168" s="118">
        <f>ReviewCalcs[[#This Row],[Fixture Existing Cost ($)]]+ReviewCalcs[[#This Row],[Control Existing Cost ($)]]</f>
        <v>0</v>
      </c>
      <c r="BG168" s="118">
        <f>ReviewCalcs[[#This Row],[Fixture Proposed Cost ($)]]+ReviewCalcs[[#This Row],[Controls Proposed Cost ($)]]</f>
        <v>0</v>
      </c>
      <c r="BH168" s="70">
        <f>ReviewCalcs[[#This Row],[Total Energy Savings (kWh)]]*Avg_KWh_Rate</f>
        <v>0</v>
      </c>
      <c r="BI1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8" s="70">
        <f>ReviewCalcs[[#This Row],[Retrofit Cost]]</f>
        <v>0</v>
      </c>
      <c r="BK168" s="70">
        <f>ReviewCalcs[[#This Row],[Retrofit Cost]]-ReviewCalcs[[#This Row],[Incentive ($)]]</f>
        <v>0</v>
      </c>
      <c r="BL168" s="118" t="e">
        <f>IFERROR(ReviewCalcs[[#This Row],[Net Project Cost ($)]]/ReviewCalcs[[#This Row],[Fixture Energy Cost Savings ($)]], #N/A)</f>
        <v>#N/A</v>
      </c>
      <c r="BM168" s="118" t="e">
        <f>IF(VLOOKUP(ReviewCalcs[[#This Row],[Existing Fixture Code]], Table7[[FIXTURE CODE]:[Baseline Fixture Code]], 8, FALSE)="N", VLOOKUP(ReviewCalcs[[#This Row],[Existing Fixture Code]], Table7[[FIXTURE CODE]:[Baseline Fixture Code]], 9, FALSE), ReviewCalcs[[#This Row],[Existing Fixture Code]])</f>
        <v>#N/A</v>
      </c>
      <c r="BN168" s="118" t="e">
        <f>INDEX(Table7[WATT/ FIXT], MATCH(ReviewCalcs[Baseline Fixture Code], Table7[FIXTURE CODE], 0))</f>
        <v>#N/A</v>
      </c>
      <c r="BO168" s="118">
        <f>IFERROR((ReviewCalcs[[#This Row],[Existing Fixture Quantity]]*ReviewCalcs[[#This Row],[Baseline Fixture Watts]]/1000-ReviewCalcs[[#This Row],[Proposed Fixture Quantity]]*ReviewCalcs[[#This Row],[Proposed Fixture Watts]]/1000)*ReviewCalcs[[#This Row],[Existing CF]]*ReviewCalcs[[#This Row],[IEFD]], 0)</f>
        <v>0</v>
      </c>
      <c r="BP1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8" s="118">
        <f>IF(ReviewCalcs[[#This Row],[Existing CF]]=ReviewCalcs[[#This Row],[Proposed CF]], 0, ReviewCalcs[[#This Row],[Proposed Fixture Quantity]]*ReviewCalcs[[#This Row],[Proposed Fixture Watts]]/1000*ReviewCalcs[[#This Row],[Proposed CF]]*ReviewCalcs[[#This Row],[IEFD]])</f>
        <v>0</v>
      </c>
      <c r="BR168" s="118">
        <f>IFERROR(ReviewCalcs[[#This Row],[Proposed Fixture Quantity]]*ReviewCalcs[[#This Row],[Proposed Fixture Watts]]/1000*(ReviewCalcs[[#This Row],[Existing PAF]]-ReviewCalcs[[#This Row],[Proposed PAF]])*ReviewCalcs[[#This Row],[AOH]]*ReviewCalcs[[#This Row],[IEFE]],0)</f>
        <v>0</v>
      </c>
      <c r="BS168" s="118">
        <f>ReviewCalcs[[#This Row],[Incentive Fixture Demand Savings (kW)]]+ReviewCalcs[[#This Row],[Incentive Control Demand Savings (kW)]]</f>
        <v>0</v>
      </c>
      <c r="BT168" s="118">
        <f>ReviewCalcs[[#This Row],[Incentive Fixture Energy Savings (kWh)]]+ReviewCalcs[[#This Row],[Incentive Control Energy Savings (kWh)]]</f>
        <v>0</v>
      </c>
      <c r="BU168" s="73"/>
    </row>
    <row r="169" spans="1:73" ht="30" customHeight="1">
      <c r="A169" s="68">
        <v>166</v>
      </c>
      <c r="B169" s="96">
        <f>VLOOKUP(ReviewCalcs[[#This Row],[Project Index]], ProjectInput[], D$1, FALSE)</f>
        <v>0</v>
      </c>
      <c r="C169" s="97">
        <f>VLOOKUP(ReviewCalcs[[#This Row],[Project Index]], ProjectInput[], E$1, FALSE)</f>
        <v>0</v>
      </c>
      <c r="D169" s="97">
        <f>VLOOKUP(ReviewCalcs[[#This Row],[Project Index]], ProjectInput[], F$1, FALSE)</f>
        <v>0</v>
      </c>
      <c r="E169" s="97">
        <f>VLOOKUP(ReviewCalcs[[#This Row],[Project Index]], ProjectInput[], G$1, FALSE)</f>
        <v>0</v>
      </c>
      <c r="F169" s="97">
        <f>VLOOKUP(ReviewCalcs[[#This Row],[Project Index]], ProjectInput[], H$1, FALSE)</f>
        <v>0</v>
      </c>
      <c r="G169" s="98" t="str">
        <f>VLOOKUP(ReviewCalcs[[#This Row],[Project Index]], ProjectInput[], I$1, FALSE)</f>
        <v/>
      </c>
      <c r="H169" s="96">
        <f>VLOOKUP(ReviewCalcs[[#This Row],[Project Index]], ProjectInput[], J$1, FALSE)</f>
        <v>0</v>
      </c>
      <c r="I169" s="97">
        <f>VLOOKUP(ReviewCalcs[[#This Row],[Project Index]], ProjectInput[], K$1, FALSE)</f>
        <v>0</v>
      </c>
      <c r="J169" s="97">
        <f>VLOOKUP(ReviewCalcs[[#This Row],[Project Index]], ProjectInput[], L$1, FALSE)</f>
        <v>0</v>
      </c>
      <c r="K169" s="97">
        <f>VLOOKUP(ReviewCalcs[[#This Row],[Project Index]], ProjectInput[], M$1, FALSE)</f>
        <v>0</v>
      </c>
      <c r="L169" s="97">
        <f>VLOOKUP(ReviewCalcs[[#This Row],[Project Index]], ProjectInput[], N$1, FALSE)</f>
        <v>0</v>
      </c>
      <c r="M169" s="98" t="str">
        <f>VLOOKUP(ReviewCalcs[[#This Row],[Project Index]], ProjectInput[], O$1, FALSE)</f>
        <v/>
      </c>
      <c r="N169" s="96">
        <f>VLOOKUP(ReviewCalcs[[#This Row],[Project Index]], ProjectInput[], P$1, FALSE)</f>
        <v>0</v>
      </c>
      <c r="O169" s="97">
        <f>VLOOKUP(ReviewCalcs[[#This Row],[Project Index]], ProjectInput[], Q$1, FALSE)</f>
        <v>0</v>
      </c>
      <c r="P169" s="97">
        <f>VLOOKUP(ReviewCalcs[[#This Row],[Project Index]], ProjectInput[], R$1, FALSE)</f>
        <v>0</v>
      </c>
      <c r="Q169" s="97">
        <f>VLOOKUP(ReviewCalcs[[#This Row],[Project Index]], ProjectInput[], S$1, FALSE)</f>
        <v>0</v>
      </c>
      <c r="R169" s="97">
        <f>VLOOKUP(ReviewCalcs[[#This Row],[Project Index]], ProjectInput[], T$1, FALSE)</f>
        <v>0</v>
      </c>
      <c r="S169" s="97">
        <f>VLOOKUP(ReviewCalcs[[#This Row],[Project Index]], ProjectInput[], U$1, FALSE)</f>
        <v>0</v>
      </c>
      <c r="T169" s="97">
        <f>VLOOKUP(ReviewCalcs[[#This Row],[Project Index]], ProjectInput[], V$1, FALSE)</f>
        <v>0</v>
      </c>
      <c r="U169" s="97">
        <f>VLOOKUP(ReviewCalcs[[#This Row],[Project Index]], ProjectInput[], W$1, FALSE)</f>
        <v>0</v>
      </c>
      <c r="V169" s="98" t="str">
        <f>VLOOKUP(ReviewCalcs[[#This Row],[Project Index]], ProjectInput[], X$1, FALSE)</f>
        <v/>
      </c>
      <c r="W1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69" s="75" t="e">
        <f>IF(VLOOKUP(ReviewCalcs[[#This Row],[Proposed Fixture Code]], Table7[[FIXTURE CODE]:[Baseline Fixture Code]], 8, FALSE)="N", "ERROR", "PASS")</f>
        <v>#N/A</v>
      </c>
      <c r="Y1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69" s="75" t="e">
        <f>IF(OR(ReviewCalcs[[#This Row],[Baseline Fixture Watts]]&gt;=ReviewCalcs[[#This Row],[Proposed Fixture Watts]],ReviewCalcs[[#This Row],[Existing Fixture Watts]]&gt;=ReviewCalcs[[#This Row],[Proposed Fixture Watts]] ), "PASS", "ERROR")</f>
        <v>#N/A</v>
      </c>
      <c r="AA169" s="69" t="e">
        <f>VLOOKUP(ReviewCalcs[[#This Row],[Space Conditions]], Table_365[], 5, FALSE)</f>
        <v>#N/A</v>
      </c>
      <c r="AB169" s="68" t="str">
        <f>ReviewCalcs[[#This Row],[Annual Hours]]</f>
        <v/>
      </c>
      <c r="AC169" s="68" t="e">
        <f>VLOOKUP(ReviewCalcs[[#This Row],[Space Conditions]], Table_365[], 6, FALSE)</f>
        <v>#N/A</v>
      </c>
      <c r="AD169" s="68">
        <f>IF(ReviewCalcs[[#This Row],[Existing Control(s)]]='Tables &amp; Ranges'!$A$25, VLOOKUP(ReviewCalcs[[#This Row],[Building/Space Type]], Table_364[], 3, FALSE), CF_Contols)</f>
        <v>0.26</v>
      </c>
      <c r="AE169" s="68" t="e">
        <f>VLOOKUP(ReviewCalcs[[#This Row],[Existing Control(s)]], Table_358[], 2, FALSE)</f>
        <v>#N/A</v>
      </c>
      <c r="AF169" s="68">
        <f>IF(ReviewCalcs[[#This Row],[Proposed Control(s)]]='Tables &amp; Ranges'!$A$25, VLOOKUP(ReviewCalcs[[#This Row],[Building/Space Type]], Table_364[], 3, FALSE), CF_Contols)</f>
        <v>0.26</v>
      </c>
      <c r="AG169" s="68" t="e">
        <f>VLOOKUP(ReviewCalcs[[#This Row],[Proposed Control(s)]], Table_358[], 2, FALSE)</f>
        <v>#N/A</v>
      </c>
      <c r="AH169" s="68">
        <f>IFERROR((ReviewCalcs[[#This Row],[Existing Fixture Quantity]]*ReviewCalcs[[#This Row],[Existing Fixture Watts]]/1000)*ReviewCalcs[[#This Row],[Existing CF]]*ReviewCalcs[[#This Row],[IEFD]], 0)</f>
        <v>0</v>
      </c>
      <c r="AI169" s="68">
        <f>IFERROR((ReviewCalcs[[#This Row],[Proposed Fixture Quantity]]*ReviewCalcs[[#This Row],[Proposed Fixture Watts]]/1000)*ReviewCalcs[[#This Row],[Existing CF]]*ReviewCalcs[[#This Row],[IEFD]], 0)</f>
        <v>0</v>
      </c>
      <c r="AJ169" s="118">
        <f>IFERROR((ReviewCalcs[[#This Row],[Existing Fixture Quantity]]*ReviewCalcs[[#This Row],[Existing Fixture Watts]]/1000-ReviewCalcs[[#This Row],[Proposed Fixture Quantity]]*ReviewCalcs[[#This Row],[Proposed Fixture Watts]]/1000)*ReviewCalcs[[#This Row],[Existing CF]]*ReviewCalcs[[#This Row],[IEFD]], 0)</f>
        <v>0</v>
      </c>
      <c r="AK169" s="118">
        <f>IFERROR((ReviewCalcs[[#This Row],[Existing Fixture Quantity]]*ReviewCalcs[[#This Row],[Existing Fixture Watts]]/1000)*ReviewCalcs[[#This Row],[AOH]]*ReviewCalcs[[#This Row],[IEFE]]*ReviewCalcs[[#This Row],[Existing PAF]], 0)</f>
        <v>0</v>
      </c>
      <c r="AL169" s="118">
        <f>IFERROR((ReviewCalcs[[#This Row],[Proposed Fixture Quantity]]*ReviewCalcs[[#This Row],[Proposed Fixture Watts]]/1000)*ReviewCalcs[[#This Row],[AOH]]*ReviewCalcs[[#This Row],[IEFE]]*ReviewCalcs[[#This Row],[Existing PAF]], 0)</f>
        <v>0</v>
      </c>
      <c r="AM1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69" s="118">
        <f>ReviewCalcs[[#This Row],[Fixture Existing Energy (kWh)]]*Avg_KWh_Rate</f>
        <v>0</v>
      </c>
      <c r="AO169" s="118">
        <f>ReviewCalcs[[#This Row],[Fixture Proposed Energy (kWh)]]*Avg_KWh_Rate</f>
        <v>0</v>
      </c>
      <c r="AP169" s="70">
        <f>ReviewCalcs[[#This Row],[Fixture Energy Savings]]*Avg_KWh_Rate</f>
        <v>0</v>
      </c>
      <c r="AQ169" s="129" t="e">
        <f>ReviewCalcs[[#This Row],[Existing Fixture Quantity]]*ReviewCalcs[[#This Row],[Existing Fixture Watts]]/1000*ReviewCalcs[[#This Row],[Existing CF]]*ReviewCalcs[[#This Row],[IEFD]]</f>
        <v>#VALUE!</v>
      </c>
      <c r="AR169" s="129" t="e">
        <f>ReviewCalcs[[#This Row],[Proposed Fixture Quantity]]*ReviewCalcs[[#This Row],[Proposed Fixture Watts]]/1000*ReviewCalcs[[#This Row],[Proposed CF]]*ReviewCalcs[[#This Row],[IEFD]]</f>
        <v>#VALUE!</v>
      </c>
      <c r="AS169" s="118">
        <f>IF(ReviewCalcs[[#This Row],[Existing CF]]=ReviewCalcs[[#This Row],[Proposed CF]], 0, ReviewCalcs[[#This Row],[Proposed Fixture Quantity]]*ReviewCalcs[[#This Row],[Proposed Fixture Watts]]/1000*ReviewCalcs[[#This Row],[Proposed CF]]*ReviewCalcs[[#This Row],[IEFD]])</f>
        <v>0</v>
      </c>
      <c r="AT169" s="118">
        <f>IFERROR(ReviewCalcs[[#This Row],[Existing Fixture Quantity]]*ReviewCalcs[[#This Row],[Existing Fixture Watts]]/1000*ReviewCalcs[[#This Row],[Existing PAF]]*ReviewCalcs[[#This Row],[AOH]]*ReviewCalcs[[#This Row],[IEFE]], 0)</f>
        <v>0</v>
      </c>
      <c r="AU169" s="118">
        <f>IFERROR(ReviewCalcs[[#This Row],[Proposed Fixture Quantity]]*ReviewCalcs[[#This Row],[Proposed Fixture Watts]]/1000*ReviewCalcs[[#This Row],[Proposed PAF]]*ReviewCalcs[[#This Row],[AOH]]*ReviewCalcs[[#This Row],[IEFE]], 0)</f>
        <v>0</v>
      </c>
      <c r="AV169" s="118">
        <f>IFERROR(ReviewCalcs[[#This Row],[Proposed Fixture Quantity]]*ReviewCalcs[[#This Row],[Proposed Fixture Watts]]/1000*(ReviewCalcs[[#This Row],[Existing PAF]]-ReviewCalcs[[#This Row],[Proposed PAF]])*ReviewCalcs[[#This Row],[AOH]]*ReviewCalcs[[#This Row],[IEFE]], 0)</f>
        <v>0</v>
      </c>
      <c r="AW169" s="118">
        <f>ReviewCalcs[[#This Row],[Control Existing Energy (kWh)]]*kWh_Incentive_Rate</f>
        <v>0</v>
      </c>
      <c r="AX169" s="118">
        <f>ReviewCalcs[[#This Row],[Control Proposed Energy (kWh)]]*kWh_Incentive_Rate</f>
        <v>0</v>
      </c>
      <c r="AY169" s="70">
        <f>ReviewCalcs[[#This Row],[Control Energy Savings (kWh)]]*kWh_Incentive_Rate</f>
        <v>0</v>
      </c>
      <c r="AZ169" s="70" t="e">
        <f>ReviewCalcs[[#This Row],[Fixture Existing Demand (kW)]]+ReviewCalcs[[#This Row],[Control Existing Demand (kW)]]</f>
        <v>#VALUE!</v>
      </c>
      <c r="BA169" s="70" t="e">
        <f>ReviewCalcs[[#This Row],[Fixture Proposed Demand (kW)]]+ReviewCalcs[[#This Row],[Control Proposed Demand (kW)]]</f>
        <v>#VALUE!</v>
      </c>
      <c r="BB169" s="118">
        <f>ReviewCalcs[[#This Row],[Fixture Demand Savings (kW)]]+ReviewCalcs[[#This Row],[Control Demand Savings (kW)]]</f>
        <v>0</v>
      </c>
      <c r="BC169" s="118">
        <f>ReviewCalcs[[#This Row],[Fixture Existing Energy (kWh)]]+ReviewCalcs[[#This Row],[Control Existing Energy (kWh)]]</f>
        <v>0</v>
      </c>
      <c r="BD169" s="118">
        <f>ReviewCalcs[[#This Row],[Fixture Proposed Energy (kWh)]]+ReviewCalcs[[#This Row],[Control Proposed Energy (kWh)]]</f>
        <v>0</v>
      </c>
      <c r="BE169" s="118">
        <f>ReviewCalcs[[#This Row],[Fixture Energy Savings]]+ReviewCalcs[[#This Row],[Control Energy Savings (kWh)]]</f>
        <v>0</v>
      </c>
      <c r="BF169" s="118">
        <f>ReviewCalcs[[#This Row],[Fixture Existing Cost ($)]]+ReviewCalcs[[#This Row],[Control Existing Cost ($)]]</f>
        <v>0</v>
      </c>
      <c r="BG169" s="118">
        <f>ReviewCalcs[[#This Row],[Fixture Proposed Cost ($)]]+ReviewCalcs[[#This Row],[Controls Proposed Cost ($)]]</f>
        <v>0</v>
      </c>
      <c r="BH169" s="70">
        <f>ReviewCalcs[[#This Row],[Total Energy Savings (kWh)]]*Avg_KWh_Rate</f>
        <v>0</v>
      </c>
      <c r="BI1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69" s="70">
        <f>ReviewCalcs[[#This Row],[Retrofit Cost]]</f>
        <v>0</v>
      </c>
      <c r="BK169" s="70">
        <f>ReviewCalcs[[#This Row],[Retrofit Cost]]-ReviewCalcs[[#This Row],[Incentive ($)]]</f>
        <v>0</v>
      </c>
      <c r="BL169" s="118" t="e">
        <f>IFERROR(ReviewCalcs[[#This Row],[Net Project Cost ($)]]/ReviewCalcs[[#This Row],[Fixture Energy Cost Savings ($)]], #N/A)</f>
        <v>#N/A</v>
      </c>
      <c r="BM169" s="118" t="e">
        <f>IF(VLOOKUP(ReviewCalcs[[#This Row],[Existing Fixture Code]], Table7[[FIXTURE CODE]:[Baseline Fixture Code]], 8, FALSE)="N", VLOOKUP(ReviewCalcs[[#This Row],[Existing Fixture Code]], Table7[[FIXTURE CODE]:[Baseline Fixture Code]], 9, FALSE), ReviewCalcs[[#This Row],[Existing Fixture Code]])</f>
        <v>#N/A</v>
      </c>
      <c r="BN169" s="118" t="e">
        <f>INDEX(Table7[WATT/ FIXT], MATCH(ReviewCalcs[Baseline Fixture Code], Table7[FIXTURE CODE], 0))</f>
        <v>#N/A</v>
      </c>
      <c r="BO169" s="118">
        <f>IFERROR((ReviewCalcs[[#This Row],[Existing Fixture Quantity]]*ReviewCalcs[[#This Row],[Baseline Fixture Watts]]/1000-ReviewCalcs[[#This Row],[Proposed Fixture Quantity]]*ReviewCalcs[[#This Row],[Proposed Fixture Watts]]/1000)*ReviewCalcs[[#This Row],[Existing CF]]*ReviewCalcs[[#This Row],[IEFD]], 0)</f>
        <v>0</v>
      </c>
      <c r="BP1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69" s="118">
        <f>IF(ReviewCalcs[[#This Row],[Existing CF]]=ReviewCalcs[[#This Row],[Proposed CF]], 0, ReviewCalcs[[#This Row],[Proposed Fixture Quantity]]*ReviewCalcs[[#This Row],[Proposed Fixture Watts]]/1000*ReviewCalcs[[#This Row],[Proposed CF]]*ReviewCalcs[[#This Row],[IEFD]])</f>
        <v>0</v>
      </c>
      <c r="BR169" s="118">
        <f>IFERROR(ReviewCalcs[[#This Row],[Proposed Fixture Quantity]]*ReviewCalcs[[#This Row],[Proposed Fixture Watts]]/1000*(ReviewCalcs[[#This Row],[Existing PAF]]-ReviewCalcs[[#This Row],[Proposed PAF]])*ReviewCalcs[[#This Row],[AOH]]*ReviewCalcs[[#This Row],[IEFE]],0)</f>
        <v>0</v>
      </c>
      <c r="BS169" s="118">
        <f>ReviewCalcs[[#This Row],[Incentive Fixture Demand Savings (kW)]]+ReviewCalcs[[#This Row],[Incentive Control Demand Savings (kW)]]</f>
        <v>0</v>
      </c>
      <c r="BT169" s="118">
        <f>ReviewCalcs[[#This Row],[Incentive Fixture Energy Savings (kWh)]]+ReviewCalcs[[#This Row],[Incentive Control Energy Savings (kWh)]]</f>
        <v>0</v>
      </c>
      <c r="BU169" s="73"/>
    </row>
    <row r="170" spans="1:73" ht="30" customHeight="1">
      <c r="A170" s="68">
        <v>167</v>
      </c>
      <c r="B170" s="96">
        <f>VLOOKUP(ReviewCalcs[[#This Row],[Project Index]], ProjectInput[], D$1, FALSE)</f>
        <v>0</v>
      </c>
      <c r="C170" s="97">
        <f>VLOOKUP(ReviewCalcs[[#This Row],[Project Index]], ProjectInput[], E$1, FALSE)</f>
        <v>0</v>
      </c>
      <c r="D170" s="97">
        <f>VLOOKUP(ReviewCalcs[[#This Row],[Project Index]], ProjectInput[], F$1, FALSE)</f>
        <v>0</v>
      </c>
      <c r="E170" s="97">
        <f>VLOOKUP(ReviewCalcs[[#This Row],[Project Index]], ProjectInput[], G$1, FALSE)</f>
        <v>0</v>
      </c>
      <c r="F170" s="97">
        <f>VLOOKUP(ReviewCalcs[[#This Row],[Project Index]], ProjectInput[], H$1, FALSE)</f>
        <v>0</v>
      </c>
      <c r="G170" s="98" t="str">
        <f>VLOOKUP(ReviewCalcs[[#This Row],[Project Index]], ProjectInput[], I$1, FALSE)</f>
        <v/>
      </c>
      <c r="H170" s="96">
        <f>VLOOKUP(ReviewCalcs[[#This Row],[Project Index]], ProjectInput[], J$1, FALSE)</f>
        <v>0</v>
      </c>
      <c r="I170" s="97">
        <f>VLOOKUP(ReviewCalcs[[#This Row],[Project Index]], ProjectInput[], K$1, FALSE)</f>
        <v>0</v>
      </c>
      <c r="J170" s="97">
        <f>VLOOKUP(ReviewCalcs[[#This Row],[Project Index]], ProjectInput[], L$1, FALSE)</f>
        <v>0</v>
      </c>
      <c r="K170" s="97">
        <f>VLOOKUP(ReviewCalcs[[#This Row],[Project Index]], ProjectInput[], M$1, FALSE)</f>
        <v>0</v>
      </c>
      <c r="L170" s="97">
        <f>VLOOKUP(ReviewCalcs[[#This Row],[Project Index]], ProjectInput[], N$1, FALSE)</f>
        <v>0</v>
      </c>
      <c r="M170" s="98" t="str">
        <f>VLOOKUP(ReviewCalcs[[#This Row],[Project Index]], ProjectInput[], O$1, FALSE)</f>
        <v/>
      </c>
      <c r="N170" s="96">
        <f>VLOOKUP(ReviewCalcs[[#This Row],[Project Index]], ProjectInput[], P$1, FALSE)</f>
        <v>0</v>
      </c>
      <c r="O170" s="97">
        <f>VLOOKUP(ReviewCalcs[[#This Row],[Project Index]], ProjectInput[], Q$1, FALSE)</f>
        <v>0</v>
      </c>
      <c r="P170" s="97">
        <f>VLOOKUP(ReviewCalcs[[#This Row],[Project Index]], ProjectInput[], R$1, FALSE)</f>
        <v>0</v>
      </c>
      <c r="Q170" s="97">
        <f>VLOOKUP(ReviewCalcs[[#This Row],[Project Index]], ProjectInput[], S$1, FALSE)</f>
        <v>0</v>
      </c>
      <c r="R170" s="97">
        <f>VLOOKUP(ReviewCalcs[[#This Row],[Project Index]], ProjectInput[], T$1, FALSE)</f>
        <v>0</v>
      </c>
      <c r="S170" s="97">
        <f>VLOOKUP(ReviewCalcs[[#This Row],[Project Index]], ProjectInput[], U$1, FALSE)</f>
        <v>0</v>
      </c>
      <c r="T170" s="97">
        <f>VLOOKUP(ReviewCalcs[[#This Row],[Project Index]], ProjectInput[], V$1, FALSE)</f>
        <v>0</v>
      </c>
      <c r="U170" s="97">
        <f>VLOOKUP(ReviewCalcs[[#This Row],[Project Index]], ProjectInput[], W$1, FALSE)</f>
        <v>0</v>
      </c>
      <c r="V170" s="98" t="str">
        <f>VLOOKUP(ReviewCalcs[[#This Row],[Project Index]], ProjectInput[], X$1, FALSE)</f>
        <v/>
      </c>
      <c r="W1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0" s="75" t="e">
        <f>IF(VLOOKUP(ReviewCalcs[[#This Row],[Proposed Fixture Code]], Table7[[FIXTURE CODE]:[Baseline Fixture Code]], 8, FALSE)="N", "ERROR", "PASS")</f>
        <v>#N/A</v>
      </c>
      <c r="Y1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0" s="75" t="e">
        <f>IF(OR(ReviewCalcs[[#This Row],[Baseline Fixture Watts]]&gt;=ReviewCalcs[[#This Row],[Proposed Fixture Watts]],ReviewCalcs[[#This Row],[Existing Fixture Watts]]&gt;=ReviewCalcs[[#This Row],[Proposed Fixture Watts]] ), "PASS", "ERROR")</f>
        <v>#N/A</v>
      </c>
      <c r="AA170" s="69" t="e">
        <f>VLOOKUP(ReviewCalcs[[#This Row],[Space Conditions]], Table_365[], 5, FALSE)</f>
        <v>#N/A</v>
      </c>
      <c r="AB170" s="68" t="str">
        <f>ReviewCalcs[[#This Row],[Annual Hours]]</f>
        <v/>
      </c>
      <c r="AC170" s="68" t="e">
        <f>VLOOKUP(ReviewCalcs[[#This Row],[Space Conditions]], Table_365[], 6, FALSE)</f>
        <v>#N/A</v>
      </c>
      <c r="AD170" s="68">
        <f>IF(ReviewCalcs[[#This Row],[Existing Control(s)]]='Tables &amp; Ranges'!$A$25, VLOOKUP(ReviewCalcs[[#This Row],[Building/Space Type]], Table_364[], 3, FALSE), CF_Contols)</f>
        <v>0.26</v>
      </c>
      <c r="AE170" s="68" t="e">
        <f>VLOOKUP(ReviewCalcs[[#This Row],[Existing Control(s)]], Table_358[], 2, FALSE)</f>
        <v>#N/A</v>
      </c>
      <c r="AF170" s="68">
        <f>IF(ReviewCalcs[[#This Row],[Proposed Control(s)]]='Tables &amp; Ranges'!$A$25, VLOOKUP(ReviewCalcs[[#This Row],[Building/Space Type]], Table_364[], 3, FALSE), CF_Contols)</f>
        <v>0.26</v>
      </c>
      <c r="AG170" s="68" t="e">
        <f>VLOOKUP(ReviewCalcs[[#This Row],[Proposed Control(s)]], Table_358[], 2, FALSE)</f>
        <v>#N/A</v>
      </c>
      <c r="AH170" s="68">
        <f>IFERROR((ReviewCalcs[[#This Row],[Existing Fixture Quantity]]*ReviewCalcs[[#This Row],[Existing Fixture Watts]]/1000)*ReviewCalcs[[#This Row],[Existing CF]]*ReviewCalcs[[#This Row],[IEFD]], 0)</f>
        <v>0</v>
      </c>
      <c r="AI170" s="68">
        <f>IFERROR((ReviewCalcs[[#This Row],[Proposed Fixture Quantity]]*ReviewCalcs[[#This Row],[Proposed Fixture Watts]]/1000)*ReviewCalcs[[#This Row],[Existing CF]]*ReviewCalcs[[#This Row],[IEFD]], 0)</f>
        <v>0</v>
      </c>
      <c r="AJ170" s="118">
        <f>IFERROR((ReviewCalcs[[#This Row],[Existing Fixture Quantity]]*ReviewCalcs[[#This Row],[Existing Fixture Watts]]/1000-ReviewCalcs[[#This Row],[Proposed Fixture Quantity]]*ReviewCalcs[[#This Row],[Proposed Fixture Watts]]/1000)*ReviewCalcs[[#This Row],[Existing CF]]*ReviewCalcs[[#This Row],[IEFD]], 0)</f>
        <v>0</v>
      </c>
      <c r="AK170" s="118">
        <f>IFERROR((ReviewCalcs[[#This Row],[Existing Fixture Quantity]]*ReviewCalcs[[#This Row],[Existing Fixture Watts]]/1000)*ReviewCalcs[[#This Row],[AOH]]*ReviewCalcs[[#This Row],[IEFE]]*ReviewCalcs[[#This Row],[Existing PAF]], 0)</f>
        <v>0</v>
      </c>
      <c r="AL170" s="118">
        <f>IFERROR((ReviewCalcs[[#This Row],[Proposed Fixture Quantity]]*ReviewCalcs[[#This Row],[Proposed Fixture Watts]]/1000)*ReviewCalcs[[#This Row],[AOH]]*ReviewCalcs[[#This Row],[IEFE]]*ReviewCalcs[[#This Row],[Existing PAF]], 0)</f>
        <v>0</v>
      </c>
      <c r="AM1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0" s="118">
        <f>ReviewCalcs[[#This Row],[Fixture Existing Energy (kWh)]]*Avg_KWh_Rate</f>
        <v>0</v>
      </c>
      <c r="AO170" s="118">
        <f>ReviewCalcs[[#This Row],[Fixture Proposed Energy (kWh)]]*Avg_KWh_Rate</f>
        <v>0</v>
      </c>
      <c r="AP170" s="70">
        <f>ReviewCalcs[[#This Row],[Fixture Energy Savings]]*Avg_KWh_Rate</f>
        <v>0</v>
      </c>
      <c r="AQ170" s="129" t="e">
        <f>ReviewCalcs[[#This Row],[Existing Fixture Quantity]]*ReviewCalcs[[#This Row],[Existing Fixture Watts]]/1000*ReviewCalcs[[#This Row],[Existing CF]]*ReviewCalcs[[#This Row],[IEFD]]</f>
        <v>#VALUE!</v>
      </c>
      <c r="AR170" s="129" t="e">
        <f>ReviewCalcs[[#This Row],[Proposed Fixture Quantity]]*ReviewCalcs[[#This Row],[Proposed Fixture Watts]]/1000*ReviewCalcs[[#This Row],[Proposed CF]]*ReviewCalcs[[#This Row],[IEFD]]</f>
        <v>#VALUE!</v>
      </c>
      <c r="AS170" s="118">
        <f>IF(ReviewCalcs[[#This Row],[Existing CF]]=ReviewCalcs[[#This Row],[Proposed CF]], 0, ReviewCalcs[[#This Row],[Proposed Fixture Quantity]]*ReviewCalcs[[#This Row],[Proposed Fixture Watts]]/1000*ReviewCalcs[[#This Row],[Proposed CF]]*ReviewCalcs[[#This Row],[IEFD]])</f>
        <v>0</v>
      </c>
      <c r="AT170" s="118">
        <f>IFERROR(ReviewCalcs[[#This Row],[Existing Fixture Quantity]]*ReviewCalcs[[#This Row],[Existing Fixture Watts]]/1000*ReviewCalcs[[#This Row],[Existing PAF]]*ReviewCalcs[[#This Row],[AOH]]*ReviewCalcs[[#This Row],[IEFE]], 0)</f>
        <v>0</v>
      </c>
      <c r="AU170" s="118">
        <f>IFERROR(ReviewCalcs[[#This Row],[Proposed Fixture Quantity]]*ReviewCalcs[[#This Row],[Proposed Fixture Watts]]/1000*ReviewCalcs[[#This Row],[Proposed PAF]]*ReviewCalcs[[#This Row],[AOH]]*ReviewCalcs[[#This Row],[IEFE]], 0)</f>
        <v>0</v>
      </c>
      <c r="AV170" s="118">
        <f>IFERROR(ReviewCalcs[[#This Row],[Proposed Fixture Quantity]]*ReviewCalcs[[#This Row],[Proposed Fixture Watts]]/1000*(ReviewCalcs[[#This Row],[Existing PAF]]-ReviewCalcs[[#This Row],[Proposed PAF]])*ReviewCalcs[[#This Row],[AOH]]*ReviewCalcs[[#This Row],[IEFE]], 0)</f>
        <v>0</v>
      </c>
      <c r="AW170" s="118">
        <f>ReviewCalcs[[#This Row],[Control Existing Energy (kWh)]]*kWh_Incentive_Rate</f>
        <v>0</v>
      </c>
      <c r="AX170" s="118">
        <f>ReviewCalcs[[#This Row],[Control Proposed Energy (kWh)]]*kWh_Incentive_Rate</f>
        <v>0</v>
      </c>
      <c r="AY170" s="70">
        <f>ReviewCalcs[[#This Row],[Control Energy Savings (kWh)]]*kWh_Incentive_Rate</f>
        <v>0</v>
      </c>
      <c r="AZ170" s="70" t="e">
        <f>ReviewCalcs[[#This Row],[Fixture Existing Demand (kW)]]+ReviewCalcs[[#This Row],[Control Existing Demand (kW)]]</f>
        <v>#VALUE!</v>
      </c>
      <c r="BA170" s="70" t="e">
        <f>ReviewCalcs[[#This Row],[Fixture Proposed Demand (kW)]]+ReviewCalcs[[#This Row],[Control Proposed Demand (kW)]]</f>
        <v>#VALUE!</v>
      </c>
      <c r="BB170" s="118">
        <f>ReviewCalcs[[#This Row],[Fixture Demand Savings (kW)]]+ReviewCalcs[[#This Row],[Control Demand Savings (kW)]]</f>
        <v>0</v>
      </c>
      <c r="BC170" s="118">
        <f>ReviewCalcs[[#This Row],[Fixture Existing Energy (kWh)]]+ReviewCalcs[[#This Row],[Control Existing Energy (kWh)]]</f>
        <v>0</v>
      </c>
      <c r="BD170" s="118">
        <f>ReviewCalcs[[#This Row],[Fixture Proposed Energy (kWh)]]+ReviewCalcs[[#This Row],[Control Proposed Energy (kWh)]]</f>
        <v>0</v>
      </c>
      <c r="BE170" s="118">
        <f>ReviewCalcs[[#This Row],[Fixture Energy Savings]]+ReviewCalcs[[#This Row],[Control Energy Savings (kWh)]]</f>
        <v>0</v>
      </c>
      <c r="BF170" s="118">
        <f>ReviewCalcs[[#This Row],[Fixture Existing Cost ($)]]+ReviewCalcs[[#This Row],[Control Existing Cost ($)]]</f>
        <v>0</v>
      </c>
      <c r="BG170" s="118">
        <f>ReviewCalcs[[#This Row],[Fixture Proposed Cost ($)]]+ReviewCalcs[[#This Row],[Controls Proposed Cost ($)]]</f>
        <v>0</v>
      </c>
      <c r="BH170" s="70">
        <f>ReviewCalcs[[#This Row],[Total Energy Savings (kWh)]]*Avg_KWh_Rate</f>
        <v>0</v>
      </c>
      <c r="BI1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0" s="70">
        <f>ReviewCalcs[[#This Row],[Retrofit Cost]]</f>
        <v>0</v>
      </c>
      <c r="BK170" s="70">
        <f>ReviewCalcs[[#This Row],[Retrofit Cost]]-ReviewCalcs[[#This Row],[Incentive ($)]]</f>
        <v>0</v>
      </c>
      <c r="BL170" s="118" t="e">
        <f>IFERROR(ReviewCalcs[[#This Row],[Net Project Cost ($)]]/ReviewCalcs[[#This Row],[Fixture Energy Cost Savings ($)]], #N/A)</f>
        <v>#N/A</v>
      </c>
      <c r="BM170" s="118" t="e">
        <f>IF(VLOOKUP(ReviewCalcs[[#This Row],[Existing Fixture Code]], Table7[[FIXTURE CODE]:[Baseline Fixture Code]], 8, FALSE)="N", VLOOKUP(ReviewCalcs[[#This Row],[Existing Fixture Code]], Table7[[FIXTURE CODE]:[Baseline Fixture Code]], 9, FALSE), ReviewCalcs[[#This Row],[Existing Fixture Code]])</f>
        <v>#N/A</v>
      </c>
      <c r="BN170" s="118" t="e">
        <f>INDEX(Table7[WATT/ FIXT], MATCH(ReviewCalcs[Baseline Fixture Code], Table7[FIXTURE CODE], 0))</f>
        <v>#N/A</v>
      </c>
      <c r="BO170" s="118">
        <f>IFERROR((ReviewCalcs[[#This Row],[Existing Fixture Quantity]]*ReviewCalcs[[#This Row],[Baseline Fixture Watts]]/1000-ReviewCalcs[[#This Row],[Proposed Fixture Quantity]]*ReviewCalcs[[#This Row],[Proposed Fixture Watts]]/1000)*ReviewCalcs[[#This Row],[Existing CF]]*ReviewCalcs[[#This Row],[IEFD]], 0)</f>
        <v>0</v>
      </c>
      <c r="BP1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0" s="118">
        <f>IF(ReviewCalcs[[#This Row],[Existing CF]]=ReviewCalcs[[#This Row],[Proposed CF]], 0, ReviewCalcs[[#This Row],[Proposed Fixture Quantity]]*ReviewCalcs[[#This Row],[Proposed Fixture Watts]]/1000*ReviewCalcs[[#This Row],[Proposed CF]]*ReviewCalcs[[#This Row],[IEFD]])</f>
        <v>0</v>
      </c>
      <c r="BR170" s="118">
        <f>IFERROR(ReviewCalcs[[#This Row],[Proposed Fixture Quantity]]*ReviewCalcs[[#This Row],[Proposed Fixture Watts]]/1000*(ReviewCalcs[[#This Row],[Existing PAF]]-ReviewCalcs[[#This Row],[Proposed PAF]])*ReviewCalcs[[#This Row],[AOH]]*ReviewCalcs[[#This Row],[IEFE]],0)</f>
        <v>0</v>
      </c>
      <c r="BS170" s="118">
        <f>ReviewCalcs[[#This Row],[Incentive Fixture Demand Savings (kW)]]+ReviewCalcs[[#This Row],[Incentive Control Demand Savings (kW)]]</f>
        <v>0</v>
      </c>
      <c r="BT170" s="118">
        <f>ReviewCalcs[[#This Row],[Incentive Fixture Energy Savings (kWh)]]+ReviewCalcs[[#This Row],[Incentive Control Energy Savings (kWh)]]</f>
        <v>0</v>
      </c>
      <c r="BU170" s="73"/>
    </row>
    <row r="171" spans="1:73" ht="30" customHeight="1">
      <c r="A171" s="68">
        <v>168</v>
      </c>
      <c r="B171" s="96">
        <f>VLOOKUP(ReviewCalcs[[#This Row],[Project Index]], ProjectInput[], D$1, FALSE)</f>
        <v>0</v>
      </c>
      <c r="C171" s="97">
        <f>VLOOKUP(ReviewCalcs[[#This Row],[Project Index]], ProjectInput[], E$1, FALSE)</f>
        <v>0</v>
      </c>
      <c r="D171" s="97">
        <f>VLOOKUP(ReviewCalcs[[#This Row],[Project Index]], ProjectInput[], F$1, FALSE)</f>
        <v>0</v>
      </c>
      <c r="E171" s="97">
        <f>VLOOKUP(ReviewCalcs[[#This Row],[Project Index]], ProjectInput[], G$1, FALSE)</f>
        <v>0</v>
      </c>
      <c r="F171" s="97">
        <f>VLOOKUP(ReviewCalcs[[#This Row],[Project Index]], ProjectInput[], H$1, FALSE)</f>
        <v>0</v>
      </c>
      <c r="G171" s="98" t="str">
        <f>VLOOKUP(ReviewCalcs[[#This Row],[Project Index]], ProjectInput[], I$1, FALSE)</f>
        <v/>
      </c>
      <c r="H171" s="96">
        <f>VLOOKUP(ReviewCalcs[[#This Row],[Project Index]], ProjectInput[], J$1, FALSE)</f>
        <v>0</v>
      </c>
      <c r="I171" s="97">
        <f>VLOOKUP(ReviewCalcs[[#This Row],[Project Index]], ProjectInput[], K$1, FALSE)</f>
        <v>0</v>
      </c>
      <c r="J171" s="97">
        <f>VLOOKUP(ReviewCalcs[[#This Row],[Project Index]], ProjectInput[], L$1, FALSE)</f>
        <v>0</v>
      </c>
      <c r="K171" s="97">
        <f>VLOOKUP(ReviewCalcs[[#This Row],[Project Index]], ProjectInput[], M$1, FALSE)</f>
        <v>0</v>
      </c>
      <c r="L171" s="97">
        <f>VLOOKUP(ReviewCalcs[[#This Row],[Project Index]], ProjectInput[], N$1, FALSE)</f>
        <v>0</v>
      </c>
      <c r="M171" s="98" t="str">
        <f>VLOOKUP(ReviewCalcs[[#This Row],[Project Index]], ProjectInput[], O$1, FALSE)</f>
        <v/>
      </c>
      <c r="N171" s="96">
        <f>VLOOKUP(ReviewCalcs[[#This Row],[Project Index]], ProjectInput[], P$1, FALSE)</f>
        <v>0</v>
      </c>
      <c r="O171" s="97">
        <f>VLOOKUP(ReviewCalcs[[#This Row],[Project Index]], ProjectInput[], Q$1, FALSE)</f>
        <v>0</v>
      </c>
      <c r="P171" s="97">
        <f>VLOOKUP(ReviewCalcs[[#This Row],[Project Index]], ProjectInput[], R$1, FALSE)</f>
        <v>0</v>
      </c>
      <c r="Q171" s="97">
        <f>VLOOKUP(ReviewCalcs[[#This Row],[Project Index]], ProjectInput[], S$1, FALSE)</f>
        <v>0</v>
      </c>
      <c r="R171" s="97">
        <f>VLOOKUP(ReviewCalcs[[#This Row],[Project Index]], ProjectInput[], T$1, FALSE)</f>
        <v>0</v>
      </c>
      <c r="S171" s="97">
        <f>VLOOKUP(ReviewCalcs[[#This Row],[Project Index]], ProjectInput[], U$1, FALSE)</f>
        <v>0</v>
      </c>
      <c r="T171" s="97">
        <f>VLOOKUP(ReviewCalcs[[#This Row],[Project Index]], ProjectInput[], V$1, FALSE)</f>
        <v>0</v>
      </c>
      <c r="U171" s="97">
        <f>VLOOKUP(ReviewCalcs[[#This Row],[Project Index]], ProjectInput[], W$1, FALSE)</f>
        <v>0</v>
      </c>
      <c r="V171" s="98" t="str">
        <f>VLOOKUP(ReviewCalcs[[#This Row],[Project Index]], ProjectInput[], X$1, FALSE)</f>
        <v/>
      </c>
      <c r="W1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1" s="75" t="e">
        <f>IF(VLOOKUP(ReviewCalcs[[#This Row],[Proposed Fixture Code]], Table7[[FIXTURE CODE]:[Baseline Fixture Code]], 8, FALSE)="N", "ERROR", "PASS")</f>
        <v>#N/A</v>
      </c>
      <c r="Y1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1" s="75" t="e">
        <f>IF(OR(ReviewCalcs[[#This Row],[Baseline Fixture Watts]]&gt;=ReviewCalcs[[#This Row],[Proposed Fixture Watts]],ReviewCalcs[[#This Row],[Existing Fixture Watts]]&gt;=ReviewCalcs[[#This Row],[Proposed Fixture Watts]] ), "PASS", "ERROR")</f>
        <v>#N/A</v>
      </c>
      <c r="AA171" s="69" t="e">
        <f>VLOOKUP(ReviewCalcs[[#This Row],[Space Conditions]], Table_365[], 5, FALSE)</f>
        <v>#N/A</v>
      </c>
      <c r="AB171" s="68" t="str">
        <f>ReviewCalcs[[#This Row],[Annual Hours]]</f>
        <v/>
      </c>
      <c r="AC171" s="68" t="e">
        <f>VLOOKUP(ReviewCalcs[[#This Row],[Space Conditions]], Table_365[], 6, FALSE)</f>
        <v>#N/A</v>
      </c>
      <c r="AD171" s="68">
        <f>IF(ReviewCalcs[[#This Row],[Existing Control(s)]]='Tables &amp; Ranges'!$A$25, VLOOKUP(ReviewCalcs[[#This Row],[Building/Space Type]], Table_364[], 3, FALSE), CF_Contols)</f>
        <v>0.26</v>
      </c>
      <c r="AE171" s="68" t="e">
        <f>VLOOKUP(ReviewCalcs[[#This Row],[Existing Control(s)]], Table_358[], 2, FALSE)</f>
        <v>#N/A</v>
      </c>
      <c r="AF171" s="68">
        <f>IF(ReviewCalcs[[#This Row],[Proposed Control(s)]]='Tables &amp; Ranges'!$A$25, VLOOKUP(ReviewCalcs[[#This Row],[Building/Space Type]], Table_364[], 3, FALSE), CF_Contols)</f>
        <v>0.26</v>
      </c>
      <c r="AG171" s="68" t="e">
        <f>VLOOKUP(ReviewCalcs[[#This Row],[Proposed Control(s)]], Table_358[], 2, FALSE)</f>
        <v>#N/A</v>
      </c>
      <c r="AH171" s="68">
        <f>IFERROR((ReviewCalcs[[#This Row],[Existing Fixture Quantity]]*ReviewCalcs[[#This Row],[Existing Fixture Watts]]/1000)*ReviewCalcs[[#This Row],[Existing CF]]*ReviewCalcs[[#This Row],[IEFD]], 0)</f>
        <v>0</v>
      </c>
      <c r="AI171" s="68">
        <f>IFERROR((ReviewCalcs[[#This Row],[Proposed Fixture Quantity]]*ReviewCalcs[[#This Row],[Proposed Fixture Watts]]/1000)*ReviewCalcs[[#This Row],[Existing CF]]*ReviewCalcs[[#This Row],[IEFD]], 0)</f>
        <v>0</v>
      </c>
      <c r="AJ171" s="118">
        <f>IFERROR((ReviewCalcs[[#This Row],[Existing Fixture Quantity]]*ReviewCalcs[[#This Row],[Existing Fixture Watts]]/1000-ReviewCalcs[[#This Row],[Proposed Fixture Quantity]]*ReviewCalcs[[#This Row],[Proposed Fixture Watts]]/1000)*ReviewCalcs[[#This Row],[Existing CF]]*ReviewCalcs[[#This Row],[IEFD]], 0)</f>
        <v>0</v>
      </c>
      <c r="AK171" s="118">
        <f>IFERROR((ReviewCalcs[[#This Row],[Existing Fixture Quantity]]*ReviewCalcs[[#This Row],[Existing Fixture Watts]]/1000)*ReviewCalcs[[#This Row],[AOH]]*ReviewCalcs[[#This Row],[IEFE]]*ReviewCalcs[[#This Row],[Existing PAF]], 0)</f>
        <v>0</v>
      </c>
      <c r="AL171" s="118">
        <f>IFERROR((ReviewCalcs[[#This Row],[Proposed Fixture Quantity]]*ReviewCalcs[[#This Row],[Proposed Fixture Watts]]/1000)*ReviewCalcs[[#This Row],[AOH]]*ReviewCalcs[[#This Row],[IEFE]]*ReviewCalcs[[#This Row],[Existing PAF]], 0)</f>
        <v>0</v>
      </c>
      <c r="AM1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1" s="118">
        <f>ReviewCalcs[[#This Row],[Fixture Existing Energy (kWh)]]*Avg_KWh_Rate</f>
        <v>0</v>
      </c>
      <c r="AO171" s="118">
        <f>ReviewCalcs[[#This Row],[Fixture Proposed Energy (kWh)]]*Avg_KWh_Rate</f>
        <v>0</v>
      </c>
      <c r="AP171" s="70">
        <f>ReviewCalcs[[#This Row],[Fixture Energy Savings]]*Avg_KWh_Rate</f>
        <v>0</v>
      </c>
      <c r="AQ171" s="129" t="e">
        <f>ReviewCalcs[[#This Row],[Existing Fixture Quantity]]*ReviewCalcs[[#This Row],[Existing Fixture Watts]]/1000*ReviewCalcs[[#This Row],[Existing CF]]*ReviewCalcs[[#This Row],[IEFD]]</f>
        <v>#VALUE!</v>
      </c>
      <c r="AR171" s="129" t="e">
        <f>ReviewCalcs[[#This Row],[Proposed Fixture Quantity]]*ReviewCalcs[[#This Row],[Proposed Fixture Watts]]/1000*ReviewCalcs[[#This Row],[Proposed CF]]*ReviewCalcs[[#This Row],[IEFD]]</f>
        <v>#VALUE!</v>
      </c>
      <c r="AS171" s="118">
        <f>IF(ReviewCalcs[[#This Row],[Existing CF]]=ReviewCalcs[[#This Row],[Proposed CF]], 0, ReviewCalcs[[#This Row],[Proposed Fixture Quantity]]*ReviewCalcs[[#This Row],[Proposed Fixture Watts]]/1000*ReviewCalcs[[#This Row],[Proposed CF]]*ReviewCalcs[[#This Row],[IEFD]])</f>
        <v>0</v>
      </c>
      <c r="AT171" s="118">
        <f>IFERROR(ReviewCalcs[[#This Row],[Existing Fixture Quantity]]*ReviewCalcs[[#This Row],[Existing Fixture Watts]]/1000*ReviewCalcs[[#This Row],[Existing PAF]]*ReviewCalcs[[#This Row],[AOH]]*ReviewCalcs[[#This Row],[IEFE]], 0)</f>
        <v>0</v>
      </c>
      <c r="AU171" s="118">
        <f>IFERROR(ReviewCalcs[[#This Row],[Proposed Fixture Quantity]]*ReviewCalcs[[#This Row],[Proposed Fixture Watts]]/1000*ReviewCalcs[[#This Row],[Proposed PAF]]*ReviewCalcs[[#This Row],[AOH]]*ReviewCalcs[[#This Row],[IEFE]], 0)</f>
        <v>0</v>
      </c>
      <c r="AV171" s="118">
        <f>IFERROR(ReviewCalcs[[#This Row],[Proposed Fixture Quantity]]*ReviewCalcs[[#This Row],[Proposed Fixture Watts]]/1000*(ReviewCalcs[[#This Row],[Existing PAF]]-ReviewCalcs[[#This Row],[Proposed PAF]])*ReviewCalcs[[#This Row],[AOH]]*ReviewCalcs[[#This Row],[IEFE]], 0)</f>
        <v>0</v>
      </c>
      <c r="AW171" s="118">
        <f>ReviewCalcs[[#This Row],[Control Existing Energy (kWh)]]*kWh_Incentive_Rate</f>
        <v>0</v>
      </c>
      <c r="AX171" s="118">
        <f>ReviewCalcs[[#This Row],[Control Proposed Energy (kWh)]]*kWh_Incentive_Rate</f>
        <v>0</v>
      </c>
      <c r="AY171" s="70">
        <f>ReviewCalcs[[#This Row],[Control Energy Savings (kWh)]]*kWh_Incentive_Rate</f>
        <v>0</v>
      </c>
      <c r="AZ171" s="70" t="e">
        <f>ReviewCalcs[[#This Row],[Fixture Existing Demand (kW)]]+ReviewCalcs[[#This Row],[Control Existing Demand (kW)]]</f>
        <v>#VALUE!</v>
      </c>
      <c r="BA171" s="70" t="e">
        <f>ReviewCalcs[[#This Row],[Fixture Proposed Demand (kW)]]+ReviewCalcs[[#This Row],[Control Proposed Demand (kW)]]</f>
        <v>#VALUE!</v>
      </c>
      <c r="BB171" s="118">
        <f>ReviewCalcs[[#This Row],[Fixture Demand Savings (kW)]]+ReviewCalcs[[#This Row],[Control Demand Savings (kW)]]</f>
        <v>0</v>
      </c>
      <c r="BC171" s="118">
        <f>ReviewCalcs[[#This Row],[Fixture Existing Energy (kWh)]]+ReviewCalcs[[#This Row],[Control Existing Energy (kWh)]]</f>
        <v>0</v>
      </c>
      <c r="BD171" s="118">
        <f>ReviewCalcs[[#This Row],[Fixture Proposed Energy (kWh)]]+ReviewCalcs[[#This Row],[Control Proposed Energy (kWh)]]</f>
        <v>0</v>
      </c>
      <c r="BE171" s="118">
        <f>ReviewCalcs[[#This Row],[Fixture Energy Savings]]+ReviewCalcs[[#This Row],[Control Energy Savings (kWh)]]</f>
        <v>0</v>
      </c>
      <c r="BF171" s="118">
        <f>ReviewCalcs[[#This Row],[Fixture Existing Cost ($)]]+ReviewCalcs[[#This Row],[Control Existing Cost ($)]]</f>
        <v>0</v>
      </c>
      <c r="BG171" s="118">
        <f>ReviewCalcs[[#This Row],[Fixture Proposed Cost ($)]]+ReviewCalcs[[#This Row],[Controls Proposed Cost ($)]]</f>
        <v>0</v>
      </c>
      <c r="BH171" s="70">
        <f>ReviewCalcs[[#This Row],[Total Energy Savings (kWh)]]*Avg_KWh_Rate</f>
        <v>0</v>
      </c>
      <c r="BI1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1" s="70">
        <f>ReviewCalcs[[#This Row],[Retrofit Cost]]</f>
        <v>0</v>
      </c>
      <c r="BK171" s="70">
        <f>ReviewCalcs[[#This Row],[Retrofit Cost]]-ReviewCalcs[[#This Row],[Incentive ($)]]</f>
        <v>0</v>
      </c>
      <c r="BL171" s="118" t="e">
        <f>IFERROR(ReviewCalcs[[#This Row],[Net Project Cost ($)]]/ReviewCalcs[[#This Row],[Fixture Energy Cost Savings ($)]], #N/A)</f>
        <v>#N/A</v>
      </c>
      <c r="BM171" s="118" t="e">
        <f>IF(VLOOKUP(ReviewCalcs[[#This Row],[Existing Fixture Code]], Table7[[FIXTURE CODE]:[Baseline Fixture Code]], 8, FALSE)="N", VLOOKUP(ReviewCalcs[[#This Row],[Existing Fixture Code]], Table7[[FIXTURE CODE]:[Baseline Fixture Code]], 9, FALSE), ReviewCalcs[[#This Row],[Existing Fixture Code]])</f>
        <v>#N/A</v>
      </c>
      <c r="BN171" s="118" t="e">
        <f>INDEX(Table7[WATT/ FIXT], MATCH(ReviewCalcs[Baseline Fixture Code], Table7[FIXTURE CODE], 0))</f>
        <v>#N/A</v>
      </c>
      <c r="BO171" s="118">
        <f>IFERROR((ReviewCalcs[[#This Row],[Existing Fixture Quantity]]*ReviewCalcs[[#This Row],[Baseline Fixture Watts]]/1000-ReviewCalcs[[#This Row],[Proposed Fixture Quantity]]*ReviewCalcs[[#This Row],[Proposed Fixture Watts]]/1000)*ReviewCalcs[[#This Row],[Existing CF]]*ReviewCalcs[[#This Row],[IEFD]], 0)</f>
        <v>0</v>
      </c>
      <c r="BP1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1" s="118">
        <f>IF(ReviewCalcs[[#This Row],[Existing CF]]=ReviewCalcs[[#This Row],[Proposed CF]], 0, ReviewCalcs[[#This Row],[Proposed Fixture Quantity]]*ReviewCalcs[[#This Row],[Proposed Fixture Watts]]/1000*ReviewCalcs[[#This Row],[Proposed CF]]*ReviewCalcs[[#This Row],[IEFD]])</f>
        <v>0</v>
      </c>
      <c r="BR171" s="118">
        <f>IFERROR(ReviewCalcs[[#This Row],[Proposed Fixture Quantity]]*ReviewCalcs[[#This Row],[Proposed Fixture Watts]]/1000*(ReviewCalcs[[#This Row],[Existing PAF]]-ReviewCalcs[[#This Row],[Proposed PAF]])*ReviewCalcs[[#This Row],[AOH]]*ReviewCalcs[[#This Row],[IEFE]],0)</f>
        <v>0</v>
      </c>
      <c r="BS171" s="118">
        <f>ReviewCalcs[[#This Row],[Incentive Fixture Demand Savings (kW)]]+ReviewCalcs[[#This Row],[Incentive Control Demand Savings (kW)]]</f>
        <v>0</v>
      </c>
      <c r="BT171" s="118">
        <f>ReviewCalcs[[#This Row],[Incentive Fixture Energy Savings (kWh)]]+ReviewCalcs[[#This Row],[Incentive Control Energy Savings (kWh)]]</f>
        <v>0</v>
      </c>
      <c r="BU171" s="73"/>
    </row>
    <row r="172" spans="1:73" ht="30" customHeight="1">
      <c r="A172" s="68">
        <v>169</v>
      </c>
      <c r="B172" s="96">
        <f>VLOOKUP(ReviewCalcs[[#This Row],[Project Index]], ProjectInput[], D$1, FALSE)</f>
        <v>0</v>
      </c>
      <c r="C172" s="97">
        <f>VLOOKUP(ReviewCalcs[[#This Row],[Project Index]], ProjectInput[], E$1, FALSE)</f>
        <v>0</v>
      </c>
      <c r="D172" s="97">
        <f>VLOOKUP(ReviewCalcs[[#This Row],[Project Index]], ProjectInput[], F$1, FALSE)</f>
        <v>0</v>
      </c>
      <c r="E172" s="97">
        <f>VLOOKUP(ReviewCalcs[[#This Row],[Project Index]], ProjectInput[], G$1, FALSE)</f>
        <v>0</v>
      </c>
      <c r="F172" s="97">
        <f>VLOOKUP(ReviewCalcs[[#This Row],[Project Index]], ProjectInput[], H$1, FALSE)</f>
        <v>0</v>
      </c>
      <c r="G172" s="98" t="str">
        <f>VLOOKUP(ReviewCalcs[[#This Row],[Project Index]], ProjectInput[], I$1, FALSE)</f>
        <v/>
      </c>
      <c r="H172" s="96">
        <f>VLOOKUP(ReviewCalcs[[#This Row],[Project Index]], ProjectInput[], J$1, FALSE)</f>
        <v>0</v>
      </c>
      <c r="I172" s="97">
        <f>VLOOKUP(ReviewCalcs[[#This Row],[Project Index]], ProjectInput[], K$1, FALSE)</f>
        <v>0</v>
      </c>
      <c r="J172" s="97">
        <f>VLOOKUP(ReviewCalcs[[#This Row],[Project Index]], ProjectInput[], L$1, FALSE)</f>
        <v>0</v>
      </c>
      <c r="K172" s="97">
        <f>VLOOKUP(ReviewCalcs[[#This Row],[Project Index]], ProjectInput[], M$1, FALSE)</f>
        <v>0</v>
      </c>
      <c r="L172" s="97">
        <f>VLOOKUP(ReviewCalcs[[#This Row],[Project Index]], ProjectInput[], N$1, FALSE)</f>
        <v>0</v>
      </c>
      <c r="M172" s="98" t="str">
        <f>VLOOKUP(ReviewCalcs[[#This Row],[Project Index]], ProjectInput[], O$1, FALSE)</f>
        <v/>
      </c>
      <c r="N172" s="96">
        <f>VLOOKUP(ReviewCalcs[[#This Row],[Project Index]], ProjectInput[], P$1, FALSE)</f>
        <v>0</v>
      </c>
      <c r="O172" s="97">
        <f>VLOOKUP(ReviewCalcs[[#This Row],[Project Index]], ProjectInput[], Q$1, FALSE)</f>
        <v>0</v>
      </c>
      <c r="P172" s="97">
        <f>VLOOKUP(ReviewCalcs[[#This Row],[Project Index]], ProjectInput[], R$1, FALSE)</f>
        <v>0</v>
      </c>
      <c r="Q172" s="97">
        <f>VLOOKUP(ReviewCalcs[[#This Row],[Project Index]], ProjectInput[], S$1, FALSE)</f>
        <v>0</v>
      </c>
      <c r="R172" s="97">
        <f>VLOOKUP(ReviewCalcs[[#This Row],[Project Index]], ProjectInput[], T$1, FALSE)</f>
        <v>0</v>
      </c>
      <c r="S172" s="97">
        <f>VLOOKUP(ReviewCalcs[[#This Row],[Project Index]], ProjectInput[], U$1, FALSE)</f>
        <v>0</v>
      </c>
      <c r="T172" s="97">
        <f>VLOOKUP(ReviewCalcs[[#This Row],[Project Index]], ProjectInput[], V$1, FALSE)</f>
        <v>0</v>
      </c>
      <c r="U172" s="97">
        <f>VLOOKUP(ReviewCalcs[[#This Row],[Project Index]], ProjectInput[], W$1, FALSE)</f>
        <v>0</v>
      </c>
      <c r="V172" s="98" t="str">
        <f>VLOOKUP(ReviewCalcs[[#This Row],[Project Index]], ProjectInput[], X$1, FALSE)</f>
        <v/>
      </c>
      <c r="W1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2" s="75" t="e">
        <f>IF(VLOOKUP(ReviewCalcs[[#This Row],[Proposed Fixture Code]], Table7[[FIXTURE CODE]:[Baseline Fixture Code]], 8, FALSE)="N", "ERROR", "PASS")</f>
        <v>#N/A</v>
      </c>
      <c r="Y1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2" s="75" t="e">
        <f>IF(OR(ReviewCalcs[[#This Row],[Baseline Fixture Watts]]&gt;=ReviewCalcs[[#This Row],[Proposed Fixture Watts]],ReviewCalcs[[#This Row],[Existing Fixture Watts]]&gt;=ReviewCalcs[[#This Row],[Proposed Fixture Watts]] ), "PASS", "ERROR")</f>
        <v>#N/A</v>
      </c>
      <c r="AA172" s="69" t="e">
        <f>VLOOKUP(ReviewCalcs[[#This Row],[Space Conditions]], Table_365[], 5, FALSE)</f>
        <v>#N/A</v>
      </c>
      <c r="AB172" s="68" t="str">
        <f>ReviewCalcs[[#This Row],[Annual Hours]]</f>
        <v/>
      </c>
      <c r="AC172" s="68" t="e">
        <f>VLOOKUP(ReviewCalcs[[#This Row],[Space Conditions]], Table_365[], 6, FALSE)</f>
        <v>#N/A</v>
      </c>
      <c r="AD172" s="68">
        <f>IF(ReviewCalcs[[#This Row],[Existing Control(s)]]='Tables &amp; Ranges'!$A$25, VLOOKUP(ReviewCalcs[[#This Row],[Building/Space Type]], Table_364[], 3, FALSE), CF_Contols)</f>
        <v>0.26</v>
      </c>
      <c r="AE172" s="68" t="e">
        <f>VLOOKUP(ReviewCalcs[[#This Row],[Existing Control(s)]], Table_358[], 2, FALSE)</f>
        <v>#N/A</v>
      </c>
      <c r="AF172" s="68">
        <f>IF(ReviewCalcs[[#This Row],[Proposed Control(s)]]='Tables &amp; Ranges'!$A$25, VLOOKUP(ReviewCalcs[[#This Row],[Building/Space Type]], Table_364[], 3, FALSE), CF_Contols)</f>
        <v>0.26</v>
      </c>
      <c r="AG172" s="68" t="e">
        <f>VLOOKUP(ReviewCalcs[[#This Row],[Proposed Control(s)]], Table_358[], 2, FALSE)</f>
        <v>#N/A</v>
      </c>
      <c r="AH172" s="68">
        <f>IFERROR((ReviewCalcs[[#This Row],[Existing Fixture Quantity]]*ReviewCalcs[[#This Row],[Existing Fixture Watts]]/1000)*ReviewCalcs[[#This Row],[Existing CF]]*ReviewCalcs[[#This Row],[IEFD]], 0)</f>
        <v>0</v>
      </c>
      <c r="AI172" s="68">
        <f>IFERROR((ReviewCalcs[[#This Row],[Proposed Fixture Quantity]]*ReviewCalcs[[#This Row],[Proposed Fixture Watts]]/1000)*ReviewCalcs[[#This Row],[Existing CF]]*ReviewCalcs[[#This Row],[IEFD]], 0)</f>
        <v>0</v>
      </c>
      <c r="AJ172" s="118">
        <f>IFERROR((ReviewCalcs[[#This Row],[Existing Fixture Quantity]]*ReviewCalcs[[#This Row],[Existing Fixture Watts]]/1000-ReviewCalcs[[#This Row],[Proposed Fixture Quantity]]*ReviewCalcs[[#This Row],[Proposed Fixture Watts]]/1000)*ReviewCalcs[[#This Row],[Existing CF]]*ReviewCalcs[[#This Row],[IEFD]], 0)</f>
        <v>0</v>
      </c>
      <c r="AK172" s="118">
        <f>IFERROR((ReviewCalcs[[#This Row],[Existing Fixture Quantity]]*ReviewCalcs[[#This Row],[Existing Fixture Watts]]/1000)*ReviewCalcs[[#This Row],[AOH]]*ReviewCalcs[[#This Row],[IEFE]]*ReviewCalcs[[#This Row],[Existing PAF]], 0)</f>
        <v>0</v>
      </c>
      <c r="AL172" s="118">
        <f>IFERROR((ReviewCalcs[[#This Row],[Proposed Fixture Quantity]]*ReviewCalcs[[#This Row],[Proposed Fixture Watts]]/1000)*ReviewCalcs[[#This Row],[AOH]]*ReviewCalcs[[#This Row],[IEFE]]*ReviewCalcs[[#This Row],[Existing PAF]], 0)</f>
        <v>0</v>
      </c>
      <c r="AM1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2" s="118">
        <f>ReviewCalcs[[#This Row],[Fixture Existing Energy (kWh)]]*Avg_KWh_Rate</f>
        <v>0</v>
      </c>
      <c r="AO172" s="118">
        <f>ReviewCalcs[[#This Row],[Fixture Proposed Energy (kWh)]]*Avg_KWh_Rate</f>
        <v>0</v>
      </c>
      <c r="AP172" s="70">
        <f>ReviewCalcs[[#This Row],[Fixture Energy Savings]]*Avg_KWh_Rate</f>
        <v>0</v>
      </c>
      <c r="AQ172" s="129" t="e">
        <f>ReviewCalcs[[#This Row],[Existing Fixture Quantity]]*ReviewCalcs[[#This Row],[Existing Fixture Watts]]/1000*ReviewCalcs[[#This Row],[Existing CF]]*ReviewCalcs[[#This Row],[IEFD]]</f>
        <v>#VALUE!</v>
      </c>
      <c r="AR172" s="129" t="e">
        <f>ReviewCalcs[[#This Row],[Proposed Fixture Quantity]]*ReviewCalcs[[#This Row],[Proposed Fixture Watts]]/1000*ReviewCalcs[[#This Row],[Proposed CF]]*ReviewCalcs[[#This Row],[IEFD]]</f>
        <v>#VALUE!</v>
      </c>
      <c r="AS172" s="118">
        <f>IF(ReviewCalcs[[#This Row],[Existing CF]]=ReviewCalcs[[#This Row],[Proposed CF]], 0, ReviewCalcs[[#This Row],[Proposed Fixture Quantity]]*ReviewCalcs[[#This Row],[Proposed Fixture Watts]]/1000*ReviewCalcs[[#This Row],[Proposed CF]]*ReviewCalcs[[#This Row],[IEFD]])</f>
        <v>0</v>
      </c>
      <c r="AT172" s="118">
        <f>IFERROR(ReviewCalcs[[#This Row],[Existing Fixture Quantity]]*ReviewCalcs[[#This Row],[Existing Fixture Watts]]/1000*ReviewCalcs[[#This Row],[Existing PAF]]*ReviewCalcs[[#This Row],[AOH]]*ReviewCalcs[[#This Row],[IEFE]], 0)</f>
        <v>0</v>
      </c>
      <c r="AU172" s="118">
        <f>IFERROR(ReviewCalcs[[#This Row],[Proposed Fixture Quantity]]*ReviewCalcs[[#This Row],[Proposed Fixture Watts]]/1000*ReviewCalcs[[#This Row],[Proposed PAF]]*ReviewCalcs[[#This Row],[AOH]]*ReviewCalcs[[#This Row],[IEFE]], 0)</f>
        <v>0</v>
      </c>
      <c r="AV172" s="118">
        <f>IFERROR(ReviewCalcs[[#This Row],[Proposed Fixture Quantity]]*ReviewCalcs[[#This Row],[Proposed Fixture Watts]]/1000*(ReviewCalcs[[#This Row],[Existing PAF]]-ReviewCalcs[[#This Row],[Proposed PAF]])*ReviewCalcs[[#This Row],[AOH]]*ReviewCalcs[[#This Row],[IEFE]], 0)</f>
        <v>0</v>
      </c>
      <c r="AW172" s="118">
        <f>ReviewCalcs[[#This Row],[Control Existing Energy (kWh)]]*kWh_Incentive_Rate</f>
        <v>0</v>
      </c>
      <c r="AX172" s="118">
        <f>ReviewCalcs[[#This Row],[Control Proposed Energy (kWh)]]*kWh_Incentive_Rate</f>
        <v>0</v>
      </c>
      <c r="AY172" s="70">
        <f>ReviewCalcs[[#This Row],[Control Energy Savings (kWh)]]*kWh_Incentive_Rate</f>
        <v>0</v>
      </c>
      <c r="AZ172" s="70" t="e">
        <f>ReviewCalcs[[#This Row],[Fixture Existing Demand (kW)]]+ReviewCalcs[[#This Row],[Control Existing Demand (kW)]]</f>
        <v>#VALUE!</v>
      </c>
      <c r="BA172" s="70" t="e">
        <f>ReviewCalcs[[#This Row],[Fixture Proposed Demand (kW)]]+ReviewCalcs[[#This Row],[Control Proposed Demand (kW)]]</f>
        <v>#VALUE!</v>
      </c>
      <c r="BB172" s="118">
        <f>ReviewCalcs[[#This Row],[Fixture Demand Savings (kW)]]+ReviewCalcs[[#This Row],[Control Demand Savings (kW)]]</f>
        <v>0</v>
      </c>
      <c r="BC172" s="118">
        <f>ReviewCalcs[[#This Row],[Fixture Existing Energy (kWh)]]+ReviewCalcs[[#This Row],[Control Existing Energy (kWh)]]</f>
        <v>0</v>
      </c>
      <c r="BD172" s="118">
        <f>ReviewCalcs[[#This Row],[Fixture Proposed Energy (kWh)]]+ReviewCalcs[[#This Row],[Control Proposed Energy (kWh)]]</f>
        <v>0</v>
      </c>
      <c r="BE172" s="118">
        <f>ReviewCalcs[[#This Row],[Fixture Energy Savings]]+ReviewCalcs[[#This Row],[Control Energy Savings (kWh)]]</f>
        <v>0</v>
      </c>
      <c r="BF172" s="118">
        <f>ReviewCalcs[[#This Row],[Fixture Existing Cost ($)]]+ReviewCalcs[[#This Row],[Control Existing Cost ($)]]</f>
        <v>0</v>
      </c>
      <c r="BG172" s="118">
        <f>ReviewCalcs[[#This Row],[Fixture Proposed Cost ($)]]+ReviewCalcs[[#This Row],[Controls Proposed Cost ($)]]</f>
        <v>0</v>
      </c>
      <c r="BH172" s="70">
        <f>ReviewCalcs[[#This Row],[Total Energy Savings (kWh)]]*Avg_KWh_Rate</f>
        <v>0</v>
      </c>
      <c r="BI1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2" s="70">
        <f>ReviewCalcs[[#This Row],[Retrofit Cost]]</f>
        <v>0</v>
      </c>
      <c r="BK172" s="70">
        <f>ReviewCalcs[[#This Row],[Retrofit Cost]]-ReviewCalcs[[#This Row],[Incentive ($)]]</f>
        <v>0</v>
      </c>
      <c r="BL172" s="118" t="e">
        <f>IFERROR(ReviewCalcs[[#This Row],[Net Project Cost ($)]]/ReviewCalcs[[#This Row],[Fixture Energy Cost Savings ($)]], #N/A)</f>
        <v>#N/A</v>
      </c>
      <c r="BM172" s="118" t="e">
        <f>IF(VLOOKUP(ReviewCalcs[[#This Row],[Existing Fixture Code]], Table7[[FIXTURE CODE]:[Baseline Fixture Code]], 8, FALSE)="N", VLOOKUP(ReviewCalcs[[#This Row],[Existing Fixture Code]], Table7[[FIXTURE CODE]:[Baseline Fixture Code]], 9, FALSE), ReviewCalcs[[#This Row],[Existing Fixture Code]])</f>
        <v>#N/A</v>
      </c>
      <c r="BN172" s="118" t="e">
        <f>INDEX(Table7[WATT/ FIXT], MATCH(ReviewCalcs[Baseline Fixture Code], Table7[FIXTURE CODE], 0))</f>
        <v>#N/A</v>
      </c>
      <c r="BO172" s="118">
        <f>IFERROR((ReviewCalcs[[#This Row],[Existing Fixture Quantity]]*ReviewCalcs[[#This Row],[Baseline Fixture Watts]]/1000-ReviewCalcs[[#This Row],[Proposed Fixture Quantity]]*ReviewCalcs[[#This Row],[Proposed Fixture Watts]]/1000)*ReviewCalcs[[#This Row],[Existing CF]]*ReviewCalcs[[#This Row],[IEFD]], 0)</f>
        <v>0</v>
      </c>
      <c r="BP1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2" s="118">
        <f>IF(ReviewCalcs[[#This Row],[Existing CF]]=ReviewCalcs[[#This Row],[Proposed CF]], 0, ReviewCalcs[[#This Row],[Proposed Fixture Quantity]]*ReviewCalcs[[#This Row],[Proposed Fixture Watts]]/1000*ReviewCalcs[[#This Row],[Proposed CF]]*ReviewCalcs[[#This Row],[IEFD]])</f>
        <v>0</v>
      </c>
      <c r="BR172" s="118">
        <f>IFERROR(ReviewCalcs[[#This Row],[Proposed Fixture Quantity]]*ReviewCalcs[[#This Row],[Proposed Fixture Watts]]/1000*(ReviewCalcs[[#This Row],[Existing PAF]]-ReviewCalcs[[#This Row],[Proposed PAF]])*ReviewCalcs[[#This Row],[AOH]]*ReviewCalcs[[#This Row],[IEFE]],0)</f>
        <v>0</v>
      </c>
      <c r="BS172" s="118">
        <f>ReviewCalcs[[#This Row],[Incentive Fixture Demand Savings (kW)]]+ReviewCalcs[[#This Row],[Incentive Control Demand Savings (kW)]]</f>
        <v>0</v>
      </c>
      <c r="BT172" s="118">
        <f>ReviewCalcs[[#This Row],[Incentive Fixture Energy Savings (kWh)]]+ReviewCalcs[[#This Row],[Incentive Control Energy Savings (kWh)]]</f>
        <v>0</v>
      </c>
      <c r="BU172" s="73"/>
    </row>
    <row r="173" spans="1:73" ht="30" customHeight="1">
      <c r="A173" s="68">
        <v>170</v>
      </c>
      <c r="B173" s="96">
        <f>VLOOKUP(ReviewCalcs[[#This Row],[Project Index]], ProjectInput[], D$1, FALSE)</f>
        <v>0</v>
      </c>
      <c r="C173" s="97">
        <f>VLOOKUP(ReviewCalcs[[#This Row],[Project Index]], ProjectInput[], E$1, FALSE)</f>
        <v>0</v>
      </c>
      <c r="D173" s="97">
        <f>VLOOKUP(ReviewCalcs[[#This Row],[Project Index]], ProjectInput[], F$1, FALSE)</f>
        <v>0</v>
      </c>
      <c r="E173" s="97">
        <f>VLOOKUP(ReviewCalcs[[#This Row],[Project Index]], ProjectInput[], G$1, FALSE)</f>
        <v>0</v>
      </c>
      <c r="F173" s="97">
        <f>VLOOKUP(ReviewCalcs[[#This Row],[Project Index]], ProjectInput[], H$1, FALSE)</f>
        <v>0</v>
      </c>
      <c r="G173" s="98" t="str">
        <f>VLOOKUP(ReviewCalcs[[#This Row],[Project Index]], ProjectInput[], I$1, FALSE)</f>
        <v/>
      </c>
      <c r="H173" s="96">
        <f>VLOOKUP(ReviewCalcs[[#This Row],[Project Index]], ProjectInput[], J$1, FALSE)</f>
        <v>0</v>
      </c>
      <c r="I173" s="97">
        <f>VLOOKUP(ReviewCalcs[[#This Row],[Project Index]], ProjectInput[], K$1, FALSE)</f>
        <v>0</v>
      </c>
      <c r="J173" s="97">
        <f>VLOOKUP(ReviewCalcs[[#This Row],[Project Index]], ProjectInput[], L$1, FALSE)</f>
        <v>0</v>
      </c>
      <c r="K173" s="97">
        <f>VLOOKUP(ReviewCalcs[[#This Row],[Project Index]], ProjectInput[], M$1, FALSE)</f>
        <v>0</v>
      </c>
      <c r="L173" s="97">
        <f>VLOOKUP(ReviewCalcs[[#This Row],[Project Index]], ProjectInput[], N$1, FALSE)</f>
        <v>0</v>
      </c>
      <c r="M173" s="98" t="str">
        <f>VLOOKUP(ReviewCalcs[[#This Row],[Project Index]], ProjectInput[], O$1, FALSE)</f>
        <v/>
      </c>
      <c r="N173" s="96">
        <f>VLOOKUP(ReviewCalcs[[#This Row],[Project Index]], ProjectInput[], P$1, FALSE)</f>
        <v>0</v>
      </c>
      <c r="O173" s="97">
        <f>VLOOKUP(ReviewCalcs[[#This Row],[Project Index]], ProjectInput[], Q$1, FALSE)</f>
        <v>0</v>
      </c>
      <c r="P173" s="97">
        <f>VLOOKUP(ReviewCalcs[[#This Row],[Project Index]], ProjectInput[], R$1, FALSE)</f>
        <v>0</v>
      </c>
      <c r="Q173" s="97">
        <f>VLOOKUP(ReviewCalcs[[#This Row],[Project Index]], ProjectInput[], S$1, FALSE)</f>
        <v>0</v>
      </c>
      <c r="R173" s="97">
        <f>VLOOKUP(ReviewCalcs[[#This Row],[Project Index]], ProjectInput[], T$1, FALSE)</f>
        <v>0</v>
      </c>
      <c r="S173" s="97">
        <f>VLOOKUP(ReviewCalcs[[#This Row],[Project Index]], ProjectInput[], U$1, FALSE)</f>
        <v>0</v>
      </c>
      <c r="T173" s="97">
        <f>VLOOKUP(ReviewCalcs[[#This Row],[Project Index]], ProjectInput[], V$1, FALSE)</f>
        <v>0</v>
      </c>
      <c r="U173" s="97">
        <f>VLOOKUP(ReviewCalcs[[#This Row],[Project Index]], ProjectInput[], W$1, FALSE)</f>
        <v>0</v>
      </c>
      <c r="V173" s="98" t="str">
        <f>VLOOKUP(ReviewCalcs[[#This Row],[Project Index]], ProjectInput[], X$1, FALSE)</f>
        <v/>
      </c>
      <c r="W1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3" s="75" t="e">
        <f>IF(VLOOKUP(ReviewCalcs[[#This Row],[Proposed Fixture Code]], Table7[[FIXTURE CODE]:[Baseline Fixture Code]], 8, FALSE)="N", "ERROR", "PASS")</f>
        <v>#N/A</v>
      </c>
      <c r="Y1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3" s="75" t="e">
        <f>IF(OR(ReviewCalcs[[#This Row],[Baseline Fixture Watts]]&gt;=ReviewCalcs[[#This Row],[Proposed Fixture Watts]],ReviewCalcs[[#This Row],[Existing Fixture Watts]]&gt;=ReviewCalcs[[#This Row],[Proposed Fixture Watts]] ), "PASS", "ERROR")</f>
        <v>#N/A</v>
      </c>
      <c r="AA173" s="69" t="e">
        <f>VLOOKUP(ReviewCalcs[[#This Row],[Space Conditions]], Table_365[], 5, FALSE)</f>
        <v>#N/A</v>
      </c>
      <c r="AB173" s="68" t="str">
        <f>ReviewCalcs[[#This Row],[Annual Hours]]</f>
        <v/>
      </c>
      <c r="AC173" s="68" t="e">
        <f>VLOOKUP(ReviewCalcs[[#This Row],[Space Conditions]], Table_365[], 6, FALSE)</f>
        <v>#N/A</v>
      </c>
      <c r="AD173" s="68">
        <f>IF(ReviewCalcs[[#This Row],[Existing Control(s)]]='Tables &amp; Ranges'!$A$25, VLOOKUP(ReviewCalcs[[#This Row],[Building/Space Type]], Table_364[], 3, FALSE), CF_Contols)</f>
        <v>0.26</v>
      </c>
      <c r="AE173" s="68" t="e">
        <f>VLOOKUP(ReviewCalcs[[#This Row],[Existing Control(s)]], Table_358[], 2, FALSE)</f>
        <v>#N/A</v>
      </c>
      <c r="AF173" s="68">
        <f>IF(ReviewCalcs[[#This Row],[Proposed Control(s)]]='Tables &amp; Ranges'!$A$25, VLOOKUP(ReviewCalcs[[#This Row],[Building/Space Type]], Table_364[], 3, FALSE), CF_Contols)</f>
        <v>0.26</v>
      </c>
      <c r="AG173" s="68" t="e">
        <f>VLOOKUP(ReviewCalcs[[#This Row],[Proposed Control(s)]], Table_358[], 2, FALSE)</f>
        <v>#N/A</v>
      </c>
      <c r="AH173" s="68">
        <f>IFERROR((ReviewCalcs[[#This Row],[Existing Fixture Quantity]]*ReviewCalcs[[#This Row],[Existing Fixture Watts]]/1000)*ReviewCalcs[[#This Row],[Existing CF]]*ReviewCalcs[[#This Row],[IEFD]], 0)</f>
        <v>0</v>
      </c>
      <c r="AI173" s="68">
        <f>IFERROR((ReviewCalcs[[#This Row],[Proposed Fixture Quantity]]*ReviewCalcs[[#This Row],[Proposed Fixture Watts]]/1000)*ReviewCalcs[[#This Row],[Existing CF]]*ReviewCalcs[[#This Row],[IEFD]], 0)</f>
        <v>0</v>
      </c>
      <c r="AJ173" s="118">
        <f>IFERROR((ReviewCalcs[[#This Row],[Existing Fixture Quantity]]*ReviewCalcs[[#This Row],[Existing Fixture Watts]]/1000-ReviewCalcs[[#This Row],[Proposed Fixture Quantity]]*ReviewCalcs[[#This Row],[Proposed Fixture Watts]]/1000)*ReviewCalcs[[#This Row],[Existing CF]]*ReviewCalcs[[#This Row],[IEFD]], 0)</f>
        <v>0</v>
      </c>
      <c r="AK173" s="118">
        <f>IFERROR((ReviewCalcs[[#This Row],[Existing Fixture Quantity]]*ReviewCalcs[[#This Row],[Existing Fixture Watts]]/1000)*ReviewCalcs[[#This Row],[AOH]]*ReviewCalcs[[#This Row],[IEFE]]*ReviewCalcs[[#This Row],[Existing PAF]], 0)</f>
        <v>0</v>
      </c>
      <c r="AL173" s="118">
        <f>IFERROR((ReviewCalcs[[#This Row],[Proposed Fixture Quantity]]*ReviewCalcs[[#This Row],[Proposed Fixture Watts]]/1000)*ReviewCalcs[[#This Row],[AOH]]*ReviewCalcs[[#This Row],[IEFE]]*ReviewCalcs[[#This Row],[Existing PAF]], 0)</f>
        <v>0</v>
      </c>
      <c r="AM1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3" s="118">
        <f>ReviewCalcs[[#This Row],[Fixture Existing Energy (kWh)]]*Avg_KWh_Rate</f>
        <v>0</v>
      </c>
      <c r="AO173" s="118">
        <f>ReviewCalcs[[#This Row],[Fixture Proposed Energy (kWh)]]*Avg_KWh_Rate</f>
        <v>0</v>
      </c>
      <c r="AP173" s="70">
        <f>ReviewCalcs[[#This Row],[Fixture Energy Savings]]*Avg_KWh_Rate</f>
        <v>0</v>
      </c>
      <c r="AQ173" s="129" t="e">
        <f>ReviewCalcs[[#This Row],[Existing Fixture Quantity]]*ReviewCalcs[[#This Row],[Existing Fixture Watts]]/1000*ReviewCalcs[[#This Row],[Existing CF]]*ReviewCalcs[[#This Row],[IEFD]]</f>
        <v>#VALUE!</v>
      </c>
      <c r="AR173" s="129" t="e">
        <f>ReviewCalcs[[#This Row],[Proposed Fixture Quantity]]*ReviewCalcs[[#This Row],[Proposed Fixture Watts]]/1000*ReviewCalcs[[#This Row],[Proposed CF]]*ReviewCalcs[[#This Row],[IEFD]]</f>
        <v>#VALUE!</v>
      </c>
      <c r="AS173" s="118">
        <f>IF(ReviewCalcs[[#This Row],[Existing CF]]=ReviewCalcs[[#This Row],[Proposed CF]], 0, ReviewCalcs[[#This Row],[Proposed Fixture Quantity]]*ReviewCalcs[[#This Row],[Proposed Fixture Watts]]/1000*ReviewCalcs[[#This Row],[Proposed CF]]*ReviewCalcs[[#This Row],[IEFD]])</f>
        <v>0</v>
      </c>
      <c r="AT173" s="118">
        <f>IFERROR(ReviewCalcs[[#This Row],[Existing Fixture Quantity]]*ReviewCalcs[[#This Row],[Existing Fixture Watts]]/1000*ReviewCalcs[[#This Row],[Existing PAF]]*ReviewCalcs[[#This Row],[AOH]]*ReviewCalcs[[#This Row],[IEFE]], 0)</f>
        <v>0</v>
      </c>
      <c r="AU173" s="118">
        <f>IFERROR(ReviewCalcs[[#This Row],[Proposed Fixture Quantity]]*ReviewCalcs[[#This Row],[Proposed Fixture Watts]]/1000*ReviewCalcs[[#This Row],[Proposed PAF]]*ReviewCalcs[[#This Row],[AOH]]*ReviewCalcs[[#This Row],[IEFE]], 0)</f>
        <v>0</v>
      </c>
      <c r="AV173" s="118">
        <f>IFERROR(ReviewCalcs[[#This Row],[Proposed Fixture Quantity]]*ReviewCalcs[[#This Row],[Proposed Fixture Watts]]/1000*(ReviewCalcs[[#This Row],[Existing PAF]]-ReviewCalcs[[#This Row],[Proposed PAF]])*ReviewCalcs[[#This Row],[AOH]]*ReviewCalcs[[#This Row],[IEFE]], 0)</f>
        <v>0</v>
      </c>
      <c r="AW173" s="118">
        <f>ReviewCalcs[[#This Row],[Control Existing Energy (kWh)]]*kWh_Incentive_Rate</f>
        <v>0</v>
      </c>
      <c r="AX173" s="118">
        <f>ReviewCalcs[[#This Row],[Control Proposed Energy (kWh)]]*kWh_Incentive_Rate</f>
        <v>0</v>
      </c>
      <c r="AY173" s="70">
        <f>ReviewCalcs[[#This Row],[Control Energy Savings (kWh)]]*kWh_Incentive_Rate</f>
        <v>0</v>
      </c>
      <c r="AZ173" s="70" t="e">
        <f>ReviewCalcs[[#This Row],[Fixture Existing Demand (kW)]]+ReviewCalcs[[#This Row],[Control Existing Demand (kW)]]</f>
        <v>#VALUE!</v>
      </c>
      <c r="BA173" s="70" t="e">
        <f>ReviewCalcs[[#This Row],[Fixture Proposed Demand (kW)]]+ReviewCalcs[[#This Row],[Control Proposed Demand (kW)]]</f>
        <v>#VALUE!</v>
      </c>
      <c r="BB173" s="118">
        <f>ReviewCalcs[[#This Row],[Fixture Demand Savings (kW)]]+ReviewCalcs[[#This Row],[Control Demand Savings (kW)]]</f>
        <v>0</v>
      </c>
      <c r="BC173" s="118">
        <f>ReviewCalcs[[#This Row],[Fixture Existing Energy (kWh)]]+ReviewCalcs[[#This Row],[Control Existing Energy (kWh)]]</f>
        <v>0</v>
      </c>
      <c r="BD173" s="118">
        <f>ReviewCalcs[[#This Row],[Fixture Proposed Energy (kWh)]]+ReviewCalcs[[#This Row],[Control Proposed Energy (kWh)]]</f>
        <v>0</v>
      </c>
      <c r="BE173" s="118">
        <f>ReviewCalcs[[#This Row],[Fixture Energy Savings]]+ReviewCalcs[[#This Row],[Control Energy Savings (kWh)]]</f>
        <v>0</v>
      </c>
      <c r="BF173" s="118">
        <f>ReviewCalcs[[#This Row],[Fixture Existing Cost ($)]]+ReviewCalcs[[#This Row],[Control Existing Cost ($)]]</f>
        <v>0</v>
      </c>
      <c r="BG173" s="118">
        <f>ReviewCalcs[[#This Row],[Fixture Proposed Cost ($)]]+ReviewCalcs[[#This Row],[Controls Proposed Cost ($)]]</f>
        <v>0</v>
      </c>
      <c r="BH173" s="70">
        <f>ReviewCalcs[[#This Row],[Total Energy Savings (kWh)]]*Avg_KWh_Rate</f>
        <v>0</v>
      </c>
      <c r="BI1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3" s="70">
        <f>ReviewCalcs[[#This Row],[Retrofit Cost]]</f>
        <v>0</v>
      </c>
      <c r="BK173" s="70">
        <f>ReviewCalcs[[#This Row],[Retrofit Cost]]-ReviewCalcs[[#This Row],[Incentive ($)]]</f>
        <v>0</v>
      </c>
      <c r="BL173" s="118" t="e">
        <f>IFERROR(ReviewCalcs[[#This Row],[Net Project Cost ($)]]/ReviewCalcs[[#This Row],[Fixture Energy Cost Savings ($)]], #N/A)</f>
        <v>#N/A</v>
      </c>
      <c r="BM173" s="118" t="e">
        <f>IF(VLOOKUP(ReviewCalcs[[#This Row],[Existing Fixture Code]], Table7[[FIXTURE CODE]:[Baseline Fixture Code]], 8, FALSE)="N", VLOOKUP(ReviewCalcs[[#This Row],[Existing Fixture Code]], Table7[[FIXTURE CODE]:[Baseline Fixture Code]], 9, FALSE), ReviewCalcs[[#This Row],[Existing Fixture Code]])</f>
        <v>#N/A</v>
      </c>
      <c r="BN173" s="118" t="e">
        <f>INDEX(Table7[WATT/ FIXT], MATCH(ReviewCalcs[Baseline Fixture Code], Table7[FIXTURE CODE], 0))</f>
        <v>#N/A</v>
      </c>
      <c r="BO173" s="118">
        <f>IFERROR((ReviewCalcs[[#This Row],[Existing Fixture Quantity]]*ReviewCalcs[[#This Row],[Baseline Fixture Watts]]/1000-ReviewCalcs[[#This Row],[Proposed Fixture Quantity]]*ReviewCalcs[[#This Row],[Proposed Fixture Watts]]/1000)*ReviewCalcs[[#This Row],[Existing CF]]*ReviewCalcs[[#This Row],[IEFD]], 0)</f>
        <v>0</v>
      </c>
      <c r="BP1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3" s="118">
        <f>IF(ReviewCalcs[[#This Row],[Existing CF]]=ReviewCalcs[[#This Row],[Proposed CF]], 0, ReviewCalcs[[#This Row],[Proposed Fixture Quantity]]*ReviewCalcs[[#This Row],[Proposed Fixture Watts]]/1000*ReviewCalcs[[#This Row],[Proposed CF]]*ReviewCalcs[[#This Row],[IEFD]])</f>
        <v>0</v>
      </c>
      <c r="BR173" s="118">
        <f>IFERROR(ReviewCalcs[[#This Row],[Proposed Fixture Quantity]]*ReviewCalcs[[#This Row],[Proposed Fixture Watts]]/1000*(ReviewCalcs[[#This Row],[Existing PAF]]-ReviewCalcs[[#This Row],[Proposed PAF]])*ReviewCalcs[[#This Row],[AOH]]*ReviewCalcs[[#This Row],[IEFE]],0)</f>
        <v>0</v>
      </c>
      <c r="BS173" s="118">
        <f>ReviewCalcs[[#This Row],[Incentive Fixture Demand Savings (kW)]]+ReviewCalcs[[#This Row],[Incentive Control Demand Savings (kW)]]</f>
        <v>0</v>
      </c>
      <c r="BT173" s="118">
        <f>ReviewCalcs[[#This Row],[Incentive Fixture Energy Savings (kWh)]]+ReviewCalcs[[#This Row],[Incentive Control Energy Savings (kWh)]]</f>
        <v>0</v>
      </c>
      <c r="BU173" s="73"/>
    </row>
    <row r="174" spans="1:73" ht="30" customHeight="1">
      <c r="A174" s="68">
        <v>171</v>
      </c>
      <c r="B174" s="96">
        <f>VLOOKUP(ReviewCalcs[[#This Row],[Project Index]], ProjectInput[], D$1, FALSE)</f>
        <v>0</v>
      </c>
      <c r="C174" s="97">
        <f>VLOOKUP(ReviewCalcs[[#This Row],[Project Index]], ProjectInput[], E$1, FALSE)</f>
        <v>0</v>
      </c>
      <c r="D174" s="97">
        <f>VLOOKUP(ReviewCalcs[[#This Row],[Project Index]], ProjectInput[], F$1, FALSE)</f>
        <v>0</v>
      </c>
      <c r="E174" s="97">
        <f>VLOOKUP(ReviewCalcs[[#This Row],[Project Index]], ProjectInput[], G$1, FALSE)</f>
        <v>0</v>
      </c>
      <c r="F174" s="97">
        <f>VLOOKUP(ReviewCalcs[[#This Row],[Project Index]], ProjectInput[], H$1, FALSE)</f>
        <v>0</v>
      </c>
      <c r="G174" s="98" t="str">
        <f>VLOOKUP(ReviewCalcs[[#This Row],[Project Index]], ProjectInput[], I$1, FALSE)</f>
        <v/>
      </c>
      <c r="H174" s="96">
        <f>VLOOKUP(ReviewCalcs[[#This Row],[Project Index]], ProjectInput[], J$1, FALSE)</f>
        <v>0</v>
      </c>
      <c r="I174" s="97">
        <f>VLOOKUP(ReviewCalcs[[#This Row],[Project Index]], ProjectInput[], K$1, FALSE)</f>
        <v>0</v>
      </c>
      <c r="J174" s="97">
        <f>VLOOKUP(ReviewCalcs[[#This Row],[Project Index]], ProjectInput[], L$1, FALSE)</f>
        <v>0</v>
      </c>
      <c r="K174" s="97">
        <f>VLOOKUP(ReviewCalcs[[#This Row],[Project Index]], ProjectInput[], M$1, FALSE)</f>
        <v>0</v>
      </c>
      <c r="L174" s="97">
        <f>VLOOKUP(ReviewCalcs[[#This Row],[Project Index]], ProjectInput[], N$1, FALSE)</f>
        <v>0</v>
      </c>
      <c r="M174" s="98" t="str">
        <f>VLOOKUP(ReviewCalcs[[#This Row],[Project Index]], ProjectInput[], O$1, FALSE)</f>
        <v/>
      </c>
      <c r="N174" s="96">
        <f>VLOOKUP(ReviewCalcs[[#This Row],[Project Index]], ProjectInput[], P$1, FALSE)</f>
        <v>0</v>
      </c>
      <c r="O174" s="97">
        <f>VLOOKUP(ReviewCalcs[[#This Row],[Project Index]], ProjectInput[], Q$1, FALSE)</f>
        <v>0</v>
      </c>
      <c r="P174" s="97">
        <f>VLOOKUP(ReviewCalcs[[#This Row],[Project Index]], ProjectInput[], R$1, FALSE)</f>
        <v>0</v>
      </c>
      <c r="Q174" s="97">
        <f>VLOOKUP(ReviewCalcs[[#This Row],[Project Index]], ProjectInput[], S$1, FALSE)</f>
        <v>0</v>
      </c>
      <c r="R174" s="97">
        <f>VLOOKUP(ReviewCalcs[[#This Row],[Project Index]], ProjectInput[], T$1, FALSE)</f>
        <v>0</v>
      </c>
      <c r="S174" s="97">
        <f>VLOOKUP(ReviewCalcs[[#This Row],[Project Index]], ProjectInput[], U$1, FALSE)</f>
        <v>0</v>
      </c>
      <c r="T174" s="97">
        <f>VLOOKUP(ReviewCalcs[[#This Row],[Project Index]], ProjectInput[], V$1, FALSE)</f>
        <v>0</v>
      </c>
      <c r="U174" s="97">
        <f>VLOOKUP(ReviewCalcs[[#This Row],[Project Index]], ProjectInput[], W$1, FALSE)</f>
        <v>0</v>
      </c>
      <c r="V174" s="98" t="str">
        <f>VLOOKUP(ReviewCalcs[[#This Row],[Project Index]], ProjectInput[], X$1, FALSE)</f>
        <v/>
      </c>
      <c r="W1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4" s="75" t="e">
        <f>IF(VLOOKUP(ReviewCalcs[[#This Row],[Proposed Fixture Code]], Table7[[FIXTURE CODE]:[Baseline Fixture Code]], 8, FALSE)="N", "ERROR", "PASS")</f>
        <v>#N/A</v>
      </c>
      <c r="Y1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4" s="75" t="e">
        <f>IF(OR(ReviewCalcs[[#This Row],[Baseline Fixture Watts]]&gt;=ReviewCalcs[[#This Row],[Proposed Fixture Watts]],ReviewCalcs[[#This Row],[Existing Fixture Watts]]&gt;=ReviewCalcs[[#This Row],[Proposed Fixture Watts]] ), "PASS", "ERROR")</f>
        <v>#N/A</v>
      </c>
      <c r="AA174" s="69" t="e">
        <f>VLOOKUP(ReviewCalcs[[#This Row],[Space Conditions]], Table_365[], 5, FALSE)</f>
        <v>#N/A</v>
      </c>
      <c r="AB174" s="68" t="str">
        <f>ReviewCalcs[[#This Row],[Annual Hours]]</f>
        <v/>
      </c>
      <c r="AC174" s="68" t="e">
        <f>VLOOKUP(ReviewCalcs[[#This Row],[Space Conditions]], Table_365[], 6, FALSE)</f>
        <v>#N/A</v>
      </c>
      <c r="AD174" s="68">
        <f>IF(ReviewCalcs[[#This Row],[Existing Control(s)]]='Tables &amp; Ranges'!$A$25, VLOOKUP(ReviewCalcs[[#This Row],[Building/Space Type]], Table_364[], 3, FALSE), CF_Contols)</f>
        <v>0.26</v>
      </c>
      <c r="AE174" s="68" t="e">
        <f>VLOOKUP(ReviewCalcs[[#This Row],[Existing Control(s)]], Table_358[], 2, FALSE)</f>
        <v>#N/A</v>
      </c>
      <c r="AF174" s="68">
        <f>IF(ReviewCalcs[[#This Row],[Proposed Control(s)]]='Tables &amp; Ranges'!$A$25, VLOOKUP(ReviewCalcs[[#This Row],[Building/Space Type]], Table_364[], 3, FALSE), CF_Contols)</f>
        <v>0.26</v>
      </c>
      <c r="AG174" s="68" t="e">
        <f>VLOOKUP(ReviewCalcs[[#This Row],[Proposed Control(s)]], Table_358[], 2, FALSE)</f>
        <v>#N/A</v>
      </c>
      <c r="AH174" s="68">
        <f>IFERROR((ReviewCalcs[[#This Row],[Existing Fixture Quantity]]*ReviewCalcs[[#This Row],[Existing Fixture Watts]]/1000)*ReviewCalcs[[#This Row],[Existing CF]]*ReviewCalcs[[#This Row],[IEFD]], 0)</f>
        <v>0</v>
      </c>
      <c r="AI174" s="68">
        <f>IFERROR((ReviewCalcs[[#This Row],[Proposed Fixture Quantity]]*ReviewCalcs[[#This Row],[Proposed Fixture Watts]]/1000)*ReviewCalcs[[#This Row],[Existing CF]]*ReviewCalcs[[#This Row],[IEFD]], 0)</f>
        <v>0</v>
      </c>
      <c r="AJ174" s="118">
        <f>IFERROR((ReviewCalcs[[#This Row],[Existing Fixture Quantity]]*ReviewCalcs[[#This Row],[Existing Fixture Watts]]/1000-ReviewCalcs[[#This Row],[Proposed Fixture Quantity]]*ReviewCalcs[[#This Row],[Proposed Fixture Watts]]/1000)*ReviewCalcs[[#This Row],[Existing CF]]*ReviewCalcs[[#This Row],[IEFD]], 0)</f>
        <v>0</v>
      </c>
      <c r="AK174" s="118">
        <f>IFERROR((ReviewCalcs[[#This Row],[Existing Fixture Quantity]]*ReviewCalcs[[#This Row],[Existing Fixture Watts]]/1000)*ReviewCalcs[[#This Row],[AOH]]*ReviewCalcs[[#This Row],[IEFE]]*ReviewCalcs[[#This Row],[Existing PAF]], 0)</f>
        <v>0</v>
      </c>
      <c r="AL174" s="118">
        <f>IFERROR((ReviewCalcs[[#This Row],[Proposed Fixture Quantity]]*ReviewCalcs[[#This Row],[Proposed Fixture Watts]]/1000)*ReviewCalcs[[#This Row],[AOH]]*ReviewCalcs[[#This Row],[IEFE]]*ReviewCalcs[[#This Row],[Existing PAF]], 0)</f>
        <v>0</v>
      </c>
      <c r="AM1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4" s="118">
        <f>ReviewCalcs[[#This Row],[Fixture Existing Energy (kWh)]]*Avg_KWh_Rate</f>
        <v>0</v>
      </c>
      <c r="AO174" s="118">
        <f>ReviewCalcs[[#This Row],[Fixture Proposed Energy (kWh)]]*Avg_KWh_Rate</f>
        <v>0</v>
      </c>
      <c r="AP174" s="70">
        <f>ReviewCalcs[[#This Row],[Fixture Energy Savings]]*Avg_KWh_Rate</f>
        <v>0</v>
      </c>
      <c r="AQ174" s="129" t="e">
        <f>ReviewCalcs[[#This Row],[Existing Fixture Quantity]]*ReviewCalcs[[#This Row],[Existing Fixture Watts]]/1000*ReviewCalcs[[#This Row],[Existing CF]]*ReviewCalcs[[#This Row],[IEFD]]</f>
        <v>#VALUE!</v>
      </c>
      <c r="AR174" s="129" t="e">
        <f>ReviewCalcs[[#This Row],[Proposed Fixture Quantity]]*ReviewCalcs[[#This Row],[Proposed Fixture Watts]]/1000*ReviewCalcs[[#This Row],[Proposed CF]]*ReviewCalcs[[#This Row],[IEFD]]</f>
        <v>#VALUE!</v>
      </c>
      <c r="AS174" s="118">
        <f>IF(ReviewCalcs[[#This Row],[Existing CF]]=ReviewCalcs[[#This Row],[Proposed CF]], 0, ReviewCalcs[[#This Row],[Proposed Fixture Quantity]]*ReviewCalcs[[#This Row],[Proposed Fixture Watts]]/1000*ReviewCalcs[[#This Row],[Proposed CF]]*ReviewCalcs[[#This Row],[IEFD]])</f>
        <v>0</v>
      </c>
      <c r="AT174" s="118">
        <f>IFERROR(ReviewCalcs[[#This Row],[Existing Fixture Quantity]]*ReviewCalcs[[#This Row],[Existing Fixture Watts]]/1000*ReviewCalcs[[#This Row],[Existing PAF]]*ReviewCalcs[[#This Row],[AOH]]*ReviewCalcs[[#This Row],[IEFE]], 0)</f>
        <v>0</v>
      </c>
      <c r="AU174" s="118">
        <f>IFERROR(ReviewCalcs[[#This Row],[Proposed Fixture Quantity]]*ReviewCalcs[[#This Row],[Proposed Fixture Watts]]/1000*ReviewCalcs[[#This Row],[Proposed PAF]]*ReviewCalcs[[#This Row],[AOH]]*ReviewCalcs[[#This Row],[IEFE]], 0)</f>
        <v>0</v>
      </c>
      <c r="AV174" s="118">
        <f>IFERROR(ReviewCalcs[[#This Row],[Proposed Fixture Quantity]]*ReviewCalcs[[#This Row],[Proposed Fixture Watts]]/1000*(ReviewCalcs[[#This Row],[Existing PAF]]-ReviewCalcs[[#This Row],[Proposed PAF]])*ReviewCalcs[[#This Row],[AOH]]*ReviewCalcs[[#This Row],[IEFE]], 0)</f>
        <v>0</v>
      </c>
      <c r="AW174" s="118">
        <f>ReviewCalcs[[#This Row],[Control Existing Energy (kWh)]]*kWh_Incentive_Rate</f>
        <v>0</v>
      </c>
      <c r="AX174" s="118">
        <f>ReviewCalcs[[#This Row],[Control Proposed Energy (kWh)]]*kWh_Incentive_Rate</f>
        <v>0</v>
      </c>
      <c r="AY174" s="70">
        <f>ReviewCalcs[[#This Row],[Control Energy Savings (kWh)]]*kWh_Incentive_Rate</f>
        <v>0</v>
      </c>
      <c r="AZ174" s="70" t="e">
        <f>ReviewCalcs[[#This Row],[Fixture Existing Demand (kW)]]+ReviewCalcs[[#This Row],[Control Existing Demand (kW)]]</f>
        <v>#VALUE!</v>
      </c>
      <c r="BA174" s="70" t="e">
        <f>ReviewCalcs[[#This Row],[Fixture Proposed Demand (kW)]]+ReviewCalcs[[#This Row],[Control Proposed Demand (kW)]]</f>
        <v>#VALUE!</v>
      </c>
      <c r="BB174" s="118">
        <f>ReviewCalcs[[#This Row],[Fixture Demand Savings (kW)]]+ReviewCalcs[[#This Row],[Control Demand Savings (kW)]]</f>
        <v>0</v>
      </c>
      <c r="BC174" s="118">
        <f>ReviewCalcs[[#This Row],[Fixture Existing Energy (kWh)]]+ReviewCalcs[[#This Row],[Control Existing Energy (kWh)]]</f>
        <v>0</v>
      </c>
      <c r="BD174" s="118">
        <f>ReviewCalcs[[#This Row],[Fixture Proposed Energy (kWh)]]+ReviewCalcs[[#This Row],[Control Proposed Energy (kWh)]]</f>
        <v>0</v>
      </c>
      <c r="BE174" s="118">
        <f>ReviewCalcs[[#This Row],[Fixture Energy Savings]]+ReviewCalcs[[#This Row],[Control Energy Savings (kWh)]]</f>
        <v>0</v>
      </c>
      <c r="BF174" s="118">
        <f>ReviewCalcs[[#This Row],[Fixture Existing Cost ($)]]+ReviewCalcs[[#This Row],[Control Existing Cost ($)]]</f>
        <v>0</v>
      </c>
      <c r="BG174" s="118">
        <f>ReviewCalcs[[#This Row],[Fixture Proposed Cost ($)]]+ReviewCalcs[[#This Row],[Controls Proposed Cost ($)]]</f>
        <v>0</v>
      </c>
      <c r="BH174" s="70">
        <f>ReviewCalcs[[#This Row],[Total Energy Savings (kWh)]]*Avg_KWh_Rate</f>
        <v>0</v>
      </c>
      <c r="BI1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4" s="70">
        <f>ReviewCalcs[[#This Row],[Retrofit Cost]]</f>
        <v>0</v>
      </c>
      <c r="BK174" s="70">
        <f>ReviewCalcs[[#This Row],[Retrofit Cost]]-ReviewCalcs[[#This Row],[Incentive ($)]]</f>
        <v>0</v>
      </c>
      <c r="BL174" s="118" t="e">
        <f>IFERROR(ReviewCalcs[[#This Row],[Net Project Cost ($)]]/ReviewCalcs[[#This Row],[Fixture Energy Cost Savings ($)]], #N/A)</f>
        <v>#N/A</v>
      </c>
      <c r="BM174" s="118" t="e">
        <f>IF(VLOOKUP(ReviewCalcs[[#This Row],[Existing Fixture Code]], Table7[[FIXTURE CODE]:[Baseline Fixture Code]], 8, FALSE)="N", VLOOKUP(ReviewCalcs[[#This Row],[Existing Fixture Code]], Table7[[FIXTURE CODE]:[Baseline Fixture Code]], 9, FALSE), ReviewCalcs[[#This Row],[Existing Fixture Code]])</f>
        <v>#N/A</v>
      </c>
      <c r="BN174" s="118" t="e">
        <f>INDEX(Table7[WATT/ FIXT], MATCH(ReviewCalcs[Baseline Fixture Code], Table7[FIXTURE CODE], 0))</f>
        <v>#N/A</v>
      </c>
      <c r="BO174" s="118">
        <f>IFERROR((ReviewCalcs[[#This Row],[Existing Fixture Quantity]]*ReviewCalcs[[#This Row],[Baseline Fixture Watts]]/1000-ReviewCalcs[[#This Row],[Proposed Fixture Quantity]]*ReviewCalcs[[#This Row],[Proposed Fixture Watts]]/1000)*ReviewCalcs[[#This Row],[Existing CF]]*ReviewCalcs[[#This Row],[IEFD]], 0)</f>
        <v>0</v>
      </c>
      <c r="BP1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4" s="118">
        <f>IF(ReviewCalcs[[#This Row],[Existing CF]]=ReviewCalcs[[#This Row],[Proposed CF]], 0, ReviewCalcs[[#This Row],[Proposed Fixture Quantity]]*ReviewCalcs[[#This Row],[Proposed Fixture Watts]]/1000*ReviewCalcs[[#This Row],[Proposed CF]]*ReviewCalcs[[#This Row],[IEFD]])</f>
        <v>0</v>
      </c>
      <c r="BR174" s="118">
        <f>IFERROR(ReviewCalcs[[#This Row],[Proposed Fixture Quantity]]*ReviewCalcs[[#This Row],[Proposed Fixture Watts]]/1000*(ReviewCalcs[[#This Row],[Existing PAF]]-ReviewCalcs[[#This Row],[Proposed PAF]])*ReviewCalcs[[#This Row],[AOH]]*ReviewCalcs[[#This Row],[IEFE]],0)</f>
        <v>0</v>
      </c>
      <c r="BS174" s="118">
        <f>ReviewCalcs[[#This Row],[Incentive Fixture Demand Savings (kW)]]+ReviewCalcs[[#This Row],[Incentive Control Demand Savings (kW)]]</f>
        <v>0</v>
      </c>
      <c r="BT174" s="118">
        <f>ReviewCalcs[[#This Row],[Incentive Fixture Energy Savings (kWh)]]+ReviewCalcs[[#This Row],[Incentive Control Energy Savings (kWh)]]</f>
        <v>0</v>
      </c>
      <c r="BU174" s="73"/>
    </row>
    <row r="175" spans="1:73" ht="30" customHeight="1">
      <c r="A175" s="68">
        <v>172</v>
      </c>
      <c r="B175" s="96">
        <f>VLOOKUP(ReviewCalcs[[#This Row],[Project Index]], ProjectInput[], D$1, FALSE)</f>
        <v>0</v>
      </c>
      <c r="C175" s="97">
        <f>VLOOKUP(ReviewCalcs[[#This Row],[Project Index]], ProjectInput[], E$1, FALSE)</f>
        <v>0</v>
      </c>
      <c r="D175" s="97">
        <f>VLOOKUP(ReviewCalcs[[#This Row],[Project Index]], ProjectInput[], F$1, FALSE)</f>
        <v>0</v>
      </c>
      <c r="E175" s="97">
        <f>VLOOKUP(ReviewCalcs[[#This Row],[Project Index]], ProjectInput[], G$1, FALSE)</f>
        <v>0</v>
      </c>
      <c r="F175" s="97">
        <f>VLOOKUP(ReviewCalcs[[#This Row],[Project Index]], ProjectInput[], H$1, FALSE)</f>
        <v>0</v>
      </c>
      <c r="G175" s="98" t="str">
        <f>VLOOKUP(ReviewCalcs[[#This Row],[Project Index]], ProjectInput[], I$1, FALSE)</f>
        <v/>
      </c>
      <c r="H175" s="96">
        <f>VLOOKUP(ReviewCalcs[[#This Row],[Project Index]], ProjectInput[], J$1, FALSE)</f>
        <v>0</v>
      </c>
      <c r="I175" s="97">
        <f>VLOOKUP(ReviewCalcs[[#This Row],[Project Index]], ProjectInput[], K$1, FALSE)</f>
        <v>0</v>
      </c>
      <c r="J175" s="97">
        <f>VLOOKUP(ReviewCalcs[[#This Row],[Project Index]], ProjectInput[], L$1, FALSE)</f>
        <v>0</v>
      </c>
      <c r="K175" s="97">
        <f>VLOOKUP(ReviewCalcs[[#This Row],[Project Index]], ProjectInput[], M$1, FALSE)</f>
        <v>0</v>
      </c>
      <c r="L175" s="97">
        <f>VLOOKUP(ReviewCalcs[[#This Row],[Project Index]], ProjectInput[], N$1, FALSE)</f>
        <v>0</v>
      </c>
      <c r="M175" s="98" t="str">
        <f>VLOOKUP(ReviewCalcs[[#This Row],[Project Index]], ProjectInput[], O$1, FALSE)</f>
        <v/>
      </c>
      <c r="N175" s="96">
        <f>VLOOKUP(ReviewCalcs[[#This Row],[Project Index]], ProjectInput[], P$1, FALSE)</f>
        <v>0</v>
      </c>
      <c r="O175" s="97">
        <f>VLOOKUP(ReviewCalcs[[#This Row],[Project Index]], ProjectInput[], Q$1, FALSE)</f>
        <v>0</v>
      </c>
      <c r="P175" s="97">
        <f>VLOOKUP(ReviewCalcs[[#This Row],[Project Index]], ProjectInput[], R$1, FALSE)</f>
        <v>0</v>
      </c>
      <c r="Q175" s="97">
        <f>VLOOKUP(ReviewCalcs[[#This Row],[Project Index]], ProjectInput[], S$1, FALSE)</f>
        <v>0</v>
      </c>
      <c r="R175" s="97">
        <f>VLOOKUP(ReviewCalcs[[#This Row],[Project Index]], ProjectInput[], T$1, FALSE)</f>
        <v>0</v>
      </c>
      <c r="S175" s="97">
        <f>VLOOKUP(ReviewCalcs[[#This Row],[Project Index]], ProjectInput[], U$1, FALSE)</f>
        <v>0</v>
      </c>
      <c r="T175" s="97">
        <f>VLOOKUP(ReviewCalcs[[#This Row],[Project Index]], ProjectInput[], V$1, FALSE)</f>
        <v>0</v>
      </c>
      <c r="U175" s="97">
        <f>VLOOKUP(ReviewCalcs[[#This Row],[Project Index]], ProjectInput[], W$1, FALSE)</f>
        <v>0</v>
      </c>
      <c r="V175" s="98" t="str">
        <f>VLOOKUP(ReviewCalcs[[#This Row],[Project Index]], ProjectInput[], X$1, FALSE)</f>
        <v/>
      </c>
      <c r="W1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5" s="75" t="e">
        <f>IF(VLOOKUP(ReviewCalcs[[#This Row],[Proposed Fixture Code]], Table7[[FIXTURE CODE]:[Baseline Fixture Code]], 8, FALSE)="N", "ERROR", "PASS")</f>
        <v>#N/A</v>
      </c>
      <c r="Y1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5" s="75" t="e">
        <f>IF(OR(ReviewCalcs[[#This Row],[Baseline Fixture Watts]]&gt;=ReviewCalcs[[#This Row],[Proposed Fixture Watts]],ReviewCalcs[[#This Row],[Existing Fixture Watts]]&gt;=ReviewCalcs[[#This Row],[Proposed Fixture Watts]] ), "PASS", "ERROR")</f>
        <v>#N/A</v>
      </c>
      <c r="AA175" s="69" t="e">
        <f>VLOOKUP(ReviewCalcs[[#This Row],[Space Conditions]], Table_365[], 5, FALSE)</f>
        <v>#N/A</v>
      </c>
      <c r="AB175" s="68" t="str">
        <f>ReviewCalcs[[#This Row],[Annual Hours]]</f>
        <v/>
      </c>
      <c r="AC175" s="68" t="e">
        <f>VLOOKUP(ReviewCalcs[[#This Row],[Space Conditions]], Table_365[], 6, FALSE)</f>
        <v>#N/A</v>
      </c>
      <c r="AD175" s="68">
        <f>IF(ReviewCalcs[[#This Row],[Existing Control(s)]]='Tables &amp; Ranges'!$A$25, VLOOKUP(ReviewCalcs[[#This Row],[Building/Space Type]], Table_364[], 3, FALSE), CF_Contols)</f>
        <v>0.26</v>
      </c>
      <c r="AE175" s="68" t="e">
        <f>VLOOKUP(ReviewCalcs[[#This Row],[Existing Control(s)]], Table_358[], 2, FALSE)</f>
        <v>#N/A</v>
      </c>
      <c r="AF175" s="68">
        <f>IF(ReviewCalcs[[#This Row],[Proposed Control(s)]]='Tables &amp; Ranges'!$A$25, VLOOKUP(ReviewCalcs[[#This Row],[Building/Space Type]], Table_364[], 3, FALSE), CF_Contols)</f>
        <v>0.26</v>
      </c>
      <c r="AG175" s="68" t="e">
        <f>VLOOKUP(ReviewCalcs[[#This Row],[Proposed Control(s)]], Table_358[], 2, FALSE)</f>
        <v>#N/A</v>
      </c>
      <c r="AH175" s="68">
        <f>IFERROR((ReviewCalcs[[#This Row],[Existing Fixture Quantity]]*ReviewCalcs[[#This Row],[Existing Fixture Watts]]/1000)*ReviewCalcs[[#This Row],[Existing CF]]*ReviewCalcs[[#This Row],[IEFD]], 0)</f>
        <v>0</v>
      </c>
      <c r="AI175" s="68">
        <f>IFERROR((ReviewCalcs[[#This Row],[Proposed Fixture Quantity]]*ReviewCalcs[[#This Row],[Proposed Fixture Watts]]/1000)*ReviewCalcs[[#This Row],[Existing CF]]*ReviewCalcs[[#This Row],[IEFD]], 0)</f>
        <v>0</v>
      </c>
      <c r="AJ175" s="118">
        <f>IFERROR((ReviewCalcs[[#This Row],[Existing Fixture Quantity]]*ReviewCalcs[[#This Row],[Existing Fixture Watts]]/1000-ReviewCalcs[[#This Row],[Proposed Fixture Quantity]]*ReviewCalcs[[#This Row],[Proposed Fixture Watts]]/1000)*ReviewCalcs[[#This Row],[Existing CF]]*ReviewCalcs[[#This Row],[IEFD]], 0)</f>
        <v>0</v>
      </c>
      <c r="AK175" s="118">
        <f>IFERROR((ReviewCalcs[[#This Row],[Existing Fixture Quantity]]*ReviewCalcs[[#This Row],[Existing Fixture Watts]]/1000)*ReviewCalcs[[#This Row],[AOH]]*ReviewCalcs[[#This Row],[IEFE]]*ReviewCalcs[[#This Row],[Existing PAF]], 0)</f>
        <v>0</v>
      </c>
      <c r="AL175" s="118">
        <f>IFERROR((ReviewCalcs[[#This Row],[Proposed Fixture Quantity]]*ReviewCalcs[[#This Row],[Proposed Fixture Watts]]/1000)*ReviewCalcs[[#This Row],[AOH]]*ReviewCalcs[[#This Row],[IEFE]]*ReviewCalcs[[#This Row],[Existing PAF]], 0)</f>
        <v>0</v>
      </c>
      <c r="AM1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5" s="118">
        <f>ReviewCalcs[[#This Row],[Fixture Existing Energy (kWh)]]*Avg_KWh_Rate</f>
        <v>0</v>
      </c>
      <c r="AO175" s="118">
        <f>ReviewCalcs[[#This Row],[Fixture Proposed Energy (kWh)]]*Avg_KWh_Rate</f>
        <v>0</v>
      </c>
      <c r="AP175" s="70">
        <f>ReviewCalcs[[#This Row],[Fixture Energy Savings]]*Avg_KWh_Rate</f>
        <v>0</v>
      </c>
      <c r="AQ175" s="129" t="e">
        <f>ReviewCalcs[[#This Row],[Existing Fixture Quantity]]*ReviewCalcs[[#This Row],[Existing Fixture Watts]]/1000*ReviewCalcs[[#This Row],[Existing CF]]*ReviewCalcs[[#This Row],[IEFD]]</f>
        <v>#VALUE!</v>
      </c>
      <c r="AR175" s="129" t="e">
        <f>ReviewCalcs[[#This Row],[Proposed Fixture Quantity]]*ReviewCalcs[[#This Row],[Proposed Fixture Watts]]/1000*ReviewCalcs[[#This Row],[Proposed CF]]*ReviewCalcs[[#This Row],[IEFD]]</f>
        <v>#VALUE!</v>
      </c>
      <c r="AS175" s="118">
        <f>IF(ReviewCalcs[[#This Row],[Existing CF]]=ReviewCalcs[[#This Row],[Proposed CF]], 0, ReviewCalcs[[#This Row],[Proposed Fixture Quantity]]*ReviewCalcs[[#This Row],[Proposed Fixture Watts]]/1000*ReviewCalcs[[#This Row],[Proposed CF]]*ReviewCalcs[[#This Row],[IEFD]])</f>
        <v>0</v>
      </c>
      <c r="AT175" s="118">
        <f>IFERROR(ReviewCalcs[[#This Row],[Existing Fixture Quantity]]*ReviewCalcs[[#This Row],[Existing Fixture Watts]]/1000*ReviewCalcs[[#This Row],[Existing PAF]]*ReviewCalcs[[#This Row],[AOH]]*ReviewCalcs[[#This Row],[IEFE]], 0)</f>
        <v>0</v>
      </c>
      <c r="AU175" s="118">
        <f>IFERROR(ReviewCalcs[[#This Row],[Proposed Fixture Quantity]]*ReviewCalcs[[#This Row],[Proposed Fixture Watts]]/1000*ReviewCalcs[[#This Row],[Proposed PAF]]*ReviewCalcs[[#This Row],[AOH]]*ReviewCalcs[[#This Row],[IEFE]], 0)</f>
        <v>0</v>
      </c>
      <c r="AV175" s="118">
        <f>IFERROR(ReviewCalcs[[#This Row],[Proposed Fixture Quantity]]*ReviewCalcs[[#This Row],[Proposed Fixture Watts]]/1000*(ReviewCalcs[[#This Row],[Existing PAF]]-ReviewCalcs[[#This Row],[Proposed PAF]])*ReviewCalcs[[#This Row],[AOH]]*ReviewCalcs[[#This Row],[IEFE]], 0)</f>
        <v>0</v>
      </c>
      <c r="AW175" s="118">
        <f>ReviewCalcs[[#This Row],[Control Existing Energy (kWh)]]*kWh_Incentive_Rate</f>
        <v>0</v>
      </c>
      <c r="AX175" s="118">
        <f>ReviewCalcs[[#This Row],[Control Proposed Energy (kWh)]]*kWh_Incentive_Rate</f>
        <v>0</v>
      </c>
      <c r="AY175" s="70">
        <f>ReviewCalcs[[#This Row],[Control Energy Savings (kWh)]]*kWh_Incentive_Rate</f>
        <v>0</v>
      </c>
      <c r="AZ175" s="70" t="e">
        <f>ReviewCalcs[[#This Row],[Fixture Existing Demand (kW)]]+ReviewCalcs[[#This Row],[Control Existing Demand (kW)]]</f>
        <v>#VALUE!</v>
      </c>
      <c r="BA175" s="70" t="e">
        <f>ReviewCalcs[[#This Row],[Fixture Proposed Demand (kW)]]+ReviewCalcs[[#This Row],[Control Proposed Demand (kW)]]</f>
        <v>#VALUE!</v>
      </c>
      <c r="BB175" s="118">
        <f>ReviewCalcs[[#This Row],[Fixture Demand Savings (kW)]]+ReviewCalcs[[#This Row],[Control Demand Savings (kW)]]</f>
        <v>0</v>
      </c>
      <c r="BC175" s="118">
        <f>ReviewCalcs[[#This Row],[Fixture Existing Energy (kWh)]]+ReviewCalcs[[#This Row],[Control Existing Energy (kWh)]]</f>
        <v>0</v>
      </c>
      <c r="BD175" s="118">
        <f>ReviewCalcs[[#This Row],[Fixture Proposed Energy (kWh)]]+ReviewCalcs[[#This Row],[Control Proposed Energy (kWh)]]</f>
        <v>0</v>
      </c>
      <c r="BE175" s="118">
        <f>ReviewCalcs[[#This Row],[Fixture Energy Savings]]+ReviewCalcs[[#This Row],[Control Energy Savings (kWh)]]</f>
        <v>0</v>
      </c>
      <c r="BF175" s="118">
        <f>ReviewCalcs[[#This Row],[Fixture Existing Cost ($)]]+ReviewCalcs[[#This Row],[Control Existing Cost ($)]]</f>
        <v>0</v>
      </c>
      <c r="BG175" s="118">
        <f>ReviewCalcs[[#This Row],[Fixture Proposed Cost ($)]]+ReviewCalcs[[#This Row],[Controls Proposed Cost ($)]]</f>
        <v>0</v>
      </c>
      <c r="BH175" s="70">
        <f>ReviewCalcs[[#This Row],[Total Energy Savings (kWh)]]*Avg_KWh_Rate</f>
        <v>0</v>
      </c>
      <c r="BI1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5" s="70">
        <f>ReviewCalcs[[#This Row],[Retrofit Cost]]</f>
        <v>0</v>
      </c>
      <c r="BK175" s="70">
        <f>ReviewCalcs[[#This Row],[Retrofit Cost]]-ReviewCalcs[[#This Row],[Incentive ($)]]</f>
        <v>0</v>
      </c>
      <c r="BL175" s="118" t="e">
        <f>IFERROR(ReviewCalcs[[#This Row],[Net Project Cost ($)]]/ReviewCalcs[[#This Row],[Fixture Energy Cost Savings ($)]], #N/A)</f>
        <v>#N/A</v>
      </c>
      <c r="BM175" s="118" t="e">
        <f>IF(VLOOKUP(ReviewCalcs[[#This Row],[Existing Fixture Code]], Table7[[FIXTURE CODE]:[Baseline Fixture Code]], 8, FALSE)="N", VLOOKUP(ReviewCalcs[[#This Row],[Existing Fixture Code]], Table7[[FIXTURE CODE]:[Baseline Fixture Code]], 9, FALSE), ReviewCalcs[[#This Row],[Existing Fixture Code]])</f>
        <v>#N/A</v>
      </c>
      <c r="BN175" s="118" t="e">
        <f>INDEX(Table7[WATT/ FIXT], MATCH(ReviewCalcs[Baseline Fixture Code], Table7[FIXTURE CODE], 0))</f>
        <v>#N/A</v>
      </c>
      <c r="BO175" s="118">
        <f>IFERROR((ReviewCalcs[[#This Row],[Existing Fixture Quantity]]*ReviewCalcs[[#This Row],[Baseline Fixture Watts]]/1000-ReviewCalcs[[#This Row],[Proposed Fixture Quantity]]*ReviewCalcs[[#This Row],[Proposed Fixture Watts]]/1000)*ReviewCalcs[[#This Row],[Existing CF]]*ReviewCalcs[[#This Row],[IEFD]], 0)</f>
        <v>0</v>
      </c>
      <c r="BP1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5" s="118">
        <f>IF(ReviewCalcs[[#This Row],[Existing CF]]=ReviewCalcs[[#This Row],[Proposed CF]], 0, ReviewCalcs[[#This Row],[Proposed Fixture Quantity]]*ReviewCalcs[[#This Row],[Proposed Fixture Watts]]/1000*ReviewCalcs[[#This Row],[Proposed CF]]*ReviewCalcs[[#This Row],[IEFD]])</f>
        <v>0</v>
      </c>
      <c r="BR175" s="118">
        <f>IFERROR(ReviewCalcs[[#This Row],[Proposed Fixture Quantity]]*ReviewCalcs[[#This Row],[Proposed Fixture Watts]]/1000*(ReviewCalcs[[#This Row],[Existing PAF]]-ReviewCalcs[[#This Row],[Proposed PAF]])*ReviewCalcs[[#This Row],[AOH]]*ReviewCalcs[[#This Row],[IEFE]],0)</f>
        <v>0</v>
      </c>
      <c r="BS175" s="118">
        <f>ReviewCalcs[[#This Row],[Incentive Fixture Demand Savings (kW)]]+ReviewCalcs[[#This Row],[Incentive Control Demand Savings (kW)]]</f>
        <v>0</v>
      </c>
      <c r="BT175" s="118">
        <f>ReviewCalcs[[#This Row],[Incentive Fixture Energy Savings (kWh)]]+ReviewCalcs[[#This Row],[Incentive Control Energy Savings (kWh)]]</f>
        <v>0</v>
      </c>
      <c r="BU175" s="73"/>
    </row>
    <row r="176" spans="1:73" ht="30" customHeight="1">
      <c r="A176" s="68">
        <v>173</v>
      </c>
      <c r="B176" s="96">
        <f>VLOOKUP(ReviewCalcs[[#This Row],[Project Index]], ProjectInput[], D$1, FALSE)</f>
        <v>0</v>
      </c>
      <c r="C176" s="97">
        <f>VLOOKUP(ReviewCalcs[[#This Row],[Project Index]], ProjectInput[], E$1, FALSE)</f>
        <v>0</v>
      </c>
      <c r="D176" s="97">
        <f>VLOOKUP(ReviewCalcs[[#This Row],[Project Index]], ProjectInput[], F$1, FALSE)</f>
        <v>0</v>
      </c>
      <c r="E176" s="97">
        <f>VLOOKUP(ReviewCalcs[[#This Row],[Project Index]], ProjectInput[], G$1, FALSE)</f>
        <v>0</v>
      </c>
      <c r="F176" s="97">
        <f>VLOOKUP(ReviewCalcs[[#This Row],[Project Index]], ProjectInput[], H$1, FALSE)</f>
        <v>0</v>
      </c>
      <c r="G176" s="98" t="str">
        <f>VLOOKUP(ReviewCalcs[[#This Row],[Project Index]], ProjectInput[], I$1, FALSE)</f>
        <v/>
      </c>
      <c r="H176" s="96">
        <f>VLOOKUP(ReviewCalcs[[#This Row],[Project Index]], ProjectInput[], J$1, FALSE)</f>
        <v>0</v>
      </c>
      <c r="I176" s="97">
        <f>VLOOKUP(ReviewCalcs[[#This Row],[Project Index]], ProjectInput[], K$1, FALSE)</f>
        <v>0</v>
      </c>
      <c r="J176" s="97">
        <f>VLOOKUP(ReviewCalcs[[#This Row],[Project Index]], ProjectInput[], L$1, FALSE)</f>
        <v>0</v>
      </c>
      <c r="K176" s="97">
        <f>VLOOKUP(ReviewCalcs[[#This Row],[Project Index]], ProjectInput[], M$1, FALSE)</f>
        <v>0</v>
      </c>
      <c r="L176" s="97">
        <f>VLOOKUP(ReviewCalcs[[#This Row],[Project Index]], ProjectInput[], N$1, FALSE)</f>
        <v>0</v>
      </c>
      <c r="M176" s="98" t="str">
        <f>VLOOKUP(ReviewCalcs[[#This Row],[Project Index]], ProjectInput[], O$1, FALSE)</f>
        <v/>
      </c>
      <c r="N176" s="96">
        <f>VLOOKUP(ReviewCalcs[[#This Row],[Project Index]], ProjectInput[], P$1, FALSE)</f>
        <v>0</v>
      </c>
      <c r="O176" s="97">
        <f>VLOOKUP(ReviewCalcs[[#This Row],[Project Index]], ProjectInput[], Q$1, FALSE)</f>
        <v>0</v>
      </c>
      <c r="P176" s="97">
        <f>VLOOKUP(ReviewCalcs[[#This Row],[Project Index]], ProjectInput[], R$1, FALSE)</f>
        <v>0</v>
      </c>
      <c r="Q176" s="97">
        <f>VLOOKUP(ReviewCalcs[[#This Row],[Project Index]], ProjectInput[], S$1, FALSE)</f>
        <v>0</v>
      </c>
      <c r="R176" s="97">
        <f>VLOOKUP(ReviewCalcs[[#This Row],[Project Index]], ProjectInput[], T$1, FALSE)</f>
        <v>0</v>
      </c>
      <c r="S176" s="97">
        <f>VLOOKUP(ReviewCalcs[[#This Row],[Project Index]], ProjectInput[], U$1, FALSE)</f>
        <v>0</v>
      </c>
      <c r="T176" s="97">
        <f>VLOOKUP(ReviewCalcs[[#This Row],[Project Index]], ProjectInput[], V$1, FALSE)</f>
        <v>0</v>
      </c>
      <c r="U176" s="97">
        <f>VLOOKUP(ReviewCalcs[[#This Row],[Project Index]], ProjectInput[], W$1, FALSE)</f>
        <v>0</v>
      </c>
      <c r="V176" s="98" t="str">
        <f>VLOOKUP(ReviewCalcs[[#This Row],[Project Index]], ProjectInput[], X$1, FALSE)</f>
        <v/>
      </c>
      <c r="W1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6" s="75" t="e">
        <f>IF(VLOOKUP(ReviewCalcs[[#This Row],[Proposed Fixture Code]], Table7[[FIXTURE CODE]:[Baseline Fixture Code]], 8, FALSE)="N", "ERROR", "PASS")</f>
        <v>#N/A</v>
      </c>
      <c r="Y1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6" s="75" t="e">
        <f>IF(OR(ReviewCalcs[[#This Row],[Baseline Fixture Watts]]&gt;=ReviewCalcs[[#This Row],[Proposed Fixture Watts]],ReviewCalcs[[#This Row],[Existing Fixture Watts]]&gt;=ReviewCalcs[[#This Row],[Proposed Fixture Watts]] ), "PASS", "ERROR")</f>
        <v>#N/A</v>
      </c>
      <c r="AA176" s="69" t="e">
        <f>VLOOKUP(ReviewCalcs[[#This Row],[Space Conditions]], Table_365[], 5, FALSE)</f>
        <v>#N/A</v>
      </c>
      <c r="AB176" s="68" t="str">
        <f>ReviewCalcs[[#This Row],[Annual Hours]]</f>
        <v/>
      </c>
      <c r="AC176" s="68" t="e">
        <f>VLOOKUP(ReviewCalcs[[#This Row],[Space Conditions]], Table_365[], 6, FALSE)</f>
        <v>#N/A</v>
      </c>
      <c r="AD176" s="68">
        <f>IF(ReviewCalcs[[#This Row],[Existing Control(s)]]='Tables &amp; Ranges'!$A$25, VLOOKUP(ReviewCalcs[[#This Row],[Building/Space Type]], Table_364[], 3, FALSE), CF_Contols)</f>
        <v>0.26</v>
      </c>
      <c r="AE176" s="68" t="e">
        <f>VLOOKUP(ReviewCalcs[[#This Row],[Existing Control(s)]], Table_358[], 2, FALSE)</f>
        <v>#N/A</v>
      </c>
      <c r="AF176" s="68">
        <f>IF(ReviewCalcs[[#This Row],[Proposed Control(s)]]='Tables &amp; Ranges'!$A$25, VLOOKUP(ReviewCalcs[[#This Row],[Building/Space Type]], Table_364[], 3, FALSE), CF_Contols)</f>
        <v>0.26</v>
      </c>
      <c r="AG176" s="68" t="e">
        <f>VLOOKUP(ReviewCalcs[[#This Row],[Proposed Control(s)]], Table_358[], 2, FALSE)</f>
        <v>#N/A</v>
      </c>
      <c r="AH176" s="68">
        <f>IFERROR((ReviewCalcs[[#This Row],[Existing Fixture Quantity]]*ReviewCalcs[[#This Row],[Existing Fixture Watts]]/1000)*ReviewCalcs[[#This Row],[Existing CF]]*ReviewCalcs[[#This Row],[IEFD]], 0)</f>
        <v>0</v>
      </c>
      <c r="AI176" s="68">
        <f>IFERROR((ReviewCalcs[[#This Row],[Proposed Fixture Quantity]]*ReviewCalcs[[#This Row],[Proposed Fixture Watts]]/1000)*ReviewCalcs[[#This Row],[Existing CF]]*ReviewCalcs[[#This Row],[IEFD]], 0)</f>
        <v>0</v>
      </c>
      <c r="AJ176" s="118">
        <f>IFERROR((ReviewCalcs[[#This Row],[Existing Fixture Quantity]]*ReviewCalcs[[#This Row],[Existing Fixture Watts]]/1000-ReviewCalcs[[#This Row],[Proposed Fixture Quantity]]*ReviewCalcs[[#This Row],[Proposed Fixture Watts]]/1000)*ReviewCalcs[[#This Row],[Existing CF]]*ReviewCalcs[[#This Row],[IEFD]], 0)</f>
        <v>0</v>
      </c>
      <c r="AK176" s="118">
        <f>IFERROR((ReviewCalcs[[#This Row],[Existing Fixture Quantity]]*ReviewCalcs[[#This Row],[Existing Fixture Watts]]/1000)*ReviewCalcs[[#This Row],[AOH]]*ReviewCalcs[[#This Row],[IEFE]]*ReviewCalcs[[#This Row],[Existing PAF]], 0)</f>
        <v>0</v>
      </c>
      <c r="AL176" s="118">
        <f>IFERROR((ReviewCalcs[[#This Row],[Proposed Fixture Quantity]]*ReviewCalcs[[#This Row],[Proposed Fixture Watts]]/1000)*ReviewCalcs[[#This Row],[AOH]]*ReviewCalcs[[#This Row],[IEFE]]*ReviewCalcs[[#This Row],[Existing PAF]], 0)</f>
        <v>0</v>
      </c>
      <c r="AM1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6" s="118">
        <f>ReviewCalcs[[#This Row],[Fixture Existing Energy (kWh)]]*Avg_KWh_Rate</f>
        <v>0</v>
      </c>
      <c r="AO176" s="118">
        <f>ReviewCalcs[[#This Row],[Fixture Proposed Energy (kWh)]]*Avg_KWh_Rate</f>
        <v>0</v>
      </c>
      <c r="AP176" s="70">
        <f>ReviewCalcs[[#This Row],[Fixture Energy Savings]]*Avg_KWh_Rate</f>
        <v>0</v>
      </c>
      <c r="AQ176" s="129" t="e">
        <f>ReviewCalcs[[#This Row],[Existing Fixture Quantity]]*ReviewCalcs[[#This Row],[Existing Fixture Watts]]/1000*ReviewCalcs[[#This Row],[Existing CF]]*ReviewCalcs[[#This Row],[IEFD]]</f>
        <v>#VALUE!</v>
      </c>
      <c r="AR176" s="129" t="e">
        <f>ReviewCalcs[[#This Row],[Proposed Fixture Quantity]]*ReviewCalcs[[#This Row],[Proposed Fixture Watts]]/1000*ReviewCalcs[[#This Row],[Proposed CF]]*ReviewCalcs[[#This Row],[IEFD]]</f>
        <v>#VALUE!</v>
      </c>
      <c r="AS176" s="118">
        <f>IF(ReviewCalcs[[#This Row],[Existing CF]]=ReviewCalcs[[#This Row],[Proposed CF]], 0, ReviewCalcs[[#This Row],[Proposed Fixture Quantity]]*ReviewCalcs[[#This Row],[Proposed Fixture Watts]]/1000*ReviewCalcs[[#This Row],[Proposed CF]]*ReviewCalcs[[#This Row],[IEFD]])</f>
        <v>0</v>
      </c>
      <c r="AT176" s="118">
        <f>IFERROR(ReviewCalcs[[#This Row],[Existing Fixture Quantity]]*ReviewCalcs[[#This Row],[Existing Fixture Watts]]/1000*ReviewCalcs[[#This Row],[Existing PAF]]*ReviewCalcs[[#This Row],[AOH]]*ReviewCalcs[[#This Row],[IEFE]], 0)</f>
        <v>0</v>
      </c>
      <c r="AU176" s="118">
        <f>IFERROR(ReviewCalcs[[#This Row],[Proposed Fixture Quantity]]*ReviewCalcs[[#This Row],[Proposed Fixture Watts]]/1000*ReviewCalcs[[#This Row],[Proposed PAF]]*ReviewCalcs[[#This Row],[AOH]]*ReviewCalcs[[#This Row],[IEFE]], 0)</f>
        <v>0</v>
      </c>
      <c r="AV176" s="118">
        <f>IFERROR(ReviewCalcs[[#This Row],[Proposed Fixture Quantity]]*ReviewCalcs[[#This Row],[Proposed Fixture Watts]]/1000*(ReviewCalcs[[#This Row],[Existing PAF]]-ReviewCalcs[[#This Row],[Proposed PAF]])*ReviewCalcs[[#This Row],[AOH]]*ReviewCalcs[[#This Row],[IEFE]], 0)</f>
        <v>0</v>
      </c>
      <c r="AW176" s="118">
        <f>ReviewCalcs[[#This Row],[Control Existing Energy (kWh)]]*kWh_Incentive_Rate</f>
        <v>0</v>
      </c>
      <c r="AX176" s="118">
        <f>ReviewCalcs[[#This Row],[Control Proposed Energy (kWh)]]*kWh_Incentive_Rate</f>
        <v>0</v>
      </c>
      <c r="AY176" s="70">
        <f>ReviewCalcs[[#This Row],[Control Energy Savings (kWh)]]*kWh_Incentive_Rate</f>
        <v>0</v>
      </c>
      <c r="AZ176" s="70" t="e">
        <f>ReviewCalcs[[#This Row],[Fixture Existing Demand (kW)]]+ReviewCalcs[[#This Row],[Control Existing Demand (kW)]]</f>
        <v>#VALUE!</v>
      </c>
      <c r="BA176" s="70" t="e">
        <f>ReviewCalcs[[#This Row],[Fixture Proposed Demand (kW)]]+ReviewCalcs[[#This Row],[Control Proposed Demand (kW)]]</f>
        <v>#VALUE!</v>
      </c>
      <c r="BB176" s="118">
        <f>ReviewCalcs[[#This Row],[Fixture Demand Savings (kW)]]+ReviewCalcs[[#This Row],[Control Demand Savings (kW)]]</f>
        <v>0</v>
      </c>
      <c r="BC176" s="118">
        <f>ReviewCalcs[[#This Row],[Fixture Existing Energy (kWh)]]+ReviewCalcs[[#This Row],[Control Existing Energy (kWh)]]</f>
        <v>0</v>
      </c>
      <c r="BD176" s="118">
        <f>ReviewCalcs[[#This Row],[Fixture Proposed Energy (kWh)]]+ReviewCalcs[[#This Row],[Control Proposed Energy (kWh)]]</f>
        <v>0</v>
      </c>
      <c r="BE176" s="118">
        <f>ReviewCalcs[[#This Row],[Fixture Energy Savings]]+ReviewCalcs[[#This Row],[Control Energy Savings (kWh)]]</f>
        <v>0</v>
      </c>
      <c r="BF176" s="118">
        <f>ReviewCalcs[[#This Row],[Fixture Existing Cost ($)]]+ReviewCalcs[[#This Row],[Control Existing Cost ($)]]</f>
        <v>0</v>
      </c>
      <c r="BG176" s="118">
        <f>ReviewCalcs[[#This Row],[Fixture Proposed Cost ($)]]+ReviewCalcs[[#This Row],[Controls Proposed Cost ($)]]</f>
        <v>0</v>
      </c>
      <c r="BH176" s="70">
        <f>ReviewCalcs[[#This Row],[Total Energy Savings (kWh)]]*Avg_KWh_Rate</f>
        <v>0</v>
      </c>
      <c r="BI1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6" s="70">
        <f>ReviewCalcs[[#This Row],[Retrofit Cost]]</f>
        <v>0</v>
      </c>
      <c r="BK176" s="70">
        <f>ReviewCalcs[[#This Row],[Retrofit Cost]]-ReviewCalcs[[#This Row],[Incentive ($)]]</f>
        <v>0</v>
      </c>
      <c r="BL176" s="118" t="e">
        <f>IFERROR(ReviewCalcs[[#This Row],[Net Project Cost ($)]]/ReviewCalcs[[#This Row],[Fixture Energy Cost Savings ($)]], #N/A)</f>
        <v>#N/A</v>
      </c>
      <c r="BM176" s="118" t="e">
        <f>IF(VLOOKUP(ReviewCalcs[[#This Row],[Existing Fixture Code]], Table7[[FIXTURE CODE]:[Baseline Fixture Code]], 8, FALSE)="N", VLOOKUP(ReviewCalcs[[#This Row],[Existing Fixture Code]], Table7[[FIXTURE CODE]:[Baseline Fixture Code]], 9, FALSE), ReviewCalcs[[#This Row],[Existing Fixture Code]])</f>
        <v>#N/A</v>
      </c>
      <c r="BN176" s="118" t="e">
        <f>INDEX(Table7[WATT/ FIXT], MATCH(ReviewCalcs[Baseline Fixture Code], Table7[FIXTURE CODE], 0))</f>
        <v>#N/A</v>
      </c>
      <c r="BO176" s="118">
        <f>IFERROR((ReviewCalcs[[#This Row],[Existing Fixture Quantity]]*ReviewCalcs[[#This Row],[Baseline Fixture Watts]]/1000-ReviewCalcs[[#This Row],[Proposed Fixture Quantity]]*ReviewCalcs[[#This Row],[Proposed Fixture Watts]]/1000)*ReviewCalcs[[#This Row],[Existing CF]]*ReviewCalcs[[#This Row],[IEFD]], 0)</f>
        <v>0</v>
      </c>
      <c r="BP1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6" s="118">
        <f>IF(ReviewCalcs[[#This Row],[Existing CF]]=ReviewCalcs[[#This Row],[Proposed CF]], 0, ReviewCalcs[[#This Row],[Proposed Fixture Quantity]]*ReviewCalcs[[#This Row],[Proposed Fixture Watts]]/1000*ReviewCalcs[[#This Row],[Proposed CF]]*ReviewCalcs[[#This Row],[IEFD]])</f>
        <v>0</v>
      </c>
      <c r="BR176" s="118">
        <f>IFERROR(ReviewCalcs[[#This Row],[Proposed Fixture Quantity]]*ReviewCalcs[[#This Row],[Proposed Fixture Watts]]/1000*(ReviewCalcs[[#This Row],[Existing PAF]]-ReviewCalcs[[#This Row],[Proposed PAF]])*ReviewCalcs[[#This Row],[AOH]]*ReviewCalcs[[#This Row],[IEFE]],0)</f>
        <v>0</v>
      </c>
      <c r="BS176" s="118">
        <f>ReviewCalcs[[#This Row],[Incentive Fixture Demand Savings (kW)]]+ReviewCalcs[[#This Row],[Incentive Control Demand Savings (kW)]]</f>
        <v>0</v>
      </c>
      <c r="BT176" s="118">
        <f>ReviewCalcs[[#This Row],[Incentive Fixture Energy Savings (kWh)]]+ReviewCalcs[[#This Row],[Incentive Control Energy Savings (kWh)]]</f>
        <v>0</v>
      </c>
      <c r="BU176" s="73"/>
    </row>
    <row r="177" spans="1:73" ht="30" customHeight="1">
      <c r="A177" s="68">
        <v>174</v>
      </c>
      <c r="B177" s="96">
        <f>VLOOKUP(ReviewCalcs[[#This Row],[Project Index]], ProjectInput[], D$1, FALSE)</f>
        <v>0</v>
      </c>
      <c r="C177" s="97">
        <f>VLOOKUP(ReviewCalcs[[#This Row],[Project Index]], ProjectInput[], E$1, FALSE)</f>
        <v>0</v>
      </c>
      <c r="D177" s="97">
        <f>VLOOKUP(ReviewCalcs[[#This Row],[Project Index]], ProjectInput[], F$1, FALSE)</f>
        <v>0</v>
      </c>
      <c r="E177" s="97">
        <f>VLOOKUP(ReviewCalcs[[#This Row],[Project Index]], ProjectInput[], G$1, FALSE)</f>
        <v>0</v>
      </c>
      <c r="F177" s="97">
        <f>VLOOKUP(ReviewCalcs[[#This Row],[Project Index]], ProjectInput[], H$1, FALSE)</f>
        <v>0</v>
      </c>
      <c r="G177" s="98" t="str">
        <f>VLOOKUP(ReviewCalcs[[#This Row],[Project Index]], ProjectInput[], I$1, FALSE)</f>
        <v/>
      </c>
      <c r="H177" s="96">
        <f>VLOOKUP(ReviewCalcs[[#This Row],[Project Index]], ProjectInput[], J$1, FALSE)</f>
        <v>0</v>
      </c>
      <c r="I177" s="97">
        <f>VLOOKUP(ReviewCalcs[[#This Row],[Project Index]], ProjectInput[], K$1, FALSE)</f>
        <v>0</v>
      </c>
      <c r="J177" s="97">
        <f>VLOOKUP(ReviewCalcs[[#This Row],[Project Index]], ProjectInput[], L$1, FALSE)</f>
        <v>0</v>
      </c>
      <c r="K177" s="97">
        <f>VLOOKUP(ReviewCalcs[[#This Row],[Project Index]], ProjectInput[], M$1, FALSE)</f>
        <v>0</v>
      </c>
      <c r="L177" s="97">
        <f>VLOOKUP(ReviewCalcs[[#This Row],[Project Index]], ProjectInput[], N$1, FALSE)</f>
        <v>0</v>
      </c>
      <c r="M177" s="98" t="str">
        <f>VLOOKUP(ReviewCalcs[[#This Row],[Project Index]], ProjectInput[], O$1, FALSE)</f>
        <v/>
      </c>
      <c r="N177" s="96">
        <f>VLOOKUP(ReviewCalcs[[#This Row],[Project Index]], ProjectInput[], P$1, FALSE)</f>
        <v>0</v>
      </c>
      <c r="O177" s="97">
        <f>VLOOKUP(ReviewCalcs[[#This Row],[Project Index]], ProjectInput[], Q$1, FALSE)</f>
        <v>0</v>
      </c>
      <c r="P177" s="97">
        <f>VLOOKUP(ReviewCalcs[[#This Row],[Project Index]], ProjectInput[], R$1, FALSE)</f>
        <v>0</v>
      </c>
      <c r="Q177" s="97">
        <f>VLOOKUP(ReviewCalcs[[#This Row],[Project Index]], ProjectInput[], S$1, FALSE)</f>
        <v>0</v>
      </c>
      <c r="R177" s="97">
        <f>VLOOKUP(ReviewCalcs[[#This Row],[Project Index]], ProjectInput[], T$1, FALSE)</f>
        <v>0</v>
      </c>
      <c r="S177" s="97">
        <f>VLOOKUP(ReviewCalcs[[#This Row],[Project Index]], ProjectInput[], U$1, FALSE)</f>
        <v>0</v>
      </c>
      <c r="T177" s="97">
        <f>VLOOKUP(ReviewCalcs[[#This Row],[Project Index]], ProjectInput[], V$1, FALSE)</f>
        <v>0</v>
      </c>
      <c r="U177" s="97">
        <f>VLOOKUP(ReviewCalcs[[#This Row],[Project Index]], ProjectInput[], W$1, FALSE)</f>
        <v>0</v>
      </c>
      <c r="V177" s="98" t="str">
        <f>VLOOKUP(ReviewCalcs[[#This Row],[Project Index]], ProjectInput[], X$1, FALSE)</f>
        <v/>
      </c>
      <c r="W1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7" s="75" t="e">
        <f>IF(VLOOKUP(ReviewCalcs[[#This Row],[Proposed Fixture Code]], Table7[[FIXTURE CODE]:[Baseline Fixture Code]], 8, FALSE)="N", "ERROR", "PASS")</f>
        <v>#N/A</v>
      </c>
      <c r="Y1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7" s="75" t="e">
        <f>IF(OR(ReviewCalcs[[#This Row],[Baseline Fixture Watts]]&gt;=ReviewCalcs[[#This Row],[Proposed Fixture Watts]],ReviewCalcs[[#This Row],[Existing Fixture Watts]]&gt;=ReviewCalcs[[#This Row],[Proposed Fixture Watts]] ), "PASS", "ERROR")</f>
        <v>#N/A</v>
      </c>
      <c r="AA177" s="69" t="e">
        <f>VLOOKUP(ReviewCalcs[[#This Row],[Space Conditions]], Table_365[], 5, FALSE)</f>
        <v>#N/A</v>
      </c>
      <c r="AB177" s="68" t="str">
        <f>ReviewCalcs[[#This Row],[Annual Hours]]</f>
        <v/>
      </c>
      <c r="AC177" s="68" t="e">
        <f>VLOOKUP(ReviewCalcs[[#This Row],[Space Conditions]], Table_365[], 6, FALSE)</f>
        <v>#N/A</v>
      </c>
      <c r="AD177" s="68">
        <f>IF(ReviewCalcs[[#This Row],[Existing Control(s)]]='Tables &amp; Ranges'!$A$25, VLOOKUP(ReviewCalcs[[#This Row],[Building/Space Type]], Table_364[], 3, FALSE), CF_Contols)</f>
        <v>0.26</v>
      </c>
      <c r="AE177" s="68" t="e">
        <f>VLOOKUP(ReviewCalcs[[#This Row],[Existing Control(s)]], Table_358[], 2, FALSE)</f>
        <v>#N/A</v>
      </c>
      <c r="AF177" s="68">
        <f>IF(ReviewCalcs[[#This Row],[Proposed Control(s)]]='Tables &amp; Ranges'!$A$25, VLOOKUP(ReviewCalcs[[#This Row],[Building/Space Type]], Table_364[], 3, FALSE), CF_Contols)</f>
        <v>0.26</v>
      </c>
      <c r="AG177" s="68" t="e">
        <f>VLOOKUP(ReviewCalcs[[#This Row],[Proposed Control(s)]], Table_358[], 2, FALSE)</f>
        <v>#N/A</v>
      </c>
      <c r="AH177" s="68">
        <f>IFERROR((ReviewCalcs[[#This Row],[Existing Fixture Quantity]]*ReviewCalcs[[#This Row],[Existing Fixture Watts]]/1000)*ReviewCalcs[[#This Row],[Existing CF]]*ReviewCalcs[[#This Row],[IEFD]], 0)</f>
        <v>0</v>
      </c>
      <c r="AI177" s="68">
        <f>IFERROR((ReviewCalcs[[#This Row],[Proposed Fixture Quantity]]*ReviewCalcs[[#This Row],[Proposed Fixture Watts]]/1000)*ReviewCalcs[[#This Row],[Existing CF]]*ReviewCalcs[[#This Row],[IEFD]], 0)</f>
        <v>0</v>
      </c>
      <c r="AJ177" s="118">
        <f>IFERROR((ReviewCalcs[[#This Row],[Existing Fixture Quantity]]*ReviewCalcs[[#This Row],[Existing Fixture Watts]]/1000-ReviewCalcs[[#This Row],[Proposed Fixture Quantity]]*ReviewCalcs[[#This Row],[Proposed Fixture Watts]]/1000)*ReviewCalcs[[#This Row],[Existing CF]]*ReviewCalcs[[#This Row],[IEFD]], 0)</f>
        <v>0</v>
      </c>
      <c r="AK177" s="118">
        <f>IFERROR((ReviewCalcs[[#This Row],[Existing Fixture Quantity]]*ReviewCalcs[[#This Row],[Existing Fixture Watts]]/1000)*ReviewCalcs[[#This Row],[AOH]]*ReviewCalcs[[#This Row],[IEFE]]*ReviewCalcs[[#This Row],[Existing PAF]], 0)</f>
        <v>0</v>
      </c>
      <c r="AL177" s="118">
        <f>IFERROR((ReviewCalcs[[#This Row],[Proposed Fixture Quantity]]*ReviewCalcs[[#This Row],[Proposed Fixture Watts]]/1000)*ReviewCalcs[[#This Row],[AOH]]*ReviewCalcs[[#This Row],[IEFE]]*ReviewCalcs[[#This Row],[Existing PAF]], 0)</f>
        <v>0</v>
      </c>
      <c r="AM1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7" s="118">
        <f>ReviewCalcs[[#This Row],[Fixture Existing Energy (kWh)]]*Avg_KWh_Rate</f>
        <v>0</v>
      </c>
      <c r="AO177" s="118">
        <f>ReviewCalcs[[#This Row],[Fixture Proposed Energy (kWh)]]*Avg_KWh_Rate</f>
        <v>0</v>
      </c>
      <c r="AP177" s="70">
        <f>ReviewCalcs[[#This Row],[Fixture Energy Savings]]*Avg_KWh_Rate</f>
        <v>0</v>
      </c>
      <c r="AQ177" s="129" t="e">
        <f>ReviewCalcs[[#This Row],[Existing Fixture Quantity]]*ReviewCalcs[[#This Row],[Existing Fixture Watts]]/1000*ReviewCalcs[[#This Row],[Existing CF]]*ReviewCalcs[[#This Row],[IEFD]]</f>
        <v>#VALUE!</v>
      </c>
      <c r="AR177" s="129" t="e">
        <f>ReviewCalcs[[#This Row],[Proposed Fixture Quantity]]*ReviewCalcs[[#This Row],[Proposed Fixture Watts]]/1000*ReviewCalcs[[#This Row],[Proposed CF]]*ReviewCalcs[[#This Row],[IEFD]]</f>
        <v>#VALUE!</v>
      </c>
      <c r="AS177" s="118">
        <f>IF(ReviewCalcs[[#This Row],[Existing CF]]=ReviewCalcs[[#This Row],[Proposed CF]], 0, ReviewCalcs[[#This Row],[Proposed Fixture Quantity]]*ReviewCalcs[[#This Row],[Proposed Fixture Watts]]/1000*ReviewCalcs[[#This Row],[Proposed CF]]*ReviewCalcs[[#This Row],[IEFD]])</f>
        <v>0</v>
      </c>
      <c r="AT177" s="118">
        <f>IFERROR(ReviewCalcs[[#This Row],[Existing Fixture Quantity]]*ReviewCalcs[[#This Row],[Existing Fixture Watts]]/1000*ReviewCalcs[[#This Row],[Existing PAF]]*ReviewCalcs[[#This Row],[AOH]]*ReviewCalcs[[#This Row],[IEFE]], 0)</f>
        <v>0</v>
      </c>
      <c r="AU177" s="118">
        <f>IFERROR(ReviewCalcs[[#This Row],[Proposed Fixture Quantity]]*ReviewCalcs[[#This Row],[Proposed Fixture Watts]]/1000*ReviewCalcs[[#This Row],[Proposed PAF]]*ReviewCalcs[[#This Row],[AOH]]*ReviewCalcs[[#This Row],[IEFE]], 0)</f>
        <v>0</v>
      </c>
      <c r="AV177" s="118">
        <f>IFERROR(ReviewCalcs[[#This Row],[Proposed Fixture Quantity]]*ReviewCalcs[[#This Row],[Proposed Fixture Watts]]/1000*(ReviewCalcs[[#This Row],[Existing PAF]]-ReviewCalcs[[#This Row],[Proposed PAF]])*ReviewCalcs[[#This Row],[AOH]]*ReviewCalcs[[#This Row],[IEFE]], 0)</f>
        <v>0</v>
      </c>
      <c r="AW177" s="118">
        <f>ReviewCalcs[[#This Row],[Control Existing Energy (kWh)]]*kWh_Incentive_Rate</f>
        <v>0</v>
      </c>
      <c r="AX177" s="118">
        <f>ReviewCalcs[[#This Row],[Control Proposed Energy (kWh)]]*kWh_Incentive_Rate</f>
        <v>0</v>
      </c>
      <c r="AY177" s="70">
        <f>ReviewCalcs[[#This Row],[Control Energy Savings (kWh)]]*kWh_Incentive_Rate</f>
        <v>0</v>
      </c>
      <c r="AZ177" s="70" t="e">
        <f>ReviewCalcs[[#This Row],[Fixture Existing Demand (kW)]]+ReviewCalcs[[#This Row],[Control Existing Demand (kW)]]</f>
        <v>#VALUE!</v>
      </c>
      <c r="BA177" s="70" t="e">
        <f>ReviewCalcs[[#This Row],[Fixture Proposed Demand (kW)]]+ReviewCalcs[[#This Row],[Control Proposed Demand (kW)]]</f>
        <v>#VALUE!</v>
      </c>
      <c r="BB177" s="118">
        <f>ReviewCalcs[[#This Row],[Fixture Demand Savings (kW)]]+ReviewCalcs[[#This Row],[Control Demand Savings (kW)]]</f>
        <v>0</v>
      </c>
      <c r="BC177" s="118">
        <f>ReviewCalcs[[#This Row],[Fixture Existing Energy (kWh)]]+ReviewCalcs[[#This Row],[Control Existing Energy (kWh)]]</f>
        <v>0</v>
      </c>
      <c r="BD177" s="118">
        <f>ReviewCalcs[[#This Row],[Fixture Proposed Energy (kWh)]]+ReviewCalcs[[#This Row],[Control Proposed Energy (kWh)]]</f>
        <v>0</v>
      </c>
      <c r="BE177" s="118">
        <f>ReviewCalcs[[#This Row],[Fixture Energy Savings]]+ReviewCalcs[[#This Row],[Control Energy Savings (kWh)]]</f>
        <v>0</v>
      </c>
      <c r="BF177" s="118">
        <f>ReviewCalcs[[#This Row],[Fixture Existing Cost ($)]]+ReviewCalcs[[#This Row],[Control Existing Cost ($)]]</f>
        <v>0</v>
      </c>
      <c r="BG177" s="118">
        <f>ReviewCalcs[[#This Row],[Fixture Proposed Cost ($)]]+ReviewCalcs[[#This Row],[Controls Proposed Cost ($)]]</f>
        <v>0</v>
      </c>
      <c r="BH177" s="70">
        <f>ReviewCalcs[[#This Row],[Total Energy Savings (kWh)]]*Avg_KWh_Rate</f>
        <v>0</v>
      </c>
      <c r="BI1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7" s="70">
        <f>ReviewCalcs[[#This Row],[Retrofit Cost]]</f>
        <v>0</v>
      </c>
      <c r="BK177" s="70">
        <f>ReviewCalcs[[#This Row],[Retrofit Cost]]-ReviewCalcs[[#This Row],[Incentive ($)]]</f>
        <v>0</v>
      </c>
      <c r="BL177" s="118" t="e">
        <f>IFERROR(ReviewCalcs[[#This Row],[Net Project Cost ($)]]/ReviewCalcs[[#This Row],[Fixture Energy Cost Savings ($)]], #N/A)</f>
        <v>#N/A</v>
      </c>
      <c r="BM177" s="118" t="e">
        <f>IF(VLOOKUP(ReviewCalcs[[#This Row],[Existing Fixture Code]], Table7[[FIXTURE CODE]:[Baseline Fixture Code]], 8, FALSE)="N", VLOOKUP(ReviewCalcs[[#This Row],[Existing Fixture Code]], Table7[[FIXTURE CODE]:[Baseline Fixture Code]], 9, FALSE), ReviewCalcs[[#This Row],[Existing Fixture Code]])</f>
        <v>#N/A</v>
      </c>
      <c r="BN177" s="118" t="e">
        <f>INDEX(Table7[WATT/ FIXT], MATCH(ReviewCalcs[Baseline Fixture Code], Table7[FIXTURE CODE], 0))</f>
        <v>#N/A</v>
      </c>
      <c r="BO177" s="118">
        <f>IFERROR((ReviewCalcs[[#This Row],[Existing Fixture Quantity]]*ReviewCalcs[[#This Row],[Baseline Fixture Watts]]/1000-ReviewCalcs[[#This Row],[Proposed Fixture Quantity]]*ReviewCalcs[[#This Row],[Proposed Fixture Watts]]/1000)*ReviewCalcs[[#This Row],[Existing CF]]*ReviewCalcs[[#This Row],[IEFD]], 0)</f>
        <v>0</v>
      </c>
      <c r="BP1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7" s="118">
        <f>IF(ReviewCalcs[[#This Row],[Existing CF]]=ReviewCalcs[[#This Row],[Proposed CF]], 0, ReviewCalcs[[#This Row],[Proposed Fixture Quantity]]*ReviewCalcs[[#This Row],[Proposed Fixture Watts]]/1000*ReviewCalcs[[#This Row],[Proposed CF]]*ReviewCalcs[[#This Row],[IEFD]])</f>
        <v>0</v>
      </c>
      <c r="BR177" s="118">
        <f>IFERROR(ReviewCalcs[[#This Row],[Proposed Fixture Quantity]]*ReviewCalcs[[#This Row],[Proposed Fixture Watts]]/1000*(ReviewCalcs[[#This Row],[Existing PAF]]-ReviewCalcs[[#This Row],[Proposed PAF]])*ReviewCalcs[[#This Row],[AOH]]*ReviewCalcs[[#This Row],[IEFE]],0)</f>
        <v>0</v>
      </c>
      <c r="BS177" s="118">
        <f>ReviewCalcs[[#This Row],[Incentive Fixture Demand Savings (kW)]]+ReviewCalcs[[#This Row],[Incentive Control Demand Savings (kW)]]</f>
        <v>0</v>
      </c>
      <c r="BT177" s="118">
        <f>ReviewCalcs[[#This Row],[Incentive Fixture Energy Savings (kWh)]]+ReviewCalcs[[#This Row],[Incentive Control Energy Savings (kWh)]]</f>
        <v>0</v>
      </c>
      <c r="BU177" s="73"/>
    </row>
    <row r="178" spans="1:73" ht="30" customHeight="1">
      <c r="A178" s="68">
        <v>175</v>
      </c>
      <c r="B178" s="96">
        <f>VLOOKUP(ReviewCalcs[[#This Row],[Project Index]], ProjectInput[], D$1, FALSE)</f>
        <v>0</v>
      </c>
      <c r="C178" s="97">
        <f>VLOOKUP(ReviewCalcs[[#This Row],[Project Index]], ProjectInput[], E$1, FALSE)</f>
        <v>0</v>
      </c>
      <c r="D178" s="97">
        <f>VLOOKUP(ReviewCalcs[[#This Row],[Project Index]], ProjectInput[], F$1, FALSE)</f>
        <v>0</v>
      </c>
      <c r="E178" s="97">
        <f>VLOOKUP(ReviewCalcs[[#This Row],[Project Index]], ProjectInput[], G$1, FALSE)</f>
        <v>0</v>
      </c>
      <c r="F178" s="97">
        <f>VLOOKUP(ReviewCalcs[[#This Row],[Project Index]], ProjectInput[], H$1, FALSE)</f>
        <v>0</v>
      </c>
      <c r="G178" s="98" t="str">
        <f>VLOOKUP(ReviewCalcs[[#This Row],[Project Index]], ProjectInput[], I$1, FALSE)</f>
        <v/>
      </c>
      <c r="H178" s="96">
        <f>VLOOKUP(ReviewCalcs[[#This Row],[Project Index]], ProjectInput[], J$1, FALSE)</f>
        <v>0</v>
      </c>
      <c r="I178" s="97">
        <f>VLOOKUP(ReviewCalcs[[#This Row],[Project Index]], ProjectInput[], K$1, FALSE)</f>
        <v>0</v>
      </c>
      <c r="J178" s="97">
        <f>VLOOKUP(ReviewCalcs[[#This Row],[Project Index]], ProjectInput[], L$1, FALSE)</f>
        <v>0</v>
      </c>
      <c r="K178" s="97">
        <f>VLOOKUP(ReviewCalcs[[#This Row],[Project Index]], ProjectInput[], M$1, FALSE)</f>
        <v>0</v>
      </c>
      <c r="L178" s="97">
        <f>VLOOKUP(ReviewCalcs[[#This Row],[Project Index]], ProjectInput[], N$1, FALSE)</f>
        <v>0</v>
      </c>
      <c r="M178" s="98" t="str">
        <f>VLOOKUP(ReviewCalcs[[#This Row],[Project Index]], ProjectInput[], O$1, FALSE)</f>
        <v/>
      </c>
      <c r="N178" s="96">
        <f>VLOOKUP(ReviewCalcs[[#This Row],[Project Index]], ProjectInput[], P$1, FALSE)</f>
        <v>0</v>
      </c>
      <c r="O178" s="97">
        <f>VLOOKUP(ReviewCalcs[[#This Row],[Project Index]], ProjectInput[], Q$1, FALSE)</f>
        <v>0</v>
      </c>
      <c r="P178" s="97">
        <f>VLOOKUP(ReviewCalcs[[#This Row],[Project Index]], ProjectInput[], R$1, FALSE)</f>
        <v>0</v>
      </c>
      <c r="Q178" s="97">
        <f>VLOOKUP(ReviewCalcs[[#This Row],[Project Index]], ProjectInput[], S$1, FALSE)</f>
        <v>0</v>
      </c>
      <c r="R178" s="97">
        <f>VLOOKUP(ReviewCalcs[[#This Row],[Project Index]], ProjectInput[], T$1, FALSE)</f>
        <v>0</v>
      </c>
      <c r="S178" s="97">
        <f>VLOOKUP(ReviewCalcs[[#This Row],[Project Index]], ProjectInput[], U$1, FALSE)</f>
        <v>0</v>
      </c>
      <c r="T178" s="97">
        <f>VLOOKUP(ReviewCalcs[[#This Row],[Project Index]], ProjectInput[], V$1, FALSE)</f>
        <v>0</v>
      </c>
      <c r="U178" s="97">
        <f>VLOOKUP(ReviewCalcs[[#This Row],[Project Index]], ProjectInput[], W$1, FALSE)</f>
        <v>0</v>
      </c>
      <c r="V178" s="98" t="str">
        <f>VLOOKUP(ReviewCalcs[[#This Row],[Project Index]], ProjectInput[], X$1, FALSE)</f>
        <v/>
      </c>
      <c r="W1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8" s="75" t="e">
        <f>IF(VLOOKUP(ReviewCalcs[[#This Row],[Proposed Fixture Code]], Table7[[FIXTURE CODE]:[Baseline Fixture Code]], 8, FALSE)="N", "ERROR", "PASS")</f>
        <v>#N/A</v>
      </c>
      <c r="Y1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8" s="75" t="e">
        <f>IF(OR(ReviewCalcs[[#This Row],[Baseline Fixture Watts]]&gt;=ReviewCalcs[[#This Row],[Proposed Fixture Watts]],ReviewCalcs[[#This Row],[Existing Fixture Watts]]&gt;=ReviewCalcs[[#This Row],[Proposed Fixture Watts]] ), "PASS", "ERROR")</f>
        <v>#N/A</v>
      </c>
      <c r="AA178" s="69" t="e">
        <f>VLOOKUP(ReviewCalcs[[#This Row],[Space Conditions]], Table_365[], 5, FALSE)</f>
        <v>#N/A</v>
      </c>
      <c r="AB178" s="68" t="str">
        <f>ReviewCalcs[[#This Row],[Annual Hours]]</f>
        <v/>
      </c>
      <c r="AC178" s="68" t="e">
        <f>VLOOKUP(ReviewCalcs[[#This Row],[Space Conditions]], Table_365[], 6, FALSE)</f>
        <v>#N/A</v>
      </c>
      <c r="AD178" s="68">
        <f>IF(ReviewCalcs[[#This Row],[Existing Control(s)]]='Tables &amp; Ranges'!$A$25, VLOOKUP(ReviewCalcs[[#This Row],[Building/Space Type]], Table_364[], 3, FALSE), CF_Contols)</f>
        <v>0.26</v>
      </c>
      <c r="AE178" s="68" t="e">
        <f>VLOOKUP(ReviewCalcs[[#This Row],[Existing Control(s)]], Table_358[], 2, FALSE)</f>
        <v>#N/A</v>
      </c>
      <c r="AF178" s="68">
        <f>IF(ReviewCalcs[[#This Row],[Proposed Control(s)]]='Tables &amp; Ranges'!$A$25, VLOOKUP(ReviewCalcs[[#This Row],[Building/Space Type]], Table_364[], 3, FALSE), CF_Contols)</f>
        <v>0.26</v>
      </c>
      <c r="AG178" s="68" t="e">
        <f>VLOOKUP(ReviewCalcs[[#This Row],[Proposed Control(s)]], Table_358[], 2, FALSE)</f>
        <v>#N/A</v>
      </c>
      <c r="AH178" s="68">
        <f>IFERROR((ReviewCalcs[[#This Row],[Existing Fixture Quantity]]*ReviewCalcs[[#This Row],[Existing Fixture Watts]]/1000)*ReviewCalcs[[#This Row],[Existing CF]]*ReviewCalcs[[#This Row],[IEFD]], 0)</f>
        <v>0</v>
      </c>
      <c r="AI178" s="68">
        <f>IFERROR((ReviewCalcs[[#This Row],[Proposed Fixture Quantity]]*ReviewCalcs[[#This Row],[Proposed Fixture Watts]]/1000)*ReviewCalcs[[#This Row],[Existing CF]]*ReviewCalcs[[#This Row],[IEFD]], 0)</f>
        <v>0</v>
      </c>
      <c r="AJ178" s="118">
        <f>IFERROR((ReviewCalcs[[#This Row],[Existing Fixture Quantity]]*ReviewCalcs[[#This Row],[Existing Fixture Watts]]/1000-ReviewCalcs[[#This Row],[Proposed Fixture Quantity]]*ReviewCalcs[[#This Row],[Proposed Fixture Watts]]/1000)*ReviewCalcs[[#This Row],[Existing CF]]*ReviewCalcs[[#This Row],[IEFD]], 0)</f>
        <v>0</v>
      </c>
      <c r="AK178" s="118">
        <f>IFERROR((ReviewCalcs[[#This Row],[Existing Fixture Quantity]]*ReviewCalcs[[#This Row],[Existing Fixture Watts]]/1000)*ReviewCalcs[[#This Row],[AOH]]*ReviewCalcs[[#This Row],[IEFE]]*ReviewCalcs[[#This Row],[Existing PAF]], 0)</f>
        <v>0</v>
      </c>
      <c r="AL178" s="118">
        <f>IFERROR((ReviewCalcs[[#This Row],[Proposed Fixture Quantity]]*ReviewCalcs[[#This Row],[Proposed Fixture Watts]]/1000)*ReviewCalcs[[#This Row],[AOH]]*ReviewCalcs[[#This Row],[IEFE]]*ReviewCalcs[[#This Row],[Existing PAF]], 0)</f>
        <v>0</v>
      </c>
      <c r="AM1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8" s="118">
        <f>ReviewCalcs[[#This Row],[Fixture Existing Energy (kWh)]]*Avg_KWh_Rate</f>
        <v>0</v>
      </c>
      <c r="AO178" s="118">
        <f>ReviewCalcs[[#This Row],[Fixture Proposed Energy (kWh)]]*Avg_KWh_Rate</f>
        <v>0</v>
      </c>
      <c r="AP178" s="70">
        <f>ReviewCalcs[[#This Row],[Fixture Energy Savings]]*Avg_KWh_Rate</f>
        <v>0</v>
      </c>
      <c r="AQ178" s="129" t="e">
        <f>ReviewCalcs[[#This Row],[Existing Fixture Quantity]]*ReviewCalcs[[#This Row],[Existing Fixture Watts]]/1000*ReviewCalcs[[#This Row],[Existing CF]]*ReviewCalcs[[#This Row],[IEFD]]</f>
        <v>#VALUE!</v>
      </c>
      <c r="AR178" s="129" t="e">
        <f>ReviewCalcs[[#This Row],[Proposed Fixture Quantity]]*ReviewCalcs[[#This Row],[Proposed Fixture Watts]]/1000*ReviewCalcs[[#This Row],[Proposed CF]]*ReviewCalcs[[#This Row],[IEFD]]</f>
        <v>#VALUE!</v>
      </c>
      <c r="AS178" s="118">
        <f>IF(ReviewCalcs[[#This Row],[Existing CF]]=ReviewCalcs[[#This Row],[Proposed CF]], 0, ReviewCalcs[[#This Row],[Proposed Fixture Quantity]]*ReviewCalcs[[#This Row],[Proposed Fixture Watts]]/1000*ReviewCalcs[[#This Row],[Proposed CF]]*ReviewCalcs[[#This Row],[IEFD]])</f>
        <v>0</v>
      </c>
      <c r="AT178" s="118">
        <f>IFERROR(ReviewCalcs[[#This Row],[Existing Fixture Quantity]]*ReviewCalcs[[#This Row],[Existing Fixture Watts]]/1000*ReviewCalcs[[#This Row],[Existing PAF]]*ReviewCalcs[[#This Row],[AOH]]*ReviewCalcs[[#This Row],[IEFE]], 0)</f>
        <v>0</v>
      </c>
      <c r="AU178" s="118">
        <f>IFERROR(ReviewCalcs[[#This Row],[Proposed Fixture Quantity]]*ReviewCalcs[[#This Row],[Proposed Fixture Watts]]/1000*ReviewCalcs[[#This Row],[Proposed PAF]]*ReviewCalcs[[#This Row],[AOH]]*ReviewCalcs[[#This Row],[IEFE]], 0)</f>
        <v>0</v>
      </c>
      <c r="AV178" s="118">
        <f>IFERROR(ReviewCalcs[[#This Row],[Proposed Fixture Quantity]]*ReviewCalcs[[#This Row],[Proposed Fixture Watts]]/1000*(ReviewCalcs[[#This Row],[Existing PAF]]-ReviewCalcs[[#This Row],[Proposed PAF]])*ReviewCalcs[[#This Row],[AOH]]*ReviewCalcs[[#This Row],[IEFE]], 0)</f>
        <v>0</v>
      </c>
      <c r="AW178" s="118">
        <f>ReviewCalcs[[#This Row],[Control Existing Energy (kWh)]]*kWh_Incentive_Rate</f>
        <v>0</v>
      </c>
      <c r="AX178" s="118">
        <f>ReviewCalcs[[#This Row],[Control Proposed Energy (kWh)]]*kWh_Incentive_Rate</f>
        <v>0</v>
      </c>
      <c r="AY178" s="70">
        <f>ReviewCalcs[[#This Row],[Control Energy Savings (kWh)]]*kWh_Incentive_Rate</f>
        <v>0</v>
      </c>
      <c r="AZ178" s="70" t="e">
        <f>ReviewCalcs[[#This Row],[Fixture Existing Demand (kW)]]+ReviewCalcs[[#This Row],[Control Existing Demand (kW)]]</f>
        <v>#VALUE!</v>
      </c>
      <c r="BA178" s="70" t="e">
        <f>ReviewCalcs[[#This Row],[Fixture Proposed Demand (kW)]]+ReviewCalcs[[#This Row],[Control Proposed Demand (kW)]]</f>
        <v>#VALUE!</v>
      </c>
      <c r="BB178" s="118">
        <f>ReviewCalcs[[#This Row],[Fixture Demand Savings (kW)]]+ReviewCalcs[[#This Row],[Control Demand Savings (kW)]]</f>
        <v>0</v>
      </c>
      <c r="BC178" s="118">
        <f>ReviewCalcs[[#This Row],[Fixture Existing Energy (kWh)]]+ReviewCalcs[[#This Row],[Control Existing Energy (kWh)]]</f>
        <v>0</v>
      </c>
      <c r="BD178" s="118">
        <f>ReviewCalcs[[#This Row],[Fixture Proposed Energy (kWh)]]+ReviewCalcs[[#This Row],[Control Proposed Energy (kWh)]]</f>
        <v>0</v>
      </c>
      <c r="BE178" s="118">
        <f>ReviewCalcs[[#This Row],[Fixture Energy Savings]]+ReviewCalcs[[#This Row],[Control Energy Savings (kWh)]]</f>
        <v>0</v>
      </c>
      <c r="BF178" s="118">
        <f>ReviewCalcs[[#This Row],[Fixture Existing Cost ($)]]+ReviewCalcs[[#This Row],[Control Existing Cost ($)]]</f>
        <v>0</v>
      </c>
      <c r="BG178" s="118">
        <f>ReviewCalcs[[#This Row],[Fixture Proposed Cost ($)]]+ReviewCalcs[[#This Row],[Controls Proposed Cost ($)]]</f>
        <v>0</v>
      </c>
      <c r="BH178" s="70">
        <f>ReviewCalcs[[#This Row],[Total Energy Savings (kWh)]]*Avg_KWh_Rate</f>
        <v>0</v>
      </c>
      <c r="BI1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8" s="70">
        <f>ReviewCalcs[[#This Row],[Retrofit Cost]]</f>
        <v>0</v>
      </c>
      <c r="BK178" s="70">
        <f>ReviewCalcs[[#This Row],[Retrofit Cost]]-ReviewCalcs[[#This Row],[Incentive ($)]]</f>
        <v>0</v>
      </c>
      <c r="BL178" s="118" t="e">
        <f>IFERROR(ReviewCalcs[[#This Row],[Net Project Cost ($)]]/ReviewCalcs[[#This Row],[Fixture Energy Cost Savings ($)]], #N/A)</f>
        <v>#N/A</v>
      </c>
      <c r="BM178" s="118" t="e">
        <f>IF(VLOOKUP(ReviewCalcs[[#This Row],[Existing Fixture Code]], Table7[[FIXTURE CODE]:[Baseline Fixture Code]], 8, FALSE)="N", VLOOKUP(ReviewCalcs[[#This Row],[Existing Fixture Code]], Table7[[FIXTURE CODE]:[Baseline Fixture Code]], 9, FALSE), ReviewCalcs[[#This Row],[Existing Fixture Code]])</f>
        <v>#N/A</v>
      </c>
      <c r="BN178" s="118" t="e">
        <f>INDEX(Table7[WATT/ FIXT], MATCH(ReviewCalcs[Baseline Fixture Code], Table7[FIXTURE CODE], 0))</f>
        <v>#N/A</v>
      </c>
      <c r="BO178" s="118">
        <f>IFERROR((ReviewCalcs[[#This Row],[Existing Fixture Quantity]]*ReviewCalcs[[#This Row],[Baseline Fixture Watts]]/1000-ReviewCalcs[[#This Row],[Proposed Fixture Quantity]]*ReviewCalcs[[#This Row],[Proposed Fixture Watts]]/1000)*ReviewCalcs[[#This Row],[Existing CF]]*ReviewCalcs[[#This Row],[IEFD]], 0)</f>
        <v>0</v>
      </c>
      <c r="BP1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8" s="118">
        <f>IF(ReviewCalcs[[#This Row],[Existing CF]]=ReviewCalcs[[#This Row],[Proposed CF]], 0, ReviewCalcs[[#This Row],[Proposed Fixture Quantity]]*ReviewCalcs[[#This Row],[Proposed Fixture Watts]]/1000*ReviewCalcs[[#This Row],[Proposed CF]]*ReviewCalcs[[#This Row],[IEFD]])</f>
        <v>0</v>
      </c>
      <c r="BR178" s="118">
        <f>IFERROR(ReviewCalcs[[#This Row],[Proposed Fixture Quantity]]*ReviewCalcs[[#This Row],[Proposed Fixture Watts]]/1000*(ReviewCalcs[[#This Row],[Existing PAF]]-ReviewCalcs[[#This Row],[Proposed PAF]])*ReviewCalcs[[#This Row],[AOH]]*ReviewCalcs[[#This Row],[IEFE]],0)</f>
        <v>0</v>
      </c>
      <c r="BS178" s="118">
        <f>ReviewCalcs[[#This Row],[Incentive Fixture Demand Savings (kW)]]+ReviewCalcs[[#This Row],[Incentive Control Demand Savings (kW)]]</f>
        <v>0</v>
      </c>
      <c r="BT178" s="118">
        <f>ReviewCalcs[[#This Row],[Incentive Fixture Energy Savings (kWh)]]+ReviewCalcs[[#This Row],[Incentive Control Energy Savings (kWh)]]</f>
        <v>0</v>
      </c>
      <c r="BU178" s="73"/>
    </row>
    <row r="179" spans="1:73" ht="30" customHeight="1">
      <c r="A179" s="68">
        <v>176</v>
      </c>
      <c r="B179" s="96">
        <f>VLOOKUP(ReviewCalcs[[#This Row],[Project Index]], ProjectInput[], D$1, FALSE)</f>
        <v>0</v>
      </c>
      <c r="C179" s="97">
        <f>VLOOKUP(ReviewCalcs[[#This Row],[Project Index]], ProjectInput[], E$1, FALSE)</f>
        <v>0</v>
      </c>
      <c r="D179" s="97">
        <f>VLOOKUP(ReviewCalcs[[#This Row],[Project Index]], ProjectInput[], F$1, FALSE)</f>
        <v>0</v>
      </c>
      <c r="E179" s="97">
        <f>VLOOKUP(ReviewCalcs[[#This Row],[Project Index]], ProjectInput[], G$1, FALSE)</f>
        <v>0</v>
      </c>
      <c r="F179" s="97">
        <f>VLOOKUP(ReviewCalcs[[#This Row],[Project Index]], ProjectInput[], H$1, FALSE)</f>
        <v>0</v>
      </c>
      <c r="G179" s="98" t="str">
        <f>VLOOKUP(ReviewCalcs[[#This Row],[Project Index]], ProjectInput[], I$1, FALSE)</f>
        <v/>
      </c>
      <c r="H179" s="96">
        <f>VLOOKUP(ReviewCalcs[[#This Row],[Project Index]], ProjectInput[], J$1, FALSE)</f>
        <v>0</v>
      </c>
      <c r="I179" s="97">
        <f>VLOOKUP(ReviewCalcs[[#This Row],[Project Index]], ProjectInput[], K$1, FALSE)</f>
        <v>0</v>
      </c>
      <c r="J179" s="97">
        <f>VLOOKUP(ReviewCalcs[[#This Row],[Project Index]], ProjectInput[], L$1, FALSE)</f>
        <v>0</v>
      </c>
      <c r="K179" s="97">
        <f>VLOOKUP(ReviewCalcs[[#This Row],[Project Index]], ProjectInput[], M$1, FALSE)</f>
        <v>0</v>
      </c>
      <c r="L179" s="97">
        <f>VLOOKUP(ReviewCalcs[[#This Row],[Project Index]], ProjectInput[], N$1, FALSE)</f>
        <v>0</v>
      </c>
      <c r="M179" s="98" t="str">
        <f>VLOOKUP(ReviewCalcs[[#This Row],[Project Index]], ProjectInput[], O$1, FALSE)</f>
        <v/>
      </c>
      <c r="N179" s="96">
        <f>VLOOKUP(ReviewCalcs[[#This Row],[Project Index]], ProjectInput[], P$1, FALSE)</f>
        <v>0</v>
      </c>
      <c r="O179" s="97">
        <f>VLOOKUP(ReviewCalcs[[#This Row],[Project Index]], ProjectInput[], Q$1, FALSE)</f>
        <v>0</v>
      </c>
      <c r="P179" s="97">
        <f>VLOOKUP(ReviewCalcs[[#This Row],[Project Index]], ProjectInput[], R$1, FALSE)</f>
        <v>0</v>
      </c>
      <c r="Q179" s="97">
        <f>VLOOKUP(ReviewCalcs[[#This Row],[Project Index]], ProjectInput[], S$1, FALSE)</f>
        <v>0</v>
      </c>
      <c r="R179" s="97">
        <f>VLOOKUP(ReviewCalcs[[#This Row],[Project Index]], ProjectInput[], T$1, FALSE)</f>
        <v>0</v>
      </c>
      <c r="S179" s="97">
        <f>VLOOKUP(ReviewCalcs[[#This Row],[Project Index]], ProjectInput[], U$1, FALSE)</f>
        <v>0</v>
      </c>
      <c r="T179" s="97">
        <f>VLOOKUP(ReviewCalcs[[#This Row],[Project Index]], ProjectInput[], V$1, FALSE)</f>
        <v>0</v>
      </c>
      <c r="U179" s="97">
        <f>VLOOKUP(ReviewCalcs[[#This Row],[Project Index]], ProjectInput[], W$1, FALSE)</f>
        <v>0</v>
      </c>
      <c r="V179" s="98" t="str">
        <f>VLOOKUP(ReviewCalcs[[#This Row],[Project Index]], ProjectInput[], X$1, FALSE)</f>
        <v/>
      </c>
      <c r="W1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79" s="75" t="e">
        <f>IF(VLOOKUP(ReviewCalcs[[#This Row],[Proposed Fixture Code]], Table7[[FIXTURE CODE]:[Baseline Fixture Code]], 8, FALSE)="N", "ERROR", "PASS")</f>
        <v>#N/A</v>
      </c>
      <c r="Y1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79" s="75" t="e">
        <f>IF(OR(ReviewCalcs[[#This Row],[Baseline Fixture Watts]]&gt;=ReviewCalcs[[#This Row],[Proposed Fixture Watts]],ReviewCalcs[[#This Row],[Existing Fixture Watts]]&gt;=ReviewCalcs[[#This Row],[Proposed Fixture Watts]] ), "PASS", "ERROR")</f>
        <v>#N/A</v>
      </c>
      <c r="AA179" s="69" t="e">
        <f>VLOOKUP(ReviewCalcs[[#This Row],[Space Conditions]], Table_365[], 5, FALSE)</f>
        <v>#N/A</v>
      </c>
      <c r="AB179" s="68" t="str">
        <f>ReviewCalcs[[#This Row],[Annual Hours]]</f>
        <v/>
      </c>
      <c r="AC179" s="68" t="e">
        <f>VLOOKUP(ReviewCalcs[[#This Row],[Space Conditions]], Table_365[], 6, FALSE)</f>
        <v>#N/A</v>
      </c>
      <c r="AD179" s="68">
        <f>IF(ReviewCalcs[[#This Row],[Existing Control(s)]]='Tables &amp; Ranges'!$A$25, VLOOKUP(ReviewCalcs[[#This Row],[Building/Space Type]], Table_364[], 3, FALSE), CF_Contols)</f>
        <v>0.26</v>
      </c>
      <c r="AE179" s="68" t="e">
        <f>VLOOKUP(ReviewCalcs[[#This Row],[Existing Control(s)]], Table_358[], 2, FALSE)</f>
        <v>#N/A</v>
      </c>
      <c r="AF179" s="68">
        <f>IF(ReviewCalcs[[#This Row],[Proposed Control(s)]]='Tables &amp; Ranges'!$A$25, VLOOKUP(ReviewCalcs[[#This Row],[Building/Space Type]], Table_364[], 3, FALSE), CF_Contols)</f>
        <v>0.26</v>
      </c>
      <c r="AG179" s="68" t="e">
        <f>VLOOKUP(ReviewCalcs[[#This Row],[Proposed Control(s)]], Table_358[], 2, FALSE)</f>
        <v>#N/A</v>
      </c>
      <c r="AH179" s="68">
        <f>IFERROR((ReviewCalcs[[#This Row],[Existing Fixture Quantity]]*ReviewCalcs[[#This Row],[Existing Fixture Watts]]/1000)*ReviewCalcs[[#This Row],[Existing CF]]*ReviewCalcs[[#This Row],[IEFD]], 0)</f>
        <v>0</v>
      </c>
      <c r="AI179" s="68">
        <f>IFERROR((ReviewCalcs[[#This Row],[Proposed Fixture Quantity]]*ReviewCalcs[[#This Row],[Proposed Fixture Watts]]/1000)*ReviewCalcs[[#This Row],[Existing CF]]*ReviewCalcs[[#This Row],[IEFD]], 0)</f>
        <v>0</v>
      </c>
      <c r="AJ179" s="118">
        <f>IFERROR((ReviewCalcs[[#This Row],[Existing Fixture Quantity]]*ReviewCalcs[[#This Row],[Existing Fixture Watts]]/1000-ReviewCalcs[[#This Row],[Proposed Fixture Quantity]]*ReviewCalcs[[#This Row],[Proposed Fixture Watts]]/1000)*ReviewCalcs[[#This Row],[Existing CF]]*ReviewCalcs[[#This Row],[IEFD]], 0)</f>
        <v>0</v>
      </c>
      <c r="AK179" s="118">
        <f>IFERROR((ReviewCalcs[[#This Row],[Existing Fixture Quantity]]*ReviewCalcs[[#This Row],[Existing Fixture Watts]]/1000)*ReviewCalcs[[#This Row],[AOH]]*ReviewCalcs[[#This Row],[IEFE]]*ReviewCalcs[[#This Row],[Existing PAF]], 0)</f>
        <v>0</v>
      </c>
      <c r="AL179" s="118">
        <f>IFERROR((ReviewCalcs[[#This Row],[Proposed Fixture Quantity]]*ReviewCalcs[[#This Row],[Proposed Fixture Watts]]/1000)*ReviewCalcs[[#This Row],[AOH]]*ReviewCalcs[[#This Row],[IEFE]]*ReviewCalcs[[#This Row],[Existing PAF]], 0)</f>
        <v>0</v>
      </c>
      <c r="AM1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79" s="118">
        <f>ReviewCalcs[[#This Row],[Fixture Existing Energy (kWh)]]*Avg_KWh_Rate</f>
        <v>0</v>
      </c>
      <c r="AO179" s="118">
        <f>ReviewCalcs[[#This Row],[Fixture Proposed Energy (kWh)]]*Avg_KWh_Rate</f>
        <v>0</v>
      </c>
      <c r="AP179" s="70">
        <f>ReviewCalcs[[#This Row],[Fixture Energy Savings]]*Avg_KWh_Rate</f>
        <v>0</v>
      </c>
      <c r="AQ179" s="129" t="e">
        <f>ReviewCalcs[[#This Row],[Existing Fixture Quantity]]*ReviewCalcs[[#This Row],[Existing Fixture Watts]]/1000*ReviewCalcs[[#This Row],[Existing CF]]*ReviewCalcs[[#This Row],[IEFD]]</f>
        <v>#VALUE!</v>
      </c>
      <c r="AR179" s="129" t="e">
        <f>ReviewCalcs[[#This Row],[Proposed Fixture Quantity]]*ReviewCalcs[[#This Row],[Proposed Fixture Watts]]/1000*ReviewCalcs[[#This Row],[Proposed CF]]*ReviewCalcs[[#This Row],[IEFD]]</f>
        <v>#VALUE!</v>
      </c>
      <c r="AS179" s="118">
        <f>IF(ReviewCalcs[[#This Row],[Existing CF]]=ReviewCalcs[[#This Row],[Proposed CF]], 0, ReviewCalcs[[#This Row],[Proposed Fixture Quantity]]*ReviewCalcs[[#This Row],[Proposed Fixture Watts]]/1000*ReviewCalcs[[#This Row],[Proposed CF]]*ReviewCalcs[[#This Row],[IEFD]])</f>
        <v>0</v>
      </c>
      <c r="AT179" s="118">
        <f>IFERROR(ReviewCalcs[[#This Row],[Existing Fixture Quantity]]*ReviewCalcs[[#This Row],[Existing Fixture Watts]]/1000*ReviewCalcs[[#This Row],[Existing PAF]]*ReviewCalcs[[#This Row],[AOH]]*ReviewCalcs[[#This Row],[IEFE]], 0)</f>
        <v>0</v>
      </c>
      <c r="AU179" s="118">
        <f>IFERROR(ReviewCalcs[[#This Row],[Proposed Fixture Quantity]]*ReviewCalcs[[#This Row],[Proposed Fixture Watts]]/1000*ReviewCalcs[[#This Row],[Proposed PAF]]*ReviewCalcs[[#This Row],[AOH]]*ReviewCalcs[[#This Row],[IEFE]], 0)</f>
        <v>0</v>
      </c>
      <c r="AV179" s="118">
        <f>IFERROR(ReviewCalcs[[#This Row],[Proposed Fixture Quantity]]*ReviewCalcs[[#This Row],[Proposed Fixture Watts]]/1000*(ReviewCalcs[[#This Row],[Existing PAF]]-ReviewCalcs[[#This Row],[Proposed PAF]])*ReviewCalcs[[#This Row],[AOH]]*ReviewCalcs[[#This Row],[IEFE]], 0)</f>
        <v>0</v>
      </c>
      <c r="AW179" s="118">
        <f>ReviewCalcs[[#This Row],[Control Existing Energy (kWh)]]*kWh_Incentive_Rate</f>
        <v>0</v>
      </c>
      <c r="AX179" s="118">
        <f>ReviewCalcs[[#This Row],[Control Proposed Energy (kWh)]]*kWh_Incentive_Rate</f>
        <v>0</v>
      </c>
      <c r="AY179" s="70">
        <f>ReviewCalcs[[#This Row],[Control Energy Savings (kWh)]]*kWh_Incentive_Rate</f>
        <v>0</v>
      </c>
      <c r="AZ179" s="70" t="e">
        <f>ReviewCalcs[[#This Row],[Fixture Existing Demand (kW)]]+ReviewCalcs[[#This Row],[Control Existing Demand (kW)]]</f>
        <v>#VALUE!</v>
      </c>
      <c r="BA179" s="70" t="e">
        <f>ReviewCalcs[[#This Row],[Fixture Proposed Demand (kW)]]+ReviewCalcs[[#This Row],[Control Proposed Demand (kW)]]</f>
        <v>#VALUE!</v>
      </c>
      <c r="BB179" s="118">
        <f>ReviewCalcs[[#This Row],[Fixture Demand Savings (kW)]]+ReviewCalcs[[#This Row],[Control Demand Savings (kW)]]</f>
        <v>0</v>
      </c>
      <c r="BC179" s="118">
        <f>ReviewCalcs[[#This Row],[Fixture Existing Energy (kWh)]]+ReviewCalcs[[#This Row],[Control Existing Energy (kWh)]]</f>
        <v>0</v>
      </c>
      <c r="BD179" s="118">
        <f>ReviewCalcs[[#This Row],[Fixture Proposed Energy (kWh)]]+ReviewCalcs[[#This Row],[Control Proposed Energy (kWh)]]</f>
        <v>0</v>
      </c>
      <c r="BE179" s="118">
        <f>ReviewCalcs[[#This Row],[Fixture Energy Savings]]+ReviewCalcs[[#This Row],[Control Energy Savings (kWh)]]</f>
        <v>0</v>
      </c>
      <c r="BF179" s="118">
        <f>ReviewCalcs[[#This Row],[Fixture Existing Cost ($)]]+ReviewCalcs[[#This Row],[Control Existing Cost ($)]]</f>
        <v>0</v>
      </c>
      <c r="BG179" s="118">
        <f>ReviewCalcs[[#This Row],[Fixture Proposed Cost ($)]]+ReviewCalcs[[#This Row],[Controls Proposed Cost ($)]]</f>
        <v>0</v>
      </c>
      <c r="BH179" s="70">
        <f>ReviewCalcs[[#This Row],[Total Energy Savings (kWh)]]*Avg_KWh_Rate</f>
        <v>0</v>
      </c>
      <c r="BI1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79" s="70">
        <f>ReviewCalcs[[#This Row],[Retrofit Cost]]</f>
        <v>0</v>
      </c>
      <c r="BK179" s="70">
        <f>ReviewCalcs[[#This Row],[Retrofit Cost]]-ReviewCalcs[[#This Row],[Incentive ($)]]</f>
        <v>0</v>
      </c>
      <c r="BL179" s="118" t="e">
        <f>IFERROR(ReviewCalcs[[#This Row],[Net Project Cost ($)]]/ReviewCalcs[[#This Row],[Fixture Energy Cost Savings ($)]], #N/A)</f>
        <v>#N/A</v>
      </c>
      <c r="BM179" s="118" t="e">
        <f>IF(VLOOKUP(ReviewCalcs[[#This Row],[Existing Fixture Code]], Table7[[FIXTURE CODE]:[Baseline Fixture Code]], 8, FALSE)="N", VLOOKUP(ReviewCalcs[[#This Row],[Existing Fixture Code]], Table7[[FIXTURE CODE]:[Baseline Fixture Code]], 9, FALSE), ReviewCalcs[[#This Row],[Existing Fixture Code]])</f>
        <v>#N/A</v>
      </c>
      <c r="BN179" s="118" t="e">
        <f>INDEX(Table7[WATT/ FIXT], MATCH(ReviewCalcs[Baseline Fixture Code], Table7[FIXTURE CODE], 0))</f>
        <v>#N/A</v>
      </c>
      <c r="BO179" s="118">
        <f>IFERROR((ReviewCalcs[[#This Row],[Existing Fixture Quantity]]*ReviewCalcs[[#This Row],[Baseline Fixture Watts]]/1000-ReviewCalcs[[#This Row],[Proposed Fixture Quantity]]*ReviewCalcs[[#This Row],[Proposed Fixture Watts]]/1000)*ReviewCalcs[[#This Row],[Existing CF]]*ReviewCalcs[[#This Row],[IEFD]], 0)</f>
        <v>0</v>
      </c>
      <c r="BP1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79" s="118">
        <f>IF(ReviewCalcs[[#This Row],[Existing CF]]=ReviewCalcs[[#This Row],[Proposed CF]], 0, ReviewCalcs[[#This Row],[Proposed Fixture Quantity]]*ReviewCalcs[[#This Row],[Proposed Fixture Watts]]/1000*ReviewCalcs[[#This Row],[Proposed CF]]*ReviewCalcs[[#This Row],[IEFD]])</f>
        <v>0</v>
      </c>
      <c r="BR179" s="118">
        <f>IFERROR(ReviewCalcs[[#This Row],[Proposed Fixture Quantity]]*ReviewCalcs[[#This Row],[Proposed Fixture Watts]]/1000*(ReviewCalcs[[#This Row],[Existing PAF]]-ReviewCalcs[[#This Row],[Proposed PAF]])*ReviewCalcs[[#This Row],[AOH]]*ReviewCalcs[[#This Row],[IEFE]],0)</f>
        <v>0</v>
      </c>
      <c r="BS179" s="118">
        <f>ReviewCalcs[[#This Row],[Incentive Fixture Demand Savings (kW)]]+ReviewCalcs[[#This Row],[Incentive Control Demand Savings (kW)]]</f>
        <v>0</v>
      </c>
      <c r="BT179" s="118">
        <f>ReviewCalcs[[#This Row],[Incentive Fixture Energy Savings (kWh)]]+ReviewCalcs[[#This Row],[Incentive Control Energy Savings (kWh)]]</f>
        <v>0</v>
      </c>
      <c r="BU179" s="73"/>
    </row>
    <row r="180" spans="1:73" ht="30" customHeight="1">
      <c r="A180" s="68">
        <v>177</v>
      </c>
      <c r="B180" s="96">
        <f>VLOOKUP(ReviewCalcs[[#This Row],[Project Index]], ProjectInput[], D$1, FALSE)</f>
        <v>0</v>
      </c>
      <c r="C180" s="97">
        <f>VLOOKUP(ReviewCalcs[[#This Row],[Project Index]], ProjectInput[], E$1, FALSE)</f>
        <v>0</v>
      </c>
      <c r="D180" s="97">
        <f>VLOOKUP(ReviewCalcs[[#This Row],[Project Index]], ProjectInput[], F$1, FALSE)</f>
        <v>0</v>
      </c>
      <c r="E180" s="97">
        <f>VLOOKUP(ReviewCalcs[[#This Row],[Project Index]], ProjectInput[], G$1, FALSE)</f>
        <v>0</v>
      </c>
      <c r="F180" s="97">
        <f>VLOOKUP(ReviewCalcs[[#This Row],[Project Index]], ProjectInput[], H$1, FALSE)</f>
        <v>0</v>
      </c>
      <c r="G180" s="98" t="str">
        <f>VLOOKUP(ReviewCalcs[[#This Row],[Project Index]], ProjectInput[], I$1, FALSE)</f>
        <v/>
      </c>
      <c r="H180" s="96">
        <f>VLOOKUP(ReviewCalcs[[#This Row],[Project Index]], ProjectInput[], J$1, FALSE)</f>
        <v>0</v>
      </c>
      <c r="I180" s="97">
        <f>VLOOKUP(ReviewCalcs[[#This Row],[Project Index]], ProjectInput[], K$1, FALSE)</f>
        <v>0</v>
      </c>
      <c r="J180" s="97">
        <f>VLOOKUP(ReviewCalcs[[#This Row],[Project Index]], ProjectInput[], L$1, FALSE)</f>
        <v>0</v>
      </c>
      <c r="K180" s="97">
        <f>VLOOKUP(ReviewCalcs[[#This Row],[Project Index]], ProjectInput[], M$1, FALSE)</f>
        <v>0</v>
      </c>
      <c r="L180" s="97">
        <f>VLOOKUP(ReviewCalcs[[#This Row],[Project Index]], ProjectInput[], N$1, FALSE)</f>
        <v>0</v>
      </c>
      <c r="M180" s="98" t="str">
        <f>VLOOKUP(ReviewCalcs[[#This Row],[Project Index]], ProjectInput[], O$1, FALSE)</f>
        <v/>
      </c>
      <c r="N180" s="96">
        <f>VLOOKUP(ReviewCalcs[[#This Row],[Project Index]], ProjectInput[], P$1, FALSE)</f>
        <v>0</v>
      </c>
      <c r="O180" s="97">
        <f>VLOOKUP(ReviewCalcs[[#This Row],[Project Index]], ProjectInput[], Q$1, FALSE)</f>
        <v>0</v>
      </c>
      <c r="P180" s="97">
        <f>VLOOKUP(ReviewCalcs[[#This Row],[Project Index]], ProjectInput[], R$1, FALSE)</f>
        <v>0</v>
      </c>
      <c r="Q180" s="97">
        <f>VLOOKUP(ReviewCalcs[[#This Row],[Project Index]], ProjectInput[], S$1, FALSE)</f>
        <v>0</v>
      </c>
      <c r="R180" s="97">
        <f>VLOOKUP(ReviewCalcs[[#This Row],[Project Index]], ProjectInput[], T$1, FALSE)</f>
        <v>0</v>
      </c>
      <c r="S180" s="97">
        <f>VLOOKUP(ReviewCalcs[[#This Row],[Project Index]], ProjectInput[], U$1, FALSE)</f>
        <v>0</v>
      </c>
      <c r="T180" s="97">
        <f>VLOOKUP(ReviewCalcs[[#This Row],[Project Index]], ProjectInput[], V$1, FALSE)</f>
        <v>0</v>
      </c>
      <c r="U180" s="97">
        <f>VLOOKUP(ReviewCalcs[[#This Row],[Project Index]], ProjectInput[], W$1, FALSE)</f>
        <v>0</v>
      </c>
      <c r="V180" s="98" t="str">
        <f>VLOOKUP(ReviewCalcs[[#This Row],[Project Index]], ProjectInput[], X$1, FALSE)</f>
        <v/>
      </c>
      <c r="W1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0" s="75" t="e">
        <f>IF(VLOOKUP(ReviewCalcs[[#This Row],[Proposed Fixture Code]], Table7[[FIXTURE CODE]:[Baseline Fixture Code]], 8, FALSE)="N", "ERROR", "PASS")</f>
        <v>#N/A</v>
      </c>
      <c r="Y1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0" s="75" t="e">
        <f>IF(OR(ReviewCalcs[[#This Row],[Baseline Fixture Watts]]&gt;=ReviewCalcs[[#This Row],[Proposed Fixture Watts]],ReviewCalcs[[#This Row],[Existing Fixture Watts]]&gt;=ReviewCalcs[[#This Row],[Proposed Fixture Watts]] ), "PASS", "ERROR")</f>
        <v>#N/A</v>
      </c>
      <c r="AA180" s="69" t="e">
        <f>VLOOKUP(ReviewCalcs[[#This Row],[Space Conditions]], Table_365[], 5, FALSE)</f>
        <v>#N/A</v>
      </c>
      <c r="AB180" s="68" t="str">
        <f>ReviewCalcs[[#This Row],[Annual Hours]]</f>
        <v/>
      </c>
      <c r="AC180" s="68" t="e">
        <f>VLOOKUP(ReviewCalcs[[#This Row],[Space Conditions]], Table_365[], 6, FALSE)</f>
        <v>#N/A</v>
      </c>
      <c r="AD180" s="68">
        <f>IF(ReviewCalcs[[#This Row],[Existing Control(s)]]='Tables &amp; Ranges'!$A$25, VLOOKUP(ReviewCalcs[[#This Row],[Building/Space Type]], Table_364[], 3, FALSE), CF_Contols)</f>
        <v>0.26</v>
      </c>
      <c r="AE180" s="68" t="e">
        <f>VLOOKUP(ReviewCalcs[[#This Row],[Existing Control(s)]], Table_358[], 2, FALSE)</f>
        <v>#N/A</v>
      </c>
      <c r="AF180" s="68">
        <f>IF(ReviewCalcs[[#This Row],[Proposed Control(s)]]='Tables &amp; Ranges'!$A$25, VLOOKUP(ReviewCalcs[[#This Row],[Building/Space Type]], Table_364[], 3, FALSE), CF_Contols)</f>
        <v>0.26</v>
      </c>
      <c r="AG180" s="68" t="e">
        <f>VLOOKUP(ReviewCalcs[[#This Row],[Proposed Control(s)]], Table_358[], 2, FALSE)</f>
        <v>#N/A</v>
      </c>
      <c r="AH180" s="68">
        <f>IFERROR((ReviewCalcs[[#This Row],[Existing Fixture Quantity]]*ReviewCalcs[[#This Row],[Existing Fixture Watts]]/1000)*ReviewCalcs[[#This Row],[Existing CF]]*ReviewCalcs[[#This Row],[IEFD]], 0)</f>
        <v>0</v>
      </c>
      <c r="AI180" s="68">
        <f>IFERROR((ReviewCalcs[[#This Row],[Proposed Fixture Quantity]]*ReviewCalcs[[#This Row],[Proposed Fixture Watts]]/1000)*ReviewCalcs[[#This Row],[Existing CF]]*ReviewCalcs[[#This Row],[IEFD]], 0)</f>
        <v>0</v>
      </c>
      <c r="AJ180" s="118">
        <f>IFERROR((ReviewCalcs[[#This Row],[Existing Fixture Quantity]]*ReviewCalcs[[#This Row],[Existing Fixture Watts]]/1000-ReviewCalcs[[#This Row],[Proposed Fixture Quantity]]*ReviewCalcs[[#This Row],[Proposed Fixture Watts]]/1000)*ReviewCalcs[[#This Row],[Existing CF]]*ReviewCalcs[[#This Row],[IEFD]], 0)</f>
        <v>0</v>
      </c>
      <c r="AK180" s="118">
        <f>IFERROR((ReviewCalcs[[#This Row],[Existing Fixture Quantity]]*ReviewCalcs[[#This Row],[Existing Fixture Watts]]/1000)*ReviewCalcs[[#This Row],[AOH]]*ReviewCalcs[[#This Row],[IEFE]]*ReviewCalcs[[#This Row],[Existing PAF]], 0)</f>
        <v>0</v>
      </c>
      <c r="AL180" s="118">
        <f>IFERROR((ReviewCalcs[[#This Row],[Proposed Fixture Quantity]]*ReviewCalcs[[#This Row],[Proposed Fixture Watts]]/1000)*ReviewCalcs[[#This Row],[AOH]]*ReviewCalcs[[#This Row],[IEFE]]*ReviewCalcs[[#This Row],[Existing PAF]], 0)</f>
        <v>0</v>
      </c>
      <c r="AM1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0" s="118">
        <f>ReviewCalcs[[#This Row],[Fixture Existing Energy (kWh)]]*Avg_KWh_Rate</f>
        <v>0</v>
      </c>
      <c r="AO180" s="118">
        <f>ReviewCalcs[[#This Row],[Fixture Proposed Energy (kWh)]]*Avg_KWh_Rate</f>
        <v>0</v>
      </c>
      <c r="AP180" s="70">
        <f>ReviewCalcs[[#This Row],[Fixture Energy Savings]]*Avg_KWh_Rate</f>
        <v>0</v>
      </c>
      <c r="AQ180" s="129" t="e">
        <f>ReviewCalcs[[#This Row],[Existing Fixture Quantity]]*ReviewCalcs[[#This Row],[Existing Fixture Watts]]/1000*ReviewCalcs[[#This Row],[Existing CF]]*ReviewCalcs[[#This Row],[IEFD]]</f>
        <v>#VALUE!</v>
      </c>
      <c r="AR180" s="129" t="e">
        <f>ReviewCalcs[[#This Row],[Proposed Fixture Quantity]]*ReviewCalcs[[#This Row],[Proposed Fixture Watts]]/1000*ReviewCalcs[[#This Row],[Proposed CF]]*ReviewCalcs[[#This Row],[IEFD]]</f>
        <v>#VALUE!</v>
      </c>
      <c r="AS180" s="118">
        <f>IF(ReviewCalcs[[#This Row],[Existing CF]]=ReviewCalcs[[#This Row],[Proposed CF]], 0, ReviewCalcs[[#This Row],[Proposed Fixture Quantity]]*ReviewCalcs[[#This Row],[Proposed Fixture Watts]]/1000*ReviewCalcs[[#This Row],[Proposed CF]]*ReviewCalcs[[#This Row],[IEFD]])</f>
        <v>0</v>
      </c>
      <c r="AT180" s="118">
        <f>IFERROR(ReviewCalcs[[#This Row],[Existing Fixture Quantity]]*ReviewCalcs[[#This Row],[Existing Fixture Watts]]/1000*ReviewCalcs[[#This Row],[Existing PAF]]*ReviewCalcs[[#This Row],[AOH]]*ReviewCalcs[[#This Row],[IEFE]], 0)</f>
        <v>0</v>
      </c>
      <c r="AU180" s="118">
        <f>IFERROR(ReviewCalcs[[#This Row],[Proposed Fixture Quantity]]*ReviewCalcs[[#This Row],[Proposed Fixture Watts]]/1000*ReviewCalcs[[#This Row],[Proposed PAF]]*ReviewCalcs[[#This Row],[AOH]]*ReviewCalcs[[#This Row],[IEFE]], 0)</f>
        <v>0</v>
      </c>
      <c r="AV180" s="118">
        <f>IFERROR(ReviewCalcs[[#This Row],[Proposed Fixture Quantity]]*ReviewCalcs[[#This Row],[Proposed Fixture Watts]]/1000*(ReviewCalcs[[#This Row],[Existing PAF]]-ReviewCalcs[[#This Row],[Proposed PAF]])*ReviewCalcs[[#This Row],[AOH]]*ReviewCalcs[[#This Row],[IEFE]], 0)</f>
        <v>0</v>
      </c>
      <c r="AW180" s="118">
        <f>ReviewCalcs[[#This Row],[Control Existing Energy (kWh)]]*kWh_Incentive_Rate</f>
        <v>0</v>
      </c>
      <c r="AX180" s="118">
        <f>ReviewCalcs[[#This Row],[Control Proposed Energy (kWh)]]*kWh_Incentive_Rate</f>
        <v>0</v>
      </c>
      <c r="AY180" s="70">
        <f>ReviewCalcs[[#This Row],[Control Energy Savings (kWh)]]*kWh_Incentive_Rate</f>
        <v>0</v>
      </c>
      <c r="AZ180" s="70" t="e">
        <f>ReviewCalcs[[#This Row],[Fixture Existing Demand (kW)]]+ReviewCalcs[[#This Row],[Control Existing Demand (kW)]]</f>
        <v>#VALUE!</v>
      </c>
      <c r="BA180" s="70" t="e">
        <f>ReviewCalcs[[#This Row],[Fixture Proposed Demand (kW)]]+ReviewCalcs[[#This Row],[Control Proposed Demand (kW)]]</f>
        <v>#VALUE!</v>
      </c>
      <c r="BB180" s="118">
        <f>ReviewCalcs[[#This Row],[Fixture Demand Savings (kW)]]+ReviewCalcs[[#This Row],[Control Demand Savings (kW)]]</f>
        <v>0</v>
      </c>
      <c r="BC180" s="118">
        <f>ReviewCalcs[[#This Row],[Fixture Existing Energy (kWh)]]+ReviewCalcs[[#This Row],[Control Existing Energy (kWh)]]</f>
        <v>0</v>
      </c>
      <c r="BD180" s="118">
        <f>ReviewCalcs[[#This Row],[Fixture Proposed Energy (kWh)]]+ReviewCalcs[[#This Row],[Control Proposed Energy (kWh)]]</f>
        <v>0</v>
      </c>
      <c r="BE180" s="118">
        <f>ReviewCalcs[[#This Row],[Fixture Energy Savings]]+ReviewCalcs[[#This Row],[Control Energy Savings (kWh)]]</f>
        <v>0</v>
      </c>
      <c r="BF180" s="118">
        <f>ReviewCalcs[[#This Row],[Fixture Existing Cost ($)]]+ReviewCalcs[[#This Row],[Control Existing Cost ($)]]</f>
        <v>0</v>
      </c>
      <c r="BG180" s="118">
        <f>ReviewCalcs[[#This Row],[Fixture Proposed Cost ($)]]+ReviewCalcs[[#This Row],[Controls Proposed Cost ($)]]</f>
        <v>0</v>
      </c>
      <c r="BH180" s="70">
        <f>ReviewCalcs[[#This Row],[Total Energy Savings (kWh)]]*Avg_KWh_Rate</f>
        <v>0</v>
      </c>
      <c r="BI1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0" s="70">
        <f>ReviewCalcs[[#This Row],[Retrofit Cost]]</f>
        <v>0</v>
      </c>
      <c r="BK180" s="70">
        <f>ReviewCalcs[[#This Row],[Retrofit Cost]]-ReviewCalcs[[#This Row],[Incentive ($)]]</f>
        <v>0</v>
      </c>
      <c r="BL180" s="118" t="e">
        <f>IFERROR(ReviewCalcs[[#This Row],[Net Project Cost ($)]]/ReviewCalcs[[#This Row],[Fixture Energy Cost Savings ($)]], #N/A)</f>
        <v>#N/A</v>
      </c>
      <c r="BM180" s="118" t="e">
        <f>IF(VLOOKUP(ReviewCalcs[[#This Row],[Existing Fixture Code]], Table7[[FIXTURE CODE]:[Baseline Fixture Code]], 8, FALSE)="N", VLOOKUP(ReviewCalcs[[#This Row],[Existing Fixture Code]], Table7[[FIXTURE CODE]:[Baseline Fixture Code]], 9, FALSE), ReviewCalcs[[#This Row],[Existing Fixture Code]])</f>
        <v>#N/A</v>
      </c>
      <c r="BN180" s="118" t="e">
        <f>INDEX(Table7[WATT/ FIXT], MATCH(ReviewCalcs[Baseline Fixture Code], Table7[FIXTURE CODE], 0))</f>
        <v>#N/A</v>
      </c>
      <c r="BO180" s="118">
        <f>IFERROR((ReviewCalcs[[#This Row],[Existing Fixture Quantity]]*ReviewCalcs[[#This Row],[Baseline Fixture Watts]]/1000-ReviewCalcs[[#This Row],[Proposed Fixture Quantity]]*ReviewCalcs[[#This Row],[Proposed Fixture Watts]]/1000)*ReviewCalcs[[#This Row],[Existing CF]]*ReviewCalcs[[#This Row],[IEFD]], 0)</f>
        <v>0</v>
      </c>
      <c r="BP1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0" s="118">
        <f>IF(ReviewCalcs[[#This Row],[Existing CF]]=ReviewCalcs[[#This Row],[Proposed CF]], 0, ReviewCalcs[[#This Row],[Proposed Fixture Quantity]]*ReviewCalcs[[#This Row],[Proposed Fixture Watts]]/1000*ReviewCalcs[[#This Row],[Proposed CF]]*ReviewCalcs[[#This Row],[IEFD]])</f>
        <v>0</v>
      </c>
      <c r="BR180" s="118">
        <f>IFERROR(ReviewCalcs[[#This Row],[Proposed Fixture Quantity]]*ReviewCalcs[[#This Row],[Proposed Fixture Watts]]/1000*(ReviewCalcs[[#This Row],[Existing PAF]]-ReviewCalcs[[#This Row],[Proposed PAF]])*ReviewCalcs[[#This Row],[AOH]]*ReviewCalcs[[#This Row],[IEFE]],0)</f>
        <v>0</v>
      </c>
      <c r="BS180" s="118">
        <f>ReviewCalcs[[#This Row],[Incentive Fixture Demand Savings (kW)]]+ReviewCalcs[[#This Row],[Incentive Control Demand Savings (kW)]]</f>
        <v>0</v>
      </c>
      <c r="BT180" s="118">
        <f>ReviewCalcs[[#This Row],[Incentive Fixture Energy Savings (kWh)]]+ReviewCalcs[[#This Row],[Incentive Control Energy Savings (kWh)]]</f>
        <v>0</v>
      </c>
      <c r="BU180" s="73"/>
    </row>
    <row r="181" spans="1:73" ht="30" customHeight="1">
      <c r="A181" s="68">
        <v>178</v>
      </c>
      <c r="B181" s="96">
        <f>VLOOKUP(ReviewCalcs[[#This Row],[Project Index]], ProjectInput[], D$1, FALSE)</f>
        <v>0</v>
      </c>
      <c r="C181" s="97">
        <f>VLOOKUP(ReviewCalcs[[#This Row],[Project Index]], ProjectInput[], E$1, FALSE)</f>
        <v>0</v>
      </c>
      <c r="D181" s="97">
        <f>VLOOKUP(ReviewCalcs[[#This Row],[Project Index]], ProjectInput[], F$1, FALSE)</f>
        <v>0</v>
      </c>
      <c r="E181" s="97">
        <f>VLOOKUP(ReviewCalcs[[#This Row],[Project Index]], ProjectInput[], G$1, FALSE)</f>
        <v>0</v>
      </c>
      <c r="F181" s="97">
        <f>VLOOKUP(ReviewCalcs[[#This Row],[Project Index]], ProjectInput[], H$1, FALSE)</f>
        <v>0</v>
      </c>
      <c r="G181" s="98" t="str">
        <f>VLOOKUP(ReviewCalcs[[#This Row],[Project Index]], ProjectInput[], I$1, FALSE)</f>
        <v/>
      </c>
      <c r="H181" s="96">
        <f>VLOOKUP(ReviewCalcs[[#This Row],[Project Index]], ProjectInput[], J$1, FALSE)</f>
        <v>0</v>
      </c>
      <c r="I181" s="97">
        <f>VLOOKUP(ReviewCalcs[[#This Row],[Project Index]], ProjectInput[], K$1, FALSE)</f>
        <v>0</v>
      </c>
      <c r="J181" s="97">
        <f>VLOOKUP(ReviewCalcs[[#This Row],[Project Index]], ProjectInput[], L$1, FALSE)</f>
        <v>0</v>
      </c>
      <c r="K181" s="97">
        <f>VLOOKUP(ReviewCalcs[[#This Row],[Project Index]], ProjectInput[], M$1, FALSE)</f>
        <v>0</v>
      </c>
      <c r="L181" s="97">
        <f>VLOOKUP(ReviewCalcs[[#This Row],[Project Index]], ProjectInput[], N$1, FALSE)</f>
        <v>0</v>
      </c>
      <c r="M181" s="98" t="str">
        <f>VLOOKUP(ReviewCalcs[[#This Row],[Project Index]], ProjectInput[], O$1, FALSE)</f>
        <v/>
      </c>
      <c r="N181" s="96">
        <f>VLOOKUP(ReviewCalcs[[#This Row],[Project Index]], ProjectInput[], P$1, FALSE)</f>
        <v>0</v>
      </c>
      <c r="O181" s="97">
        <f>VLOOKUP(ReviewCalcs[[#This Row],[Project Index]], ProjectInput[], Q$1, FALSE)</f>
        <v>0</v>
      </c>
      <c r="P181" s="97">
        <f>VLOOKUP(ReviewCalcs[[#This Row],[Project Index]], ProjectInput[], R$1, FALSE)</f>
        <v>0</v>
      </c>
      <c r="Q181" s="97">
        <f>VLOOKUP(ReviewCalcs[[#This Row],[Project Index]], ProjectInput[], S$1, FALSE)</f>
        <v>0</v>
      </c>
      <c r="R181" s="97">
        <f>VLOOKUP(ReviewCalcs[[#This Row],[Project Index]], ProjectInput[], T$1, FALSE)</f>
        <v>0</v>
      </c>
      <c r="S181" s="97">
        <f>VLOOKUP(ReviewCalcs[[#This Row],[Project Index]], ProjectInput[], U$1, FALSE)</f>
        <v>0</v>
      </c>
      <c r="T181" s="97">
        <f>VLOOKUP(ReviewCalcs[[#This Row],[Project Index]], ProjectInput[], V$1, FALSE)</f>
        <v>0</v>
      </c>
      <c r="U181" s="97">
        <f>VLOOKUP(ReviewCalcs[[#This Row],[Project Index]], ProjectInput[], W$1, FALSE)</f>
        <v>0</v>
      </c>
      <c r="V181" s="98" t="str">
        <f>VLOOKUP(ReviewCalcs[[#This Row],[Project Index]], ProjectInput[], X$1, FALSE)</f>
        <v/>
      </c>
      <c r="W1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1" s="75" t="e">
        <f>IF(VLOOKUP(ReviewCalcs[[#This Row],[Proposed Fixture Code]], Table7[[FIXTURE CODE]:[Baseline Fixture Code]], 8, FALSE)="N", "ERROR", "PASS")</f>
        <v>#N/A</v>
      </c>
      <c r="Y1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1" s="75" t="e">
        <f>IF(OR(ReviewCalcs[[#This Row],[Baseline Fixture Watts]]&gt;=ReviewCalcs[[#This Row],[Proposed Fixture Watts]],ReviewCalcs[[#This Row],[Existing Fixture Watts]]&gt;=ReviewCalcs[[#This Row],[Proposed Fixture Watts]] ), "PASS", "ERROR")</f>
        <v>#N/A</v>
      </c>
      <c r="AA181" s="69" t="e">
        <f>VLOOKUP(ReviewCalcs[[#This Row],[Space Conditions]], Table_365[], 5, FALSE)</f>
        <v>#N/A</v>
      </c>
      <c r="AB181" s="68" t="str">
        <f>ReviewCalcs[[#This Row],[Annual Hours]]</f>
        <v/>
      </c>
      <c r="AC181" s="68" t="e">
        <f>VLOOKUP(ReviewCalcs[[#This Row],[Space Conditions]], Table_365[], 6, FALSE)</f>
        <v>#N/A</v>
      </c>
      <c r="AD181" s="68">
        <f>IF(ReviewCalcs[[#This Row],[Existing Control(s)]]='Tables &amp; Ranges'!$A$25, VLOOKUP(ReviewCalcs[[#This Row],[Building/Space Type]], Table_364[], 3, FALSE), CF_Contols)</f>
        <v>0.26</v>
      </c>
      <c r="AE181" s="68" t="e">
        <f>VLOOKUP(ReviewCalcs[[#This Row],[Existing Control(s)]], Table_358[], 2, FALSE)</f>
        <v>#N/A</v>
      </c>
      <c r="AF181" s="68">
        <f>IF(ReviewCalcs[[#This Row],[Proposed Control(s)]]='Tables &amp; Ranges'!$A$25, VLOOKUP(ReviewCalcs[[#This Row],[Building/Space Type]], Table_364[], 3, FALSE), CF_Contols)</f>
        <v>0.26</v>
      </c>
      <c r="AG181" s="68" t="e">
        <f>VLOOKUP(ReviewCalcs[[#This Row],[Proposed Control(s)]], Table_358[], 2, FALSE)</f>
        <v>#N/A</v>
      </c>
      <c r="AH181" s="68">
        <f>IFERROR((ReviewCalcs[[#This Row],[Existing Fixture Quantity]]*ReviewCalcs[[#This Row],[Existing Fixture Watts]]/1000)*ReviewCalcs[[#This Row],[Existing CF]]*ReviewCalcs[[#This Row],[IEFD]], 0)</f>
        <v>0</v>
      </c>
      <c r="AI181" s="68">
        <f>IFERROR((ReviewCalcs[[#This Row],[Proposed Fixture Quantity]]*ReviewCalcs[[#This Row],[Proposed Fixture Watts]]/1000)*ReviewCalcs[[#This Row],[Existing CF]]*ReviewCalcs[[#This Row],[IEFD]], 0)</f>
        <v>0</v>
      </c>
      <c r="AJ181" s="118">
        <f>IFERROR((ReviewCalcs[[#This Row],[Existing Fixture Quantity]]*ReviewCalcs[[#This Row],[Existing Fixture Watts]]/1000-ReviewCalcs[[#This Row],[Proposed Fixture Quantity]]*ReviewCalcs[[#This Row],[Proposed Fixture Watts]]/1000)*ReviewCalcs[[#This Row],[Existing CF]]*ReviewCalcs[[#This Row],[IEFD]], 0)</f>
        <v>0</v>
      </c>
      <c r="AK181" s="118">
        <f>IFERROR((ReviewCalcs[[#This Row],[Existing Fixture Quantity]]*ReviewCalcs[[#This Row],[Existing Fixture Watts]]/1000)*ReviewCalcs[[#This Row],[AOH]]*ReviewCalcs[[#This Row],[IEFE]]*ReviewCalcs[[#This Row],[Existing PAF]], 0)</f>
        <v>0</v>
      </c>
      <c r="AL181" s="118">
        <f>IFERROR((ReviewCalcs[[#This Row],[Proposed Fixture Quantity]]*ReviewCalcs[[#This Row],[Proposed Fixture Watts]]/1000)*ReviewCalcs[[#This Row],[AOH]]*ReviewCalcs[[#This Row],[IEFE]]*ReviewCalcs[[#This Row],[Existing PAF]], 0)</f>
        <v>0</v>
      </c>
      <c r="AM1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1" s="118">
        <f>ReviewCalcs[[#This Row],[Fixture Existing Energy (kWh)]]*Avg_KWh_Rate</f>
        <v>0</v>
      </c>
      <c r="AO181" s="118">
        <f>ReviewCalcs[[#This Row],[Fixture Proposed Energy (kWh)]]*Avg_KWh_Rate</f>
        <v>0</v>
      </c>
      <c r="AP181" s="70">
        <f>ReviewCalcs[[#This Row],[Fixture Energy Savings]]*Avg_KWh_Rate</f>
        <v>0</v>
      </c>
      <c r="AQ181" s="129" t="e">
        <f>ReviewCalcs[[#This Row],[Existing Fixture Quantity]]*ReviewCalcs[[#This Row],[Existing Fixture Watts]]/1000*ReviewCalcs[[#This Row],[Existing CF]]*ReviewCalcs[[#This Row],[IEFD]]</f>
        <v>#VALUE!</v>
      </c>
      <c r="AR181" s="129" t="e">
        <f>ReviewCalcs[[#This Row],[Proposed Fixture Quantity]]*ReviewCalcs[[#This Row],[Proposed Fixture Watts]]/1000*ReviewCalcs[[#This Row],[Proposed CF]]*ReviewCalcs[[#This Row],[IEFD]]</f>
        <v>#VALUE!</v>
      </c>
      <c r="AS181" s="118">
        <f>IF(ReviewCalcs[[#This Row],[Existing CF]]=ReviewCalcs[[#This Row],[Proposed CF]], 0, ReviewCalcs[[#This Row],[Proposed Fixture Quantity]]*ReviewCalcs[[#This Row],[Proposed Fixture Watts]]/1000*ReviewCalcs[[#This Row],[Proposed CF]]*ReviewCalcs[[#This Row],[IEFD]])</f>
        <v>0</v>
      </c>
      <c r="AT181" s="118">
        <f>IFERROR(ReviewCalcs[[#This Row],[Existing Fixture Quantity]]*ReviewCalcs[[#This Row],[Existing Fixture Watts]]/1000*ReviewCalcs[[#This Row],[Existing PAF]]*ReviewCalcs[[#This Row],[AOH]]*ReviewCalcs[[#This Row],[IEFE]], 0)</f>
        <v>0</v>
      </c>
      <c r="AU181" s="118">
        <f>IFERROR(ReviewCalcs[[#This Row],[Proposed Fixture Quantity]]*ReviewCalcs[[#This Row],[Proposed Fixture Watts]]/1000*ReviewCalcs[[#This Row],[Proposed PAF]]*ReviewCalcs[[#This Row],[AOH]]*ReviewCalcs[[#This Row],[IEFE]], 0)</f>
        <v>0</v>
      </c>
      <c r="AV181" s="118">
        <f>IFERROR(ReviewCalcs[[#This Row],[Proposed Fixture Quantity]]*ReviewCalcs[[#This Row],[Proposed Fixture Watts]]/1000*(ReviewCalcs[[#This Row],[Existing PAF]]-ReviewCalcs[[#This Row],[Proposed PAF]])*ReviewCalcs[[#This Row],[AOH]]*ReviewCalcs[[#This Row],[IEFE]], 0)</f>
        <v>0</v>
      </c>
      <c r="AW181" s="118">
        <f>ReviewCalcs[[#This Row],[Control Existing Energy (kWh)]]*kWh_Incentive_Rate</f>
        <v>0</v>
      </c>
      <c r="AX181" s="118">
        <f>ReviewCalcs[[#This Row],[Control Proposed Energy (kWh)]]*kWh_Incentive_Rate</f>
        <v>0</v>
      </c>
      <c r="AY181" s="70">
        <f>ReviewCalcs[[#This Row],[Control Energy Savings (kWh)]]*kWh_Incentive_Rate</f>
        <v>0</v>
      </c>
      <c r="AZ181" s="70" t="e">
        <f>ReviewCalcs[[#This Row],[Fixture Existing Demand (kW)]]+ReviewCalcs[[#This Row],[Control Existing Demand (kW)]]</f>
        <v>#VALUE!</v>
      </c>
      <c r="BA181" s="70" t="e">
        <f>ReviewCalcs[[#This Row],[Fixture Proposed Demand (kW)]]+ReviewCalcs[[#This Row],[Control Proposed Demand (kW)]]</f>
        <v>#VALUE!</v>
      </c>
      <c r="BB181" s="118">
        <f>ReviewCalcs[[#This Row],[Fixture Demand Savings (kW)]]+ReviewCalcs[[#This Row],[Control Demand Savings (kW)]]</f>
        <v>0</v>
      </c>
      <c r="BC181" s="118">
        <f>ReviewCalcs[[#This Row],[Fixture Existing Energy (kWh)]]+ReviewCalcs[[#This Row],[Control Existing Energy (kWh)]]</f>
        <v>0</v>
      </c>
      <c r="BD181" s="118">
        <f>ReviewCalcs[[#This Row],[Fixture Proposed Energy (kWh)]]+ReviewCalcs[[#This Row],[Control Proposed Energy (kWh)]]</f>
        <v>0</v>
      </c>
      <c r="BE181" s="118">
        <f>ReviewCalcs[[#This Row],[Fixture Energy Savings]]+ReviewCalcs[[#This Row],[Control Energy Savings (kWh)]]</f>
        <v>0</v>
      </c>
      <c r="BF181" s="118">
        <f>ReviewCalcs[[#This Row],[Fixture Existing Cost ($)]]+ReviewCalcs[[#This Row],[Control Existing Cost ($)]]</f>
        <v>0</v>
      </c>
      <c r="BG181" s="118">
        <f>ReviewCalcs[[#This Row],[Fixture Proposed Cost ($)]]+ReviewCalcs[[#This Row],[Controls Proposed Cost ($)]]</f>
        <v>0</v>
      </c>
      <c r="BH181" s="70">
        <f>ReviewCalcs[[#This Row],[Total Energy Savings (kWh)]]*Avg_KWh_Rate</f>
        <v>0</v>
      </c>
      <c r="BI1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1" s="70">
        <f>ReviewCalcs[[#This Row],[Retrofit Cost]]</f>
        <v>0</v>
      </c>
      <c r="BK181" s="70">
        <f>ReviewCalcs[[#This Row],[Retrofit Cost]]-ReviewCalcs[[#This Row],[Incentive ($)]]</f>
        <v>0</v>
      </c>
      <c r="BL181" s="118" t="e">
        <f>IFERROR(ReviewCalcs[[#This Row],[Net Project Cost ($)]]/ReviewCalcs[[#This Row],[Fixture Energy Cost Savings ($)]], #N/A)</f>
        <v>#N/A</v>
      </c>
      <c r="BM181" s="118" t="e">
        <f>IF(VLOOKUP(ReviewCalcs[[#This Row],[Existing Fixture Code]], Table7[[FIXTURE CODE]:[Baseline Fixture Code]], 8, FALSE)="N", VLOOKUP(ReviewCalcs[[#This Row],[Existing Fixture Code]], Table7[[FIXTURE CODE]:[Baseline Fixture Code]], 9, FALSE), ReviewCalcs[[#This Row],[Existing Fixture Code]])</f>
        <v>#N/A</v>
      </c>
      <c r="BN181" s="118" t="e">
        <f>INDEX(Table7[WATT/ FIXT], MATCH(ReviewCalcs[Baseline Fixture Code], Table7[FIXTURE CODE], 0))</f>
        <v>#N/A</v>
      </c>
      <c r="BO181" s="118">
        <f>IFERROR((ReviewCalcs[[#This Row],[Existing Fixture Quantity]]*ReviewCalcs[[#This Row],[Baseline Fixture Watts]]/1000-ReviewCalcs[[#This Row],[Proposed Fixture Quantity]]*ReviewCalcs[[#This Row],[Proposed Fixture Watts]]/1000)*ReviewCalcs[[#This Row],[Existing CF]]*ReviewCalcs[[#This Row],[IEFD]], 0)</f>
        <v>0</v>
      </c>
      <c r="BP1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1" s="118">
        <f>IF(ReviewCalcs[[#This Row],[Existing CF]]=ReviewCalcs[[#This Row],[Proposed CF]], 0, ReviewCalcs[[#This Row],[Proposed Fixture Quantity]]*ReviewCalcs[[#This Row],[Proposed Fixture Watts]]/1000*ReviewCalcs[[#This Row],[Proposed CF]]*ReviewCalcs[[#This Row],[IEFD]])</f>
        <v>0</v>
      </c>
      <c r="BR181" s="118">
        <f>IFERROR(ReviewCalcs[[#This Row],[Proposed Fixture Quantity]]*ReviewCalcs[[#This Row],[Proposed Fixture Watts]]/1000*(ReviewCalcs[[#This Row],[Existing PAF]]-ReviewCalcs[[#This Row],[Proposed PAF]])*ReviewCalcs[[#This Row],[AOH]]*ReviewCalcs[[#This Row],[IEFE]],0)</f>
        <v>0</v>
      </c>
      <c r="BS181" s="118">
        <f>ReviewCalcs[[#This Row],[Incentive Fixture Demand Savings (kW)]]+ReviewCalcs[[#This Row],[Incentive Control Demand Savings (kW)]]</f>
        <v>0</v>
      </c>
      <c r="BT181" s="118">
        <f>ReviewCalcs[[#This Row],[Incentive Fixture Energy Savings (kWh)]]+ReviewCalcs[[#This Row],[Incentive Control Energy Savings (kWh)]]</f>
        <v>0</v>
      </c>
      <c r="BU181" s="73"/>
    </row>
    <row r="182" spans="1:73" ht="30" customHeight="1">
      <c r="A182" s="68">
        <v>179</v>
      </c>
      <c r="B182" s="96">
        <f>VLOOKUP(ReviewCalcs[[#This Row],[Project Index]], ProjectInput[], D$1, FALSE)</f>
        <v>0</v>
      </c>
      <c r="C182" s="97">
        <f>VLOOKUP(ReviewCalcs[[#This Row],[Project Index]], ProjectInput[], E$1, FALSE)</f>
        <v>0</v>
      </c>
      <c r="D182" s="97">
        <f>VLOOKUP(ReviewCalcs[[#This Row],[Project Index]], ProjectInput[], F$1, FALSE)</f>
        <v>0</v>
      </c>
      <c r="E182" s="97">
        <f>VLOOKUP(ReviewCalcs[[#This Row],[Project Index]], ProjectInput[], G$1, FALSE)</f>
        <v>0</v>
      </c>
      <c r="F182" s="97">
        <f>VLOOKUP(ReviewCalcs[[#This Row],[Project Index]], ProjectInput[], H$1, FALSE)</f>
        <v>0</v>
      </c>
      <c r="G182" s="98" t="str">
        <f>VLOOKUP(ReviewCalcs[[#This Row],[Project Index]], ProjectInput[], I$1, FALSE)</f>
        <v/>
      </c>
      <c r="H182" s="96">
        <f>VLOOKUP(ReviewCalcs[[#This Row],[Project Index]], ProjectInput[], J$1, FALSE)</f>
        <v>0</v>
      </c>
      <c r="I182" s="97">
        <f>VLOOKUP(ReviewCalcs[[#This Row],[Project Index]], ProjectInput[], K$1, FALSE)</f>
        <v>0</v>
      </c>
      <c r="J182" s="97">
        <f>VLOOKUP(ReviewCalcs[[#This Row],[Project Index]], ProjectInput[], L$1, FALSE)</f>
        <v>0</v>
      </c>
      <c r="K182" s="97">
        <f>VLOOKUP(ReviewCalcs[[#This Row],[Project Index]], ProjectInput[], M$1, FALSE)</f>
        <v>0</v>
      </c>
      <c r="L182" s="97">
        <f>VLOOKUP(ReviewCalcs[[#This Row],[Project Index]], ProjectInput[], N$1, FALSE)</f>
        <v>0</v>
      </c>
      <c r="M182" s="98" t="str">
        <f>VLOOKUP(ReviewCalcs[[#This Row],[Project Index]], ProjectInput[], O$1, FALSE)</f>
        <v/>
      </c>
      <c r="N182" s="96">
        <f>VLOOKUP(ReviewCalcs[[#This Row],[Project Index]], ProjectInput[], P$1, FALSE)</f>
        <v>0</v>
      </c>
      <c r="O182" s="97">
        <f>VLOOKUP(ReviewCalcs[[#This Row],[Project Index]], ProjectInput[], Q$1, FALSE)</f>
        <v>0</v>
      </c>
      <c r="P182" s="97">
        <f>VLOOKUP(ReviewCalcs[[#This Row],[Project Index]], ProjectInput[], R$1, FALSE)</f>
        <v>0</v>
      </c>
      <c r="Q182" s="97">
        <f>VLOOKUP(ReviewCalcs[[#This Row],[Project Index]], ProjectInput[], S$1, FALSE)</f>
        <v>0</v>
      </c>
      <c r="R182" s="97">
        <f>VLOOKUP(ReviewCalcs[[#This Row],[Project Index]], ProjectInput[], T$1, FALSE)</f>
        <v>0</v>
      </c>
      <c r="S182" s="97">
        <f>VLOOKUP(ReviewCalcs[[#This Row],[Project Index]], ProjectInput[], U$1, FALSE)</f>
        <v>0</v>
      </c>
      <c r="T182" s="97">
        <f>VLOOKUP(ReviewCalcs[[#This Row],[Project Index]], ProjectInput[], V$1, FALSE)</f>
        <v>0</v>
      </c>
      <c r="U182" s="97">
        <f>VLOOKUP(ReviewCalcs[[#This Row],[Project Index]], ProjectInput[], W$1, FALSE)</f>
        <v>0</v>
      </c>
      <c r="V182" s="98" t="str">
        <f>VLOOKUP(ReviewCalcs[[#This Row],[Project Index]], ProjectInput[], X$1, FALSE)</f>
        <v/>
      </c>
      <c r="W1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2" s="75" t="e">
        <f>IF(VLOOKUP(ReviewCalcs[[#This Row],[Proposed Fixture Code]], Table7[[FIXTURE CODE]:[Baseline Fixture Code]], 8, FALSE)="N", "ERROR", "PASS")</f>
        <v>#N/A</v>
      </c>
      <c r="Y1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2" s="75" t="e">
        <f>IF(OR(ReviewCalcs[[#This Row],[Baseline Fixture Watts]]&gt;=ReviewCalcs[[#This Row],[Proposed Fixture Watts]],ReviewCalcs[[#This Row],[Existing Fixture Watts]]&gt;=ReviewCalcs[[#This Row],[Proposed Fixture Watts]] ), "PASS", "ERROR")</f>
        <v>#N/A</v>
      </c>
      <c r="AA182" s="69" t="e">
        <f>VLOOKUP(ReviewCalcs[[#This Row],[Space Conditions]], Table_365[], 5, FALSE)</f>
        <v>#N/A</v>
      </c>
      <c r="AB182" s="68" t="str">
        <f>ReviewCalcs[[#This Row],[Annual Hours]]</f>
        <v/>
      </c>
      <c r="AC182" s="68" t="e">
        <f>VLOOKUP(ReviewCalcs[[#This Row],[Space Conditions]], Table_365[], 6, FALSE)</f>
        <v>#N/A</v>
      </c>
      <c r="AD182" s="68">
        <f>IF(ReviewCalcs[[#This Row],[Existing Control(s)]]='Tables &amp; Ranges'!$A$25, VLOOKUP(ReviewCalcs[[#This Row],[Building/Space Type]], Table_364[], 3, FALSE), CF_Contols)</f>
        <v>0.26</v>
      </c>
      <c r="AE182" s="68" t="e">
        <f>VLOOKUP(ReviewCalcs[[#This Row],[Existing Control(s)]], Table_358[], 2, FALSE)</f>
        <v>#N/A</v>
      </c>
      <c r="AF182" s="68">
        <f>IF(ReviewCalcs[[#This Row],[Proposed Control(s)]]='Tables &amp; Ranges'!$A$25, VLOOKUP(ReviewCalcs[[#This Row],[Building/Space Type]], Table_364[], 3, FALSE), CF_Contols)</f>
        <v>0.26</v>
      </c>
      <c r="AG182" s="68" t="e">
        <f>VLOOKUP(ReviewCalcs[[#This Row],[Proposed Control(s)]], Table_358[], 2, FALSE)</f>
        <v>#N/A</v>
      </c>
      <c r="AH182" s="68">
        <f>IFERROR((ReviewCalcs[[#This Row],[Existing Fixture Quantity]]*ReviewCalcs[[#This Row],[Existing Fixture Watts]]/1000)*ReviewCalcs[[#This Row],[Existing CF]]*ReviewCalcs[[#This Row],[IEFD]], 0)</f>
        <v>0</v>
      </c>
      <c r="AI182" s="68">
        <f>IFERROR((ReviewCalcs[[#This Row],[Proposed Fixture Quantity]]*ReviewCalcs[[#This Row],[Proposed Fixture Watts]]/1000)*ReviewCalcs[[#This Row],[Existing CF]]*ReviewCalcs[[#This Row],[IEFD]], 0)</f>
        <v>0</v>
      </c>
      <c r="AJ182" s="118">
        <f>IFERROR((ReviewCalcs[[#This Row],[Existing Fixture Quantity]]*ReviewCalcs[[#This Row],[Existing Fixture Watts]]/1000-ReviewCalcs[[#This Row],[Proposed Fixture Quantity]]*ReviewCalcs[[#This Row],[Proposed Fixture Watts]]/1000)*ReviewCalcs[[#This Row],[Existing CF]]*ReviewCalcs[[#This Row],[IEFD]], 0)</f>
        <v>0</v>
      </c>
      <c r="AK182" s="118">
        <f>IFERROR((ReviewCalcs[[#This Row],[Existing Fixture Quantity]]*ReviewCalcs[[#This Row],[Existing Fixture Watts]]/1000)*ReviewCalcs[[#This Row],[AOH]]*ReviewCalcs[[#This Row],[IEFE]]*ReviewCalcs[[#This Row],[Existing PAF]], 0)</f>
        <v>0</v>
      </c>
      <c r="AL182" s="118">
        <f>IFERROR((ReviewCalcs[[#This Row],[Proposed Fixture Quantity]]*ReviewCalcs[[#This Row],[Proposed Fixture Watts]]/1000)*ReviewCalcs[[#This Row],[AOH]]*ReviewCalcs[[#This Row],[IEFE]]*ReviewCalcs[[#This Row],[Existing PAF]], 0)</f>
        <v>0</v>
      </c>
      <c r="AM1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2" s="118">
        <f>ReviewCalcs[[#This Row],[Fixture Existing Energy (kWh)]]*Avg_KWh_Rate</f>
        <v>0</v>
      </c>
      <c r="AO182" s="118">
        <f>ReviewCalcs[[#This Row],[Fixture Proposed Energy (kWh)]]*Avg_KWh_Rate</f>
        <v>0</v>
      </c>
      <c r="AP182" s="70">
        <f>ReviewCalcs[[#This Row],[Fixture Energy Savings]]*Avg_KWh_Rate</f>
        <v>0</v>
      </c>
      <c r="AQ182" s="129" t="e">
        <f>ReviewCalcs[[#This Row],[Existing Fixture Quantity]]*ReviewCalcs[[#This Row],[Existing Fixture Watts]]/1000*ReviewCalcs[[#This Row],[Existing CF]]*ReviewCalcs[[#This Row],[IEFD]]</f>
        <v>#VALUE!</v>
      </c>
      <c r="AR182" s="129" t="e">
        <f>ReviewCalcs[[#This Row],[Proposed Fixture Quantity]]*ReviewCalcs[[#This Row],[Proposed Fixture Watts]]/1000*ReviewCalcs[[#This Row],[Proposed CF]]*ReviewCalcs[[#This Row],[IEFD]]</f>
        <v>#VALUE!</v>
      </c>
      <c r="AS182" s="118">
        <f>IF(ReviewCalcs[[#This Row],[Existing CF]]=ReviewCalcs[[#This Row],[Proposed CF]], 0, ReviewCalcs[[#This Row],[Proposed Fixture Quantity]]*ReviewCalcs[[#This Row],[Proposed Fixture Watts]]/1000*ReviewCalcs[[#This Row],[Proposed CF]]*ReviewCalcs[[#This Row],[IEFD]])</f>
        <v>0</v>
      </c>
      <c r="AT182" s="118">
        <f>IFERROR(ReviewCalcs[[#This Row],[Existing Fixture Quantity]]*ReviewCalcs[[#This Row],[Existing Fixture Watts]]/1000*ReviewCalcs[[#This Row],[Existing PAF]]*ReviewCalcs[[#This Row],[AOH]]*ReviewCalcs[[#This Row],[IEFE]], 0)</f>
        <v>0</v>
      </c>
      <c r="AU182" s="118">
        <f>IFERROR(ReviewCalcs[[#This Row],[Proposed Fixture Quantity]]*ReviewCalcs[[#This Row],[Proposed Fixture Watts]]/1000*ReviewCalcs[[#This Row],[Proposed PAF]]*ReviewCalcs[[#This Row],[AOH]]*ReviewCalcs[[#This Row],[IEFE]], 0)</f>
        <v>0</v>
      </c>
      <c r="AV182" s="118">
        <f>IFERROR(ReviewCalcs[[#This Row],[Proposed Fixture Quantity]]*ReviewCalcs[[#This Row],[Proposed Fixture Watts]]/1000*(ReviewCalcs[[#This Row],[Existing PAF]]-ReviewCalcs[[#This Row],[Proposed PAF]])*ReviewCalcs[[#This Row],[AOH]]*ReviewCalcs[[#This Row],[IEFE]], 0)</f>
        <v>0</v>
      </c>
      <c r="AW182" s="118">
        <f>ReviewCalcs[[#This Row],[Control Existing Energy (kWh)]]*kWh_Incentive_Rate</f>
        <v>0</v>
      </c>
      <c r="AX182" s="118">
        <f>ReviewCalcs[[#This Row],[Control Proposed Energy (kWh)]]*kWh_Incentive_Rate</f>
        <v>0</v>
      </c>
      <c r="AY182" s="70">
        <f>ReviewCalcs[[#This Row],[Control Energy Savings (kWh)]]*kWh_Incentive_Rate</f>
        <v>0</v>
      </c>
      <c r="AZ182" s="70" t="e">
        <f>ReviewCalcs[[#This Row],[Fixture Existing Demand (kW)]]+ReviewCalcs[[#This Row],[Control Existing Demand (kW)]]</f>
        <v>#VALUE!</v>
      </c>
      <c r="BA182" s="70" t="e">
        <f>ReviewCalcs[[#This Row],[Fixture Proposed Demand (kW)]]+ReviewCalcs[[#This Row],[Control Proposed Demand (kW)]]</f>
        <v>#VALUE!</v>
      </c>
      <c r="BB182" s="118">
        <f>ReviewCalcs[[#This Row],[Fixture Demand Savings (kW)]]+ReviewCalcs[[#This Row],[Control Demand Savings (kW)]]</f>
        <v>0</v>
      </c>
      <c r="BC182" s="118">
        <f>ReviewCalcs[[#This Row],[Fixture Existing Energy (kWh)]]+ReviewCalcs[[#This Row],[Control Existing Energy (kWh)]]</f>
        <v>0</v>
      </c>
      <c r="BD182" s="118">
        <f>ReviewCalcs[[#This Row],[Fixture Proposed Energy (kWh)]]+ReviewCalcs[[#This Row],[Control Proposed Energy (kWh)]]</f>
        <v>0</v>
      </c>
      <c r="BE182" s="118">
        <f>ReviewCalcs[[#This Row],[Fixture Energy Savings]]+ReviewCalcs[[#This Row],[Control Energy Savings (kWh)]]</f>
        <v>0</v>
      </c>
      <c r="BF182" s="118">
        <f>ReviewCalcs[[#This Row],[Fixture Existing Cost ($)]]+ReviewCalcs[[#This Row],[Control Existing Cost ($)]]</f>
        <v>0</v>
      </c>
      <c r="BG182" s="118">
        <f>ReviewCalcs[[#This Row],[Fixture Proposed Cost ($)]]+ReviewCalcs[[#This Row],[Controls Proposed Cost ($)]]</f>
        <v>0</v>
      </c>
      <c r="BH182" s="70">
        <f>ReviewCalcs[[#This Row],[Total Energy Savings (kWh)]]*Avg_KWh_Rate</f>
        <v>0</v>
      </c>
      <c r="BI1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2" s="70">
        <f>ReviewCalcs[[#This Row],[Retrofit Cost]]</f>
        <v>0</v>
      </c>
      <c r="BK182" s="70">
        <f>ReviewCalcs[[#This Row],[Retrofit Cost]]-ReviewCalcs[[#This Row],[Incentive ($)]]</f>
        <v>0</v>
      </c>
      <c r="BL182" s="118" t="e">
        <f>IFERROR(ReviewCalcs[[#This Row],[Net Project Cost ($)]]/ReviewCalcs[[#This Row],[Fixture Energy Cost Savings ($)]], #N/A)</f>
        <v>#N/A</v>
      </c>
      <c r="BM182" s="118" t="e">
        <f>IF(VLOOKUP(ReviewCalcs[[#This Row],[Existing Fixture Code]], Table7[[FIXTURE CODE]:[Baseline Fixture Code]], 8, FALSE)="N", VLOOKUP(ReviewCalcs[[#This Row],[Existing Fixture Code]], Table7[[FIXTURE CODE]:[Baseline Fixture Code]], 9, FALSE), ReviewCalcs[[#This Row],[Existing Fixture Code]])</f>
        <v>#N/A</v>
      </c>
      <c r="BN182" s="118" t="e">
        <f>INDEX(Table7[WATT/ FIXT], MATCH(ReviewCalcs[Baseline Fixture Code], Table7[FIXTURE CODE], 0))</f>
        <v>#N/A</v>
      </c>
      <c r="BO182" s="118">
        <f>IFERROR((ReviewCalcs[[#This Row],[Existing Fixture Quantity]]*ReviewCalcs[[#This Row],[Baseline Fixture Watts]]/1000-ReviewCalcs[[#This Row],[Proposed Fixture Quantity]]*ReviewCalcs[[#This Row],[Proposed Fixture Watts]]/1000)*ReviewCalcs[[#This Row],[Existing CF]]*ReviewCalcs[[#This Row],[IEFD]], 0)</f>
        <v>0</v>
      </c>
      <c r="BP1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2" s="118">
        <f>IF(ReviewCalcs[[#This Row],[Existing CF]]=ReviewCalcs[[#This Row],[Proposed CF]], 0, ReviewCalcs[[#This Row],[Proposed Fixture Quantity]]*ReviewCalcs[[#This Row],[Proposed Fixture Watts]]/1000*ReviewCalcs[[#This Row],[Proposed CF]]*ReviewCalcs[[#This Row],[IEFD]])</f>
        <v>0</v>
      </c>
      <c r="BR182" s="118">
        <f>IFERROR(ReviewCalcs[[#This Row],[Proposed Fixture Quantity]]*ReviewCalcs[[#This Row],[Proposed Fixture Watts]]/1000*(ReviewCalcs[[#This Row],[Existing PAF]]-ReviewCalcs[[#This Row],[Proposed PAF]])*ReviewCalcs[[#This Row],[AOH]]*ReviewCalcs[[#This Row],[IEFE]],0)</f>
        <v>0</v>
      </c>
      <c r="BS182" s="118">
        <f>ReviewCalcs[[#This Row],[Incentive Fixture Demand Savings (kW)]]+ReviewCalcs[[#This Row],[Incentive Control Demand Savings (kW)]]</f>
        <v>0</v>
      </c>
      <c r="BT182" s="118">
        <f>ReviewCalcs[[#This Row],[Incentive Fixture Energy Savings (kWh)]]+ReviewCalcs[[#This Row],[Incentive Control Energy Savings (kWh)]]</f>
        <v>0</v>
      </c>
      <c r="BU182" s="73"/>
    </row>
    <row r="183" spans="1:73" ht="30" customHeight="1">
      <c r="A183" s="68">
        <v>180</v>
      </c>
      <c r="B183" s="96">
        <f>VLOOKUP(ReviewCalcs[[#This Row],[Project Index]], ProjectInput[], D$1, FALSE)</f>
        <v>0</v>
      </c>
      <c r="C183" s="97">
        <f>VLOOKUP(ReviewCalcs[[#This Row],[Project Index]], ProjectInput[], E$1, FALSE)</f>
        <v>0</v>
      </c>
      <c r="D183" s="97">
        <f>VLOOKUP(ReviewCalcs[[#This Row],[Project Index]], ProjectInput[], F$1, FALSE)</f>
        <v>0</v>
      </c>
      <c r="E183" s="97">
        <f>VLOOKUP(ReviewCalcs[[#This Row],[Project Index]], ProjectInput[], G$1, FALSE)</f>
        <v>0</v>
      </c>
      <c r="F183" s="97">
        <f>VLOOKUP(ReviewCalcs[[#This Row],[Project Index]], ProjectInput[], H$1, FALSE)</f>
        <v>0</v>
      </c>
      <c r="G183" s="98" t="str">
        <f>VLOOKUP(ReviewCalcs[[#This Row],[Project Index]], ProjectInput[], I$1, FALSE)</f>
        <v/>
      </c>
      <c r="H183" s="96">
        <f>VLOOKUP(ReviewCalcs[[#This Row],[Project Index]], ProjectInput[], J$1, FALSE)</f>
        <v>0</v>
      </c>
      <c r="I183" s="97">
        <f>VLOOKUP(ReviewCalcs[[#This Row],[Project Index]], ProjectInput[], K$1, FALSE)</f>
        <v>0</v>
      </c>
      <c r="J183" s="97">
        <f>VLOOKUP(ReviewCalcs[[#This Row],[Project Index]], ProjectInput[], L$1, FALSE)</f>
        <v>0</v>
      </c>
      <c r="K183" s="97">
        <f>VLOOKUP(ReviewCalcs[[#This Row],[Project Index]], ProjectInput[], M$1, FALSE)</f>
        <v>0</v>
      </c>
      <c r="L183" s="97">
        <f>VLOOKUP(ReviewCalcs[[#This Row],[Project Index]], ProjectInput[], N$1, FALSE)</f>
        <v>0</v>
      </c>
      <c r="M183" s="98" t="str">
        <f>VLOOKUP(ReviewCalcs[[#This Row],[Project Index]], ProjectInput[], O$1, FALSE)</f>
        <v/>
      </c>
      <c r="N183" s="96">
        <f>VLOOKUP(ReviewCalcs[[#This Row],[Project Index]], ProjectInput[], P$1, FALSE)</f>
        <v>0</v>
      </c>
      <c r="O183" s="97">
        <f>VLOOKUP(ReviewCalcs[[#This Row],[Project Index]], ProjectInput[], Q$1, FALSE)</f>
        <v>0</v>
      </c>
      <c r="P183" s="97">
        <f>VLOOKUP(ReviewCalcs[[#This Row],[Project Index]], ProjectInput[], R$1, FALSE)</f>
        <v>0</v>
      </c>
      <c r="Q183" s="97">
        <f>VLOOKUP(ReviewCalcs[[#This Row],[Project Index]], ProjectInput[], S$1, FALSE)</f>
        <v>0</v>
      </c>
      <c r="R183" s="97">
        <f>VLOOKUP(ReviewCalcs[[#This Row],[Project Index]], ProjectInput[], T$1, FALSE)</f>
        <v>0</v>
      </c>
      <c r="S183" s="97">
        <f>VLOOKUP(ReviewCalcs[[#This Row],[Project Index]], ProjectInput[], U$1, FALSE)</f>
        <v>0</v>
      </c>
      <c r="T183" s="97">
        <f>VLOOKUP(ReviewCalcs[[#This Row],[Project Index]], ProjectInput[], V$1, FALSE)</f>
        <v>0</v>
      </c>
      <c r="U183" s="97">
        <f>VLOOKUP(ReviewCalcs[[#This Row],[Project Index]], ProjectInput[], W$1, FALSE)</f>
        <v>0</v>
      </c>
      <c r="V183" s="98" t="str">
        <f>VLOOKUP(ReviewCalcs[[#This Row],[Project Index]], ProjectInput[], X$1, FALSE)</f>
        <v/>
      </c>
      <c r="W1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3" s="75" t="e">
        <f>IF(VLOOKUP(ReviewCalcs[[#This Row],[Proposed Fixture Code]], Table7[[FIXTURE CODE]:[Baseline Fixture Code]], 8, FALSE)="N", "ERROR", "PASS")</f>
        <v>#N/A</v>
      </c>
      <c r="Y1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3" s="75" t="e">
        <f>IF(OR(ReviewCalcs[[#This Row],[Baseline Fixture Watts]]&gt;=ReviewCalcs[[#This Row],[Proposed Fixture Watts]],ReviewCalcs[[#This Row],[Existing Fixture Watts]]&gt;=ReviewCalcs[[#This Row],[Proposed Fixture Watts]] ), "PASS", "ERROR")</f>
        <v>#N/A</v>
      </c>
      <c r="AA183" s="69" t="e">
        <f>VLOOKUP(ReviewCalcs[[#This Row],[Space Conditions]], Table_365[], 5, FALSE)</f>
        <v>#N/A</v>
      </c>
      <c r="AB183" s="68" t="str">
        <f>ReviewCalcs[[#This Row],[Annual Hours]]</f>
        <v/>
      </c>
      <c r="AC183" s="68" t="e">
        <f>VLOOKUP(ReviewCalcs[[#This Row],[Space Conditions]], Table_365[], 6, FALSE)</f>
        <v>#N/A</v>
      </c>
      <c r="AD183" s="68">
        <f>IF(ReviewCalcs[[#This Row],[Existing Control(s)]]='Tables &amp; Ranges'!$A$25, VLOOKUP(ReviewCalcs[[#This Row],[Building/Space Type]], Table_364[], 3, FALSE), CF_Contols)</f>
        <v>0.26</v>
      </c>
      <c r="AE183" s="68" t="e">
        <f>VLOOKUP(ReviewCalcs[[#This Row],[Existing Control(s)]], Table_358[], 2, FALSE)</f>
        <v>#N/A</v>
      </c>
      <c r="AF183" s="68">
        <f>IF(ReviewCalcs[[#This Row],[Proposed Control(s)]]='Tables &amp; Ranges'!$A$25, VLOOKUP(ReviewCalcs[[#This Row],[Building/Space Type]], Table_364[], 3, FALSE), CF_Contols)</f>
        <v>0.26</v>
      </c>
      <c r="AG183" s="68" t="e">
        <f>VLOOKUP(ReviewCalcs[[#This Row],[Proposed Control(s)]], Table_358[], 2, FALSE)</f>
        <v>#N/A</v>
      </c>
      <c r="AH183" s="68">
        <f>IFERROR((ReviewCalcs[[#This Row],[Existing Fixture Quantity]]*ReviewCalcs[[#This Row],[Existing Fixture Watts]]/1000)*ReviewCalcs[[#This Row],[Existing CF]]*ReviewCalcs[[#This Row],[IEFD]], 0)</f>
        <v>0</v>
      </c>
      <c r="AI183" s="68">
        <f>IFERROR((ReviewCalcs[[#This Row],[Proposed Fixture Quantity]]*ReviewCalcs[[#This Row],[Proposed Fixture Watts]]/1000)*ReviewCalcs[[#This Row],[Existing CF]]*ReviewCalcs[[#This Row],[IEFD]], 0)</f>
        <v>0</v>
      </c>
      <c r="AJ183" s="118">
        <f>IFERROR((ReviewCalcs[[#This Row],[Existing Fixture Quantity]]*ReviewCalcs[[#This Row],[Existing Fixture Watts]]/1000-ReviewCalcs[[#This Row],[Proposed Fixture Quantity]]*ReviewCalcs[[#This Row],[Proposed Fixture Watts]]/1000)*ReviewCalcs[[#This Row],[Existing CF]]*ReviewCalcs[[#This Row],[IEFD]], 0)</f>
        <v>0</v>
      </c>
      <c r="AK183" s="118">
        <f>IFERROR((ReviewCalcs[[#This Row],[Existing Fixture Quantity]]*ReviewCalcs[[#This Row],[Existing Fixture Watts]]/1000)*ReviewCalcs[[#This Row],[AOH]]*ReviewCalcs[[#This Row],[IEFE]]*ReviewCalcs[[#This Row],[Existing PAF]], 0)</f>
        <v>0</v>
      </c>
      <c r="AL183" s="118">
        <f>IFERROR((ReviewCalcs[[#This Row],[Proposed Fixture Quantity]]*ReviewCalcs[[#This Row],[Proposed Fixture Watts]]/1000)*ReviewCalcs[[#This Row],[AOH]]*ReviewCalcs[[#This Row],[IEFE]]*ReviewCalcs[[#This Row],[Existing PAF]], 0)</f>
        <v>0</v>
      </c>
      <c r="AM1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3" s="118">
        <f>ReviewCalcs[[#This Row],[Fixture Existing Energy (kWh)]]*Avg_KWh_Rate</f>
        <v>0</v>
      </c>
      <c r="AO183" s="118">
        <f>ReviewCalcs[[#This Row],[Fixture Proposed Energy (kWh)]]*Avg_KWh_Rate</f>
        <v>0</v>
      </c>
      <c r="AP183" s="70">
        <f>ReviewCalcs[[#This Row],[Fixture Energy Savings]]*Avg_KWh_Rate</f>
        <v>0</v>
      </c>
      <c r="AQ183" s="129" t="e">
        <f>ReviewCalcs[[#This Row],[Existing Fixture Quantity]]*ReviewCalcs[[#This Row],[Existing Fixture Watts]]/1000*ReviewCalcs[[#This Row],[Existing CF]]*ReviewCalcs[[#This Row],[IEFD]]</f>
        <v>#VALUE!</v>
      </c>
      <c r="AR183" s="129" t="e">
        <f>ReviewCalcs[[#This Row],[Proposed Fixture Quantity]]*ReviewCalcs[[#This Row],[Proposed Fixture Watts]]/1000*ReviewCalcs[[#This Row],[Proposed CF]]*ReviewCalcs[[#This Row],[IEFD]]</f>
        <v>#VALUE!</v>
      </c>
      <c r="AS183" s="118">
        <f>IF(ReviewCalcs[[#This Row],[Existing CF]]=ReviewCalcs[[#This Row],[Proposed CF]], 0, ReviewCalcs[[#This Row],[Proposed Fixture Quantity]]*ReviewCalcs[[#This Row],[Proposed Fixture Watts]]/1000*ReviewCalcs[[#This Row],[Proposed CF]]*ReviewCalcs[[#This Row],[IEFD]])</f>
        <v>0</v>
      </c>
      <c r="AT183" s="118">
        <f>IFERROR(ReviewCalcs[[#This Row],[Existing Fixture Quantity]]*ReviewCalcs[[#This Row],[Existing Fixture Watts]]/1000*ReviewCalcs[[#This Row],[Existing PAF]]*ReviewCalcs[[#This Row],[AOH]]*ReviewCalcs[[#This Row],[IEFE]], 0)</f>
        <v>0</v>
      </c>
      <c r="AU183" s="118">
        <f>IFERROR(ReviewCalcs[[#This Row],[Proposed Fixture Quantity]]*ReviewCalcs[[#This Row],[Proposed Fixture Watts]]/1000*ReviewCalcs[[#This Row],[Proposed PAF]]*ReviewCalcs[[#This Row],[AOH]]*ReviewCalcs[[#This Row],[IEFE]], 0)</f>
        <v>0</v>
      </c>
      <c r="AV183" s="118">
        <f>IFERROR(ReviewCalcs[[#This Row],[Proposed Fixture Quantity]]*ReviewCalcs[[#This Row],[Proposed Fixture Watts]]/1000*(ReviewCalcs[[#This Row],[Existing PAF]]-ReviewCalcs[[#This Row],[Proposed PAF]])*ReviewCalcs[[#This Row],[AOH]]*ReviewCalcs[[#This Row],[IEFE]], 0)</f>
        <v>0</v>
      </c>
      <c r="AW183" s="118">
        <f>ReviewCalcs[[#This Row],[Control Existing Energy (kWh)]]*kWh_Incentive_Rate</f>
        <v>0</v>
      </c>
      <c r="AX183" s="118">
        <f>ReviewCalcs[[#This Row],[Control Proposed Energy (kWh)]]*kWh_Incentive_Rate</f>
        <v>0</v>
      </c>
      <c r="AY183" s="70">
        <f>ReviewCalcs[[#This Row],[Control Energy Savings (kWh)]]*kWh_Incentive_Rate</f>
        <v>0</v>
      </c>
      <c r="AZ183" s="70" t="e">
        <f>ReviewCalcs[[#This Row],[Fixture Existing Demand (kW)]]+ReviewCalcs[[#This Row],[Control Existing Demand (kW)]]</f>
        <v>#VALUE!</v>
      </c>
      <c r="BA183" s="70" t="e">
        <f>ReviewCalcs[[#This Row],[Fixture Proposed Demand (kW)]]+ReviewCalcs[[#This Row],[Control Proposed Demand (kW)]]</f>
        <v>#VALUE!</v>
      </c>
      <c r="BB183" s="118">
        <f>ReviewCalcs[[#This Row],[Fixture Demand Savings (kW)]]+ReviewCalcs[[#This Row],[Control Demand Savings (kW)]]</f>
        <v>0</v>
      </c>
      <c r="BC183" s="118">
        <f>ReviewCalcs[[#This Row],[Fixture Existing Energy (kWh)]]+ReviewCalcs[[#This Row],[Control Existing Energy (kWh)]]</f>
        <v>0</v>
      </c>
      <c r="BD183" s="118">
        <f>ReviewCalcs[[#This Row],[Fixture Proposed Energy (kWh)]]+ReviewCalcs[[#This Row],[Control Proposed Energy (kWh)]]</f>
        <v>0</v>
      </c>
      <c r="BE183" s="118">
        <f>ReviewCalcs[[#This Row],[Fixture Energy Savings]]+ReviewCalcs[[#This Row],[Control Energy Savings (kWh)]]</f>
        <v>0</v>
      </c>
      <c r="BF183" s="118">
        <f>ReviewCalcs[[#This Row],[Fixture Existing Cost ($)]]+ReviewCalcs[[#This Row],[Control Existing Cost ($)]]</f>
        <v>0</v>
      </c>
      <c r="BG183" s="118">
        <f>ReviewCalcs[[#This Row],[Fixture Proposed Cost ($)]]+ReviewCalcs[[#This Row],[Controls Proposed Cost ($)]]</f>
        <v>0</v>
      </c>
      <c r="BH183" s="70">
        <f>ReviewCalcs[[#This Row],[Total Energy Savings (kWh)]]*Avg_KWh_Rate</f>
        <v>0</v>
      </c>
      <c r="BI1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3" s="70">
        <f>ReviewCalcs[[#This Row],[Retrofit Cost]]</f>
        <v>0</v>
      </c>
      <c r="BK183" s="70">
        <f>ReviewCalcs[[#This Row],[Retrofit Cost]]-ReviewCalcs[[#This Row],[Incentive ($)]]</f>
        <v>0</v>
      </c>
      <c r="BL183" s="118" t="e">
        <f>IFERROR(ReviewCalcs[[#This Row],[Net Project Cost ($)]]/ReviewCalcs[[#This Row],[Fixture Energy Cost Savings ($)]], #N/A)</f>
        <v>#N/A</v>
      </c>
      <c r="BM183" s="118" t="e">
        <f>IF(VLOOKUP(ReviewCalcs[[#This Row],[Existing Fixture Code]], Table7[[FIXTURE CODE]:[Baseline Fixture Code]], 8, FALSE)="N", VLOOKUP(ReviewCalcs[[#This Row],[Existing Fixture Code]], Table7[[FIXTURE CODE]:[Baseline Fixture Code]], 9, FALSE), ReviewCalcs[[#This Row],[Existing Fixture Code]])</f>
        <v>#N/A</v>
      </c>
      <c r="BN183" s="118" t="e">
        <f>INDEX(Table7[WATT/ FIXT], MATCH(ReviewCalcs[Baseline Fixture Code], Table7[FIXTURE CODE], 0))</f>
        <v>#N/A</v>
      </c>
      <c r="BO183" s="118">
        <f>IFERROR((ReviewCalcs[[#This Row],[Existing Fixture Quantity]]*ReviewCalcs[[#This Row],[Baseline Fixture Watts]]/1000-ReviewCalcs[[#This Row],[Proposed Fixture Quantity]]*ReviewCalcs[[#This Row],[Proposed Fixture Watts]]/1000)*ReviewCalcs[[#This Row],[Existing CF]]*ReviewCalcs[[#This Row],[IEFD]], 0)</f>
        <v>0</v>
      </c>
      <c r="BP1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3" s="118">
        <f>IF(ReviewCalcs[[#This Row],[Existing CF]]=ReviewCalcs[[#This Row],[Proposed CF]], 0, ReviewCalcs[[#This Row],[Proposed Fixture Quantity]]*ReviewCalcs[[#This Row],[Proposed Fixture Watts]]/1000*ReviewCalcs[[#This Row],[Proposed CF]]*ReviewCalcs[[#This Row],[IEFD]])</f>
        <v>0</v>
      </c>
      <c r="BR183" s="118">
        <f>IFERROR(ReviewCalcs[[#This Row],[Proposed Fixture Quantity]]*ReviewCalcs[[#This Row],[Proposed Fixture Watts]]/1000*(ReviewCalcs[[#This Row],[Existing PAF]]-ReviewCalcs[[#This Row],[Proposed PAF]])*ReviewCalcs[[#This Row],[AOH]]*ReviewCalcs[[#This Row],[IEFE]],0)</f>
        <v>0</v>
      </c>
      <c r="BS183" s="118">
        <f>ReviewCalcs[[#This Row],[Incentive Fixture Demand Savings (kW)]]+ReviewCalcs[[#This Row],[Incentive Control Demand Savings (kW)]]</f>
        <v>0</v>
      </c>
      <c r="BT183" s="118">
        <f>ReviewCalcs[[#This Row],[Incentive Fixture Energy Savings (kWh)]]+ReviewCalcs[[#This Row],[Incentive Control Energy Savings (kWh)]]</f>
        <v>0</v>
      </c>
      <c r="BU183" s="73"/>
    </row>
    <row r="184" spans="1:73" ht="30" customHeight="1">
      <c r="A184" s="68">
        <v>181</v>
      </c>
      <c r="B184" s="96">
        <f>VLOOKUP(ReviewCalcs[[#This Row],[Project Index]], ProjectInput[], D$1, FALSE)</f>
        <v>0</v>
      </c>
      <c r="C184" s="97">
        <f>VLOOKUP(ReviewCalcs[[#This Row],[Project Index]], ProjectInput[], E$1, FALSE)</f>
        <v>0</v>
      </c>
      <c r="D184" s="97">
        <f>VLOOKUP(ReviewCalcs[[#This Row],[Project Index]], ProjectInput[], F$1, FALSE)</f>
        <v>0</v>
      </c>
      <c r="E184" s="97">
        <f>VLOOKUP(ReviewCalcs[[#This Row],[Project Index]], ProjectInput[], G$1, FALSE)</f>
        <v>0</v>
      </c>
      <c r="F184" s="97">
        <f>VLOOKUP(ReviewCalcs[[#This Row],[Project Index]], ProjectInput[], H$1, FALSE)</f>
        <v>0</v>
      </c>
      <c r="G184" s="98" t="str">
        <f>VLOOKUP(ReviewCalcs[[#This Row],[Project Index]], ProjectInput[], I$1, FALSE)</f>
        <v/>
      </c>
      <c r="H184" s="96">
        <f>VLOOKUP(ReviewCalcs[[#This Row],[Project Index]], ProjectInput[], J$1, FALSE)</f>
        <v>0</v>
      </c>
      <c r="I184" s="97">
        <f>VLOOKUP(ReviewCalcs[[#This Row],[Project Index]], ProjectInput[], K$1, FALSE)</f>
        <v>0</v>
      </c>
      <c r="J184" s="97">
        <f>VLOOKUP(ReviewCalcs[[#This Row],[Project Index]], ProjectInput[], L$1, FALSE)</f>
        <v>0</v>
      </c>
      <c r="K184" s="97">
        <f>VLOOKUP(ReviewCalcs[[#This Row],[Project Index]], ProjectInput[], M$1, FALSE)</f>
        <v>0</v>
      </c>
      <c r="L184" s="97">
        <f>VLOOKUP(ReviewCalcs[[#This Row],[Project Index]], ProjectInput[], N$1, FALSE)</f>
        <v>0</v>
      </c>
      <c r="M184" s="98" t="str">
        <f>VLOOKUP(ReviewCalcs[[#This Row],[Project Index]], ProjectInput[], O$1, FALSE)</f>
        <v/>
      </c>
      <c r="N184" s="96">
        <f>VLOOKUP(ReviewCalcs[[#This Row],[Project Index]], ProjectInput[], P$1, FALSE)</f>
        <v>0</v>
      </c>
      <c r="O184" s="97">
        <f>VLOOKUP(ReviewCalcs[[#This Row],[Project Index]], ProjectInput[], Q$1, FALSE)</f>
        <v>0</v>
      </c>
      <c r="P184" s="97">
        <f>VLOOKUP(ReviewCalcs[[#This Row],[Project Index]], ProjectInput[], R$1, FALSE)</f>
        <v>0</v>
      </c>
      <c r="Q184" s="97">
        <f>VLOOKUP(ReviewCalcs[[#This Row],[Project Index]], ProjectInput[], S$1, FALSE)</f>
        <v>0</v>
      </c>
      <c r="R184" s="97">
        <f>VLOOKUP(ReviewCalcs[[#This Row],[Project Index]], ProjectInput[], T$1, FALSE)</f>
        <v>0</v>
      </c>
      <c r="S184" s="97">
        <f>VLOOKUP(ReviewCalcs[[#This Row],[Project Index]], ProjectInput[], U$1, FALSE)</f>
        <v>0</v>
      </c>
      <c r="T184" s="97">
        <f>VLOOKUP(ReviewCalcs[[#This Row],[Project Index]], ProjectInput[], V$1, FALSE)</f>
        <v>0</v>
      </c>
      <c r="U184" s="97">
        <f>VLOOKUP(ReviewCalcs[[#This Row],[Project Index]], ProjectInput[], W$1, FALSE)</f>
        <v>0</v>
      </c>
      <c r="V184" s="98" t="str">
        <f>VLOOKUP(ReviewCalcs[[#This Row],[Project Index]], ProjectInput[], X$1, FALSE)</f>
        <v/>
      </c>
      <c r="W1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4" s="75" t="e">
        <f>IF(VLOOKUP(ReviewCalcs[[#This Row],[Proposed Fixture Code]], Table7[[FIXTURE CODE]:[Baseline Fixture Code]], 8, FALSE)="N", "ERROR", "PASS")</f>
        <v>#N/A</v>
      </c>
      <c r="Y1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4" s="75" t="e">
        <f>IF(OR(ReviewCalcs[[#This Row],[Baseline Fixture Watts]]&gt;=ReviewCalcs[[#This Row],[Proposed Fixture Watts]],ReviewCalcs[[#This Row],[Existing Fixture Watts]]&gt;=ReviewCalcs[[#This Row],[Proposed Fixture Watts]] ), "PASS", "ERROR")</f>
        <v>#N/A</v>
      </c>
      <c r="AA184" s="69" t="e">
        <f>VLOOKUP(ReviewCalcs[[#This Row],[Space Conditions]], Table_365[], 5, FALSE)</f>
        <v>#N/A</v>
      </c>
      <c r="AB184" s="68" t="str">
        <f>ReviewCalcs[[#This Row],[Annual Hours]]</f>
        <v/>
      </c>
      <c r="AC184" s="68" t="e">
        <f>VLOOKUP(ReviewCalcs[[#This Row],[Space Conditions]], Table_365[], 6, FALSE)</f>
        <v>#N/A</v>
      </c>
      <c r="AD184" s="68">
        <f>IF(ReviewCalcs[[#This Row],[Existing Control(s)]]='Tables &amp; Ranges'!$A$25, VLOOKUP(ReviewCalcs[[#This Row],[Building/Space Type]], Table_364[], 3, FALSE), CF_Contols)</f>
        <v>0.26</v>
      </c>
      <c r="AE184" s="68" t="e">
        <f>VLOOKUP(ReviewCalcs[[#This Row],[Existing Control(s)]], Table_358[], 2, FALSE)</f>
        <v>#N/A</v>
      </c>
      <c r="AF184" s="68">
        <f>IF(ReviewCalcs[[#This Row],[Proposed Control(s)]]='Tables &amp; Ranges'!$A$25, VLOOKUP(ReviewCalcs[[#This Row],[Building/Space Type]], Table_364[], 3, FALSE), CF_Contols)</f>
        <v>0.26</v>
      </c>
      <c r="AG184" s="68" t="e">
        <f>VLOOKUP(ReviewCalcs[[#This Row],[Proposed Control(s)]], Table_358[], 2, FALSE)</f>
        <v>#N/A</v>
      </c>
      <c r="AH184" s="68">
        <f>IFERROR((ReviewCalcs[[#This Row],[Existing Fixture Quantity]]*ReviewCalcs[[#This Row],[Existing Fixture Watts]]/1000)*ReviewCalcs[[#This Row],[Existing CF]]*ReviewCalcs[[#This Row],[IEFD]], 0)</f>
        <v>0</v>
      </c>
      <c r="AI184" s="68">
        <f>IFERROR((ReviewCalcs[[#This Row],[Proposed Fixture Quantity]]*ReviewCalcs[[#This Row],[Proposed Fixture Watts]]/1000)*ReviewCalcs[[#This Row],[Existing CF]]*ReviewCalcs[[#This Row],[IEFD]], 0)</f>
        <v>0</v>
      </c>
      <c r="AJ184" s="118">
        <f>IFERROR((ReviewCalcs[[#This Row],[Existing Fixture Quantity]]*ReviewCalcs[[#This Row],[Existing Fixture Watts]]/1000-ReviewCalcs[[#This Row],[Proposed Fixture Quantity]]*ReviewCalcs[[#This Row],[Proposed Fixture Watts]]/1000)*ReviewCalcs[[#This Row],[Existing CF]]*ReviewCalcs[[#This Row],[IEFD]], 0)</f>
        <v>0</v>
      </c>
      <c r="AK184" s="118">
        <f>IFERROR((ReviewCalcs[[#This Row],[Existing Fixture Quantity]]*ReviewCalcs[[#This Row],[Existing Fixture Watts]]/1000)*ReviewCalcs[[#This Row],[AOH]]*ReviewCalcs[[#This Row],[IEFE]]*ReviewCalcs[[#This Row],[Existing PAF]], 0)</f>
        <v>0</v>
      </c>
      <c r="AL184" s="118">
        <f>IFERROR((ReviewCalcs[[#This Row],[Proposed Fixture Quantity]]*ReviewCalcs[[#This Row],[Proposed Fixture Watts]]/1000)*ReviewCalcs[[#This Row],[AOH]]*ReviewCalcs[[#This Row],[IEFE]]*ReviewCalcs[[#This Row],[Existing PAF]], 0)</f>
        <v>0</v>
      </c>
      <c r="AM1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4" s="118">
        <f>ReviewCalcs[[#This Row],[Fixture Existing Energy (kWh)]]*Avg_KWh_Rate</f>
        <v>0</v>
      </c>
      <c r="AO184" s="118">
        <f>ReviewCalcs[[#This Row],[Fixture Proposed Energy (kWh)]]*Avg_KWh_Rate</f>
        <v>0</v>
      </c>
      <c r="AP184" s="70">
        <f>ReviewCalcs[[#This Row],[Fixture Energy Savings]]*Avg_KWh_Rate</f>
        <v>0</v>
      </c>
      <c r="AQ184" s="129" t="e">
        <f>ReviewCalcs[[#This Row],[Existing Fixture Quantity]]*ReviewCalcs[[#This Row],[Existing Fixture Watts]]/1000*ReviewCalcs[[#This Row],[Existing CF]]*ReviewCalcs[[#This Row],[IEFD]]</f>
        <v>#VALUE!</v>
      </c>
      <c r="AR184" s="129" t="e">
        <f>ReviewCalcs[[#This Row],[Proposed Fixture Quantity]]*ReviewCalcs[[#This Row],[Proposed Fixture Watts]]/1000*ReviewCalcs[[#This Row],[Proposed CF]]*ReviewCalcs[[#This Row],[IEFD]]</f>
        <v>#VALUE!</v>
      </c>
      <c r="AS184" s="118">
        <f>IF(ReviewCalcs[[#This Row],[Existing CF]]=ReviewCalcs[[#This Row],[Proposed CF]], 0, ReviewCalcs[[#This Row],[Proposed Fixture Quantity]]*ReviewCalcs[[#This Row],[Proposed Fixture Watts]]/1000*ReviewCalcs[[#This Row],[Proposed CF]]*ReviewCalcs[[#This Row],[IEFD]])</f>
        <v>0</v>
      </c>
      <c r="AT184" s="118">
        <f>IFERROR(ReviewCalcs[[#This Row],[Existing Fixture Quantity]]*ReviewCalcs[[#This Row],[Existing Fixture Watts]]/1000*ReviewCalcs[[#This Row],[Existing PAF]]*ReviewCalcs[[#This Row],[AOH]]*ReviewCalcs[[#This Row],[IEFE]], 0)</f>
        <v>0</v>
      </c>
      <c r="AU184" s="118">
        <f>IFERROR(ReviewCalcs[[#This Row],[Proposed Fixture Quantity]]*ReviewCalcs[[#This Row],[Proposed Fixture Watts]]/1000*ReviewCalcs[[#This Row],[Proposed PAF]]*ReviewCalcs[[#This Row],[AOH]]*ReviewCalcs[[#This Row],[IEFE]], 0)</f>
        <v>0</v>
      </c>
      <c r="AV184" s="118">
        <f>IFERROR(ReviewCalcs[[#This Row],[Proposed Fixture Quantity]]*ReviewCalcs[[#This Row],[Proposed Fixture Watts]]/1000*(ReviewCalcs[[#This Row],[Existing PAF]]-ReviewCalcs[[#This Row],[Proposed PAF]])*ReviewCalcs[[#This Row],[AOH]]*ReviewCalcs[[#This Row],[IEFE]], 0)</f>
        <v>0</v>
      </c>
      <c r="AW184" s="118">
        <f>ReviewCalcs[[#This Row],[Control Existing Energy (kWh)]]*kWh_Incentive_Rate</f>
        <v>0</v>
      </c>
      <c r="AX184" s="118">
        <f>ReviewCalcs[[#This Row],[Control Proposed Energy (kWh)]]*kWh_Incentive_Rate</f>
        <v>0</v>
      </c>
      <c r="AY184" s="70">
        <f>ReviewCalcs[[#This Row],[Control Energy Savings (kWh)]]*kWh_Incentive_Rate</f>
        <v>0</v>
      </c>
      <c r="AZ184" s="70" t="e">
        <f>ReviewCalcs[[#This Row],[Fixture Existing Demand (kW)]]+ReviewCalcs[[#This Row],[Control Existing Demand (kW)]]</f>
        <v>#VALUE!</v>
      </c>
      <c r="BA184" s="70" t="e">
        <f>ReviewCalcs[[#This Row],[Fixture Proposed Demand (kW)]]+ReviewCalcs[[#This Row],[Control Proposed Demand (kW)]]</f>
        <v>#VALUE!</v>
      </c>
      <c r="BB184" s="118">
        <f>ReviewCalcs[[#This Row],[Fixture Demand Savings (kW)]]+ReviewCalcs[[#This Row],[Control Demand Savings (kW)]]</f>
        <v>0</v>
      </c>
      <c r="BC184" s="118">
        <f>ReviewCalcs[[#This Row],[Fixture Existing Energy (kWh)]]+ReviewCalcs[[#This Row],[Control Existing Energy (kWh)]]</f>
        <v>0</v>
      </c>
      <c r="BD184" s="118">
        <f>ReviewCalcs[[#This Row],[Fixture Proposed Energy (kWh)]]+ReviewCalcs[[#This Row],[Control Proposed Energy (kWh)]]</f>
        <v>0</v>
      </c>
      <c r="BE184" s="118">
        <f>ReviewCalcs[[#This Row],[Fixture Energy Savings]]+ReviewCalcs[[#This Row],[Control Energy Savings (kWh)]]</f>
        <v>0</v>
      </c>
      <c r="BF184" s="118">
        <f>ReviewCalcs[[#This Row],[Fixture Existing Cost ($)]]+ReviewCalcs[[#This Row],[Control Existing Cost ($)]]</f>
        <v>0</v>
      </c>
      <c r="BG184" s="118">
        <f>ReviewCalcs[[#This Row],[Fixture Proposed Cost ($)]]+ReviewCalcs[[#This Row],[Controls Proposed Cost ($)]]</f>
        <v>0</v>
      </c>
      <c r="BH184" s="70">
        <f>ReviewCalcs[[#This Row],[Total Energy Savings (kWh)]]*Avg_KWh_Rate</f>
        <v>0</v>
      </c>
      <c r="BI1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4" s="70">
        <f>ReviewCalcs[[#This Row],[Retrofit Cost]]</f>
        <v>0</v>
      </c>
      <c r="BK184" s="70">
        <f>ReviewCalcs[[#This Row],[Retrofit Cost]]-ReviewCalcs[[#This Row],[Incentive ($)]]</f>
        <v>0</v>
      </c>
      <c r="BL184" s="118" t="e">
        <f>IFERROR(ReviewCalcs[[#This Row],[Net Project Cost ($)]]/ReviewCalcs[[#This Row],[Fixture Energy Cost Savings ($)]], #N/A)</f>
        <v>#N/A</v>
      </c>
      <c r="BM184" s="118" t="e">
        <f>IF(VLOOKUP(ReviewCalcs[[#This Row],[Existing Fixture Code]], Table7[[FIXTURE CODE]:[Baseline Fixture Code]], 8, FALSE)="N", VLOOKUP(ReviewCalcs[[#This Row],[Existing Fixture Code]], Table7[[FIXTURE CODE]:[Baseline Fixture Code]], 9, FALSE), ReviewCalcs[[#This Row],[Existing Fixture Code]])</f>
        <v>#N/A</v>
      </c>
      <c r="BN184" s="118" t="e">
        <f>INDEX(Table7[WATT/ FIXT], MATCH(ReviewCalcs[Baseline Fixture Code], Table7[FIXTURE CODE], 0))</f>
        <v>#N/A</v>
      </c>
      <c r="BO184" s="118">
        <f>IFERROR((ReviewCalcs[[#This Row],[Existing Fixture Quantity]]*ReviewCalcs[[#This Row],[Baseline Fixture Watts]]/1000-ReviewCalcs[[#This Row],[Proposed Fixture Quantity]]*ReviewCalcs[[#This Row],[Proposed Fixture Watts]]/1000)*ReviewCalcs[[#This Row],[Existing CF]]*ReviewCalcs[[#This Row],[IEFD]], 0)</f>
        <v>0</v>
      </c>
      <c r="BP1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4" s="118">
        <f>IF(ReviewCalcs[[#This Row],[Existing CF]]=ReviewCalcs[[#This Row],[Proposed CF]], 0, ReviewCalcs[[#This Row],[Proposed Fixture Quantity]]*ReviewCalcs[[#This Row],[Proposed Fixture Watts]]/1000*ReviewCalcs[[#This Row],[Proposed CF]]*ReviewCalcs[[#This Row],[IEFD]])</f>
        <v>0</v>
      </c>
      <c r="BR184" s="118">
        <f>IFERROR(ReviewCalcs[[#This Row],[Proposed Fixture Quantity]]*ReviewCalcs[[#This Row],[Proposed Fixture Watts]]/1000*(ReviewCalcs[[#This Row],[Existing PAF]]-ReviewCalcs[[#This Row],[Proposed PAF]])*ReviewCalcs[[#This Row],[AOH]]*ReviewCalcs[[#This Row],[IEFE]],0)</f>
        <v>0</v>
      </c>
      <c r="BS184" s="118">
        <f>ReviewCalcs[[#This Row],[Incentive Fixture Demand Savings (kW)]]+ReviewCalcs[[#This Row],[Incentive Control Demand Savings (kW)]]</f>
        <v>0</v>
      </c>
      <c r="BT184" s="118">
        <f>ReviewCalcs[[#This Row],[Incentive Fixture Energy Savings (kWh)]]+ReviewCalcs[[#This Row],[Incentive Control Energy Savings (kWh)]]</f>
        <v>0</v>
      </c>
      <c r="BU184" s="73"/>
    </row>
    <row r="185" spans="1:73" ht="30" customHeight="1">
      <c r="A185" s="68">
        <v>182</v>
      </c>
      <c r="B185" s="96">
        <f>VLOOKUP(ReviewCalcs[[#This Row],[Project Index]], ProjectInput[], D$1, FALSE)</f>
        <v>0</v>
      </c>
      <c r="C185" s="97">
        <f>VLOOKUP(ReviewCalcs[[#This Row],[Project Index]], ProjectInput[], E$1, FALSE)</f>
        <v>0</v>
      </c>
      <c r="D185" s="97">
        <f>VLOOKUP(ReviewCalcs[[#This Row],[Project Index]], ProjectInput[], F$1, FALSE)</f>
        <v>0</v>
      </c>
      <c r="E185" s="97">
        <f>VLOOKUP(ReviewCalcs[[#This Row],[Project Index]], ProjectInput[], G$1, FALSE)</f>
        <v>0</v>
      </c>
      <c r="F185" s="97">
        <f>VLOOKUP(ReviewCalcs[[#This Row],[Project Index]], ProjectInput[], H$1, FALSE)</f>
        <v>0</v>
      </c>
      <c r="G185" s="98" t="str">
        <f>VLOOKUP(ReviewCalcs[[#This Row],[Project Index]], ProjectInput[], I$1, FALSE)</f>
        <v/>
      </c>
      <c r="H185" s="96">
        <f>VLOOKUP(ReviewCalcs[[#This Row],[Project Index]], ProjectInput[], J$1, FALSE)</f>
        <v>0</v>
      </c>
      <c r="I185" s="97">
        <f>VLOOKUP(ReviewCalcs[[#This Row],[Project Index]], ProjectInput[], K$1, FALSE)</f>
        <v>0</v>
      </c>
      <c r="J185" s="97">
        <f>VLOOKUP(ReviewCalcs[[#This Row],[Project Index]], ProjectInput[], L$1, FALSE)</f>
        <v>0</v>
      </c>
      <c r="K185" s="97">
        <f>VLOOKUP(ReviewCalcs[[#This Row],[Project Index]], ProjectInput[], M$1, FALSE)</f>
        <v>0</v>
      </c>
      <c r="L185" s="97">
        <f>VLOOKUP(ReviewCalcs[[#This Row],[Project Index]], ProjectInput[], N$1, FALSE)</f>
        <v>0</v>
      </c>
      <c r="M185" s="98" t="str">
        <f>VLOOKUP(ReviewCalcs[[#This Row],[Project Index]], ProjectInput[], O$1, FALSE)</f>
        <v/>
      </c>
      <c r="N185" s="96">
        <f>VLOOKUP(ReviewCalcs[[#This Row],[Project Index]], ProjectInput[], P$1, FALSE)</f>
        <v>0</v>
      </c>
      <c r="O185" s="97">
        <f>VLOOKUP(ReviewCalcs[[#This Row],[Project Index]], ProjectInput[], Q$1, FALSE)</f>
        <v>0</v>
      </c>
      <c r="P185" s="97">
        <f>VLOOKUP(ReviewCalcs[[#This Row],[Project Index]], ProjectInput[], R$1, FALSE)</f>
        <v>0</v>
      </c>
      <c r="Q185" s="97">
        <f>VLOOKUP(ReviewCalcs[[#This Row],[Project Index]], ProjectInput[], S$1, FALSE)</f>
        <v>0</v>
      </c>
      <c r="R185" s="97">
        <f>VLOOKUP(ReviewCalcs[[#This Row],[Project Index]], ProjectInput[], T$1, FALSE)</f>
        <v>0</v>
      </c>
      <c r="S185" s="97">
        <f>VLOOKUP(ReviewCalcs[[#This Row],[Project Index]], ProjectInput[], U$1, FALSE)</f>
        <v>0</v>
      </c>
      <c r="T185" s="97">
        <f>VLOOKUP(ReviewCalcs[[#This Row],[Project Index]], ProjectInput[], V$1, FALSE)</f>
        <v>0</v>
      </c>
      <c r="U185" s="97">
        <f>VLOOKUP(ReviewCalcs[[#This Row],[Project Index]], ProjectInput[], W$1, FALSE)</f>
        <v>0</v>
      </c>
      <c r="V185" s="98" t="str">
        <f>VLOOKUP(ReviewCalcs[[#This Row],[Project Index]], ProjectInput[], X$1, FALSE)</f>
        <v/>
      </c>
      <c r="W1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5" s="75" t="e">
        <f>IF(VLOOKUP(ReviewCalcs[[#This Row],[Proposed Fixture Code]], Table7[[FIXTURE CODE]:[Baseline Fixture Code]], 8, FALSE)="N", "ERROR", "PASS")</f>
        <v>#N/A</v>
      </c>
      <c r="Y1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5" s="75" t="e">
        <f>IF(OR(ReviewCalcs[[#This Row],[Baseline Fixture Watts]]&gt;=ReviewCalcs[[#This Row],[Proposed Fixture Watts]],ReviewCalcs[[#This Row],[Existing Fixture Watts]]&gt;=ReviewCalcs[[#This Row],[Proposed Fixture Watts]] ), "PASS", "ERROR")</f>
        <v>#N/A</v>
      </c>
      <c r="AA185" s="69" t="e">
        <f>VLOOKUP(ReviewCalcs[[#This Row],[Space Conditions]], Table_365[], 5, FALSE)</f>
        <v>#N/A</v>
      </c>
      <c r="AB185" s="68" t="str">
        <f>ReviewCalcs[[#This Row],[Annual Hours]]</f>
        <v/>
      </c>
      <c r="AC185" s="68" t="e">
        <f>VLOOKUP(ReviewCalcs[[#This Row],[Space Conditions]], Table_365[], 6, FALSE)</f>
        <v>#N/A</v>
      </c>
      <c r="AD185" s="68">
        <f>IF(ReviewCalcs[[#This Row],[Existing Control(s)]]='Tables &amp; Ranges'!$A$25, VLOOKUP(ReviewCalcs[[#This Row],[Building/Space Type]], Table_364[], 3, FALSE), CF_Contols)</f>
        <v>0.26</v>
      </c>
      <c r="AE185" s="68" t="e">
        <f>VLOOKUP(ReviewCalcs[[#This Row],[Existing Control(s)]], Table_358[], 2, FALSE)</f>
        <v>#N/A</v>
      </c>
      <c r="AF185" s="68">
        <f>IF(ReviewCalcs[[#This Row],[Proposed Control(s)]]='Tables &amp; Ranges'!$A$25, VLOOKUP(ReviewCalcs[[#This Row],[Building/Space Type]], Table_364[], 3, FALSE), CF_Contols)</f>
        <v>0.26</v>
      </c>
      <c r="AG185" s="68" t="e">
        <f>VLOOKUP(ReviewCalcs[[#This Row],[Proposed Control(s)]], Table_358[], 2, FALSE)</f>
        <v>#N/A</v>
      </c>
      <c r="AH185" s="68">
        <f>IFERROR((ReviewCalcs[[#This Row],[Existing Fixture Quantity]]*ReviewCalcs[[#This Row],[Existing Fixture Watts]]/1000)*ReviewCalcs[[#This Row],[Existing CF]]*ReviewCalcs[[#This Row],[IEFD]], 0)</f>
        <v>0</v>
      </c>
      <c r="AI185" s="68">
        <f>IFERROR((ReviewCalcs[[#This Row],[Proposed Fixture Quantity]]*ReviewCalcs[[#This Row],[Proposed Fixture Watts]]/1000)*ReviewCalcs[[#This Row],[Existing CF]]*ReviewCalcs[[#This Row],[IEFD]], 0)</f>
        <v>0</v>
      </c>
      <c r="AJ185" s="118">
        <f>IFERROR((ReviewCalcs[[#This Row],[Existing Fixture Quantity]]*ReviewCalcs[[#This Row],[Existing Fixture Watts]]/1000-ReviewCalcs[[#This Row],[Proposed Fixture Quantity]]*ReviewCalcs[[#This Row],[Proposed Fixture Watts]]/1000)*ReviewCalcs[[#This Row],[Existing CF]]*ReviewCalcs[[#This Row],[IEFD]], 0)</f>
        <v>0</v>
      </c>
      <c r="AK185" s="118">
        <f>IFERROR((ReviewCalcs[[#This Row],[Existing Fixture Quantity]]*ReviewCalcs[[#This Row],[Existing Fixture Watts]]/1000)*ReviewCalcs[[#This Row],[AOH]]*ReviewCalcs[[#This Row],[IEFE]]*ReviewCalcs[[#This Row],[Existing PAF]], 0)</f>
        <v>0</v>
      </c>
      <c r="AL185" s="118">
        <f>IFERROR((ReviewCalcs[[#This Row],[Proposed Fixture Quantity]]*ReviewCalcs[[#This Row],[Proposed Fixture Watts]]/1000)*ReviewCalcs[[#This Row],[AOH]]*ReviewCalcs[[#This Row],[IEFE]]*ReviewCalcs[[#This Row],[Existing PAF]], 0)</f>
        <v>0</v>
      </c>
      <c r="AM1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5" s="118">
        <f>ReviewCalcs[[#This Row],[Fixture Existing Energy (kWh)]]*Avg_KWh_Rate</f>
        <v>0</v>
      </c>
      <c r="AO185" s="118">
        <f>ReviewCalcs[[#This Row],[Fixture Proposed Energy (kWh)]]*Avg_KWh_Rate</f>
        <v>0</v>
      </c>
      <c r="AP185" s="70">
        <f>ReviewCalcs[[#This Row],[Fixture Energy Savings]]*Avg_KWh_Rate</f>
        <v>0</v>
      </c>
      <c r="AQ185" s="129" t="e">
        <f>ReviewCalcs[[#This Row],[Existing Fixture Quantity]]*ReviewCalcs[[#This Row],[Existing Fixture Watts]]/1000*ReviewCalcs[[#This Row],[Existing CF]]*ReviewCalcs[[#This Row],[IEFD]]</f>
        <v>#VALUE!</v>
      </c>
      <c r="AR185" s="129" t="e">
        <f>ReviewCalcs[[#This Row],[Proposed Fixture Quantity]]*ReviewCalcs[[#This Row],[Proposed Fixture Watts]]/1000*ReviewCalcs[[#This Row],[Proposed CF]]*ReviewCalcs[[#This Row],[IEFD]]</f>
        <v>#VALUE!</v>
      </c>
      <c r="AS185" s="118">
        <f>IF(ReviewCalcs[[#This Row],[Existing CF]]=ReviewCalcs[[#This Row],[Proposed CF]], 0, ReviewCalcs[[#This Row],[Proposed Fixture Quantity]]*ReviewCalcs[[#This Row],[Proposed Fixture Watts]]/1000*ReviewCalcs[[#This Row],[Proposed CF]]*ReviewCalcs[[#This Row],[IEFD]])</f>
        <v>0</v>
      </c>
      <c r="AT185" s="118">
        <f>IFERROR(ReviewCalcs[[#This Row],[Existing Fixture Quantity]]*ReviewCalcs[[#This Row],[Existing Fixture Watts]]/1000*ReviewCalcs[[#This Row],[Existing PAF]]*ReviewCalcs[[#This Row],[AOH]]*ReviewCalcs[[#This Row],[IEFE]], 0)</f>
        <v>0</v>
      </c>
      <c r="AU185" s="118">
        <f>IFERROR(ReviewCalcs[[#This Row],[Proposed Fixture Quantity]]*ReviewCalcs[[#This Row],[Proposed Fixture Watts]]/1000*ReviewCalcs[[#This Row],[Proposed PAF]]*ReviewCalcs[[#This Row],[AOH]]*ReviewCalcs[[#This Row],[IEFE]], 0)</f>
        <v>0</v>
      </c>
      <c r="AV185" s="118">
        <f>IFERROR(ReviewCalcs[[#This Row],[Proposed Fixture Quantity]]*ReviewCalcs[[#This Row],[Proposed Fixture Watts]]/1000*(ReviewCalcs[[#This Row],[Existing PAF]]-ReviewCalcs[[#This Row],[Proposed PAF]])*ReviewCalcs[[#This Row],[AOH]]*ReviewCalcs[[#This Row],[IEFE]], 0)</f>
        <v>0</v>
      </c>
      <c r="AW185" s="118">
        <f>ReviewCalcs[[#This Row],[Control Existing Energy (kWh)]]*kWh_Incentive_Rate</f>
        <v>0</v>
      </c>
      <c r="AX185" s="118">
        <f>ReviewCalcs[[#This Row],[Control Proposed Energy (kWh)]]*kWh_Incentive_Rate</f>
        <v>0</v>
      </c>
      <c r="AY185" s="70">
        <f>ReviewCalcs[[#This Row],[Control Energy Savings (kWh)]]*kWh_Incentive_Rate</f>
        <v>0</v>
      </c>
      <c r="AZ185" s="70" t="e">
        <f>ReviewCalcs[[#This Row],[Fixture Existing Demand (kW)]]+ReviewCalcs[[#This Row],[Control Existing Demand (kW)]]</f>
        <v>#VALUE!</v>
      </c>
      <c r="BA185" s="70" t="e">
        <f>ReviewCalcs[[#This Row],[Fixture Proposed Demand (kW)]]+ReviewCalcs[[#This Row],[Control Proposed Demand (kW)]]</f>
        <v>#VALUE!</v>
      </c>
      <c r="BB185" s="118">
        <f>ReviewCalcs[[#This Row],[Fixture Demand Savings (kW)]]+ReviewCalcs[[#This Row],[Control Demand Savings (kW)]]</f>
        <v>0</v>
      </c>
      <c r="BC185" s="118">
        <f>ReviewCalcs[[#This Row],[Fixture Existing Energy (kWh)]]+ReviewCalcs[[#This Row],[Control Existing Energy (kWh)]]</f>
        <v>0</v>
      </c>
      <c r="BD185" s="118">
        <f>ReviewCalcs[[#This Row],[Fixture Proposed Energy (kWh)]]+ReviewCalcs[[#This Row],[Control Proposed Energy (kWh)]]</f>
        <v>0</v>
      </c>
      <c r="BE185" s="118">
        <f>ReviewCalcs[[#This Row],[Fixture Energy Savings]]+ReviewCalcs[[#This Row],[Control Energy Savings (kWh)]]</f>
        <v>0</v>
      </c>
      <c r="BF185" s="118">
        <f>ReviewCalcs[[#This Row],[Fixture Existing Cost ($)]]+ReviewCalcs[[#This Row],[Control Existing Cost ($)]]</f>
        <v>0</v>
      </c>
      <c r="BG185" s="118">
        <f>ReviewCalcs[[#This Row],[Fixture Proposed Cost ($)]]+ReviewCalcs[[#This Row],[Controls Proposed Cost ($)]]</f>
        <v>0</v>
      </c>
      <c r="BH185" s="70">
        <f>ReviewCalcs[[#This Row],[Total Energy Savings (kWh)]]*Avg_KWh_Rate</f>
        <v>0</v>
      </c>
      <c r="BI1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5" s="70">
        <f>ReviewCalcs[[#This Row],[Retrofit Cost]]</f>
        <v>0</v>
      </c>
      <c r="BK185" s="70">
        <f>ReviewCalcs[[#This Row],[Retrofit Cost]]-ReviewCalcs[[#This Row],[Incentive ($)]]</f>
        <v>0</v>
      </c>
      <c r="BL185" s="118" t="e">
        <f>IFERROR(ReviewCalcs[[#This Row],[Net Project Cost ($)]]/ReviewCalcs[[#This Row],[Fixture Energy Cost Savings ($)]], #N/A)</f>
        <v>#N/A</v>
      </c>
      <c r="BM185" s="118" t="e">
        <f>IF(VLOOKUP(ReviewCalcs[[#This Row],[Existing Fixture Code]], Table7[[FIXTURE CODE]:[Baseline Fixture Code]], 8, FALSE)="N", VLOOKUP(ReviewCalcs[[#This Row],[Existing Fixture Code]], Table7[[FIXTURE CODE]:[Baseline Fixture Code]], 9, FALSE), ReviewCalcs[[#This Row],[Existing Fixture Code]])</f>
        <v>#N/A</v>
      </c>
      <c r="BN185" s="118" t="e">
        <f>INDEX(Table7[WATT/ FIXT], MATCH(ReviewCalcs[Baseline Fixture Code], Table7[FIXTURE CODE], 0))</f>
        <v>#N/A</v>
      </c>
      <c r="BO185" s="118">
        <f>IFERROR((ReviewCalcs[[#This Row],[Existing Fixture Quantity]]*ReviewCalcs[[#This Row],[Baseline Fixture Watts]]/1000-ReviewCalcs[[#This Row],[Proposed Fixture Quantity]]*ReviewCalcs[[#This Row],[Proposed Fixture Watts]]/1000)*ReviewCalcs[[#This Row],[Existing CF]]*ReviewCalcs[[#This Row],[IEFD]], 0)</f>
        <v>0</v>
      </c>
      <c r="BP1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5" s="118">
        <f>IF(ReviewCalcs[[#This Row],[Existing CF]]=ReviewCalcs[[#This Row],[Proposed CF]], 0, ReviewCalcs[[#This Row],[Proposed Fixture Quantity]]*ReviewCalcs[[#This Row],[Proposed Fixture Watts]]/1000*ReviewCalcs[[#This Row],[Proposed CF]]*ReviewCalcs[[#This Row],[IEFD]])</f>
        <v>0</v>
      </c>
      <c r="BR185" s="118">
        <f>IFERROR(ReviewCalcs[[#This Row],[Proposed Fixture Quantity]]*ReviewCalcs[[#This Row],[Proposed Fixture Watts]]/1000*(ReviewCalcs[[#This Row],[Existing PAF]]-ReviewCalcs[[#This Row],[Proposed PAF]])*ReviewCalcs[[#This Row],[AOH]]*ReviewCalcs[[#This Row],[IEFE]],0)</f>
        <v>0</v>
      </c>
      <c r="BS185" s="118">
        <f>ReviewCalcs[[#This Row],[Incentive Fixture Demand Savings (kW)]]+ReviewCalcs[[#This Row],[Incentive Control Demand Savings (kW)]]</f>
        <v>0</v>
      </c>
      <c r="BT185" s="118">
        <f>ReviewCalcs[[#This Row],[Incentive Fixture Energy Savings (kWh)]]+ReviewCalcs[[#This Row],[Incentive Control Energy Savings (kWh)]]</f>
        <v>0</v>
      </c>
      <c r="BU185" s="73"/>
    </row>
    <row r="186" spans="1:73" ht="30" customHeight="1">
      <c r="A186" s="68">
        <v>183</v>
      </c>
      <c r="B186" s="96">
        <f>VLOOKUP(ReviewCalcs[[#This Row],[Project Index]], ProjectInput[], D$1, FALSE)</f>
        <v>0</v>
      </c>
      <c r="C186" s="97">
        <f>VLOOKUP(ReviewCalcs[[#This Row],[Project Index]], ProjectInput[], E$1, FALSE)</f>
        <v>0</v>
      </c>
      <c r="D186" s="97">
        <f>VLOOKUP(ReviewCalcs[[#This Row],[Project Index]], ProjectInput[], F$1, FALSE)</f>
        <v>0</v>
      </c>
      <c r="E186" s="97">
        <f>VLOOKUP(ReviewCalcs[[#This Row],[Project Index]], ProjectInput[], G$1, FALSE)</f>
        <v>0</v>
      </c>
      <c r="F186" s="97">
        <f>VLOOKUP(ReviewCalcs[[#This Row],[Project Index]], ProjectInput[], H$1, FALSE)</f>
        <v>0</v>
      </c>
      <c r="G186" s="98" t="str">
        <f>VLOOKUP(ReviewCalcs[[#This Row],[Project Index]], ProjectInput[], I$1, FALSE)</f>
        <v/>
      </c>
      <c r="H186" s="96">
        <f>VLOOKUP(ReviewCalcs[[#This Row],[Project Index]], ProjectInput[], J$1, FALSE)</f>
        <v>0</v>
      </c>
      <c r="I186" s="97">
        <f>VLOOKUP(ReviewCalcs[[#This Row],[Project Index]], ProjectInput[], K$1, FALSE)</f>
        <v>0</v>
      </c>
      <c r="J186" s="97">
        <f>VLOOKUP(ReviewCalcs[[#This Row],[Project Index]], ProjectInput[], L$1, FALSE)</f>
        <v>0</v>
      </c>
      <c r="K186" s="97">
        <f>VLOOKUP(ReviewCalcs[[#This Row],[Project Index]], ProjectInput[], M$1, FALSE)</f>
        <v>0</v>
      </c>
      <c r="L186" s="97">
        <f>VLOOKUP(ReviewCalcs[[#This Row],[Project Index]], ProjectInput[], N$1, FALSE)</f>
        <v>0</v>
      </c>
      <c r="M186" s="98" t="str">
        <f>VLOOKUP(ReviewCalcs[[#This Row],[Project Index]], ProjectInput[], O$1, FALSE)</f>
        <v/>
      </c>
      <c r="N186" s="96">
        <f>VLOOKUP(ReviewCalcs[[#This Row],[Project Index]], ProjectInput[], P$1, FALSE)</f>
        <v>0</v>
      </c>
      <c r="O186" s="97">
        <f>VLOOKUP(ReviewCalcs[[#This Row],[Project Index]], ProjectInput[], Q$1, FALSE)</f>
        <v>0</v>
      </c>
      <c r="P186" s="97">
        <f>VLOOKUP(ReviewCalcs[[#This Row],[Project Index]], ProjectInput[], R$1, FALSE)</f>
        <v>0</v>
      </c>
      <c r="Q186" s="97">
        <f>VLOOKUP(ReviewCalcs[[#This Row],[Project Index]], ProjectInput[], S$1, FALSE)</f>
        <v>0</v>
      </c>
      <c r="R186" s="97">
        <f>VLOOKUP(ReviewCalcs[[#This Row],[Project Index]], ProjectInput[], T$1, FALSE)</f>
        <v>0</v>
      </c>
      <c r="S186" s="97">
        <f>VLOOKUP(ReviewCalcs[[#This Row],[Project Index]], ProjectInput[], U$1, FALSE)</f>
        <v>0</v>
      </c>
      <c r="T186" s="97">
        <f>VLOOKUP(ReviewCalcs[[#This Row],[Project Index]], ProjectInput[], V$1, FALSE)</f>
        <v>0</v>
      </c>
      <c r="U186" s="97">
        <f>VLOOKUP(ReviewCalcs[[#This Row],[Project Index]], ProjectInput[], W$1, FALSE)</f>
        <v>0</v>
      </c>
      <c r="V186" s="98" t="str">
        <f>VLOOKUP(ReviewCalcs[[#This Row],[Project Index]], ProjectInput[], X$1, FALSE)</f>
        <v/>
      </c>
      <c r="W1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6" s="75" t="e">
        <f>IF(VLOOKUP(ReviewCalcs[[#This Row],[Proposed Fixture Code]], Table7[[FIXTURE CODE]:[Baseline Fixture Code]], 8, FALSE)="N", "ERROR", "PASS")</f>
        <v>#N/A</v>
      </c>
      <c r="Y1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6" s="75" t="e">
        <f>IF(OR(ReviewCalcs[[#This Row],[Baseline Fixture Watts]]&gt;=ReviewCalcs[[#This Row],[Proposed Fixture Watts]],ReviewCalcs[[#This Row],[Existing Fixture Watts]]&gt;=ReviewCalcs[[#This Row],[Proposed Fixture Watts]] ), "PASS", "ERROR")</f>
        <v>#N/A</v>
      </c>
      <c r="AA186" s="69" t="e">
        <f>VLOOKUP(ReviewCalcs[[#This Row],[Space Conditions]], Table_365[], 5, FALSE)</f>
        <v>#N/A</v>
      </c>
      <c r="AB186" s="68" t="str">
        <f>ReviewCalcs[[#This Row],[Annual Hours]]</f>
        <v/>
      </c>
      <c r="AC186" s="68" t="e">
        <f>VLOOKUP(ReviewCalcs[[#This Row],[Space Conditions]], Table_365[], 6, FALSE)</f>
        <v>#N/A</v>
      </c>
      <c r="AD186" s="68">
        <f>IF(ReviewCalcs[[#This Row],[Existing Control(s)]]='Tables &amp; Ranges'!$A$25, VLOOKUP(ReviewCalcs[[#This Row],[Building/Space Type]], Table_364[], 3, FALSE), CF_Contols)</f>
        <v>0.26</v>
      </c>
      <c r="AE186" s="68" t="e">
        <f>VLOOKUP(ReviewCalcs[[#This Row],[Existing Control(s)]], Table_358[], 2, FALSE)</f>
        <v>#N/A</v>
      </c>
      <c r="AF186" s="68">
        <f>IF(ReviewCalcs[[#This Row],[Proposed Control(s)]]='Tables &amp; Ranges'!$A$25, VLOOKUP(ReviewCalcs[[#This Row],[Building/Space Type]], Table_364[], 3, FALSE), CF_Contols)</f>
        <v>0.26</v>
      </c>
      <c r="AG186" s="68" t="e">
        <f>VLOOKUP(ReviewCalcs[[#This Row],[Proposed Control(s)]], Table_358[], 2, FALSE)</f>
        <v>#N/A</v>
      </c>
      <c r="AH186" s="68">
        <f>IFERROR((ReviewCalcs[[#This Row],[Existing Fixture Quantity]]*ReviewCalcs[[#This Row],[Existing Fixture Watts]]/1000)*ReviewCalcs[[#This Row],[Existing CF]]*ReviewCalcs[[#This Row],[IEFD]], 0)</f>
        <v>0</v>
      </c>
      <c r="AI186" s="68">
        <f>IFERROR((ReviewCalcs[[#This Row],[Proposed Fixture Quantity]]*ReviewCalcs[[#This Row],[Proposed Fixture Watts]]/1000)*ReviewCalcs[[#This Row],[Existing CF]]*ReviewCalcs[[#This Row],[IEFD]], 0)</f>
        <v>0</v>
      </c>
      <c r="AJ186" s="118">
        <f>IFERROR((ReviewCalcs[[#This Row],[Existing Fixture Quantity]]*ReviewCalcs[[#This Row],[Existing Fixture Watts]]/1000-ReviewCalcs[[#This Row],[Proposed Fixture Quantity]]*ReviewCalcs[[#This Row],[Proposed Fixture Watts]]/1000)*ReviewCalcs[[#This Row],[Existing CF]]*ReviewCalcs[[#This Row],[IEFD]], 0)</f>
        <v>0</v>
      </c>
      <c r="AK186" s="118">
        <f>IFERROR((ReviewCalcs[[#This Row],[Existing Fixture Quantity]]*ReviewCalcs[[#This Row],[Existing Fixture Watts]]/1000)*ReviewCalcs[[#This Row],[AOH]]*ReviewCalcs[[#This Row],[IEFE]]*ReviewCalcs[[#This Row],[Existing PAF]], 0)</f>
        <v>0</v>
      </c>
      <c r="AL186" s="118">
        <f>IFERROR((ReviewCalcs[[#This Row],[Proposed Fixture Quantity]]*ReviewCalcs[[#This Row],[Proposed Fixture Watts]]/1000)*ReviewCalcs[[#This Row],[AOH]]*ReviewCalcs[[#This Row],[IEFE]]*ReviewCalcs[[#This Row],[Existing PAF]], 0)</f>
        <v>0</v>
      </c>
      <c r="AM1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6" s="118">
        <f>ReviewCalcs[[#This Row],[Fixture Existing Energy (kWh)]]*Avg_KWh_Rate</f>
        <v>0</v>
      </c>
      <c r="AO186" s="118">
        <f>ReviewCalcs[[#This Row],[Fixture Proposed Energy (kWh)]]*Avg_KWh_Rate</f>
        <v>0</v>
      </c>
      <c r="AP186" s="70">
        <f>ReviewCalcs[[#This Row],[Fixture Energy Savings]]*Avg_KWh_Rate</f>
        <v>0</v>
      </c>
      <c r="AQ186" s="129" t="e">
        <f>ReviewCalcs[[#This Row],[Existing Fixture Quantity]]*ReviewCalcs[[#This Row],[Existing Fixture Watts]]/1000*ReviewCalcs[[#This Row],[Existing CF]]*ReviewCalcs[[#This Row],[IEFD]]</f>
        <v>#VALUE!</v>
      </c>
      <c r="AR186" s="129" t="e">
        <f>ReviewCalcs[[#This Row],[Proposed Fixture Quantity]]*ReviewCalcs[[#This Row],[Proposed Fixture Watts]]/1000*ReviewCalcs[[#This Row],[Proposed CF]]*ReviewCalcs[[#This Row],[IEFD]]</f>
        <v>#VALUE!</v>
      </c>
      <c r="AS186" s="118">
        <f>IF(ReviewCalcs[[#This Row],[Existing CF]]=ReviewCalcs[[#This Row],[Proposed CF]], 0, ReviewCalcs[[#This Row],[Proposed Fixture Quantity]]*ReviewCalcs[[#This Row],[Proposed Fixture Watts]]/1000*ReviewCalcs[[#This Row],[Proposed CF]]*ReviewCalcs[[#This Row],[IEFD]])</f>
        <v>0</v>
      </c>
      <c r="AT186" s="118">
        <f>IFERROR(ReviewCalcs[[#This Row],[Existing Fixture Quantity]]*ReviewCalcs[[#This Row],[Existing Fixture Watts]]/1000*ReviewCalcs[[#This Row],[Existing PAF]]*ReviewCalcs[[#This Row],[AOH]]*ReviewCalcs[[#This Row],[IEFE]], 0)</f>
        <v>0</v>
      </c>
      <c r="AU186" s="118">
        <f>IFERROR(ReviewCalcs[[#This Row],[Proposed Fixture Quantity]]*ReviewCalcs[[#This Row],[Proposed Fixture Watts]]/1000*ReviewCalcs[[#This Row],[Proposed PAF]]*ReviewCalcs[[#This Row],[AOH]]*ReviewCalcs[[#This Row],[IEFE]], 0)</f>
        <v>0</v>
      </c>
      <c r="AV186" s="118">
        <f>IFERROR(ReviewCalcs[[#This Row],[Proposed Fixture Quantity]]*ReviewCalcs[[#This Row],[Proposed Fixture Watts]]/1000*(ReviewCalcs[[#This Row],[Existing PAF]]-ReviewCalcs[[#This Row],[Proposed PAF]])*ReviewCalcs[[#This Row],[AOH]]*ReviewCalcs[[#This Row],[IEFE]], 0)</f>
        <v>0</v>
      </c>
      <c r="AW186" s="118">
        <f>ReviewCalcs[[#This Row],[Control Existing Energy (kWh)]]*kWh_Incentive_Rate</f>
        <v>0</v>
      </c>
      <c r="AX186" s="118">
        <f>ReviewCalcs[[#This Row],[Control Proposed Energy (kWh)]]*kWh_Incentive_Rate</f>
        <v>0</v>
      </c>
      <c r="AY186" s="70">
        <f>ReviewCalcs[[#This Row],[Control Energy Savings (kWh)]]*kWh_Incentive_Rate</f>
        <v>0</v>
      </c>
      <c r="AZ186" s="70" t="e">
        <f>ReviewCalcs[[#This Row],[Fixture Existing Demand (kW)]]+ReviewCalcs[[#This Row],[Control Existing Demand (kW)]]</f>
        <v>#VALUE!</v>
      </c>
      <c r="BA186" s="70" t="e">
        <f>ReviewCalcs[[#This Row],[Fixture Proposed Demand (kW)]]+ReviewCalcs[[#This Row],[Control Proposed Demand (kW)]]</f>
        <v>#VALUE!</v>
      </c>
      <c r="BB186" s="118">
        <f>ReviewCalcs[[#This Row],[Fixture Demand Savings (kW)]]+ReviewCalcs[[#This Row],[Control Demand Savings (kW)]]</f>
        <v>0</v>
      </c>
      <c r="BC186" s="118">
        <f>ReviewCalcs[[#This Row],[Fixture Existing Energy (kWh)]]+ReviewCalcs[[#This Row],[Control Existing Energy (kWh)]]</f>
        <v>0</v>
      </c>
      <c r="BD186" s="118">
        <f>ReviewCalcs[[#This Row],[Fixture Proposed Energy (kWh)]]+ReviewCalcs[[#This Row],[Control Proposed Energy (kWh)]]</f>
        <v>0</v>
      </c>
      <c r="BE186" s="118">
        <f>ReviewCalcs[[#This Row],[Fixture Energy Savings]]+ReviewCalcs[[#This Row],[Control Energy Savings (kWh)]]</f>
        <v>0</v>
      </c>
      <c r="BF186" s="118">
        <f>ReviewCalcs[[#This Row],[Fixture Existing Cost ($)]]+ReviewCalcs[[#This Row],[Control Existing Cost ($)]]</f>
        <v>0</v>
      </c>
      <c r="BG186" s="118">
        <f>ReviewCalcs[[#This Row],[Fixture Proposed Cost ($)]]+ReviewCalcs[[#This Row],[Controls Proposed Cost ($)]]</f>
        <v>0</v>
      </c>
      <c r="BH186" s="70">
        <f>ReviewCalcs[[#This Row],[Total Energy Savings (kWh)]]*Avg_KWh_Rate</f>
        <v>0</v>
      </c>
      <c r="BI1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6" s="70">
        <f>ReviewCalcs[[#This Row],[Retrofit Cost]]</f>
        <v>0</v>
      </c>
      <c r="BK186" s="70">
        <f>ReviewCalcs[[#This Row],[Retrofit Cost]]-ReviewCalcs[[#This Row],[Incentive ($)]]</f>
        <v>0</v>
      </c>
      <c r="BL186" s="118" t="e">
        <f>IFERROR(ReviewCalcs[[#This Row],[Net Project Cost ($)]]/ReviewCalcs[[#This Row],[Fixture Energy Cost Savings ($)]], #N/A)</f>
        <v>#N/A</v>
      </c>
      <c r="BM186" s="118" t="e">
        <f>IF(VLOOKUP(ReviewCalcs[[#This Row],[Existing Fixture Code]], Table7[[FIXTURE CODE]:[Baseline Fixture Code]], 8, FALSE)="N", VLOOKUP(ReviewCalcs[[#This Row],[Existing Fixture Code]], Table7[[FIXTURE CODE]:[Baseline Fixture Code]], 9, FALSE), ReviewCalcs[[#This Row],[Existing Fixture Code]])</f>
        <v>#N/A</v>
      </c>
      <c r="BN186" s="118" t="e">
        <f>INDEX(Table7[WATT/ FIXT], MATCH(ReviewCalcs[Baseline Fixture Code], Table7[FIXTURE CODE], 0))</f>
        <v>#N/A</v>
      </c>
      <c r="BO186" s="118">
        <f>IFERROR((ReviewCalcs[[#This Row],[Existing Fixture Quantity]]*ReviewCalcs[[#This Row],[Baseline Fixture Watts]]/1000-ReviewCalcs[[#This Row],[Proposed Fixture Quantity]]*ReviewCalcs[[#This Row],[Proposed Fixture Watts]]/1000)*ReviewCalcs[[#This Row],[Existing CF]]*ReviewCalcs[[#This Row],[IEFD]], 0)</f>
        <v>0</v>
      </c>
      <c r="BP1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6" s="118">
        <f>IF(ReviewCalcs[[#This Row],[Existing CF]]=ReviewCalcs[[#This Row],[Proposed CF]], 0, ReviewCalcs[[#This Row],[Proposed Fixture Quantity]]*ReviewCalcs[[#This Row],[Proposed Fixture Watts]]/1000*ReviewCalcs[[#This Row],[Proposed CF]]*ReviewCalcs[[#This Row],[IEFD]])</f>
        <v>0</v>
      </c>
      <c r="BR186" s="118">
        <f>IFERROR(ReviewCalcs[[#This Row],[Proposed Fixture Quantity]]*ReviewCalcs[[#This Row],[Proposed Fixture Watts]]/1000*(ReviewCalcs[[#This Row],[Existing PAF]]-ReviewCalcs[[#This Row],[Proposed PAF]])*ReviewCalcs[[#This Row],[AOH]]*ReviewCalcs[[#This Row],[IEFE]],0)</f>
        <v>0</v>
      </c>
      <c r="BS186" s="118">
        <f>ReviewCalcs[[#This Row],[Incentive Fixture Demand Savings (kW)]]+ReviewCalcs[[#This Row],[Incentive Control Demand Savings (kW)]]</f>
        <v>0</v>
      </c>
      <c r="BT186" s="118">
        <f>ReviewCalcs[[#This Row],[Incentive Fixture Energy Savings (kWh)]]+ReviewCalcs[[#This Row],[Incentive Control Energy Savings (kWh)]]</f>
        <v>0</v>
      </c>
      <c r="BU186" s="73"/>
    </row>
    <row r="187" spans="1:73" ht="30" customHeight="1">
      <c r="A187" s="68">
        <v>184</v>
      </c>
      <c r="B187" s="96">
        <f>VLOOKUP(ReviewCalcs[[#This Row],[Project Index]], ProjectInput[], D$1, FALSE)</f>
        <v>0</v>
      </c>
      <c r="C187" s="97">
        <f>VLOOKUP(ReviewCalcs[[#This Row],[Project Index]], ProjectInput[], E$1, FALSE)</f>
        <v>0</v>
      </c>
      <c r="D187" s="97">
        <f>VLOOKUP(ReviewCalcs[[#This Row],[Project Index]], ProjectInput[], F$1, FALSE)</f>
        <v>0</v>
      </c>
      <c r="E187" s="97">
        <f>VLOOKUP(ReviewCalcs[[#This Row],[Project Index]], ProjectInput[], G$1, FALSE)</f>
        <v>0</v>
      </c>
      <c r="F187" s="97">
        <f>VLOOKUP(ReviewCalcs[[#This Row],[Project Index]], ProjectInput[], H$1, FALSE)</f>
        <v>0</v>
      </c>
      <c r="G187" s="98" t="str">
        <f>VLOOKUP(ReviewCalcs[[#This Row],[Project Index]], ProjectInput[], I$1, FALSE)</f>
        <v/>
      </c>
      <c r="H187" s="96">
        <f>VLOOKUP(ReviewCalcs[[#This Row],[Project Index]], ProjectInput[], J$1, FALSE)</f>
        <v>0</v>
      </c>
      <c r="I187" s="97">
        <f>VLOOKUP(ReviewCalcs[[#This Row],[Project Index]], ProjectInput[], K$1, FALSE)</f>
        <v>0</v>
      </c>
      <c r="J187" s="97">
        <f>VLOOKUP(ReviewCalcs[[#This Row],[Project Index]], ProjectInput[], L$1, FALSE)</f>
        <v>0</v>
      </c>
      <c r="K187" s="97">
        <f>VLOOKUP(ReviewCalcs[[#This Row],[Project Index]], ProjectInput[], M$1, FALSE)</f>
        <v>0</v>
      </c>
      <c r="L187" s="97">
        <f>VLOOKUP(ReviewCalcs[[#This Row],[Project Index]], ProjectInput[], N$1, FALSE)</f>
        <v>0</v>
      </c>
      <c r="M187" s="98" t="str">
        <f>VLOOKUP(ReviewCalcs[[#This Row],[Project Index]], ProjectInput[], O$1, FALSE)</f>
        <v/>
      </c>
      <c r="N187" s="96">
        <f>VLOOKUP(ReviewCalcs[[#This Row],[Project Index]], ProjectInput[], P$1, FALSE)</f>
        <v>0</v>
      </c>
      <c r="O187" s="97">
        <f>VLOOKUP(ReviewCalcs[[#This Row],[Project Index]], ProjectInput[], Q$1, FALSE)</f>
        <v>0</v>
      </c>
      <c r="P187" s="97">
        <f>VLOOKUP(ReviewCalcs[[#This Row],[Project Index]], ProjectInput[], R$1, FALSE)</f>
        <v>0</v>
      </c>
      <c r="Q187" s="97">
        <f>VLOOKUP(ReviewCalcs[[#This Row],[Project Index]], ProjectInput[], S$1, FALSE)</f>
        <v>0</v>
      </c>
      <c r="R187" s="97">
        <f>VLOOKUP(ReviewCalcs[[#This Row],[Project Index]], ProjectInput[], T$1, FALSE)</f>
        <v>0</v>
      </c>
      <c r="S187" s="97">
        <f>VLOOKUP(ReviewCalcs[[#This Row],[Project Index]], ProjectInput[], U$1, FALSE)</f>
        <v>0</v>
      </c>
      <c r="T187" s="97">
        <f>VLOOKUP(ReviewCalcs[[#This Row],[Project Index]], ProjectInput[], V$1, FALSE)</f>
        <v>0</v>
      </c>
      <c r="U187" s="97">
        <f>VLOOKUP(ReviewCalcs[[#This Row],[Project Index]], ProjectInput[], W$1, FALSE)</f>
        <v>0</v>
      </c>
      <c r="V187" s="98" t="str">
        <f>VLOOKUP(ReviewCalcs[[#This Row],[Project Index]], ProjectInput[], X$1, FALSE)</f>
        <v/>
      </c>
      <c r="W1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7" s="75" t="e">
        <f>IF(VLOOKUP(ReviewCalcs[[#This Row],[Proposed Fixture Code]], Table7[[FIXTURE CODE]:[Baseline Fixture Code]], 8, FALSE)="N", "ERROR", "PASS")</f>
        <v>#N/A</v>
      </c>
      <c r="Y1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7" s="75" t="e">
        <f>IF(OR(ReviewCalcs[[#This Row],[Baseline Fixture Watts]]&gt;=ReviewCalcs[[#This Row],[Proposed Fixture Watts]],ReviewCalcs[[#This Row],[Existing Fixture Watts]]&gt;=ReviewCalcs[[#This Row],[Proposed Fixture Watts]] ), "PASS", "ERROR")</f>
        <v>#N/A</v>
      </c>
      <c r="AA187" s="69" t="e">
        <f>VLOOKUP(ReviewCalcs[[#This Row],[Space Conditions]], Table_365[], 5, FALSE)</f>
        <v>#N/A</v>
      </c>
      <c r="AB187" s="68" t="str">
        <f>ReviewCalcs[[#This Row],[Annual Hours]]</f>
        <v/>
      </c>
      <c r="AC187" s="68" t="e">
        <f>VLOOKUP(ReviewCalcs[[#This Row],[Space Conditions]], Table_365[], 6, FALSE)</f>
        <v>#N/A</v>
      </c>
      <c r="AD187" s="68">
        <f>IF(ReviewCalcs[[#This Row],[Existing Control(s)]]='Tables &amp; Ranges'!$A$25, VLOOKUP(ReviewCalcs[[#This Row],[Building/Space Type]], Table_364[], 3, FALSE), CF_Contols)</f>
        <v>0.26</v>
      </c>
      <c r="AE187" s="68" t="e">
        <f>VLOOKUP(ReviewCalcs[[#This Row],[Existing Control(s)]], Table_358[], 2, FALSE)</f>
        <v>#N/A</v>
      </c>
      <c r="AF187" s="68">
        <f>IF(ReviewCalcs[[#This Row],[Proposed Control(s)]]='Tables &amp; Ranges'!$A$25, VLOOKUP(ReviewCalcs[[#This Row],[Building/Space Type]], Table_364[], 3, FALSE), CF_Contols)</f>
        <v>0.26</v>
      </c>
      <c r="AG187" s="68" t="e">
        <f>VLOOKUP(ReviewCalcs[[#This Row],[Proposed Control(s)]], Table_358[], 2, FALSE)</f>
        <v>#N/A</v>
      </c>
      <c r="AH187" s="68">
        <f>IFERROR((ReviewCalcs[[#This Row],[Existing Fixture Quantity]]*ReviewCalcs[[#This Row],[Existing Fixture Watts]]/1000)*ReviewCalcs[[#This Row],[Existing CF]]*ReviewCalcs[[#This Row],[IEFD]], 0)</f>
        <v>0</v>
      </c>
      <c r="AI187" s="68">
        <f>IFERROR((ReviewCalcs[[#This Row],[Proposed Fixture Quantity]]*ReviewCalcs[[#This Row],[Proposed Fixture Watts]]/1000)*ReviewCalcs[[#This Row],[Existing CF]]*ReviewCalcs[[#This Row],[IEFD]], 0)</f>
        <v>0</v>
      </c>
      <c r="AJ187" s="118">
        <f>IFERROR((ReviewCalcs[[#This Row],[Existing Fixture Quantity]]*ReviewCalcs[[#This Row],[Existing Fixture Watts]]/1000-ReviewCalcs[[#This Row],[Proposed Fixture Quantity]]*ReviewCalcs[[#This Row],[Proposed Fixture Watts]]/1000)*ReviewCalcs[[#This Row],[Existing CF]]*ReviewCalcs[[#This Row],[IEFD]], 0)</f>
        <v>0</v>
      </c>
      <c r="AK187" s="118">
        <f>IFERROR((ReviewCalcs[[#This Row],[Existing Fixture Quantity]]*ReviewCalcs[[#This Row],[Existing Fixture Watts]]/1000)*ReviewCalcs[[#This Row],[AOH]]*ReviewCalcs[[#This Row],[IEFE]]*ReviewCalcs[[#This Row],[Existing PAF]], 0)</f>
        <v>0</v>
      </c>
      <c r="AL187" s="118">
        <f>IFERROR((ReviewCalcs[[#This Row],[Proposed Fixture Quantity]]*ReviewCalcs[[#This Row],[Proposed Fixture Watts]]/1000)*ReviewCalcs[[#This Row],[AOH]]*ReviewCalcs[[#This Row],[IEFE]]*ReviewCalcs[[#This Row],[Existing PAF]], 0)</f>
        <v>0</v>
      </c>
      <c r="AM1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7" s="118">
        <f>ReviewCalcs[[#This Row],[Fixture Existing Energy (kWh)]]*Avg_KWh_Rate</f>
        <v>0</v>
      </c>
      <c r="AO187" s="118">
        <f>ReviewCalcs[[#This Row],[Fixture Proposed Energy (kWh)]]*Avg_KWh_Rate</f>
        <v>0</v>
      </c>
      <c r="AP187" s="70">
        <f>ReviewCalcs[[#This Row],[Fixture Energy Savings]]*Avg_KWh_Rate</f>
        <v>0</v>
      </c>
      <c r="AQ187" s="129" t="e">
        <f>ReviewCalcs[[#This Row],[Existing Fixture Quantity]]*ReviewCalcs[[#This Row],[Existing Fixture Watts]]/1000*ReviewCalcs[[#This Row],[Existing CF]]*ReviewCalcs[[#This Row],[IEFD]]</f>
        <v>#VALUE!</v>
      </c>
      <c r="AR187" s="129" t="e">
        <f>ReviewCalcs[[#This Row],[Proposed Fixture Quantity]]*ReviewCalcs[[#This Row],[Proposed Fixture Watts]]/1000*ReviewCalcs[[#This Row],[Proposed CF]]*ReviewCalcs[[#This Row],[IEFD]]</f>
        <v>#VALUE!</v>
      </c>
      <c r="AS187" s="118">
        <f>IF(ReviewCalcs[[#This Row],[Existing CF]]=ReviewCalcs[[#This Row],[Proposed CF]], 0, ReviewCalcs[[#This Row],[Proposed Fixture Quantity]]*ReviewCalcs[[#This Row],[Proposed Fixture Watts]]/1000*ReviewCalcs[[#This Row],[Proposed CF]]*ReviewCalcs[[#This Row],[IEFD]])</f>
        <v>0</v>
      </c>
      <c r="AT187" s="118">
        <f>IFERROR(ReviewCalcs[[#This Row],[Existing Fixture Quantity]]*ReviewCalcs[[#This Row],[Existing Fixture Watts]]/1000*ReviewCalcs[[#This Row],[Existing PAF]]*ReviewCalcs[[#This Row],[AOH]]*ReviewCalcs[[#This Row],[IEFE]], 0)</f>
        <v>0</v>
      </c>
      <c r="AU187" s="118">
        <f>IFERROR(ReviewCalcs[[#This Row],[Proposed Fixture Quantity]]*ReviewCalcs[[#This Row],[Proposed Fixture Watts]]/1000*ReviewCalcs[[#This Row],[Proposed PAF]]*ReviewCalcs[[#This Row],[AOH]]*ReviewCalcs[[#This Row],[IEFE]], 0)</f>
        <v>0</v>
      </c>
      <c r="AV187" s="118">
        <f>IFERROR(ReviewCalcs[[#This Row],[Proposed Fixture Quantity]]*ReviewCalcs[[#This Row],[Proposed Fixture Watts]]/1000*(ReviewCalcs[[#This Row],[Existing PAF]]-ReviewCalcs[[#This Row],[Proposed PAF]])*ReviewCalcs[[#This Row],[AOH]]*ReviewCalcs[[#This Row],[IEFE]], 0)</f>
        <v>0</v>
      </c>
      <c r="AW187" s="118">
        <f>ReviewCalcs[[#This Row],[Control Existing Energy (kWh)]]*kWh_Incentive_Rate</f>
        <v>0</v>
      </c>
      <c r="AX187" s="118">
        <f>ReviewCalcs[[#This Row],[Control Proposed Energy (kWh)]]*kWh_Incentive_Rate</f>
        <v>0</v>
      </c>
      <c r="AY187" s="70">
        <f>ReviewCalcs[[#This Row],[Control Energy Savings (kWh)]]*kWh_Incentive_Rate</f>
        <v>0</v>
      </c>
      <c r="AZ187" s="70" t="e">
        <f>ReviewCalcs[[#This Row],[Fixture Existing Demand (kW)]]+ReviewCalcs[[#This Row],[Control Existing Demand (kW)]]</f>
        <v>#VALUE!</v>
      </c>
      <c r="BA187" s="70" t="e">
        <f>ReviewCalcs[[#This Row],[Fixture Proposed Demand (kW)]]+ReviewCalcs[[#This Row],[Control Proposed Demand (kW)]]</f>
        <v>#VALUE!</v>
      </c>
      <c r="BB187" s="118">
        <f>ReviewCalcs[[#This Row],[Fixture Demand Savings (kW)]]+ReviewCalcs[[#This Row],[Control Demand Savings (kW)]]</f>
        <v>0</v>
      </c>
      <c r="BC187" s="118">
        <f>ReviewCalcs[[#This Row],[Fixture Existing Energy (kWh)]]+ReviewCalcs[[#This Row],[Control Existing Energy (kWh)]]</f>
        <v>0</v>
      </c>
      <c r="BD187" s="118">
        <f>ReviewCalcs[[#This Row],[Fixture Proposed Energy (kWh)]]+ReviewCalcs[[#This Row],[Control Proposed Energy (kWh)]]</f>
        <v>0</v>
      </c>
      <c r="BE187" s="118">
        <f>ReviewCalcs[[#This Row],[Fixture Energy Savings]]+ReviewCalcs[[#This Row],[Control Energy Savings (kWh)]]</f>
        <v>0</v>
      </c>
      <c r="BF187" s="118">
        <f>ReviewCalcs[[#This Row],[Fixture Existing Cost ($)]]+ReviewCalcs[[#This Row],[Control Existing Cost ($)]]</f>
        <v>0</v>
      </c>
      <c r="BG187" s="118">
        <f>ReviewCalcs[[#This Row],[Fixture Proposed Cost ($)]]+ReviewCalcs[[#This Row],[Controls Proposed Cost ($)]]</f>
        <v>0</v>
      </c>
      <c r="BH187" s="70">
        <f>ReviewCalcs[[#This Row],[Total Energy Savings (kWh)]]*Avg_KWh_Rate</f>
        <v>0</v>
      </c>
      <c r="BI1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7" s="70">
        <f>ReviewCalcs[[#This Row],[Retrofit Cost]]</f>
        <v>0</v>
      </c>
      <c r="BK187" s="70">
        <f>ReviewCalcs[[#This Row],[Retrofit Cost]]-ReviewCalcs[[#This Row],[Incentive ($)]]</f>
        <v>0</v>
      </c>
      <c r="BL187" s="118" t="e">
        <f>IFERROR(ReviewCalcs[[#This Row],[Net Project Cost ($)]]/ReviewCalcs[[#This Row],[Fixture Energy Cost Savings ($)]], #N/A)</f>
        <v>#N/A</v>
      </c>
      <c r="BM187" s="118" t="e">
        <f>IF(VLOOKUP(ReviewCalcs[[#This Row],[Existing Fixture Code]], Table7[[FIXTURE CODE]:[Baseline Fixture Code]], 8, FALSE)="N", VLOOKUP(ReviewCalcs[[#This Row],[Existing Fixture Code]], Table7[[FIXTURE CODE]:[Baseline Fixture Code]], 9, FALSE), ReviewCalcs[[#This Row],[Existing Fixture Code]])</f>
        <v>#N/A</v>
      </c>
      <c r="BN187" s="118" t="e">
        <f>INDEX(Table7[WATT/ FIXT], MATCH(ReviewCalcs[Baseline Fixture Code], Table7[FIXTURE CODE], 0))</f>
        <v>#N/A</v>
      </c>
      <c r="BO187" s="118">
        <f>IFERROR((ReviewCalcs[[#This Row],[Existing Fixture Quantity]]*ReviewCalcs[[#This Row],[Baseline Fixture Watts]]/1000-ReviewCalcs[[#This Row],[Proposed Fixture Quantity]]*ReviewCalcs[[#This Row],[Proposed Fixture Watts]]/1000)*ReviewCalcs[[#This Row],[Existing CF]]*ReviewCalcs[[#This Row],[IEFD]], 0)</f>
        <v>0</v>
      </c>
      <c r="BP1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7" s="118">
        <f>IF(ReviewCalcs[[#This Row],[Existing CF]]=ReviewCalcs[[#This Row],[Proposed CF]], 0, ReviewCalcs[[#This Row],[Proposed Fixture Quantity]]*ReviewCalcs[[#This Row],[Proposed Fixture Watts]]/1000*ReviewCalcs[[#This Row],[Proposed CF]]*ReviewCalcs[[#This Row],[IEFD]])</f>
        <v>0</v>
      </c>
      <c r="BR187" s="118">
        <f>IFERROR(ReviewCalcs[[#This Row],[Proposed Fixture Quantity]]*ReviewCalcs[[#This Row],[Proposed Fixture Watts]]/1000*(ReviewCalcs[[#This Row],[Existing PAF]]-ReviewCalcs[[#This Row],[Proposed PAF]])*ReviewCalcs[[#This Row],[AOH]]*ReviewCalcs[[#This Row],[IEFE]],0)</f>
        <v>0</v>
      </c>
      <c r="BS187" s="118">
        <f>ReviewCalcs[[#This Row],[Incentive Fixture Demand Savings (kW)]]+ReviewCalcs[[#This Row],[Incentive Control Demand Savings (kW)]]</f>
        <v>0</v>
      </c>
      <c r="BT187" s="118">
        <f>ReviewCalcs[[#This Row],[Incentive Fixture Energy Savings (kWh)]]+ReviewCalcs[[#This Row],[Incentive Control Energy Savings (kWh)]]</f>
        <v>0</v>
      </c>
      <c r="BU187" s="73"/>
    </row>
    <row r="188" spans="1:73" ht="30" customHeight="1">
      <c r="A188" s="68">
        <v>185</v>
      </c>
      <c r="B188" s="96">
        <f>VLOOKUP(ReviewCalcs[[#This Row],[Project Index]], ProjectInput[], D$1, FALSE)</f>
        <v>0</v>
      </c>
      <c r="C188" s="97">
        <f>VLOOKUP(ReviewCalcs[[#This Row],[Project Index]], ProjectInput[], E$1, FALSE)</f>
        <v>0</v>
      </c>
      <c r="D188" s="97">
        <f>VLOOKUP(ReviewCalcs[[#This Row],[Project Index]], ProjectInput[], F$1, FALSE)</f>
        <v>0</v>
      </c>
      <c r="E188" s="97">
        <f>VLOOKUP(ReviewCalcs[[#This Row],[Project Index]], ProjectInput[], G$1, FALSE)</f>
        <v>0</v>
      </c>
      <c r="F188" s="97">
        <f>VLOOKUP(ReviewCalcs[[#This Row],[Project Index]], ProjectInput[], H$1, FALSE)</f>
        <v>0</v>
      </c>
      <c r="G188" s="98" t="str">
        <f>VLOOKUP(ReviewCalcs[[#This Row],[Project Index]], ProjectInput[], I$1, FALSE)</f>
        <v/>
      </c>
      <c r="H188" s="96">
        <f>VLOOKUP(ReviewCalcs[[#This Row],[Project Index]], ProjectInput[], J$1, FALSE)</f>
        <v>0</v>
      </c>
      <c r="I188" s="97">
        <f>VLOOKUP(ReviewCalcs[[#This Row],[Project Index]], ProjectInput[], K$1, FALSE)</f>
        <v>0</v>
      </c>
      <c r="J188" s="97">
        <f>VLOOKUP(ReviewCalcs[[#This Row],[Project Index]], ProjectInput[], L$1, FALSE)</f>
        <v>0</v>
      </c>
      <c r="K188" s="97">
        <f>VLOOKUP(ReviewCalcs[[#This Row],[Project Index]], ProjectInput[], M$1, FALSE)</f>
        <v>0</v>
      </c>
      <c r="L188" s="97">
        <f>VLOOKUP(ReviewCalcs[[#This Row],[Project Index]], ProjectInput[], N$1, FALSE)</f>
        <v>0</v>
      </c>
      <c r="M188" s="98" t="str">
        <f>VLOOKUP(ReviewCalcs[[#This Row],[Project Index]], ProjectInput[], O$1, FALSE)</f>
        <v/>
      </c>
      <c r="N188" s="96">
        <f>VLOOKUP(ReviewCalcs[[#This Row],[Project Index]], ProjectInput[], P$1, FALSE)</f>
        <v>0</v>
      </c>
      <c r="O188" s="97">
        <f>VLOOKUP(ReviewCalcs[[#This Row],[Project Index]], ProjectInput[], Q$1, FALSE)</f>
        <v>0</v>
      </c>
      <c r="P188" s="97">
        <f>VLOOKUP(ReviewCalcs[[#This Row],[Project Index]], ProjectInput[], R$1, FALSE)</f>
        <v>0</v>
      </c>
      <c r="Q188" s="97">
        <f>VLOOKUP(ReviewCalcs[[#This Row],[Project Index]], ProjectInput[], S$1, FALSE)</f>
        <v>0</v>
      </c>
      <c r="R188" s="97">
        <f>VLOOKUP(ReviewCalcs[[#This Row],[Project Index]], ProjectInput[], T$1, FALSE)</f>
        <v>0</v>
      </c>
      <c r="S188" s="97">
        <f>VLOOKUP(ReviewCalcs[[#This Row],[Project Index]], ProjectInput[], U$1, FALSE)</f>
        <v>0</v>
      </c>
      <c r="T188" s="97">
        <f>VLOOKUP(ReviewCalcs[[#This Row],[Project Index]], ProjectInput[], V$1, FALSE)</f>
        <v>0</v>
      </c>
      <c r="U188" s="97">
        <f>VLOOKUP(ReviewCalcs[[#This Row],[Project Index]], ProjectInput[], W$1, FALSE)</f>
        <v>0</v>
      </c>
      <c r="V188" s="98" t="str">
        <f>VLOOKUP(ReviewCalcs[[#This Row],[Project Index]], ProjectInput[], X$1, FALSE)</f>
        <v/>
      </c>
      <c r="W1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8" s="75" t="e">
        <f>IF(VLOOKUP(ReviewCalcs[[#This Row],[Proposed Fixture Code]], Table7[[FIXTURE CODE]:[Baseline Fixture Code]], 8, FALSE)="N", "ERROR", "PASS")</f>
        <v>#N/A</v>
      </c>
      <c r="Y1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8" s="75" t="e">
        <f>IF(OR(ReviewCalcs[[#This Row],[Baseline Fixture Watts]]&gt;=ReviewCalcs[[#This Row],[Proposed Fixture Watts]],ReviewCalcs[[#This Row],[Existing Fixture Watts]]&gt;=ReviewCalcs[[#This Row],[Proposed Fixture Watts]] ), "PASS", "ERROR")</f>
        <v>#N/A</v>
      </c>
      <c r="AA188" s="69" t="e">
        <f>VLOOKUP(ReviewCalcs[[#This Row],[Space Conditions]], Table_365[], 5, FALSE)</f>
        <v>#N/A</v>
      </c>
      <c r="AB188" s="68" t="str">
        <f>ReviewCalcs[[#This Row],[Annual Hours]]</f>
        <v/>
      </c>
      <c r="AC188" s="68" t="e">
        <f>VLOOKUP(ReviewCalcs[[#This Row],[Space Conditions]], Table_365[], 6, FALSE)</f>
        <v>#N/A</v>
      </c>
      <c r="AD188" s="68">
        <f>IF(ReviewCalcs[[#This Row],[Existing Control(s)]]='Tables &amp; Ranges'!$A$25, VLOOKUP(ReviewCalcs[[#This Row],[Building/Space Type]], Table_364[], 3, FALSE), CF_Contols)</f>
        <v>0.26</v>
      </c>
      <c r="AE188" s="68" t="e">
        <f>VLOOKUP(ReviewCalcs[[#This Row],[Existing Control(s)]], Table_358[], 2, FALSE)</f>
        <v>#N/A</v>
      </c>
      <c r="AF188" s="68">
        <f>IF(ReviewCalcs[[#This Row],[Proposed Control(s)]]='Tables &amp; Ranges'!$A$25, VLOOKUP(ReviewCalcs[[#This Row],[Building/Space Type]], Table_364[], 3, FALSE), CF_Contols)</f>
        <v>0.26</v>
      </c>
      <c r="AG188" s="68" t="e">
        <f>VLOOKUP(ReviewCalcs[[#This Row],[Proposed Control(s)]], Table_358[], 2, FALSE)</f>
        <v>#N/A</v>
      </c>
      <c r="AH188" s="68">
        <f>IFERROR((ReviewCalcs[[#This Row],[Existing Fixture Quantity]]*ReviewCalcs[[#This Row],[Existing Fixture Watts]]/1000)*ReviewCalcs[[#This Row],[Existing CF]]*ReviewCalcs[[#This Row],[IEFD]], 0)</f>
        <v>0</v>
      </c>
      <c r="AI188" s="68">
        <f>IFERROR((ReviewCalcs[[#This Row],[Proposed Fixture Quantity]]*ReviewCalcs[[#This Row],[Proposed Fixture Watts]]/1000)*ReviewCalcs[[#This Row],[Existing CF]]*ReviewCalcs[[#This Row],[IEFD]], 0)</f>
        <v>0</v>
      </c>
      <c r="AJ188" s="118">
        <f>IFERROR((ReviewCalcs[[#This Row],[Existing Fixture Quantity]]*ReviewCalcs[[#This Row],[Existing Fixture Watts]]/1000-ReviewCalcs[[#This Row],[Proposed Fixture Quantity]]*ReviewCalcs[[#This Row],[Proposed Fixture Watts]]/1000)*ReviewCalcs[[#This Row],[Existing CF]]*ReviewCalcs[[#This Row],[IEFD]], 0)</f>
        <v>0</v>
      </c>
      <c r="AK188" s="118">
        <f>IFERROR((ReviewCalcs[[#This Row],[Existing Fixture Quantity]]*ReviewCalcs[[#This Row],[Existing Fixture Watts]]/1000)*ReviewCalcs[[#This Row],[AOH]]*ReviewCalcs[[#This Row],[IEFE]]*ReviewCalcs[[#This Row],[Existing PAF]], 0)</f>
        <v>0</v>
      </c>
      <c r="AL188" s="118">
        <f>IFERROR((ReviewCalcs[[#This Row],[Proposed Fixture Quantity]]*ReviewCalcs[[#This Row],[Proposed Fixture Watts]]/1000)*ReviewCalcs[[#This Row],[AOH]]*ReviewCalcs[[#This Row],[IEFE]]*ReviewCalcs[[#This Row],[Existing PAF]], 0)</f>
        <v>0</v>
      </c>
      <c r="AM1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8" s="118">
        <f>ReviewCalcs[[#This Row],[Fixture Existing Energy (kWh)]]*Avg_KWh_Rate</f>
        <v>0</v>
      </c>
      <c r="AO188" s="118">
        <f>ReviewCalcs[[#This Row],[Fixture Proposed Energy (kWh)]]*Avg_KWh_Rate</f>
        <v>0</v>
      </c>
      <c r="AP188" s="70">
        <f>ReviewCalcs[[#This Row],[Fixture Energy Savings]]*Avg_KWh_Rate</f>
        <v>0</v>
      </c>
      <c r="AQ188" s="129" t="e">
        <f>ReviewCalcs[[#This Row],[Existing Fixture Quantity]]*ReviewCalcs[[#This Row],[Existing Fixture Watts]]/1000*ReviewCalcs[[#This Row],[Existing CF]]*ReviewCalcs[[#This Row],[IEFD]]</f>
        <v>#VALUE!</v>
      </c>
      <c r="AR188" s="129" t="e">
        <f>ReviewCalcs[[#This Row],[Proposed Fixture Quantity]]*ReviewCalcs[[#This Row],[Proposed Fixture Watts]]/1000*ReviewCalcs[[#This Row],[Proposed CF]]*ReviewCalcs[[#This Row],[IEFD]]</f>
        <v>#VALUE!</v>
      </c>
      <c r="AS188" s="118">
        <f>IF(ReviewCalcs[[#This Row],[Existing CF]]=ReviewCalcs[[#This Row],[Proposed CF]], 0, ReviewCalcs[[#This Row],[Proposed Fixture Quantity]]*ReviewCalcs[[#This Row],[Proposed Fixture Watts]]/1000*ReviewCalcs[[#This Row],[Proposed CF]]*ReviewCalcs[[#This Row],[IEFD]])</f>
        <v>0</v>
      </c>
      <c r="AT188" s="118">
        <f>IFERROR(ReviewCalcs[[#This Row],[Existing Fixture Quantity]]*ReviewCalcs[[#This Row],[Existing Fixture Watts]]/1000*ReviewCalcs[[#This Row],[Existing PAF]]*ReviewCalcs[[#This Row],[AOH]]*ReviewCalcs[[#This Row],[IEFE]], 0)</f>
        <v>0</v>
      </c>
      <c r="AU188" s="118">
        <f>IFERROR(ReviewCalcs[[#This Row],[Proposed Fixture Quantity]]*ReviewCalcs[[#This Row],[Proposed Fixture Watts]]/1000*ReviewCalcs[[#This Row],[Proposed PAF]]*ReviewCalcs[[#This Row],[AOH]]*ReviewCalcs[[#This Row],[IEFE]], 0)</f>
        <v>0</v>
      </c>
      <c r="AV188" s="118">
        <f>IFERROR(ReviewCalcs[[#This Row],[Proposed Fixture Quantity]]*ReviewCalcs[[#This Row],[Proposed Fixture Watts]]/1000*(ReviewCalcs[[#This Row],[Existing PAF]]-ReviewCalcs[[#This Row],[Proposed PAF]])*ReviewCalcs[[#This Row],[AOH]]*ReviewCalcs[[#This Row],[IEFE]], 0)</f>
        <v>0</v>
      </c>
      <c r="AW188" s="118">
        <f>ReviewCalcs[[#This Row],[Control Existing Energy (kWh)]]*kWh_Incentive_Rate</f>
        <v>0</v>
      </c>
      <c r="AX188" s="118">
        <f>ReviewCalcs[[#This Row],[Control Proposed Energy (kWh)]]*kWh_Incentive_Rate</f>
        <v>0</v>
      </c>
      <c r="AY188" s="70">
        <f>ReviewCalcs[[#This Row],[Control Energy Savings (kWh)]]*kWh_Incentive_Rate</f>
        <v>0</v>
      </c>
      <c r="AZ188" s="70" t="e">
        <f>ReviewCalcs[[#This Row],[Fixture Existing Demand (kW)]]+ReviewCalcs[[#This Row],[Control Existing Demand (kW)]]</f>
        <v>#VALUE!</v>
      </c>
      <c r="BA188" s="70" t="e">
        <f>ReviewCalcs[[#This Row],[Fixture Proposed Demand (kW)]]+ReviewCalcs[[#This Row],[Control Proposed Demand (kW)]]</f>
        <v>#VALUE!</v>
      </c>
      <c r="BB188" s="118">
        <f>ReviewCalcs[[#This Row],[Fixture Demand Savings (kW)]]+ReviewCalcs[[#This Row],[Control Demand Savings (kW)]]</f>
        <v>0</v>
      </c>
      <c r="BC188" s="118">
        <f>ReviewCalcs[[#This Row],[Fixture Existing Energy (kWh)]]+ReviewCalcs[[#This Row],[Control Existing Energy (kWh)]]</f>
        <v>0</v>
      </c>
      <c r="BD188" s="118">
        <f>ReviewCalcs[[#This Row],[Fixture Proposed Energy (kWh)]]+ReviewCalcs[[#This Row],[Control Proposed Energy (kWh)]]</f>
        <v>0</v>
      </c>
      <c r="BE188" s="118">
        <f>ReviewCalcs[[#This Row],[Fixture Energy Savings]]+ReviewCalcs[[#This Row],[Control Energy Savings (kWh)]]</f>
        <v>0</v>
      </c>
      <c r="BF188" s="118">
        <f>ReviewCalcs[[#This Row],[Fixture Existing Cost ($)]]+ReviewCalcs[[#This Row],[Control Existing Cost ($)]]</f>
        <v>0</v>
      </c>
      <c r="BG188" s="118">
        <f>ReviewCalcs[[#This Row],[Fixture Proposed Cost ($)]]+ReviewCalcs[[#This Row],[Controls Proposed Cost ($)]]</f>
        <v>0</v>
      </c>
      <c r="BH188" s="70">
        <f>ReviewCalcs[[#This Row],[Total Energy Savings (kWh)]]*Avg_KWh_Rate</f>
        <v>0</v>
      </c>
      <c r="BI1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8" s="70">
        <f>ReviewCalcs[[#This Row],[Retrofit Cost]]</f>
        <v>0</v>
      </c>
      <c r="BK188" s="70">
        <f>ReviewCalcs[[#This Row],[Retrofit Cost]]-ReviewCalcs[[#This Row],[Incentive ($)]]</f>
        <v>0</v>
      </c>
      <c r="BL188" s="118" t="e">
        <f>IFERROR(ReviewCalcs[[#This Row],[Net Project Cost ($)]]/ReviewCalcs[[#This Row],[Fixture Energy Cost Savings ($)]], #N/A)</f>
        <v>#N/A</v>
      </c>
      <c r="BM188" s="118" t="e">
        <f>IF(VLOOKUP(ReviewCalcs[[#This Row],[Existing Fixture Code]], Table7[[FIXTURE CODE]:[Baseline Fixture Code]], 8, FALSE)="N", VLOOKUP(ReviewCalcs[[#This Row],[Existing Fixture Code]], Table7[[FIXTURE CODE]:[Baseline Fixture Code]], 9, FALSE), ReviewCalcs[[#This Row],[Existing Fixture Code]])</f>
        <v>#N/A</v>
      </c>
      <c r="BN188" s="118" t="e">
        <f>INDEX(Table7[WATT/ FIXT], MATCH(ReviewCalcs[Baseline Fixture Code], Table7[FIXTURE CODE], 0))</f>
        <v>#N/A</v>
      </c>
      <c r="BO188" s="118">
        <f>IFERROR((ReviewCalcs[[#This Row],[Existing Fixture Quantity]]*ReviewCalcs[[#This Row],[Baseline Fixture Watts]]/1000-ReviewCalcs[[#This Row],[Proposed Fixture Quantity]]*ReviewCalcs[[#This Row],[Proposed Fixture Watts]]/1000)*ReviewCalcs[[#This Row],[Existing CF]]*ReviewCalcs[[#This Row],[IEFD]], 0)</f>
        <v>0</v>
      </c>
      <c r="BP1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8" s="118">
        <f>IF(ReviewCalcs[[#This Row],[Existing CF]]=ReviewCalcs[[#This Row],[Proposed CF]], 0, ReviewCalcs[[#This Row],[Proposed Fixture Quantity]]*ReviewCalcs[[#This Row],[Proposed Fixture Watts]]/1000*ReviewCalcs[[#This Row],[Proposed CF]]*ReviewCalcs[[#This Row],[IEFD]])</f>
        <v>0</v>
      </c>
      <c r="BR188" s="118">
        <f>IFERROR(ReviewCalcs[[#This Row],[Proposed Fixture Quantity]]*ReviewCalcs[[#This Row],[Proposed Fixture Watts]]/1000*(ReviewCalcs[[#This Row],[Existing PAF]]-ReviewCalcs[[#This Row],[Proposed PAF]])*ReviewCalcs[[#This Row],[AOH]]*ReviewCalcs[[#This Row],[IEFE]],0)</f>
        <v>0</v>
      </c>
      <c r="BS188" s="118">
        <f>ReviewCalcs[[#This Row],[Incentive Fixture Demand Savings (kW)]]+ReviewCalcs[[#This Row],[Incentive Control Demand Savings (kW)]]</f>
        <v>0</v>
      </c>
      <c r="BT188" s="118">
        <f>ReviewCalcs[[#This Row],[Incentive Fixture Energy Savings (kWh)]]+ReviewCalcs[[#This Row],[Incentive Control Energy Savings (kWh)]]</f>
        <v>0</v>
      </c>
      <c r="BU188" s="73"/>
    </row>
    <row r="189" spans="1:73" ht="30" customHeight="1">
      <c r="A189" s="68">
        <v>186</v>
      </c>
      <c r="B189" s="96">
        <f>VLOOKUP(ReviewCalcs[[#This Row],[Project Index]], ProjectInput[], D$1, FALSE)</f>
        <v>0</v>
      </c>
      <c r="C189" s="97">
        <f>VLOOKUP(ReviewCalcs[[#This Row],[Project Index]], ProjectInput[], E$1, FALSE)</f>
        <v>0</v>
      </c>
      <c r="D189" s="97">
        <f>VLOOKUP(ReviewCalcs[[#This Row],[Project Index]], ProjectInput[], F$1, FALSE)</f>
        <v>0</v>
      </c>
      <c r="E189" s="97">
        <f>VLOOKUP(ReviewCalcs[[#This Row],[Project Index]], ProjectInput[], G$1, FALSE)</f>
        <v>0</v>
      </c>
      <c r="F189" s="97">
        <f>VLOOKUP(ReviewCalcs[[#This Row],[Project Index]], ProjectInput[], H$1, FALSE)</f>
        <v>0</v>
      </c>
      <c r="G189" s="98" t="str">
        <f>VLOOKUP(ReviewCalcs[[#This Row],[Project Index]], ProjectInput[], I$1, FALSE)</f>
        <v/>
      </c>
      <c r="H189" s="96">
        <f>VLOOKUP(ReviewCalcs[[#This Row],[Project Index]], ProjectInput[], J$1, FALSE)</f>
        <v>0</v>
      </c>
      <c r="I189" s="97">
        <f>VLOOKUP(ReviewCalcs[[#This Row],[Project Index]], ProjectInput[], K$1, FALSE)</f>
        <v>0</v>
      </c>
      <c r="J189" s="97">
        <f>VLOOKUP(ReviewCalcs[[#This Row],[Project Index]], ProjectInput[], L$1, FALSE)</f>
        <v>0</v>
      </c>
      <c r="K189" s="97">
        <f>VLOOKUP(ReviewCalcs[[#This Row],[Project Index]], ProjectInput[], M$1, FALSE)</f>
        <v>0</v>
      </c>
      <c r="L189" s="97">
        <f>VLOOKUP(ReviewCalcs[[#This Row],[Project Index]], ProjectInput[], N$1, FALSE)</f>
        <v>0</v>
      </c>
      <c r="M189" s="98" t="str">
        <f>VLOOKUP(ReviewCalcs[[#This Row],[Project Index]], ProjectInput[], O$1, FALSE)</f>
        <v/>
      </c>
      <c r="N189" s="96">
        <f>VLOOKUP(ReviewCalcs[[#This Row],[Project Index]], ProjectInput[], P$1, FALSE)</f>
        <v>0</v>
      </c>
      <c r="O189" s="97">
        <f>VLOOKUP(ReviewCalcs[[#This Row],[Project Index]], ProjectInput[], Q$1, FALSE)</f>
        <v>0</v>
      </c>
      <c r="P189" s="97">
        <f>VLOOKUP(ReviewCalcs[[#This Row],[Project Index]], ProjectInput[], R$1, FALSE)</f>
        <v>0</v>
      </c>
      <c r="Q189" s="97">
        <f>VLOOKUP(ReviewCalcs[[#This Row],[Project Index]], ProjectInput[], S$1, FALSE)</f>
        <v>0</v>
      </c>
      <c r="R189" s="97">
        <f>VLOOKUP(ReviewCalcs[[#This Row],[Project Index]], ProjectInput[], T$1, FALSE)</f>
        <v>0</v>
      </c>
      <c r="S189" s="97">
        <f>VLOOKUP(ReviewCalcs[[#This Row],[Project Index]], ProjectInput[], U$1, FALSE)</f>
        <v>0</v>
      </c>
      <c r="T189" s="97">
        <f>VLOOKUP(ReviewCalcs[[#This Row],[Project Index]], ProjectInput[], V$1, FALSE)</f>
        <v>0</v>
      </c>
      <c r="U189" s="97">
        <f>VLOOKUP(ReviewCalcs[[#This Row],[Project Index]], ProjectInput[], W$1, FALSE)</f>
        <v>0</v>
      </c>
      <c r="V189" s="98" t="str">
        <f>VLOOKUP(ReviewCalcs[[#This Row],[Project Index]], ProjectInput[], X$1, FALSE)</f>
        <v/>
      </c>
      <c r="W1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89" s="75" t="e">
        <f>IF(VLOOKUP(ReviewCalcs[[#This Row],[Proposed Fixture Code]], Table7[[FIXTURE CODE]:[Baseline Fixture Code]], 8, FALSE)="N", "ERROR", "PASS")</f>
        <v>#N/A</v>
      </c>
      <c r="Y1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89" s="75" t="e">
        <f>IF(OR(ReviewCalcs[[#This Row],[Baseline Fixture Watts]]&gt;=ReviewCalcs[[#This Row],[Proposed Fixture Watts]],ReviewCalcs[[#This Row],[Existing Fixture Watts]]&gt;=ReviewCalcs[[#This Row],[Proposed Fixture Watts]] ), "PASS", "ERROR")</f>
        <v>#N/A</v>
      </c>
      <c r="AA189" s="69" t="e">
        <f>VLOOKUP(ReviewCalcs[[#This Row],[Space Conditions]], Table_365[], 5, FALSE)</f>
        <v>#N/A</v>
      </c>
      <c r="AB189" s="68" t="str">
        <f>ReviewCalcs[[#This Row],[Annual Hours]]</f>
        <v/>
      </c>
      <c r="AC189" s="68" t="e">
        <f>VLOOKUP(ReviewCalcs[[#This Row],[Space Conditions]], Table_365[], 6, FALSE)</f>
        <v>#N/A</v>
      </c>
      <c r="AD189" s="68">
        <f>IF(ReviewCalcs[[#This Row],[Existing Control(s)]]='Tables &amp; Ranges'!$A$25, VLOOKUP(ReviewCalcs[[#This Row],[Building/Space Type]], Table_364[], 3, FALSE), CF_Contols)</f>
        <v>0.26</v>
      </c>
      <c r="AE189" s="68" t="e">
        <f>VLOOKUP(ReviewCalcs[[#This Row],[Existing Control(s)]], Table_358[], 2, FALSE)</f>
        <v>#N/A</v>
      </c>
      <c r="AF189" s="68">
        <f>IF(ReviewCalcs[[#This Row],[Proposed Control(s)]]='Tables &amp; Ranges'!$A$25, VLOOKUP(ReviewCalcs[[#This Row],[Building/Space Type]], Table_364[], 3, FALSE), CF_Contols)</f>
        <v>0.26</v>
      </c>
      <c r="AG189" s="68" t="e">
        <f>VLOOKUP(ReviewCalcs[[#This Row],[Proposed Control(s)]], Table_358[], 2, FALSE)</f>
        <v>#N/A</v>
      </c>
      <c r="AH189" s="68">
        <f>IFERROR((ReviewCalcs[[#This Row],[Existing Fixture Quantity]]*ReviewCalcs[[#This Row],[Existing Fixture Watts]]/1000)*ReviewCalcs[[#This Row],[Existing CF]]*ReviewCalcs[[#This Row],[IEFD]], 0)</f>
        <v>0</v>
      </c>
      <c r="AI189" s="68">
        <f>IFERROR((ReviewCalcs[[#This Row],[Proposed Fixture Quantity]]*ReviewCalcs[[#This Row],[Proposed Fixture Watts]]/1000)*ReviewCalcs[[#This Row],[Existing CF]]*ReviewCalcs[[#This Row],[IEFD]], 0)</f>
        <v>0</v>
      </c>
      <c r="AJ189" s="118">
        <f>IFERROR((ReviewCalcs[[#This Row],[Existing Fixture Quantity]]*ReviewCalcs[[#This Row],[Existing Fixture Watts]]/1000-ReviewCalcs[[#This Row],[Proposed Fixture Quantity]]*ReviewCalcs[[#This Row],[Proposed Fixture Watts]]/1000)*ReviewCalcs[[#This Row],[Existing CF]]*ReviewCalcs[[#This Row],[IEFD]], 0)</f>
        <v>0</v>
      </c>
      <c r="AK189" s="118">
        <f>IFERROR((ReviewCalcs[[#This Row],[Existing Fixture Quantity]]*ReviewCalcs[[#This Row],[Existing Fixture Watts]]/1000)*ReviewCalcs[[#This Row],[AOH]]*ReviewCalcs[[#This Row],[IEFE]]*ReviewCalcs[[#This Row],[Existing PAF]], 0)</f>
        <v>0</v>
      </c>
      <c r="AL189" s="118">
        <f>IFERROR((ReviewCalcs[[#This Row],[Proposed Fixture Quantity]]*ReviewCalcs[[#This Row],[Proposed Fixture Watts]]/1000)*ReviewCalcs[[#This Row],[AOH]]*ReviewCalcs[[#This Row],[IEFE]]*ReviewCalcs[[#This Row],[Existing PAF]], 0)</f>
        <v>0</v>
      </c>
      <c r="AM1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89" s="118">
        <f>ReviewCalcs[[#This Row],[Fixture Existing Energy (kWh)]]*Avg_KWh_Rate</f>
        <v>0</v>
      </c>
      <c r="AO189" s="118">
        <f>ReviewCalcs[[#This Row],[Fixture Proposed Energy (kWh)]]*Avg_KWh_Rate</f>
        <v>0</v>
      </c>
      <c r="AP189" s="70">
        <f>ReviewCalcs[[#This Row],[Fixture Energy Savings]]*Avg_KWh_Rate</f>
        <v>0</v>
      </c>
      <c r="AQ189" s="129" t="e">
        <f>ReviewCalcs[[#This Row],[Existing Fixture Quantity]]*ReviewCalcs[[#This Row],[Existing Fixture Watts]]/1000*ReviewCalcs[[#This Row],[Existing CF]]*ReviewCalcs[[#This Row],[IEFD]]</f>
        <v>#VALUE!</v>
      </c>
      <c r="AR189" s="129" t="e">
        <f>ReviewCalcs[[#This Row],[Proposed Fixture Quantity]]*ReviewCalcs[[#This Row],[Proposed Fixture Watts]]/1000*ReviewCalcs[[#This Row],[Proposed CF]]*ReviewCalcs[[#This Row],[IEFD]]</f>
        <v>#VALUE!</v>
      </c>
      <c r="AS189" s="118">
        <f>IF(ReviewCalcs[[#This Row],[Existing CF]]=ReviewCalcs[[#This Row],[Proposed CF]], 0, ReviewCalcs[[#This Row],[Proposed Fixture Quantity]]*ReviewCalcs[[#This Row],[Proposed Fixture Watts]]/1000*ReviewCalcs[[#This Row],[Proposed CF]]*ReviewCalcs[[#This Row],[IEFD]])</f>
        <v>0</v>
      </c>
      <c r="AT189" s="118">
        <f>IFERROR(ReviewCalcs[[#This Row],[Existing Fixture Quantity]]*ReviewCalcs[[#This Row],[Existing Fixture Watts]]/1000*ReviewCalcs[[#This Row],[Existing PAF]]*ReviewCalcs[[#This Row],[AOH]]*ReviewCalcs[[#This Row],[IEFE]], 0)</f>
        <v>0</v>
      </c>
      <c r="AU189" s="118">
        <f>IFERROR(ReviewCalcs[[#This Row],[Proposed Fixture Quantity]]*ReviewCalcs[[#This Row],[Proposed Fixture Watts]]/1000*ReviewCalcs[[#This Row],[Proposed PAF]]*ReviewCalcs[[#This Row],[AOH]]*ReviewCalcs[[#This Row],[IEFE]], 0)</f>
        <v>0</v>
      </c>
      <c r="AV189" s="118">
        <f>IFERROR(ReviewCalcs[[#This Row],[Proposed Fixture Quantity]]*ReviewCalcs[[#This Row],[Proposed Fixture Watts]]/1000*(ReviewCalcs[[#This Row],[Existing PAF]]-ReviewCalcs[[#This Row],[Proposed PAF]])*ReviewCalcs[[#This Row],[AOH]]*ReviewCalcs[[#This Row],[IEFE]], 0)</f>
        <v>0</v>
      </c>
      <c r="AW189" s="118">
        <f>ReviewCalcs[[#This Row],[Control Existing Energy (kWh)]]*kWh_Incentive_Rate</f>
        <v>0</v>
      </c>
      <c r="AX189" s="118">
        <f>ReviewCalcs[[#This Row],[Control Proposed Energy (kWh)]]*kWh_Incentive_Rate</f>
        <v>0</v>
      </c>
      <c r="AY189" s="70">
        <f>ReviewCalcs[[#This Row],[Control Energy Savings (kWh)]]*kWh_Incentive_Rate</f>
        <v>0</v>
      </c>
      <c r="AZ189" s="70" t="e">
        <f>ReviewCalcs[[#This Row],[Fixture Existing Demand (kW)]]+ReviewCalcs[[#This Row],[Control Existing Demand (kW)]]</f>
        <v>#VALUE!</v>
      </c>
      <c r="BA189" s="70" t="e">
        <f>ReviewCalcs[[#This Row],[Fixture Proposed Demand (kW)]]+ReviewCalcs[[#This Row],[Control Proposed Demand (kW)]]</f>
        <v>#VALUE!</v>
      </c>
      <c r="BB189" s="118">
        <f>ReviewCalcs[[#This Row],[Fixture Demand Savings (kW)]]+ReviewCalcs[[#This Row],[Control Demand Savings (kW)]]</f>
        <v>0</v>
      </c>
      <c r="BC189" s="118">
        <f>ReviewCalcs[[#This Row],[Fixture Existing Energy (kWh)]]+ReviewCalcs[[#This Row],[Control Existing Energy (kWh)]]</f>
        <v>0</v>
      </c>
      <c r="BD189" s="118">
        <f>ReviewCalcs[[#This Row],[Fixture Proposed Energy (kWh)]]+ReviewCalcs[[#This Row],[Control Proposed Energy (kWh)]]</f>
        <v>0</v>
      </c>
      <c r="BE189" s="118">
        <f>ReviewCalcs[[#This Row],[Fixture Energy Savings]]+ReviewCalcs[[#This Row],[Control Energy Savings (kWh)]]</f>
        <v>0</v>
      </c>
      <c r="BF189" s="118">
        <f>ReviewCalcs[[#This Row],[Fixture Existing Cost ($)]]+ReviewCalcs[[#This Row],[Control Existing Cost ($)]]</f>
        <v>0</v>
      </c>
      <c r="BG189" s="118">
        <f>ReviewCalcs[[#This Row],[Fixture Proposed Cost ($)]]+ReviewCalcs[[#This Row],[Controls Proposed Cost ($)]]</f>
        <v>0</v>
      </c>
      <c r="BH189" s="70">
        <f>ReviewCalcs[[#This Row],[Total Energy Savings (kWh)]]*Avg_KWh_Rate</f>
        <v>0</v>
      </c>
      <c r="BI1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89" s="70">
        <f>ReviewCalcs[[#This Row],[Retrofit Cost]]</f>
        <v>0</v>
      </c>
      <c r="BK189" s="70">
        <f>ReviewCalcs[[#This Row],[Retrofit Cost]]-ReviewCalcs[[#This Row],[Incentive ($)]]</f>
        <v>0</v>
      </c>
      <c r="BL189" s="118" t="e">
        <f>IFERROR(ReviewCalcs[[#This Row],[Net Project Cost ($)]]/ReviewCalcs[[#This Row],[Fixture Energy Cost Savings ($)]], #N/A)</f>
        <v>#N/A</v>
      </c>
      <c r="BM189" s="118" t="e">
        <f>IF(VLOOKUP(ReviewCalcs[[#This Row],[Existing Fixture Code]], Table7[[FIXTURE CODE]:[Baseline Fixture Code]], 8, FALSE)="N", VLOOKUP(ReviewCalcs[[#This Row],[Existing Fixture Code]], Table7[[FIXTURE CODE]:[Baseline Fixture Code]], 9, FALSE), ReviewCalcs[[#This Row],[Existing Fixture Code]])</f>
        <v>#N/A</v>
      </c>
      <c r="BN189" s="118" t="e">
        <f>INDEX(Table7[WATT/ FIXT], MATCH(ReviewCalcs[Baseline Fixture Code], Table7[FIXTURE CODE], 0))</f>
        <v>#N/A</v>
      </c>
      <c r="BO189" s="118">
        <f>IFERROR((ReviewCalcs[[#This Row],[Existing Fixture Quantity]]*ReviewCalcs[[#This Row],[Baseline Fixture Watts]]/1000-ReviewCalcs[[#This Row],[Proposed Fixture Quantity]]*ReviewCalcs[[#This Row],[Proposed Fixture Watts]]/1000)*ReviewCalcs[[#This Row],[Existing CF]]*ReviewCalcs[[#This Row],[IEFD]], 0)</f>
        <v>0</v>
      </c>
      <c r="BP1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89" s="118">
        <f>IF(ReviewCalcs[[#This Row],[Existing CF]]=ReviewCalcs[[#This Row],[Proposed CF]], 0, ReviewCalcs[[#This Row],[Proposed Fixture Quantity]]*ReviewCalcs[[#This Row],[Proposed Fixture Watts]]/1000*ReviewCalcs[[#This Row],[Proposed CF]]*ReviewCalcs[[#This Row],[IEFD]])</f>
        <v>0</v>
      </c>
      <c r="BR189" s="118">
        <f>IFERROR(ReviewCalcs[[#This Row],[Proposed Fixture Quantity]]*ReviewCalcs[[#This Row],[Proposed Fixture Watts]]/1000*(ReviewCalcs[[#This Row],[Existing PAF]]-ReviewCalcs[[#This Row],[Proposed PAF]])*ReviewCalcs[[#This Row],[AOH]]*ReviewCalcs[[#This Row],[IEFE]],0)</f>
        <v>0</v>
      </c>
      <c r="BS189" s="118">
        <f>ReviewCalcs[[#This Row],[Incentive Fixture Demand Savings (kW)]]+ReviewCalcs[[#This Row],[Incentive Control Demand Savings (kW)]]</f>
        <v>0</v>
      </c>
      <c r="BT189" s="118">
        <f>ReviewCalcs[[#This Row],[Incentive Fixture Energy Savings (kWh)]]+ReviewCalcs[[#This Row],[Incentive Control Energy Savings (kWh)]]</f>
        <v>0</v>
      </c>
      <c r="BU189" s="73"/>
    </row>
    <row r="190" spans="1:73" ht="30" customHeight="1">
      <c r="A190" s="68">
        <v>187</v>
      </c>
      <c r="B190" s="96">
        <f>VLOOKUP(ReviewCalcs[[#This Row],[Project Index]], ProjectInput[], D$1, FALSE)</f>
        <v>0</v>
      </c>
      <c r="C190" s="97">
        <f>VLOOKUP(ReviewCalcs[[#This Row],[Project Index]], ProjectInput[], E$1, FALSE)</f>
        <v>0</v>
      </c>
      <c r="D190" s="97">
        <f>VLOOKUP(ReviewCalcs[[#This Row],[Project Index]], ProjectInput[], F$1, FALSE)</f>
        <v>0</v>
      </c>
      <c r="E190" s="97">
        <f>VLOOKUP(ReviewCalcs[[#This Row],[Project Index]], ProjectInput[], G$1, FALSE)</f>
        <v>0</v>
      </c>
      <c r="F190" s="97">
        <f>VLOOKUP(ReviewCalcs[[#This Row],[Project Index]], ProjectInput[], H$1, FALSE)</f>
        <v>0</v>
      </c>
      <c r="G190" s="98" t="str">
        <f>VLOOKUP(ReviewCalcs[[#This Row],[Project Index]], ProjectInput[], I$1, FALSE)</f>
        <v/>
      </c>
      <c r="H190" s="96">
        <f>VLOOKUP(ReviewCalcs[[#This Row],[Project Index]], ProjectInput[], J$1, FALSE)</f>
        <v>0</v>
      </c>
      <c r="I190" s="97">
        <f>VLOOKUP(ReviewCalcs[[#This Row],[Project Index]], ProjectInput[], K$1, FALSE)</f>
        <v>0</v>
      </c>
      <c r="J190" s="97">
        <f>VLOOKUP(ReviewCalcs[[#This Row],[Project Index]], ProjectInput[], L$1, FALSE)</f>
        <v>0</v>
      </c>
      <c r="K190" s="97">
        <f>VLOOKUP(ReviewCalcs[[#This Row],[Project Index]], ProjectInput[], M$1, FALSE)</f>
        <v>0</v>
      </c>
      <c r="L190" s="97">
        <f>VLOOKUP(ReviewCalcs[[#This Row],[Project Index]], ProjectInput[], N$1, FALSE)</f>
        <v>0</v>
      </c>
      <c r="M190" s="98" t="str">
        <f>VLOOKUP(ReviewCalcs[[#This Row],[Project Index]], ProjectInput[], O$1, FALSE)</f>
        <v/>
      </c>
      <c r="N190" s="96">
        <f>VLOOKUP(ReviewCalcs[[#This Row],[Project Index]], ProjectInput[], P$1, FALSE)</f>
        <v>0</v>
      </c>
      <c r="O190" s="97">
        <f>VLOOKUP(ReviewCalcs[[#This Row],[Project Index]], ProjectInput[], Q$1, FALSE)</f>
        <v>0</v>
      </c>
      <c r="P190" s="97">
        <f>VLOOKUP(ReviewCalcs[[#This Row],[Project Index]], ProjectInput[], R$1, FALSE)</f>
        <v>0</v>
      </c>
      <c r="Q190" s="97">
        <f>VLOOKUP(ReviewCalcs[[#This Row],[Project Index]], ProjectInput[], S$1, FALSE)</f>
        <v>0</v>
      </c>
      <c r="R190" s="97">
        <f>VLOOKUP(ReviewCalcs[[#This Row],[Project Index]], ProjectInput[], T$1, FALSE)</f>
        <v>0</v>
      </c>
      <c r="S190" s="97">
        <f>VLOOKUP(ReviewCalcs[[#This Row],[Project Index]], ProjectInput[], U$1, FALSE)</f>
        <v>0</v>
      </c>
      <c r="T190" s="97">
        <f>VLOOKUP(ReviewCalcs[[#This Row],[Project Index]], ProjectInput[], V$1, FALSE)</f>
        <v>0</v>
      </c>
      <c r="U190" s="97">
        <f>VLOOKUP(ReviewCalcs[[#This Row],[Project Index]], ProjectInput[], W$1, FALSE)</f>
        <v>0</v>
      </c>
      <c r="V190" s="98" t="str">
        <f>VLOOKUP(ReviewCalcs[[#This Row],[Project Index]], ProjectInput[], X$1, FALSE)</f>
        <v/>
      </c>
      <c r="W1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0" s="75" t="e">
        <f>IF(VLOOKUP(ReviewCalcs[[#This Row],[Proposed Fixture Code]], Table7[[FIXTURE CODE]:[Baseline Fixture Code]], 8, FALSE)="N", "ERROR", "PASS")</f>
        <v>#N/A</v>
      </c>
      <c r="Y1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0" s="75" t="e">
        <f>IF(OR(ReviewCalcs[[#This Row],[Baseline Fixture Watts]]&gt;=ReviewCalcs[[#This Row],[Proposed Fixture Watts]],ReviewCalcs[[#This Row],[Existing Fixture Watts]]&gt;=ReviewCalcs[[#This Row],[Proposed Fixture Watts]] ), "PASS", "ERROR")</f>
        <v>#N/A</v>
      </c>
      <c r="AA190" s="69" t="e">
        <f>VLOOKUP(ReviewCalcs[[#This Row],[Space Conditions]], Table_365[], 5, FALSE)</f>
        <v>#N/A</v>
      </c>
      <c r="AB190" s="68" t="str">
        <f>ReviewCalcs[[#This Row],[Annual Hours]]</f>
        <v/>
      </c>
      <c r="AC190" s="68" t="e">
        <f>VLOOKUP(ReviewCalcs[[#This Row],[Space Conditions]], Table_365[], 6, FALSE)</f>
        <v>#N/A</v>
      </c>
      <c r="AD190" s="68">
        <f>IF(ReviewCalcs[[#This Row],[Existing Control(s)]]='Tables &amp; Ranges'!$A$25, VLOOKUP(ReviewCalcs[[#This Row],[Building/Space Type]], Table_364[], 3, FALSE), CF_Contols)</f>
        <v>0.26</v>
      </c>
      <c r="AE190" s="68" t="e">
        <f>VLOOKUP(ReviewCalcs[[#This Row],[Existing Control(s)]], Table_358[], 2, FALSE)</f>
        <v>#N/A</v>
      </c>
      <c r="AF190" s="68">
        <f>IF(ReviewCalcs[[#This Row],[Proposed Control(s)]]='Tables &amp; Ranges'!$A$25, VLOOKUP(ReviewCalcs[[#This Row],[Building/Space Type]], Table_364[], 3, FALSE), CF_Contols)</f>
        <v>0.26</v>
      </c>
      <c r="AG190" s="68" t="e">
        <f>VLOOKUP(ReviewCalcs[[#This Row],[Proposed Control(s)]], Table_358[], 2, FALSE)</f>
        <v>#N/A</v>
      </c>
      <c r="AH190" s="68">
        <f>IFERROR((ReviewCalcs[[#This Row],[Existing Fixture Quantity]]*ReviewCalcs[[#This Row],[Existing Fixture Watts]]/1000)*ReviewCalcs[[#This Row],[Existing CF]]*ReviewCalcs[[#This Row],[IEFD]], 0)</f>
        <v>0</v>
      </c>
      <c r="AI190" s="68">
        <f>IFERROR((ReviewCalcs[[#This Row],[Proposed Fixture Quantity]]*ReviewCalcs[[#This Row],[Proposed Fixture Watts]]/1000)*ReviewCalcs[[#This Row],[Existing CF]]*ReviewCalcs[[#This Row],[IEFD]], 0)</f>
        <v>0</v>
      </c>
      <c r="AJ190" s="118">
        <f>IFERROR((ReviewCalcs[[#This Row],[Existing Fixture Quantity]]*ReviewCalcs[[#This Row],[Existing Fixture Watts]]/1000-ReviewCalcs[[#This Row],[Proposed Fixture Quantity]]*ReviewCalcs[[#This Row],[Proposed Fixture Watts]]/1000)*ReviewCalcs[[#This Row],[Existing CF]]*ReviewCalcs[[#This Row],[IEFD]], 0)</f>
        <v>0</v>
      </c>
      <c r="AK190" s="118">
        <f>IFERROR((ReviewCalcs[[#This Row],[Existing Fixture Quantity]]*ReviewCalcs[[#This Row],[Existing Fixture Watts]]/1000)*ReviewCalcs[[#This Row],[AOH]]*ReviewCalcs[[#This Row],[IEFE]]*ReviewCalcs[[#This Row],[Existing PAF]], 0)</f>
        <v>0</v>
      </c>
      <c r="AL190" s="118">
        <f>IFERROR((ReviewCalcs[[#This Row],[Proposed Fixture Quantity]]*ReviewCalcs[[#This Row],[Proposed Fixture Watts]]/1000)*ReviewCalcs[[#This Row],[AOH]]*ReviewCalcs[[#This Row],[IEFE]]*ReviewCalcs[[#This Row],[Existing PAF]], 0)</f>
        <v>0</v>
      </c>
      <c r="AM1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0" s="118">
        <f>ReviewCalcs[[#This Row],[Fixture Existing Energy (kWh)]]*Avg_KWh_Rate</f>
        <v>0</v>
      </c>
      <c r="AO190" s="118">
        <f>ReviewCalcs[[#This Row],[Fixture Proposed Energy (kWh)]]*Avg_KWh_Rate</f>
        <v>0</v>
      </c>
      <c r="AP190" s="70">
        <f>ReviewCalcs[[#This Row],[Fixture Energy Savings]]*Avg_KWh_Rate</f>
        <v>0</v>
      </c>
      <c r="AQ190" s="129" t="e">
        <f>ReviewCalcs[[#This Row],[Existing Fixture Quantity]]*ReviewCalcs[[#This Row],[Existing Fixture Watts]]/1000*ReviewCalcs[[#This Row],[Existing CF]]*ReviewCalcs[[#This Row],[IEFD]]</f>
        <v>#VALUE!</v>
      </c>
      <c r="AR190" s="129" t="e">
        <f>ReviewCalcs[[#This Row],[Proposed Fixture Quantity]]*ReviewCalcs[[#This Row],[Proposed Fixture Watts]]/1000*ReviewCalcs[[#This Row],[Proposed CF]]*ReviewCalcs[[#This Row],[IEFD]]</f>
        <v>#VALUE!</v>
      </c>
      <c r="AS190" s="118">
        <f>IF(ReviewCalcs[[#This Row],[Existing CF]]=ReviewCalcs[[#This Row],[Proposed CF]], 0, ReviewCalcs[[#This Row],[Proposed Fixture Quantity]]*ReviewCalcs[[#This Row],[Proposed Fixture Watts]]/1000*ReviewCalcs[[#This Row],[Proposed CF]]*ReviewCalcs[[#This Row],[IEFD]])</f>
        <v>0</v>
      </c>
      <c r="AT190" s="118">
        <f>IFERROR(ReviewCalcs[[#This Row],[Existing Fixture Quantity]]*ReviewCalcs[[#This Row],[Existing Fixture Watts]]/1000*ReviewCalcs[[#This Row],[Existing PAF]]*ReviewCalcs[[#This Row],[AOH]]*ReviewCalcs[[#This Row],[IEFE]], 0)</f>
        <v>0</v>
      </c>
      <c r="AU190" s="118">
        <f>IFERROR(ReviewCalcs[[#This Row],[Proposed Fixture Quantity]]*ReviewCalcs[[#This Row],[Proposed Fixture Watts]]/1000*ReviewCalcs[[#This Row],[Proposed PAF]]*ReviewCalcs[[#This Row],[AOH]]*ReviewCalcs[[#This Row],[IEFE]], 0)</f>
        <v>0</v>
      </c>
      <c r="AV190" s="118">
        <f>IFERROR(ReviewCalcs[[#This Row],[Proposed Fixture Quantity]]*ReviewCalcs[[#This Row],[Proposed Fixture Watts]]/1000*(ReviewCalcs[[#This Row],[Existing PAF]]-ReviewCalcs[[#This Row],[Proposed PAF]])*ReviewCalcs[[#This Row],[AOH]]*ReviewCalcs[[#This Row],[IEFE]], 0)</f>
        <v>0</v>
      </c>
      <c r="AW190" s="118">
        <f>ReviewCalcs[[#This Row],[Control Existing Energy (kWh)]]*kWh_Incentive_Rate</f>
        <v>0</v>
      </c>
      <c r="AX190" s="118">
        <f>ReviewCalcs[[#This Row],[Control Proposed Energy (kWh)]]*kWh_Incentive_Rate</f>
        <v>0</v>
      </c>
      <c r="AY190" s="70">
        <f>ReviewCalcs[[#This Row],[Control Energy Savings (kWh)]]*kWh_Incentive_Rate</f>
        <v>0</v>
      </c>
      <c r="AZ190" s="70" t="e">
        <f>ReviewCalcs[[#This Row],[Fixture Existing Demand (kW)]]+ReviewCalcs[[#This Row],[Control Existing Demand (kW)]]</f>
        <v>#VALUE!</v>
      </c>
      <c r="BA190" s="70" t="e">
        <f>ReviewCalcs[[#This Row],[Fixture Proposed Demand (kW)]]+ReviewCalcs[[#This Row],[Control Proposed Demand (kW)]]</f>
        <v>#VALUE!</v>
      </c>
      <c r="BB190" s="118">
        <f>ReviewCalcs[[#This Row],[Fixture Demand Savings (kW)]]+ReviewCalcs[[#This Row],[Control Demand Savings (kW)]]</f>
        <v>0</v>
      </c>
      <c r="BC190" s="118">
        <f>ReviewCalcs[[#This Row],[Fixture Existing Energy (kWh)]]+ReviewCalcs[[#This Row],[Control Existing Energy (kWh)]]</f>
        <v>0</v>
      </c>
      <c r="BD190" s="118">
        <f>ReviewCalcs[[#This Row],[Fixture Proposed Energy (kWh)]]+ReviewCalcs[[#This Row],[Control Proposed Energy (kWh)]]</f>
        <v>0</v>
      </c>
      <c r="BE190" s="118">
        <f>ReviewCalcs[[#This Row],[Fixture Energy Savings]]+ReviewCalcs[[#This Row],[Control Energy Savings (kWh)]]</f>
        <v>0</v>
      </c>
      <c r="BF190" s="118">
        <f>ReviewCalcs[[#This Row],[Fixture Existing Cost ($)]]+ReviewCalcs[[#This Row],[Control Existing Cost ($)]]</f>
        <v>0</v>
      </c>
      <c r="BG190" s="118">
        <f>ReviewCalcs[[#This Row],[Fixture Proposed Cost ($)]]+ReviewCalcs[[#This Row],[Controls Proposed Cost ($)]]</f>
        <v>0</v>
      </c>
      <c r="BH190" s="70">
        <f>ReviewCalcs[[#This Row],[Total Energy Savings (kWh)]]*Avg_KWh_Rate</f>
        <v>0</v>
      </c>
      <c r="BI1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0" s="70">
        <f>ReviewCalcs[[#This Row],[Retrofit Cost]]</f>
        <v>0</v>
      </c>
      <c r="BK190" s="70">
        <f>ReviewCalcs[[#This Row],[Retrofit Cost]]-ReviewCalcs[[#This Row],[Incentive ($)]]</f>
        <v>0</v>
      </c>
      <c r="BL190" s="118" t="e">
        <f>IFERROR(ReviewCalcs[[#This Row],[Net Project Cost ($)]]/ReviewCalcs[[#This Row],[Fixture Energy Cost Savings ($)]], #N/A)</f>
        <v>#N/A</v>
      </c>
      <c r="BM190" s="118" t="e">
        <f>IF(VLOOKUP(ReviewCalcs[[#This Row],[Existing Fixture Code]], Table7[[FIXTURE CODE]:[Baseline Fixture Code]], 8, FALSE)="N", VLOOKUP(ReviewCalcs[[#This Row],[Existing Fixture Code]], Table7[[FIXTURE CODE]:[Baseline Fixture Code]], 9, FALSE), ReviewCalcs[[#This Row],[Existing Fixture Code]])</f>
        <v>#N/A</v>
      </c>
      <c r="BN190" s="118" t="e">
        <f>INDEX(Table7[WATT/ FIXT], MATCH(ReviewCalcs[Baseline Fixture Code], Table7[FIXTURE CODE], 0))</f>
        <v>#N/A</v>
      </c>
      <c r="BO190" s="118">
        <f>IFERROR((ReviewCalcs[[#This Row],[Existing Fixture Quantity]]*ReviewCalcs[[#This Row],[Baseline Fixture Watts]]/1000-ReviewCalcs[[#This Row],[Proposed Fixture Quantity]]*ReviewCalcs[[#This Row],[Proposed Fixture Watts]]/1000)*ReviewCalcs[[#This Row],[Existing CF]]*ReviewCalcs[[#This Row],[IEFD]], 0)</f>
        <v>0</v>
      </c>
      <c r="BP1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0" s="118">
        <f>IF(ReviewCalcs[[#This Row],[Existing CF]]=ReviewCalcs[[#This Row],[Proposed CF]], 0, ReviewCalcs[[#This Row],[Proposed Fixture Quantity]]*ReviewCalcs[[#This Row],[Proposed Fixture Watts]]/1000*ReviewCalcs[[#This Row],[Proposed CF]]*ReviewCalcs[[#This Row],[IEFD]])</f>
        <v>0</v>
      </c>
      <c r="BR190" s="118">
        <f>IFERROR(ReviewCalcs[[#This Row],[Proposed Fixture Quantity]]*ReviewCalcs[[#This Row],[Proposed Fixture Watts]]/1000*(ReviewCalcs[[#This Row],[Existing PAF]]-ReviewCalcs[[#This Row],[Proposed PAF]])*ReviewCalcs[[#This Row],[AOH]]*ReviewCalcs[[#This Row],[IEFE]],0)</f>
        <v>0</v>
      </c>
      <c r="BS190" s="118">
        <f>ReviewCalcs[[#This Row],[Incentive Fixture Demand Savings (kW)]]+ReviewCalcs[[#This Row],[Incentive Control Demand Savings (kW)]]</f>
        <v>0</v>
      </c>
      <c r="BT190" s="118">
        <f>ReviewCalcs[[#This Row],[Incentive Fixture Energy Savings (kWh)]]+ReviewCalcs[[#This Row],[Incentive Control Energy Savings (kWh)]]</f>
        <v>0</v>
      </c>
      <c r="BU190" s="73"/>
    </row>
    <row r="191" spans="1:73" ht="30" customHeight="1">
      <c r="A191" s="68">
        <v>188</v>
      </c>
      <c r="B191" s="96">
        <f>VLOOKUP(ReviewCalcs[[#This Row],[Project Index]], ProjectInput[], D$1, FALSE)</f>
        <v>0</v>
      </c>
      <c r="C191" s="97">
        <f>VLOOKUP(ReviewCalcs[[#This Row],[Project Index]], ProjectInput[], E$1, FALSE)</f>
        <v>0</v>
      </c>
      <c r="D191" s="97">
        <f>VLOOKUP(ReviewCalcs[[#This Row],[Project Index]], ProjectInput[], F$1, FALSE)</f>
        <v>0</v>
      </c>
      <c r="E191" s="97">
        <f>VLOOKUP(ReviewCalcs[[#This Row],[Project Index]], ProjectInput[], G$1, FALSE)</f>
        <v>0</v>
      </c>
      <c r="F191" s="97">
        <f>VLOOKUP(ReviewCalcs[[#This Row],[Project Index]], ProjectInput[], H$1, FALSE)</f>
        <v>0</v>
      </c>
      <c r="G191" s="98" t="str">
        <f>VLOOKUP(ReviewCalcs[[#This Row],[Project Index]], ProjectInput[], I$1, FALSE)</f>
        <v/>
      </c>
      <c r="H191" s="96">
        <f>VLOOKUP(ReviewCalcs[[#This Row],[Project Index]], ProjectInput[], J$1, FALSE)</f>
        <v>0</v>
      </c>
      <c r="I191" s="97">
        <f>VLOOKUP(ReviewCalcs[[#This Row],[Project Index]], ProjectInput[], K$1, FALSE)</f>
        <v>0</v>
      </c>
      <c r="J191" s="97">
        <f>VLOOKUP(ReviewCalcs[[#This Row],[Project Index]], ProjectInput[], L$1, FALSE)</f>
        <v>0</v>
      </c>
      <c r="K191" s="97">
        <f>VLOOKUP(ReviewCalcs[[#This Row],[Project Index]], ProjectInput[], M$1, FALSE)</f>
        <v>0</v>
      </c>
      <c r="L191" s="97">
        <f>VLOOKUP(ReviewCalcs[[#This Row],[Project Index]], ProjectInput[], N$1, FALSE)</f>
        <v>0</v>
      </c>
      <c r="M191" s="98" t="str">
        <f>VLOOKUP(ReviewCalcs[[#This Row],[Project Index]], ProjectInput[], O$1, FALSE)</f>
        <v/>
      </c>
      <c r="N191" s="96">
        <f>VLOOKUP(ReviewCalcs[[#This Row],[Project Index]], ProjectInput[], P$1, FALSE)</f>
        <v>0</v>
      </c>
      <c r="O191" s="97">
        <f>VLOOKUP(ReviewCalcs[[#This Row],[Project Index]], ProjectInput[], Q$1, FALSE)</f>
        <v>0</v>
      </c>
      <c r="P191" s="97">
        <f>VLOOKUP(ReviewCalcs[[#This Row],[Project Index]], ProjectInput[], R$1, FALSE)</f>
        <v>0</v>
      </c>
      <c r="Q191" s="97">
        <f>VLOOKUP(ReviewCalcs[[#This Row],[Project Index]], ProjectInput[], S$1, FALSE)</f>
        <v>0</v>
      </c>
      <c r="R191" s="97">
        <f>VLOOKUP(ReviewCalcs[[#This Row],[Project Index]], ProjectInput[], T$1, FALSE)</f>
        <v>0</v>
      </c>
      <c r="S191" s="97">
        <f>VLOOKUP(ReviewCalcs[[#This Row],[Project Index]], ProjectInput[], U$1, FALSE)</f>
        <v>0</v>
      </c>
      <c r="T191" s="97">
        <f>VLOOKUP(ReviewCalcs[[#This Row],[Project Index]], ProjectInput[], V$1, FALSE)</f>
        <v>0</v>
      </c>
      <c r="U191" s="97">
        <f>VLOOKUP(ReviewCalcs[[#This Row],[Project Index]], ProjectInput[], W$1, FALSE)</f>
        <v>0</v>
      </c>
      <c r="V191" s="98" t="str">
        <f>VLOOKUP(ReviewCalcs[[#This Row],[Project Index]], ProjectInput[], X$1, FALSE)</f>
        <v/>
      </c>
      <c r="W1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1" s="75" t="e">
        <f>IF(VLOOKUP(ReviewCalcs[[#This Row],[Proposed Fixture Code]], Table7[[FIXTURE CODE]:[Baseline Fixture Code]], 8, FALSE)="N", "ERROR", "PASS")</f>
        <v>#N/A</v>
      </c>
      <c r="Y1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1" s="75" t="e">
        <f>IF(OR(ReviewCalcs[[#This Row],[Baseline Fixture Watts]]&gt;=ReviewCalcs[[#This Row],[Proposed Fixture Watts]],ReviewCalcs[[#This Row],[Existing Fixture Watts]]&gt;=ReviewCalcs[[#This Row],[Proposed Fixture Watts]] ), "PASS", "ERROR")</f>
        <v>#N/A</v>
      </c>
      <c r="AA191" s="69" t="e">
        <f>VLOOKUP(ReviewCalcs[[#This Row],[Space Conditions]], Table_365[], 5, FALSE)</f>
        <v>#N/A</v>
      </c>
      <c r="AB191" s="68" t="str">
        <f>ReviewCalcs[[#This Row],[Annual Hours]]</f>
        <v/>
      </c>
      <c r="AC191" s="68" t="e">
        <f>VLOOKUP(ReviewCalcs[[#This Row],[Space Conditions]], Table_365[], 6, FALSE)</f>
        <v>#N/A</v>
      </c>
      <c r="AD191" s="68">
        <f>IF(ReviewCalcs[[#This Row],[Existing Control(s)]]='Tables &amp; Ranges'!$A$25, VLOOKUP(ReviewCalcs[[#This Row],[Building/Space Type]], Table_364[], 3, FALSE), CF_Contols)</f>
        <v>0.26</v>
      </c>
      <c r="AE191" s="68" t="e">
        <f>VLOOKUP(ReviewCalcs[[#This Row],[Existing Control(s)]], Table_358[], 2, FALSE)</f>
        <v>#N/A</v>
      </c>
      <c r="AF191" s="68">
        <f>IF(ReviewCalcs[[#This Row],[Proposed Control(s)]]='Tables &amp; Ranges'!$A$25, VLOOKUP(ReviewCalcs[[#This Row],[Building/Space Type]], Table_364[], 3, FALSE), CF_Contols)</f>
        <v>0.26</v>
      </c>
      <c r="AG191" s="68" t="e">
        <f>VLOOKUP(ReviewCalcs[[#This Row],[Proposed Control(s)]], Table_358[], 2, FALSE)</f>
        <v>#N/A</v>
      </c>
      <c r="AH191" s="68">
        <f>IFERROR((ReviewCalcs[[#This Row],[Existing Fixture Quantity]]*ReviewCalcs[[#This Row],[Existing Fixture Watts]]/1000)*ReviewCalcs[[#This Row],[Existing CF]]*ReviewCalcs[[#This Row],[IEFD]], 0)</f>
        <v>0</v>
      </c>
      <c r="AI191" s="68">
        <f>IFERROR((ReviewCalcs[[#This Row],[Proposed Fixture Quantity]]*ReviewCalcs[[#This Row],[Proposed Fixture Watts]]/1000)*ReviewCalcs[[#This Row],[Existing CF]]*ReviewCalcs[[#This Row],[IEFD]], 0)</f>
        <v>0</v>
      </c>
      <c r="AJ191" s="118">
        <f>IFERROR((ReviewCalcs[[#This Row],[Existing Fixture Quantity]]*ReviewCalcs[[#This Row],[Existing Fixture Watts]]/1000-ReviewCalcs[[#This Row],[Proposed Fixture Quantity]]*ReviewCalcs[[#This Row],[Proposed Fixture Watts]]/1000)*ReviewCalcs[[#This Row],[Existing CF]]*ReviewCalcs[[#This Row],[IEFD]], 0)</f>
        <v>0</v>
      </c>
      <c r="AK191" s="118">
        <f>IFERROR((ReviewCalcs[[#This Row],[Existing Fixture Quantity]]*ReviewCalcs[[#This Row],[Existing Fixture Watts]]/1000)*ReviewCalcs[[#This Row],[AOH]]*ReviewCalcs[[#This Row],[IEFE]]*ReviewCalcs[[#This Row],[Existing PAF]], 0)</f>
        <v>0</v>
      </c>
      <c r="AL191" s="118">
        <f>IFERROR((ReviewCalcs[[#This Row],[Proposed Fixture Quantity]]*ReviewCalcs[[#This Row],[Proposed Fixture Watts]]/1000)*ReviewCalcs[[#This Row],[AOH]]*ReviewCalcs[[#This Row],[IEFE]]*ReviewCalcs[[#This Row],[Existing PAF]], 0)</f>
        <v>0</v>
      </c>
      <c r="AM1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1" s="118">
        <f>ReviewCalcs[[#This Row],[Fixture Existing Energy (kWh)]]*Avg_KWh_Rate</f>
        <v>0</v>
      </c>
      <c r="AO191" s="118">
        <f>ReviewCalcs[[#This Row],[Fixture Proposed Energy (kWh)]]*Avg_KWh_Rate</f>
        <v>0</v>
      </c>
      <c r="AP191" s="70">
        <f>ReviewCalcs[[#This Row],[Fixture Energy Savings]]*Avg_KWh_Rate</f>
        <v>0</v>
      </c>
      <c r="AQ191" s="129" t="e">
        <f>ReviewCalcs[[#This Row],[Existing Fixture Quantity]]*ReviewCalcs[[#This Row],[Existing Fixture Watts]]/1000*ReviewCalcs[[#This Row],[Existing CF]]*ReviewCalcs[[#This Row],[IEFD]]</f>
        <v>#VALUE!</v>
      </c>
      <c r="AR191" s="129" t="e">
        <f>ReviewCalcs[[#This Row],[Proposed Fixture Quantity]]*ReviewCalcs[[#This Row],[Proposed Fixture Watts]]/1000*ReviewCalcs[[#This Row],[Proposed CF]]*ReviewCalcs[[#This Row],[IEFD]]</f>
        <v>#VALUE!</v>
      </c>
      <c r="AS191" s="118">
        <f>IF(ReviewCalcs[[#This Row],[Existing CF]]=ReviewCalcs[[#This Row],[Proposed CF]], 0, ReviewCalcs[[#This Row],[Proposed Fixture Quantity]]*ReviewCalcs[[#This Row],[Proposed Fixture Watts]]/1000*ReviewCalcs[[#This Row],[Proposed CF]]*ReviewCalcs[[#This Row],[IEFD]])</f>
        <v>0</v>
      </c>
      <c r="AT191" s="118">
        <f>IFERROR(ReviewCalcs[[#This Row],[Existing Fixture Quantity]]*ReviewCalcs[[#This Row],[Existing Fixture Watts]]/1000*ReviewCalcs[[#This Row],[Existing PAF]]*ReviewCalcs[[#This Row],[AOH]]*ReviewCalcs[[#This Row],[IEFE]], 0)</f>
        <v>0</v>
      </c>
      <c r="AU191" s="118">
        <f>IFERROR(ReviewCalcs[[#This Row],[Proposed Fixture Quantity]]*ReviewCalcs[[#This Row],[Proposed Fixture Watts]]/1000*ReviewCalcs[[#This Row],[Proposed PAF]]*ReviewCalcs[[#This Row],[AOH]]*ReviewCalcs[[#This Row],[IEFE]], 0)</f>
        <v>0</v>
      </c>
      <c r="AV191" s="118">
        <f>IFERROR(ReviewCalcs[[#This Row],[Proposed Fixture Quantity]]*ReviewCalcs[[#This Row],[Proposed Fixture Watts]]/1000*(ReviewCalcs[[#This Row],[Existing PAF]]-ReviewCalcs[[#This Row],[Proposed PAF]])*ReviewCalcs[[#This Row],[AOH]]*ReviewCalcs[[#This Row],[IEFE]], 0)</f>
        <v>0</v>
      </c>
      <c r="AW191" s="118">
        <f>ReviewCalcs[[#This Row],[Control Existing Energy (kWh)]]*kWh_Incentive_Rate</f>
        <v>0</v>
      </c>
      <c r="AX191" s="118">
        <f>ReviewCalcs[[#This Row],[Control Proposed Energy (kWh)]]*kWh_Incentive_Rate</f>
        <v>0</v>
      </c>
      <c r="AY191" s="70">
        <f>ReviewCalcs[[#This Row],[Control Energy Savings (kWh)]]*kWh_Incentive_Rate</f>
        <v>0</v>
      </c>
      <c r="AZ191" s="70" t="e">
        <f>ReviewCalcs[[#This Row],[Fixture Existing Demand (kW)]]+ReviewCalcs[[#This Row],[Control Existing Demand (kW)]]</f>
        <v>#VALUE!</v>
      </c>
      <c r="BA191" s="70" t="e">
        <f>ReviewCalcs[[#This Row],[Fixture Proposed Demand (kW)]]+ReviewCalcs[[#This Row],[Control Proposed Demand (kW)]]</f>
        <v>#VALUE!</v>
      </c>
      <c r="BB191" s="118">
        <f>ReviewCalcs[[#This Row],[Fixture Demand Savings (kW)]]+ReviewCalcs[[#This Row],[Control Demand Savings (kW)]]</f>
        <v>0</v>
      </c>
      <c r="BC191" s="118">
        <f>ReviewCalcs[[#This Row],[Fixture Existing Energy (kWh)]]+ReviewCalcs[[#This Row],[Control Existing Energy (kWh)]]</f>
        <v>0</v>
      </c>
      <c r="BD191" s="118">
        <f>ReviewCalcs[[#This Row],[Fixture Proposed Energy (kWh)]]+ReviewCalcs[[#This Row],[Control Proposed Energy (kWh)]]</f>
        <v>0</v>
      </c>
      <c r="BE191" s="118">
        <f>ReviewCalcs[[#This Row],[Fixture Energy Savings]]+ReviewCalcs[[#This Row],[Control Energy Savings (kWh)]]</f>
        <v>0</v>
      </c>
      <c r="BF191" s="118">
        <f>ReviewCalcs[[#This Row],[Fixture Existing Cost ($)]]+ReviewCalcs[[#This Row],[Control Existing Cost ($)]]</f>
        <v>0</v>
      </c>
      <c r="BG191" s="118">
        <f>ReviewCalcs[[#This Row],[Fixture Proposed Cost ($)]]+ReviewCalcs[[#This Row],[Controls Proposed Cost ($)]]</f>
        <v>0</v>
      </c>
      <c r="BH191" s="70">
        <f>ReviewCalcs[[#This Row],[Total Energy Savings (kWh)]]*Avg_KWh_Rate</f>
        <v>0</v>
      </c>
      <c r="BI1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1" s="70">
        <f>ReviewCalcs[[#This Row],[Retrofit Cost]]</f>
        <v>0</v>
      </c>
      <c r="BK191" s="70">
        <f>ReviewCalcs[[#This Row],[Retrofit Cost]]-ReviewCalcs[[#This Row],[Incentive ($)]]</f>
        <v>0</v>
      </c>
      <c r="BL191" s="118" t="e">
        <f>IFERROR(ReviewCalcs[[#This Row],[Net Project Cost ($)]]/ReviewCalcs[[#This Row],[Fixture Energy Cost Savings ($)]], #N/A)</f>
        <v>#N/A</v>
      </c>
      <c r="BM191" s="118" t="e">
        <f>IF(VLOOKUP(ReviewCalcs[[#This Row],[Existing Fixture Code]], Table7[[FIXTURE CODE]:[Baseline Fixture Code]], 8, FALSE)="N", VLOOKUP(ReviewCalcs[[#This Row],[Existing Fixture Code]], Table7[[FIXTURE CODE]:[Baseline Fixture Code]], 9, FALSE), ReviewCalcs[[#This Row],[Existing Fixture Code]])</f>
        <v>#N/A</v>
      </c>
      <c r="BN191" s="118" t="e">
        <f>INDEX(Table7[WATT/ FIXT], MATCH(ReviewCalcs[Baseline Fixture Code], Table7[FIXTURE CODE], 0))</f>
        <v>#N/A</v>
      </c>
      <c r="BO191" s="118">
        <f>IFERROR((ReviewCalcs[[#This Row],[Existing Fixture Quantity]]*ReviewCalcs[[#This Row],[Baseline Fixture Watts]]/1000-ReviewCalcs[[#This Row],[Proposed Fixture Quantity]]*ReviewCalcs[[#This Row],[Proposed Fixture Watts]]/1000)*ReviewCalcs[[#This Row],[Existing CF]]*ReviewCalcs[[#This Row],[IEFD]], 0)</f>
        <v>0</v>
      </c>
      <c r="BP1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1" s="118">
        <f>IF(ReviewCalcs[[#This Row],[Existing CF]]=ReviewCalcs[[#This Row],[Proposed CF]], 0, ReviewCalcs[[#This Row],[Proposed Fixture Quantity]]*ReviewCalcs[[#This Row],[Proposed Fixture Watts]]/1000*ReviewCalcs[[#This Row],[Proposed CF]]*ReviewCalcs[[#This Row],[IEFD]])</f>
        <v>0</v>
      </c>
      <c r="BR191" s="118">
        <f>IFERROR(ReviewCalcs[[#This Row],[Proposed Fixture Quantity]]*ReviewCalcs[[#This Row],[Proposed Fixture Watts]]/1000*(ReviewCalcs[[#This Row],[Existing PAF]]-ReviewCalcs[[#This Row],[Proposed PAF]])*ReviewCalcs[[#This Row],[AOH]]*ReviewCalcs[[#This Row],[IEFE]],0)</f>
        <v>0</v>
      </c>
      <c r="BS191" s="118">
        <f>ReviewCalcs[[#This Row],[Incentive Fixture Demand Savings (kW)]]+ReviewCalcs[[#This Row],[Incentive Control Demand Savings (kW)]]</f>
        <v>0</v>
      </c>
      <c r="BT191" s="118">
        <f>ReviewCalcs[[#This Row],[Incentive Fixture Energy Savings (kWh)]]+ReviewCalcs[[#This Row],[Incentive Control Energy Savings (kWh)]]</f>
        <v>0</v>
      </c>
      <c r="BU191" s="73"/>
    </row>
    <row r="192" spans="1:73" ht="30" customHeight="1">
      <c r="A192" s="68">
        <v>189</v>
      </c>
      <c r="B192" s="96">
        <f>VLOOKUP(ReviewCalcs[[#This Row],[Project Index]], ProjectInput[], D$1, FALSE)</f>
        <v>0</v>
      </c>
      <c r="C192" s="97">
        <f>VLOOKUP(ReviewCalcs[[#This Row],[Project Index]], ProjectInput[], E$1, FALSE)</f>
        <v>0</v>
      </c>
      <c r="D192" s="97">
        <f>VLOOKUP(ReviewCalcs[[#This Row],[Project Index]], ProjectInput[], F$1, FALSE)</f>
        <v>0</v>
      </c>
      <c r="E192" s="97">
        <f>VLOOKUP(ReviewCalcs[[#This Row],[Project Index]], ProjectInput[], G$1, FALSE)</f>
        <v>0</v>
      </c>
      <c r="F192" s="97">
        <f>VLOOKUP(ReviewCalcs[[#This Row],[Project Index]], ProjectInput[], H$1, FALSE)</f>
        <v>0</v>
      </c>
      <c r="G192" s="98" t="str">
        <f>VLOOKUP(ReviewCalcs[[#This Row],[Project Index]], ProjectInput[], I$1, FALSE)</f>
        <v/>
      </c>
      <c r="H192" s="96">
        <f>VLOOKUP(ReviewCalcs[[#This Row],[Project Index]], ProjectInput[], J$1, FALSE)</f>
        <v>0</v>
      </c>
      <c r="I192" s="97">
        <f>VLOOKUP(ReviewCalcs[[#This Row],[Project Index]], ProjectInput[], K$1, FALSE)</f>
        <v>0</v>
      </c>
      <c r="J192" s="97">
        <f>VLOOKUP(ReviewCalcs[[#This Row],[Project Index]], ProjectInput[], L$1, FALSE)</f>
        <v>0</v>
      </c>
      <c r="K192" s="97">
        <f>VLOOKUP(ReviewCalcs[[#This Row],[Project Index]], ProjectInput[], M$1, FALSE)</f>
        <v>0</v>
      </c>
      <c r="L192" s="97">
        <f>VLOOKUP(ReviewCalcs[[#This Row],[Project Index]], ProjectInput[], N$1, FALSE)</f>
        <v>0</v>
      </c>
      <c r="M192" s="98" t="str">
        <f>VLOOKUP(ReviewCalcs[[#This Row],[Project Index]], ProjectInput[], O$1, FALSE)</f>
        <v/>
      </c>
      <c r="N192" s="96">
        <f>VLOOKUP(ReviewCalcs[[#This Row],[Project Index]], ProjectInput[], P$1, FALSE)</f>
        <v>0</v>
      </c>
      <c r="O192" s="97">
        <f>VLOOKUP(ReviewCalcs[[#This Row],[Project Index]], ProjectInput[], Q$1, FALSE)</f>
        <v>0</v>
      </c>
      <c r="P192" s="97">
        <f>VLOOKUP(ReviewCalcs[[#This Row],[Project Index]], ProjectInput[], R$1, FALSE)</f>
        <v>0</v>
      </c>
      <c r="Q192" s="97">
        <f>VLOOKUP(ReviewCalcs[[#This Row],[Project Index]], ProjectInput[], S$1, FALSE)</f>
        <v>0</v>
      </c>
      <c r="R192" s="97">
        <f>VLOOKUP(ReviewCalcs[[#This Row],[Project Index]], ProjectInput[], T$1, FALSE)</f>
        <v>0</v>
      </c>
      <c r="S192" s="97">
        <f>VLOOKUP(ReviewCalcs[[#This Row],[Project Index]], ProjectInput[], U$1, FALSE)</f>
        <v>0</v>
      </c>
      <c r="T192" s="97">
        <f>VLOOKUP(ReviewCalcs[[#This Row],[Project Index]], ProjectInput[], V$1, FALSE)</f>
        <v>0</v>
      </c>
      <c r="U192" s="97">
        <f>VLOOKUP(ReviewCalcs[[#This Row],[Project Index]], ProjectInput[], W$1, FALSE)</f>
        <v>0</v>
      </c>
      <c r="V192" s="98" t="str">
        <f>VLOOKUP(ReviewCalcs[[#This Row],[Project Index]], ProjectInput[], X$1, FALSE)</f>
        <v/>
      </c>
      <c r="W1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2" s="75" t="e">
        <f>IF(VLOOKUP(ReviewCalcs[[#This Row],[Proposed Fixture Code]], Table7[[FIXTURE CODE]:[Baseline Fixture Code]], 8, FALSE)="N", "ERROR", "PASS")</f>
        <v>#N/A</v>
      </c>
      <c r="Y1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2" s="75" t="e">
        <f>IF(OR(ReviewCalcs[[#This Row],[Baseline Fixture Watts]]&gt;=ReviewCalcs[[#This Row],[Proposed Fixture Watts]],ReviewCalcs[[#This Row],[Existing Fixture Watts]]&gt;=ReviewCalcs[[#This Row],[Proposed Fixture Watts]] ), "PASS", "ERROR")</f>
        <v>#N/A</v>
      </c>
      <c r="AA192" s="69" t="e">
        <f>VLOOKUP(ReviewCalcs[[#This Row],[Space Conditions]], Table_365[], 5, FALSE)</f>
        <v>#N/A</v>
      </c>
      <c r="AB192" s="68" t="str">
        <f>ReviewCalcs[[#This Row],[Annual Hours]]</f>
        <v/>
      </c>
      <c r="AC192" s="68" t="e">
        <f>VLOOKUP(ReviewCalcs[[#This Row],[Space Conditions]], Table_365[], 6, FALSE)</f>
        <v>#N/A</v>
      </c>
      <c r="AD192" s="68">
        <f>IF(ReviewCalcs[[#This Row],[Existing Control(s)]]='Tables &amp; Ranges'!$A$25, VLOOKUP(ReviewCalcs[[#This Row],[Building/Space Type]], Table_364[], 3, FALSE), CF_Contols)</f>
        <v>0.26</v>
      </c>
      <c r="AE192" s="68" t="e">
        <f>VLOOKUP(ReviewCalcs[[#This Row],[Existing Control(s)]], Table_358[], 2, FALSE)</f>
        <v>#N/A</v>
      </c>
      <c r="AF192" s="68">
        <f>IF(ReviewCalcs[[#This Row],[Proposed Control(s)]]='Tables &amp; Ranges'!$A$25, VLOOKUP(ReviewCalcs[[#This Row],[Building/Space Type]], Table_364[], 3, FALSE), CF_Contols)</f>
        <v>0.26</v>
      </c>
      <c r="AG192" s="68" t="e">
        <f>VLOOKUP(ReviewCalcs[[#This Row],[Proposed Control(s)]], Table_358[], 2, FALSE)</f>
        <v>#N/A</v>
      </c>
      <c r="AH192" s="68">
        <f>IFERROR((ReviewCalcs[[#This Row],[Existing Fixture Quantity]]*ReviewCalcs[[#This Row],[Existing Fixture Watts]]/1000)*ReviewCalcs[[#This Row],[Existing CF]]*ReviewCalcs[[#This Row],[IEFD]], 0)</f>
        <v>0</v>
      </c>
      <c r="AI192" s="68">
        <f>IFERROR((ReviewCalcs[[#This Row],[Proposed Fixture Quantity]]*ReviewCalcs[[#This Row],[Proposed Fixture Watts]]/1000)*ReviewCalcs[[#This Row],[Existing CF]]*ReviewCalcs[[#This Row],[IEFD]], 0)</f>
        <v>0</v>
      </c>
      <c r="AJ192" s="118">
        <f>IFERROR((ReviewCalcs[[#This Row],[Existing Fixture Quantity]]*ReviewCalcs[[#This Row],[Existing Fixture Watts]]/1000-ReviewCalcs[[#This Row],[Proposed Fixture Quantity]]*ReviewCalcs[[#This Row],[Proposed Fixture Watts]]/1000)*ReviewCalcs[[#This Row],[Existing CF]]*ReviewCalcs[[#This Row],[IEFD]], 0)</f>
        <v>0</v>
      </c>
      <c r="AK192" s="118">
        <f>IFERROR((ReviewCalcs[[#This Row],[Existing Fixture Quantity]]*ReviewCalcs[[#This Row],[Existing Fixture Watts]]/1000)*ReviewCalcs[[#This Row],[AOH]]*ReviewCalcs[[#This Row],[IEFE]]*ReviewCalcs[[#This Row],[Existing PAF]], 0)</f>
        <v>0</v>
      </c>
      <c r="AL192" s="118">
        <f>IFERROR((ReviewCalcs[[#This Row],[Proposed Fixture Quantity]]*ReviewCalcs[[#This Row],[Proposed Fixture Watts]]/1000)*ReviewCalcs[[#This Row],[AOH]]*ReviewCalcs[[#This Row],[IEFE]]*ReviewCalcs[[#This Row],[Existing PAF]], 0)</f>
        <v>0</v>
      </c>
      <c r="AM1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2" s="118">
        <f>ReviewCalcs[[#This Row],[Fixture Existing Energy (kWh)]]*Avg_KWh_Rate</f>
        <v>0</v>
      </c>
      <c r="AO192" s="118">
        <f>ReviewCalcs[[#This Row],[Fixture Proposed Energy (kWh)]]*Avg_KWh_Rate</f>
        <v>0</v>
      </c>
      <c r="AP192" s="70">
        <f>ReviewCalcs[[#This Row],[Fixture Energy Savings]]*Avg_KWh_Rate</f>
        <v>0</v>
      </c>
      <c r="AQ192" s="129" t="e">
        <f>ReviewCalcs[[#This Row],[Existing Fixture Quantity]]*ReviewCalcs[[#This Row],[Existing Fixture Watts]]/1000*ReviewCalcs[[#This Row],[Existing CF]]*ReviewCalcs[[#This Row],[IEFD]]</f>
        <v>#VALUE!</v>
      </c>
      <c r="AR192" s="129" t="e">
        <f>ReviewCalcs[[#This Row],[Proposed Fixture Quantity]]*ReviewCalcs[[#This Row],[Proposed Fixture Watts]]/1000*ReviewCalcs[[#This Row],[Proposed CF]]*ReviewCalcs[[#This Row],[IEFD]]</f>
        <v>#VALUE!</v>
      </c>
      <c r="AS192" s="118">
        <f>IF(ReviewCalcs[[#This Row],[Existing CF]]=ReviewCalcs[[#This Row],[Proposed CF]], 0, ReviewCalcs[[#This Row],[Proposed Fixture Quantity]]*ReviewCalcs[[#This Row],[Proposed Fixture Watts]]/1000*ReviewCalcs[[#This Row],[Proposed CF]]*ReviewCalcs[[#This Row],[IEFD]])</f>
        <v>0</v>
      </c>
      <c r="AT192" s="118">
        <f>IFERROR(ReviewCalcs[[#This Row],[Existing Fixture Quantity]]*ReviewCalcs[[#This Row],[Existing Fixture Watts]]/1000*ReviewCalcs[[#This Row],[Existing PAF]]*ReviewCalcs[[#This Row],[AOH]]*ReviewCalcs[[#This Row],[IEFE]], 0)</f>
        <v>0</v>
      </c>
      <c r="AU192" s="118">
        <f>IFERROR(ReviewCalcs[[#This Row],[Proposed Fixture Quantity]]*ReviewCalcs[[#This Row],[Proposed Fixture Watts]]/1000*ReviewCalcs[[#This Row],[Proposed PAF]]*ReviewCalcs[[#This Row],[AOH]]*ReviewCalcs[[#This Row],[IEFE]], 0)</f>
        <v>0</v>
      </c>
      <c r="AV192" s="118">
        <f>IFERROR(ReviewCalcs[[#This Row],[Proposed Fixture Quantity]]*ReviewCalcs[[#This Row],[Proposed Fixture Watts]]/1000*(ReviewCalcs[[#This Row],[Existing PAF]]-ReviewCalcs[[#This Row],[Proposed PAF]])*ReviewCalcs[[#This Row],[AOH]]*ReviewCalcs[[#This Row],[IEFE]], 0)</f>
        <v>0</v>
      </c>
      <c r="AW192" s="118">
        <f>ReviewCalcs[[#This Row],[Control Existing Energy (kWh)]]*kWh_Incentive_Rate</f>
        <v>0</v>
      </c>
      <c r="AX192" s="118">
        <f>ReviewCalcs[[#This Row],[Control Proposed Energy (kWh)]]*kWh_Incentive_Rate</f>
        <v>0</v>
      </c>
      <c r="AY192" s="70">
        <f>ReviewCalcs[[#This Row],[Control Energy Savings (kWh)]]*kWh_Incentive_Rate</f>
        <v>0</v>
      </c>
      <c r="AZ192" s="70" t="e">
        <f>ReviewCalcs[[#This Row],[Fixture Existing Demand (kW)]]+ReviewCalcs[[#This Row],[Control Existing Demand (kW)]]</f>
        <v>#VALUE!</v>
      </c>
      <c r="BA192" s="70" t="e">
        <f>ReviewCalcs[[#This Row],[Fixture Proposed Demand (kW)]]+ReviewCalcs[[#This Row],[Control Proposed Demand (kW)]]</f>
        <v>#VALUE!</v>
      </c>
      <c r="BB192" s="118">
        <f>ReviewCalcs[[#This Row],[Fixture Demand Savings (kW)]]+ReviewCalcs[[#This Row],[Control Demand Savings (kW)]]</f>
        <v>0</v>
      </c>
      <c r="BC192" s="118">
        <f>ReviewCalcs[[#This Row],[Fixture Existing Energy (kWh)]]+ReviewCalcs[[#This Row],[Control Existing Energy (kWh)]]</f>
        <v>0</v>
      </c>
      <c r="BD192" s="118">
        <f>ReviewCalcs[[#This Row],[Fixture Proposed Energy (kWh)]]+ReviewCalcs[[#This Row],[Control Proposed Energy (kWh)]]</f>
        <v>0</v>
      </c>
      <c r="BE192" s="118">
        <f>ReviewCalcs[[#This Row],[Fixture Energy Savings]]+ReviewCalcs[[#This Row],[Control Energy Savings (kWh)]]</f>
        <v>0</v>
      </c>
      <c r="BF192" s="118">
        <f>ReviewCalcs[[#This Row],[Fixture Existing Cost ($)]]+ReviewCalcs[[#This Row],[Control Existing Cost ($)]]</f>
        <v>0</v>
      </c>
      <c r="BG192" s="118">
        <f>ReviewCalcs[[#This Row],[Fixture Proposed Cost ($)]]+ReviewCalcs[[#This Row],[Controls Proposed Cost ($)]]</f>
        <v>0</v>
      </c>
      <c r="BH192" s="70">
        <f>ReviewCalcs[[#This Row],[Total Energy Savings (kWh)]]*Avg_KWh_Rate</f>
        <v>0</v>
      </c>
      <c r="BI1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2" s="70">
        <f>ReviewCalcs[[#This Row],[Retrofit Cost]]</f>
        <v>0</v>
      </c>
      <c r="BK192" s="70">
        <f>ReviewCalcs[[#This Row],[Retrofit Cost]]-ReviewCalcs[[#This Row],[Incentive ($)]]</f>
        <v>0</v>
      </c>
      <c r="BL192" s="118" t="e">
        <f>IFERROR(ReviewCalcs[[#This Row],[Net Project Cost ($)]]/ReviewCalcs[[#This Row],[Fixture Energy Cost Savings ($)]], #N/A)</f>
        <v>#N/A</v>
      </c>
      <c r="BM192" s="118" t="e">
        <f>IF(VLOOKUP(ReviewCalcs[[#This Row],[Existing Fixture Code]], Table7[[FIXTURE CODE]:[Baseline Fixture Code]], 8, FALSE)="N", VLOOKUP(ReviewCalcs[[#This Row],[Existing Fixture Code]], Table7[[FIXTURE CODE]:[Baseline Fixture Code]], 9, FALSE), ReviewCalcs[[#This Row],[Existing Fixture Code]])</f>
        <v>#N/A</v>
      </c>
      <c r="BN192" s="118" t="e">
        <f>INDEX(Table7[WATT/ FIXT], MATCH(ReviewCalcs[Baseline Fixture Code], Table7[FIXTURE CODE], 0))</f>
        <v>#N/A</v>
      </c>
      <c r="BO192" s="118">
        <f>IFERROR((ReviewCalcs[[#This Row],[Existing Fixture Quantity]]*ReviewCalcs[[#This Row],[Baseline Fixture Watts]]/1000-ReviewCalcs[[#This Row],[Proposed Fixture Quantity]]*ReviewCalcs[[#This Row],[Proposed Fixture Watts]]/1000)*ReviewCalcs[[#This Row],[Existing CF]]*ReviewCalcs[[#This Row],[IEFD]], 0)</f>
        <v>0</v>
      </c>
      <c r="BP1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2" s="118">
        <f>IF(ReviewCalcs[[#This Row],[Existing CF]]=ReviewCalcs[[#This Row],[Proposed CF]], 0, ReviewCalcs[[#This Row],[Proposed Fixture Quantity]]*ReviewCalcs[[#This Row],[Proposed Fixture Watts]]/1000*ReviewCalcs[[#This Row],[Proposed CF]]*ReviewCalcs[[#This Row],[IEFD]])</f>
        <v>0</v>
      </c>
      <c r="BR192" s="118">
        <f>IFERROR(ReviewCalcs[[#This Row],[Proposed Fixture Quantity]]*ReviewCalcs[[#This Row],[Proposed Fixture Watts]]/1000*(ReviewCalcs[[#This Row],[Existing PAF]]-ReviewCalcs[[#This Row],[Proposed PAF]])*ReviewCalcs[[#This Row],[AOH]]*ReviewCalcs[[#This Row],[IEFE]],0)</f>
        <v>0</v>
      </c>
      <c r="BS192" s="118">
        <f>ReviewCalcs[[#This Row],[Incentive Fixture Demand Savings (kW)]]+ReviewCalcs[[#This Row],[Incentive Control Demand Savings (kW)]]</f>
        <v>0</v>
      </c>
      <c r="BT192" s="118">
        <f>ReviewCalcs[[#This Row],[Incentive Fixture Energy Savings (kWh)]]+ReviewCalcs[[#This Row],[Incentive Control Energy Savings (kWh)]]</f>
        <v>0</v>
      </c>
      <c r="BU192" s="73"/>
    </row>
    <row r="193" spans="1:73" ht="30" customHeight="1">
      <c r="A193" s="68">
        <v>190</v>
      </c>
      <c r="B193" s="96">
        <f>VLOOKUP(ReviewCalcs[[#This Row],[Project Index]], ProjectInput[], D$1, FALSE)</f>
        <v>0</v>
      </c>
      <c r="C193" s="97">
        <f>VLOOKUP(ReviewCalcs[[#This Row],[Project Index]], ProjectInput[], E$1, FALSE)</f>
        <v>0</v>
      </c>
      <c r="D193" s="97">
        <f>VLOOKUP(ReviewCalcs[[#This Row],[Project Index]], ProjectInput[], F$1, FALSE)</f>
        <v>0</v>
      </c>
      <c r="E193" s="97">
        <f>VLOOKUP(ReviewCalcs[[#This Row],[Project Index]], ProjectInput[], G$1, FALSE)</f>
        <v>0</v>
      </c>
      <c r="F193" s="97">
        <f>VLOOKUP(ReviewCalcs[[#This Row],[Project Index]], ProjectInput[], H$1, FALSE)</f>
        <v>0</v>
      </c>
      <c r="G193" s="98" t="str">
        <f>VLOOKUP(ReviewCalcs[[#This Row],[Project Index]], ProjectInput[], I$1, FALSE)</f>
        <v/>
      </c>
      <c r="H193" s="96">
        <f>VLOOKUP(ReviewCalcs[[#This Row],[Project Index]], ProjectInput[], J$1, FALSE)</f>
        <v>0</v>
      </c>
      <c r="I193" s="97">
        <f>VLOOKUP(ReviewCalcs[[#This Row],[Project Index]], ProjectInput[], K$1, FALSE)</f>
        <v>0</v>
      </c>
      <c r="J193" s="97">
        <f>VLOOKUP(ReviewCalcs[[#This Row],[Project Index]], ProjectInput[], L$1, FALSE)</f>
        <v>0</v>
      </c>
      <c r="K193" s="97">
        <f>VLOOKUP(ReviewCalcs[[#This Row],[Project Index]], ProjectInput[], M$1, FALSE)</f>
        <v>0</v>
      </c>
      <c r="L193" s="97">
        <f>VLOOKUP(ReviewCalcs[[#This Row],[Project Index]], ProjectInput[], N$1, FALSE)</f>
        <v>0</v>
      </c>
      <c r="M193" s="98" t="str">
        <f>VLOOKUP(ReviewCalcs[[#This Row],[Project Index]], ProjectInput[], O$1, FALSE)</f>
        <v/>
      </c>
      <c r="N193" s="96">
        <f>VLOOKUP(ReviewCalcs[[#This Row],[Project Index]], ProjectInput[], P$1, FALSE)</f>
        <v>0</v>
      </c>
      <c r="O193" s="97">
        <f>VLOOKUP(ReviewCalcs[[#This Row],[Project Index]], ProjectInput[], Q$1, FALSE)</f>
        <v>0</v>
      </c>
      <c r="P193" s="97">
        <f>VLOOKUP(ReviewCalcs[[#This Row],[Project Index]], ProjectInput[], R$1, FALSE)</f>
        <v>0</v>
      </c>
      <c r="Q193" s="97">
        <f>VLOOKUP(ReviewCalcs[[#This Row],[Project Index]], ProjectInput[], S$1, FALSE)</f>
        <v>0</v>
      </c>
      <c r="R193" s="97">
        <f>VLOOKUP(ReviewCalcs[[#This Row],[Project Index]], ProjectInput[], T$1, FALSE)</f>
        <v>0</v>
      </c>
      <c r="S193" s="97">
        <f>VLOOKUP(ReviewCalcs[[#This Row],[Project Index]], ProjectInput[], U$1, FALSE)</f>
        <v>0</v>
      </c>
      <c r="T193" s="97">
        <f>VLOOKUP(ReviewCalcs[[#This Row],[Project Index]], ProjectInput[], V$1, FALSE)</f>
        <v>0</v>
      </c>
      <c r="U193" s="97">
        <f>VLOOKUP(ReviewCalcs[[#This Row],[Project Index]], ProjectInput[], W$1, FALSE)</f>
        <v>0</v>
      </c>
      <c r="V193" s="98" t="str">
        <f>VLOOKUP(ReviewCalcs[[#This Row],[Project Index]], ProjectInput[], X$1, FALSE)</f>
        <v/>
      </c>
      <c r="W1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3" s="75" t="e">
        <f>IF(VLOOKUP(ReviewCalcs[[#This Row],[Proposed Fixture Code]], Table7[[FIXTURE CODE]:[Baseline Fixture Code]], 8, FALSE)="N", "ERROR", "PASS")</f>
        <v>#N/A</v>
      </c>
      <c r="Y1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3" s="75" t="e">
        <f>IF(OR(ReviewCalcs[[#This Row],[Baseline Fixture Watts]]&gt;=ReviewCalcs[[#This Row],[Proposed Fixture Watts]],ReviewCalcs[[#This Row],[Existing Fixture Watts]]&gt;=ReviewCalcs[[#This Row],[Proposed Fixture Watts]] ), "PASS", "ERROR")</f>
        <v>#N/A</v>
      </c>
      <c r="AA193" s="69" t="e">
        <f>VLOOKUP(ReviewCalcs[[#This Row],[Space Conditions]], Table_365[], 5, FALSE)</f>
        <v>#N/A</v>
      </c>
      <c r="AB193" s="68" t="str">
        <f>ReviewCalcs[[#This Row],[Annual Hours]]</f>
        <v/>
      </c>
      <c r="AC193" s="68" t="e">
        <f>VLOOKUP(ReviewCalcs[[#This Row],[Space Conditions]], Table_365[], 6, FALSE)</f>
        <v>#N/A</v>
      </c>
      <c r="AD193" s="68">
        <f>IF(ReviewCalcs[[#This Row],[Existing Control(s)]]='Tables &amp; Ranges'!$A$25, VLOOKUP(ReviewCalcs[[#This Row],[Building/Space Type]], Table_364[], 3, FALSE), CF_Contols)</f>
        <v>0.26</v>
      </c>
      <c r="AE193" s="68" t="e">
        <f>VLOOKUP(ReviewCalcs[[#This Row],[Existing Control(s)]], Table_358[], 2, FALSE)</f>
        <v>#N/A</v>
      </c>
      <c r="AF193" s="68">
        <f>IF(ReviewCalcs[[#This Row],[Proposed Control(s)]]='Tables &amp; Ranges'!$A$25, VLOOKUP(ReviewCalcs[[#This Row],[Building/Space Type]], Table_364[], 3, FALSE), CF_Contols)</f>
        <v>0.26</v>
      </c>
      <c r="AG193" s="68" t="e">
        <f>VLOOKUP(ReviewCalcs[[#This Row],[Proposed Control(s)]], Table_358[], 2, FALSE)</f>
        <v>#N/A</v>
      </c>
      <c r="AH193" s="68">
        <f>IFERROR((ReviewCalcs[[#This Row],[Existing Fixture Quantity]]*ReviewCalcs[[#This Row],[Existing Fixture Watts]]/1000)*ReviewCalcs[[#This Row],[Existing CF]]*ReviewCalcs[[#This Row],[IEFD]], 0)</f>
        <v>0</v>
      </c>
      <c r="AI193" s="68">
        <f>IFERROR((ReviewCalcs[[#This Row],[Proposed Fixture Quantity]]*ReviewCalcs[[#This Row],[Proposed Fixture Watts]]/1000)*ReviewCalcs[[#This Row],[Existing CF]]*ReviewCalcs[[#This Row],[IEFD]], 0)</f>
        <v>0</v>
      </c>
      <c r="AJ193" s="118">
        <f>IFERROR((ReviewCalcs[[#This Row],[Existing Fixture Quantity]]*ReviewCalcs[[#This Row],[Existing Fixture Watts]]/1000-ReviewCalcs[[#This Row],[Proposed Fixture Quantity]]*ReviewCalcs[[#This Row],[Proposed Fixture Watts]]/1000)*ReviewCalcs[[#This Row],[Existing CF]]*ReviewCalcs[[#This Row],[IEFD]], 0)</f>
        <v>0</v>
      </c>
      <c r="AK193" s="118">
        <f>IFERROR((ReviewCalcs[[#This Row],[Existing Fixture Quantity]]*ReviewCalcs[[#This Row],[Existing Fixture Watts]]/1000)*ReviewCalcs[[#This Row],[AOH]]*ReviewCalcs[[#This Row],[IEFE]]*ReviewCalcs[[#This Row],[Existing PAF]], 0)</f>
        <v>0</v>
      </c>
      <c r="AL193" s="118">
        <f>IFERROR((ReviewCalcs[[#This Row],[Proposed Fixture Quantity]]*ReviewCalcs[[#This Row],[Proposed Fixture Watts]]/1000)*ReviewCalcs[[#This Row],[AOH]]*ReviewCalcs[[#This Row],[IEFE]]*ReviewCalcs[[#This Row],[Existing PAF]], 0)</f>
        <v>0</v>
      </c>
      <c r="AM1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3" s="118">
        <f>ReviewCalcs[[#This Row],[Fixture Existing Energy (kWh)]]*Avg_KWh_Rate</f>
        <v>0</v>
      </c>
      <c r="AO193" s="118">
        <f>ReviewCalcs[[#This Row],[Fixture Proposed Energy (kWh)]]*Avg_KWh_Rate</f>
        <v>0</v>
      </c>
      <c r="AP193" s="70">
        <f>ReviewCalcs[[#This Row],[Fixture Energy Savings]]*Avg_KWh_Rate</f>
        <v>0</v>
      </c>
      <c r="AQ193" s="129" t="e">
        <f>ReviewCalcs[[#This Row],[Existing Fixture Quantity]]*ReviewCalcs[[#This Row],[Existing Fixture Watts]]/1000*ReviewCalcs[[#This Row],[Existing CF]]*ReviewCalcs[[#This Row],[IEFD]]</f>
        <v>#VALUE!</v>
      </c>
      <c r="AR193" s="129" t="e">
        <f>ReviewCalcs[[#This Row],[Proposed Fixture Quantity]]*ReviewCalcs[[#This Row],[Proposed Fixture Watts]]/1000*ReviewCalcs[[#This Row],[Proposed CF]]*ReviewCalcs[[#This Row],[IEFD]]</f>
        <v>#VALUE!</v>
      </c>
      <c r="AS193" s="118">
        <f>IF(ReviewCalcs[[#This Row],[Existing CF]]=ReviewCalcs[[#This Row],[Proposed CF]], 0, ReviewCalcs[[#This Row],[Proposed Fixture Quantity]]*ReviewCalcs[[#This Row],[Proposed Fixture Watts]]/1000*ReviewCalcs[[#This Row],[Proposed CF]]*ReviewCalcs[[#This Row],[IEFD]])</f>
        <v>0</v>
      </c>
      <c r="AT193" s="118">
        <f>IFERROR(ReviewCalcs[[#This Row],[Existing Fixture Quantity]]*ReviewCalcs[[#This Row],[Existing Fixture Watts]]/1000*ReviewCalcs[[#This Row],[Existing PAF]]*ReviewCalcs[[#This Row],[AOH]]*ReviewCalcs[[#This Row],[IEFE]], 0)</f>
        <v>0</v>
      </c>
      <c r="AU193" s="118">
        <f>IFERROR(ReviewCalcs[[#This Row],[Proposed Fixture Quantity]]*ReviewCalcs[[#This Row],[Proposed Fixture Watts]]/1000*ReviewCalcs[[#This Row],[Proposed PAF]]*ReviewCalcs[[#This Row],[AOH]]*ReviewCalcs[[#This Row],[IEFE]], 0)</f>
        <v>0</v>
      </c>
      <c r="AV193" s="118">
        <f>IFERROR(ReviewCalcs[[#This Row],[Proposed Fixture Quantity]]*ReviewCalcs[[#This Row],[Proposed Fixture Watts]]/1000*(ReviewCalcs[[#This Row],[Existing PAF]]-ReviewCalcs[[#This Row],[Proposed PAF]])*ReviewCalcs[[#This Row],[AOH]]*ReviewCalcs[[#This Row],[IEFE]], 0)</f>
        <v>0</v>
      </c>
      <c r="AW193" s="118">
        <f>ReviewCalcs[[#This Row],[Control Existing Energy (kWh)]]*kWh_Incentive_Rate</f>
        <v>0</v>
      </c>
      <c r="AX193" s="118">
        <f>ReviewCalcs[[#This Row],[Control Proposed Energy (kWh)]]*kWh_Incentive_Rate</f>
        <v>0</v>
      </c>
      <c r="AY193" s="70">
        <f>ReviewCalcs[[#This Row],[Control Energy Savings (kWh)]]*kWh_Incentive_Rate</f>
        <v>0</v>
      </c>
      <c r="AZ193" s="70" t="e">
        <f>ReviewCalcs[[#This Row],[Fixture Existing Demand (kW)]]+ReviewCalcs[[#This Row],[Control Existing Demand (kW)]]</f>
        <v>#VALUE!</v>
      </c>
      <c r="BA193" s="70" t="e">
        <f>ReviewCalcs[[#This Row],[Fixture Proposed Demand (kW)]]+ReviewCalcs[[#This Row],[Control Proposed Demand (kW)]]</f>
        <v>#VALUE!</v>
      </c>
      <c r="BB193" s="118">
        <f>ReviewCalcs[[#This Row],[Fixture Demand Savings (kW)]]+ReviewCalcs[[#This Row],[Control Demand Savings (kW)]]</f>
        <v>0</v>
      </c>
      <c r="BC193" s="118">
        <f>ReviewCalcs[[#This Row],[Fixture Existing Energy (kWh)]]+ReviewCalcs[[#This Row],[Control Existing Energy (kWh)]]</f>
        <v>0</v>
      </c>
      <c r="BD193" s="118">
        <f>ReviewCalcs[[#This Row],[Fixture Proposed Energy (kWh)]]+ReviewCalcs[[#This Row],[Control Proposed Energy (kWh)]]</f>
        <v>0</v>
      </c>
      <c r="BE193" s="118">
        <f>ReviewCalcs[[#This Row],[Fixture Energy Savings]]+ReviewCalcs[[#This Row],[Control Energy Savings (kWh)]]</f>
        <v>0</v>
      </c>
      <c r="BF193" s="118">
        <f>ReviewCalcs[[#This Row],[Fixture Existing Cost ($)]]+ReviewCalcs[[#This Row],[Control Existing Cost ($)]]</f>
        <v>0</v>
      </c>
      <c r="BG193" s="118">
        <f>ReviewCalcs[[#This Row],[Fixture Proposed Cost ($)]]+ReviewCalcs[[#This Row],[Controls Proposed Cost ($)]]</f>
        <v>0</v>
      </c>
      <c r="BH193" s="70">
        <f>ReviewCalcs[[#This Row],[Total Energy Savings (kWh)]]*Avg_KWh_Rate</f>
        <v>0</v>
      </c>
      <c r="BI1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3" s="70">
        <f>ReviewCalcs[[#This Row],[Retrofit Cost]]</f>
        <v>0</v>
      </c>
      <c r="BK193" s="70">
        <f>ReviewCalcs[[#This Row],[Retrofit Cost]]-ReviewCalcs[[#This Row],[Incentive ($)]]</f>
        <v>0</v>
      </c>
      <c r="BL193" s="118" t="e">
        <f>IFERROR(ReviewCalcs[[#This Row],[Net Project Cost ($)]]/ReviewCalcs[[#This Row],[Fixture Energy Cost Savings ($)]], #N/A)</f>
        <v>#N/A</v>
      </c>
      <c r="BM193" s="118" t="e">
        <f>IF(VLOOKUP(ReviewCalcs[[#This Row],[Existing Fixture Code]], Table7[[FIXTURE CODE]:[Baseline Fixture Code]], 8, FALSE)="N", VLOOKUP(ReviewCalcs[[#This Row],[Existing Fixture Code]], Table7[[FIXTURE CODE]:[Baseline Fixture Code]], 9, FALSE), ReviewCalcs[[#This Row],[Existing Fixture Code]])</f>
        <v>#N/A</v>
      </c>
      <c r="BN193" s="118" t="e">
        <f>INDEX(Table7[WATT/ FIXT], MATCH(ReviewCalcs[Baseline Fixture Code], Table7[FIXTURE CODE], 0))</f>
        <v>#N/A</v>
      </c>
      <c r="BO193" s="118">
        <f>IFERROR((ReviewCalcs[[#This Row],[Existing Fixture Quantity]]*ReviewCalcs[[#This Row],[Baseline Fixture Watts]]/1000-ReviewCalcs[[#This Row],[Proposed Fixture Quantity]]*ReviewCalcs[[#This Row],[Proposed Fixture Watts]]/1000)*ReviewCalcs[[#This Row],[Existing CF]]*ReviewCalcs[[#This Row],[IEFD]], 0)</f>
        <v>0</v>
      </c>
      <c r="BP1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3" s="118">
        <f>IF(ReviewCalcs[[#This Row],[Existing CF]]=ReviewCalcs[[#This Row],[Proposed CF]], 0, ReviewCalcs[[#This Row],[Proposed Fixture Quantity]]*ReviewCalcs[[#This Row],[Proposed Fixture Watts]]/1000*ReviewCalcs[[#This Row],[Proposed CF]]*ReviewCalcs[[#This Row],[IEFD]])</f>
        <v>0</v>
      </c>
      <c r="BR193" s="118">
        <f>IFERROR(ReviewCalcs[[#This Row],[Proposed Fixture Quantity]]*ReviewCalcs[[#This Row],[Proposed Fixture Watts]]/1000*(ReviewCalcs[[#This Row],[Existing PAF]]-ReviewCalcs[[#This Row],[Proposed PAF]])*ReviewCalcs[[#This Row],[AOH]]*ReviewCalcs[[#This Row],[IEFE]],0)</f>
        <v>0</v>
      </c>
      <c r="BS193" s="118">
        <f>ReviewCalcs[[#This Row],[Incentive Fixture Demand Savings (kW)]]+ReviewCalcs[[#This Row],[Incentive Control Demand Savings (kW)]]</f>
        <v>0</v>
      </c>
      <c r="BT193" s="118">
        <f>ReviewCalcs[[#This Row],[Incentive Fixture Energy Savings (kWh)]]+ReviewCalcs[[#This Row],[Incentive Control Energy Savings (kWh)]]</f>
        <v>0</v>
      </c>
      <c r="BU193" s="73"/>
    </row>
    <row r="194" spans="1:73" ht="30" customHeight="1">
      <c r="A194" s="68">
        <v>191</v>
      </c>
      <c r="B194" s="96">
        <f>VLOOKUP(ReviewCalcs[[#This Row],[Project Index]], ProjectInput[], D$1, FALSE)</f>
        <v>0</v>
      </c>
      <c r="C194" s="97">
        <f>VLOOKUP(ReviewCalcs[[#This Row],[Project Index]], ProjectInput[], E$1, FALSE)</f>
        <v>0</v>
      </c>
      <c r="D194" s="97">
        <f>VLOOKUP(ReviewCalcs[[#This Row],[Project Index]], ProjectInput[], F$1, FALSE)</f>
        <v>0</v>
      </c>
      <c r="E194" s="97">
        <f>VLOOKUP(ReviewCalcs[[#This Row],[Project Index]], ProjectInput[], G$1, FALSE)</f>
        <v>0</v>
      </c>
      <c r="F194" s="97">
        <f>VLOOKUP(ReviewCalcs[[#This Row],[Project Index]], ProjectInput[], H$1, FALSE)</f>
        <v>0</v>
      </c>
      <c r="G194" s="98" t="str">
        <f>VLOOKUP(ReviewCalcs[[#This Row],[Project Index]], ProjectInput[], I$1, FALSE)</f>
        <v/>
      </c>
      <c r="H194" s="96">
        <f>VLOOKUP(ReviewCalcs[[#This Row],[Project Index]], ProjectInput[], J$1, FALSE)</f>
        <v>0</v>
      </c>
      <c r="I194" s="97">
        <f>VLOOKUP(ReviewCalcs[[#This Row],[Project Index]], ProjectInput[], K$1, FALSE)</f>
        <v>0</v>
      </c>
      <c r="J194" s="97">
        <f>VLOOKUP(ReviewCalcs[[#This Row],[Project Index]], ProjectInput[], L$1, FALSE)</f>
        <v>0</v>
      </c>
      <c r="K194" s="97">
        <f>VLOOKUP(ReviewCalcs[[#This Row],[Project Index]], ProjectInput[], M$1, FALSE)</f>
        <v>0</v>
      </c>
      <c r="L194" s="97">
        <f>VLOOKUP(ReviewCalcs[[#This Row],[Project Index]], ProjectInput[], N$1, FALSE)</f>
        <v>0</v>
      </c>
      <c r="M194" s="98" t="str">
        <f>VLOOKUP(ReviewCalcs[[#This Row],[Project Index]], ProjectInput[], O$1, FALSE)</f>
        <v/>
      </c>
      <c r="N194" s="96">
        <f>VLOOKUP(ReviewCalcs[[#This Row],[Project Index]], ProjectInput[], P$1, FALSE)</f>
        <v>0</v>
      </c>
      <c r="O194" s="97">
        <f>VLOOKUP(ReviewCalcs[[#This Row],[Project Index]], ProjectInput[], Q$1, FALSE)</f>
        <v>0</v>
      </c>
      <c r="P194" s="97">
        <f>VLOOKUP(ReviewCalcs[[#This Row],[Project Index]], ProjectInput[], R$1, FALSE)</f>
        <v>0</v>
      </c>
      <c r="Q194" s="97">
        <f>VLOOKUP(ReviewCalcs[[#This Row],[Project Index]], ProjectInput[], S$1, FALSE)</f>
        <v>0</v>
      </c>
      <c r="R194" s="97">
        <f>VLOOKUP(ReviewCalcs[[#This Row],[Project Index]], ProjectInput[], T$1, FALSE)</f>
        <v>0</v>
      </c>
      <c r="S194" s="97">
        <f>VLOOKUP(ReviewCalcs[[#This Row],[Project Index]], ProjectInput[], U$1, FALSE)</f>
        <v>0</v>
      </c>
      <c r="T194" s="97">
        <f>VLOOKUP(ReviewCalcs[[#This Row],[Project Index]], ProjectInput[], V$1, FALSE)</f>
        <v>0</v>
      </c>
      <c r="U194" s="97">
        <f>VLOOKUP(ReviewCalcs[[#This Row],[Project Index]], ProjectInput[], W$1, FALSE)</f>
        <v>0</v>
      </c>
      <c r="V194" s="98" t="str">
        <f>VLOOKUP(ReviewCalcs[[#This Row],[Project Index]], ProjectInput[], X$1, FALSE)</f>
        <v/>
      </c>
      <c r="W1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4" s="75" t="e">
        <f>IF(VLOOKUP(ReviewCalcs[[#This Row],[Proposed Fixture Code]], Table7[[FIXTURE CODE]:[Baseline Fixture Code]], 8, FALSE)="N", "ERROR", "PASS")</f>
        <v>#N/A</v>
      </c>
      <c r="Y1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4" s="75" t="e">
        <f>IF(OR(ReviewCalcs[[#This Row],[Baseline Fixture Watts]]&gt;=ReviewCalcs[[#This Row],[Proposed Fixture Watts]],ReviewCalcs[[#This Row],[Existing Fixture Watts]]&gt;=ReviewCalcs[[#This Row],[Proposed Fixture Watts]] ), "PASS", "ERROR")</f>
        <v>#N/A</v>
      </c>
      <c r="AA194" s="69" t="e">
        <f>VLOOKUP(ReviewCalcs[[#This Row],[Space Conditions]], Table_365[], 5, FALSE)</f>
        <v>#N/A</v>
      </c>
      <c r="AB194" s="68" t="str">
        <f>ReviewCalcs[[#This Row],[Annual Hours]]</f>
        <v/>
      </c>
      <c r="AC194" s="68" t="e">
        <f>VLOOKUP(ReviewCalcs[[#This Row],[Space Conditions]], Table_365[], 6, FALSE)</f>
        <v>#N/A</v>
      </c>
      <c r="AD194" s="68">
        <f>IF(ReviewCalcs[[#This Row],[Existing Control(s)]]='Tables &amp; Ranges'!$A$25, VLOOKUP(ReviewCalcs[[#This Row],[Building/Space Type]], Table_364[], 3, FALSE), CF_Contols)</f>
        <v>0.26</v>
      </c>
      <c r="AE194" s="68" t="e">
        <f>VLOOKUP(ReviewCalcs[[#This Row],[Existing Control(s)]], Table_358[], 2, FALSE)</f>
        <v>#N/A</v>
      </c>
      <c r="AF194" s="68">
        <f>IF(ReviewCalcs[[#This Row],[Proposed Control(s)]]='Tables &amp; Ranges'!$A$25, VLOOKUP(ReviewCalcs[[#This Row],[Building/Space Type]], Table_364[], 3, FALSE), CF_Contols)</f>
        <v>0.26</v>
      </c>
      <c r="AG194" s="68" t="e">
        <f>VLOOKUP(ReviewCalcs[[#This Row],[Proposed Control(s)]], Table_358[], 2, FALSE)</f>
        <v>#N/A</v>
      </c>
      <c r="AH194" s="68">
        <f>IFERROR((ReviewCalcs[[#This Row],[Existing Fixture Quantity]]*ReviewCalcs[[#This Row],[Existing Fixture Watts]]/1000)*ReviewCalcs[[#This Row],[Existing CF]]*ReviewCalcs[[#This Row],[IEFD]], 0)</f>
        <v>0</v>
      </c>
      <c r="AI194" s="68">
        <f>IFERROR((ReviewCalcs[[#This Row],[Proposed Fixture Quantity]]*ReviewCalcs[[#This Row],[Proposed Fixture Watts]]/1000)*ReviewCalcs[[#This Row],[Existing CF]]*ReviewCalcs[[#This Row],[IEFD]], 0)</f>
        <v>0</v>
      </c>
      <c r="AJ194" s="118">
        <f>IFERROR((ReviewCalcs[[#This Row],[Existing Fixture Quantity]]*ReviewCalcs[[#This Row],[Existing Fixture Watts]]/1000-ReviewCalcs[[#This Row],[Proposed Fixture Quantity]]*ReviewCalcs[[#This Row],[Proposed Fixture Watts]]/1000)*ReviewCalcs[[#This Row],[Existing CF]]*ReviewCalcs[[#This Row],[IEFD]], 0)</f>
        <v>0</v>
      </c>
      <c r="AK194" s="118">
        <f>IFERROR((ReviewCalcs[[#This Row],[Existing Fixture Quantity]]*ReviewCalcs[[#This Row],[Existing Fixture Watts]]/1000)*ReviewCalcs[[#This Row],[AOH]]*ReviewCalcs[[#This Row],[IEFE]]*ReviewCalcs[[#This Row],[Existing PAF]], 0)</f>
        <v>0</v>
      </c>
      <c r="AL194" s="118">
        <f>IFERROR((ReviewCalcs[[#This Row],[Proposed Fixture Quantity]]*ReviewCalcs[[#This Row],[Proposed Fixture Watts]]/1000)*ReviewCalcs[[#This Row],[AOH]]*ReviewCalcs[[#This Row],[IEFE]]*ReviewCalcs[[#This Row],[Existing PAF]], 0)</f>
        <v>0</v>
      </c>
      <c r="AM1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4" s="118">
        <f>ReviewCalcs[[#This Row],[Fixture Existing Energy (kWh)]]*Avg_KWh_Rate</f>
        <v>0</v>
      </c>
      <c r="AO194" s="118">
        <f>ReviewCalcs[[#This Row],[Fixture Proposed Energy (kWh)]]*Avg_KWh_Rate</f>
        <v>0</v>
      </c>
      <c r="AP194" s="70">
        <f>ReviewCalcs[[#This Row],[Fixture Energy Savings]]*Avg_KWh_Rate</f>
        <v>0</v>
      </c>
      <c r="AQ194" s="129" t="e">
        <f>ReviewCalcs[[#This Row],[Existing Fixture Quantity]]*ReviewCalcs[[#This Row],[Existing Fixture Watts]]/1000*ReviewCalcs[[#This Row],[Existing CF]]*ReviewCalcs[[#This Row],[IEFD]]</f>
        <v>#VALUE!</v>
      </c>
      <c r="AR194" s="129" t="e">
        <f>ReviewCalcs[[#This Row],[Proposed Fixture Quantity]]*ReviewCalcs[[#This Row],[Proposed Fixture Watts]]/1000*ReviewCalcs[[#This Row],[Proposed CF]]*ReviewCalcs[[#This Row],[IEFD]]</f>
        <v>#VALUE!</v>
      </c>
      <c r="AS194" s="118">
        <f>IF(ReviewCalcs[[#This Row],[Existing CF]]=ReviewCalcs[[#This Row],[Proposed CF]], 0, ReviewCalcs[[#This Row],[Proposed Fixture Quantity]]*ReviewCalcs[[#This Row],[Proposed Fixture Watts]]/1000*ReviewCalcs[[#This Row],[Proposed CF]]*ReviewCalcs[[#This Row],[IEFD]])</f>
        <v>0</v>
      </c>
      <c r="AT194" s="118">
        <f>IFERROR(ReviewCalcs[[#This Row],[Existing Fixture Quantity]]*ReviewCalcs[[#This Row],[Existing Fixture Watts]]/1000*ReviewCalcs[[#This Row],[Existing PAF]]*ReviewCalcs[[#This Row],[AOH]]*ReviewCalcs[[#This Row],[IEFE]], 0)</f>
        <v>0</v>
      </c>
      <c r="AU194" s="118">
        <f>IFERROR(ReviewCalcs[[#This Row],[Proposed Fixture Quantity]]*ReviewCalcs[[#This Row],[Proposed Fixture Watts]]/1000*ReviewCalcs[[#This Row],[Proposed PAF]]*ReviewCalcs[[#This Row],[AOH]]*ReviewCalcs[[#This Row],[IEFE]], 0)</f>
        <v>0</v>
      </c>
      <c r="AV194" s="118">
        <f>IFERROR(ReviewCalcs[[#This Row],[Proposed Fixture Quantity]]*ReviewCalcs[[#This Row],[Proposed Fixture Watts]]/1000*(ReviewCalcs[[#This Row],[Existing PAF]]-ReviewCalcs[[#This Row],[Proposed PAF]])*ReviewCalcs[[#This Row],[AOH]]*ReviewCalcs[[#This Row],[IEFE]], 0)</f>
        <v>0</v>
      </c>
      <c r="AW194" s="118">
        <f>ReviewCalcs[[#This Row],[Control Existing Energy (kWh)]]*kWh_Incentive_Rate</f>
        <v>0</v>
      </c>
      <c r="AX194" s="118">
        <f>ReviewCalcs[[#This Row],[Control Proposed Energy (kWh)]]*kWh_Incentive_Rate</f>
        <v>0</v>
      </c>
      <c r="AY194" s="70">
        <f>ReviewCalcs[[#This Row],[Control Energy Savings (kWh)]]*kWh_Incentive_Rate</f>
        <v>0</v>
      </c>
      <c r="AZ194" s="70" t="e">
        <f>ReviewCalcs[[#This Row],[Fixture Existing Demand (kW)]]+ReviewCalcs[[#This Row],[Control Existing Demand (kW)]]</f>
        <v>#VALUE!</v>
      </c>
      <c r="BA194" s="70" t="e">
        <f>ReviewCalcs[[#This Row],[Fixture Proposed Demand (kW)]]+ReviewCalcs[[#This Row],[Control Proposed Demand (kW)]]</f>
        <v>#VALUE!</v>
      </c>
      <c r="BB194" s="118">
        <f>ReviewCalcs[[#This Row],[Fixture Demand Savings (kW)]]+ReviewCalcs[[#This Row],[Control Demand Savings (kW)]]</f>
        <v>0</v>
      </c>
      <c r="BC194" s="118">
        <f>ReviewCalcs[[#This Row],[Fixture Existing Energy (kWh)]]+ReviewCalcs[[#This Row],[Control Existing Energy (kWh)]]</f>
        <v>0</v>
      </c>
      <c r="BD194" s="118">
        <f>ReviewCalcs[[#This Row],[Fixture Proposed Energy (kWh)]]+ReviewCalcs[[#This Row],[Control Proposed Energy (kWh)]]</f>
        <v>0</v>
      </c>
      <c r="BE194" s="118">
        <f>ReviewCalcs[[#This Row],[Fixture Energy Savings]]+ReviewCalcs[[#This Row],[Control Energy Savings (kWh)]]</f>
        <v>0</v>
      </c>
      <c r="BF194" s="118">
        <f>ReviewCalcs[[#This Row],[Fixture Existing Cost ($)]]+ReviewCalcs[[#This Row],[Control Existing Cost ($)]]</f>
        <v>0</v>
      </c>
      <c r="BG194" s="118">
        <f>ReviewCalcs[[#This Row],[Fixture Proposed Cost ($)]]+ReviewCalcs[[#This Row],[Controls Proposed Cost ($)]]</f>
        <v>0</v>
      </c>
      <c r="BH194" s="70">
        <f>ReviewCalcs[[#This Row],[Total Energy Savings (kWh)]]*Avg_KWh_Rate</f>
        <v>0</v>
      </c>
      <c r="BI1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4" s="70">
        <f>ReviewCalcs[[#This Row],[Retrofit Cost]]</f>
        <v>0</v>
      </c>
      <c r="BK194" s="70">
        <f>ReviewCalcs[[#This Row],[Retrofit Cost]]-ReviewCalcs[[#This Row],[Incentive ($)]]</f>
        <v>0</v>
      </c>
      <c r="BL194" s="118" t="e">
        <f>IFERROR(ReviewCalcs[[#This Row],[Net Project Cost ($)]]/ReviewCalcs[[#This Row],[Fixture Energy Cost Savings ($)]], #N/A)</f>
        <v>#N/A</v>
      </c>
      <c r="BM194" s="118" t="e">
        <f>IF(VLOOKUP(ReviewCalcs[[#This Row],[Existing Fixture Code]], Table7[[FIXTURE CODE]:[Baseline Fixture Code]], 8, FALSE)="N", VLOOKUP(ReviewCalcs[[#This Row],[Existing Fixture Code]], Table7[[FIXTURE CODE]:[Baseline Fixture Code]], 9, FALSE), ReviewCalcs[[#This Row],[Existing Fixture Code]])</f>
        <v>#N/A</v>
      </c>
      <c r="BN194" s="118" t="e">
        <f>INDEX(Table7[WATT/ FIXT], MATCH(ReviewCalcs[Baseline Fixture Code], Table7[FIXTURE CODE], 0))</f>
        <v>#N/A</v>
      </c>
      <c r="BO194" s="118">
        <f>IFERROR((ReviewCalcs[[#This Row],[Existing Fixture Quantity]]*ReviewCalcs[[#This Row],[Baseline Fixture Watts]]/1000-ReviewCalcs[[#This Row],[Proposed Fixture Quantity]]*ReviewCalcs[[#This Row],[Proposed Fixture Watts]]/1000)*ReviewCalcs[[#This Row],[Existing CF]]*ReviewCalcs[[#This Row],[IEFD]], 0)</f>
        <v>0</v>
      </c>
      <c r="BP1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4" s="118">
        <f>IF(ReviewCalcs[[#This Row],[Existing CF]]=ReviewCalcs[[#This Row],[Proposed CF]], 0, ReviewCalcs[[#This Row],[Proposed Fixture Quantity]]*ReviewCalcs[[#This Row],[Proposed Fixture Watts]]/1000*ReviewCalcs[[#This Row],[Proposed CF]]*ReviewCalcs[[#This Row],[IEFD]])</f>
        <v>0</v>
      </c>
      <c r="BR194" s="118">
        <f>IFERROR(ReviewCalcs[[#This Row],[Proposed Fixture Quantity]]*ReviewCalcs[[#This Row],[Proposed Fixture Watts]]/1000*(ReviewCalcs[[#This Row],[Existing PAF]]-ReviewCalcs[[#This Row],[Proposed PAF]])*ReviewCalcs[[#This Row],[AOH]]*ReviewCalcs[[#This Row],[IEFE]],0)</f>
        <v>0</v>
      </c>
      <c r="BS194" s="118">
        <f>ReviewCalcs[[#This Row],[Incentive Fixture Demand Savings (kW)]]+ReviewCalcs[[#This Row],[Incentive Control Demand Savings (kW)]]</f>
        <v>0</v>
      </c>
      <c r="BT194" s="118">
        <f>ReviewCalcs[[#This Row],[Incentive Fixture Energy Savings (kWh)]]+ReviewCalcs[[#This Row],[Incentive Control Energy Savings (kWh)]]</f>
        <v>0</v>
      </c>
      <c r="BU194" s="73"/>
    </row>
    <row r="195" spans="1:73" ht="30" customHeight="1">
      <c r="A195" s="68">
        <v>192</v>
      </c>
      <c r="B195" s="96">
        <f>VLOOKUP(ReviewCalcs[[#This Row],[Project Index]], ProjectInput[], D$1, FALSE)</f>
        <v>0</v>
      </c>
      <c r="C195" s="97">
        <f>VLOOKUP(ReviewCalcs[[#This Row],[Project Index]], ProjectInput[], E$1, FALSE)</f>
        <v>0</v>
      </c>
      <c r="D195" s="97">
        <f>VLOOKUP(ReviewCalcs[[#This Row],[Project Index]], ProjectInput[], F$1, FALSE)</f>
        <v>0</v>
      </c>
      <c r="E195" s="97">
        <f>VLOOKUP(ReviewCalcs[[#This Row],[Project Index]], ProjectInput[], G$1, FALSE)</f>
        <v>0</v>
      </c>
      <c r="F195" s="97">
        <f>VLOOKUP(ReviewCalcs[[#This Row],[Project Index]], ProjectInput[], H$1, FALSE)</f>
        <v>0</v>
      </c>
      <c r="G195" s="98" t="str">
        <f>VLOOKUP(ReviewCalcs[[#This Row],[Project Index]], ProjectInput[], I$1, FALSE)</f>
        <v/>
      </c>
      <c r="H195" s="96">
        <f>VLOOKUP(ReviewCalcs[[#This Row],[Project Index]], ProjectInput[], J$1, FALSE)</f>
        <v>0</v>
      </c>
      <c r="I195" s="97">
        <f>VLOOKUP(ReviewCalcs[[#This Row],[Project Index]], ProjectInput[], K$1, FALSE)</f>
        <v>0</v>
      </c>
      <c r="J195" s="97">
        <f>VLOOKUP(ReviewCalcs[[#This Row],[Project Index]], ProjectInput[], L$1, FALSE)</f>
        <v>0</v>
      </c>
      <c r="K195" s="97">
        <f>VLOOKUP(ReviewCalcs[[#This Row],[Project Index]], ProjectInput[], M$1, FALSE)</f>
        <v>0</v>
      </c>
      <c r="L195" s="97">
        <f>VLOOKUP(ReviewCalcs[[#This Row],[Project Index]], ProjectInput[], N$1, FALSE)</f>
        <v>0</v>
      </c>
      <c r="M195" s="98" t="str">
        <f>VLOOKUP(ReviewCalcs[[#This Row],[Project Index]], ProjectInput[], O$1, FALSE)</f>
        <v/>
      </c>
      <c r="N195" s="96">
        <f>VLOOKUP(ReviewCalcs[[#This Row],[Project Index]], ProjectInput[], P$1, FALSE)</f>
        <v>0</v>
      </c>
      <c r="O195" s="97">
        <f>VLOOKUP(ReviewCalcs[[#This Row],[Project Index]], ProjectInput[], Q$1, FALSE)</f>
        <v>0</v>
      </c>
      <c r="P195" s="97">
        <f>VLOOKUP(ReviewCalcs[[#This Row],[Project Index]], ProjectInput[], R$1, FALSE)</f>
        <v>0</v>
      </c>
      <c r="Q195" s="97">
        <f>VLOOKUP(ReviewCalcs[[#This Row],[Project Index]], ProjectInput[], S$1, FALSE)</f>
        <v>0</v>
      </c>
      <c r="R195" s="97">
        <f>VLOOKUP(ReviewCalcs[[#This Row],[Project Index]], ProjectInput[], T$1, FALSE)</f>
        <v>0</v>
      </c>
      <c r="S195" s="97">
        <f>VLOOKUP(ReviewCalcs[[#This Row],[Project Index]], ProjectInput[], U$1, FALSE)</f>
        <v>0</v>
      </c>
      <c r="T195" s="97">
        <f>VLOOKUP(ReviewCalcs[[#This Row],[Project Index]], ProjectInput[], V$1, FALSE)</f>
        <v>0</v>
      </c>
      <c r="U195" s="97">
        <f>VLOOKUP(ReviewCalcs[[#This Row],[Project Index]], ProjectInput[], W$1, FALSE)</f>
        <v>0</v>
      </c>
      <c r="V195" s="98" t="str">
        <f>VLOOKUP(ReviewCalcs[[#This Row],[Project Index]], ProjectInput[], X$1, FALSE)</f>
        <v/>
      </c>
      <c r="W1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5" s="75" t="e">
        <f>IF(VLOOKUP(ReviewCalcs[[#This Row],[Proposed Fixture Code]], Table7[[FIXTURE CODE]:[Baseline Fixture Code]], 8, FALSE)="N", "ERROR", "PASS")</f>
        <v>#N/A</v>
      </c>
      <c r="Y1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5" s="75" t="e">
        <f>IF(OR(ReviewCalcs[[#This Row],[Baseline Fixture Watts]]&gt;=ReviewCalcs[[#This Row],[Proposed Fixture Watts]],ReviewCalcs[[#This Row],[Existing Fixture Watts]]&gt;=ReviewCalcs[[#This Row],[Proposed Fixture Watts]] ), "PASS", "ERROR")</f>
        <v>#N/A</v>
      </c>
      <c r="AA195" s="69" t="e">
        <f>VLOOKUP(ReviewCalcs[[#This Row],[Space Conditions]], Table_365[], 5, FALSE)</f>
        <v>#N/A</v>
      </c>
      <c r="AB195" s="68" t="str">
        <f>ReviewCalcs[[#This Row],[Annual Hours]]</f>
        <v/>
      </c>
      <c r="AC195" s="68" t="e">
        <f>VLOOKUP(ReviewCalcs[[#This Row],[Space Conditions]], Table_365[], 6, FALSE)</f>
        <v>#N/A</v>
      </c>
      <c r="AD195" s="68">
        <f>IF(ReviewCalcs[[#This Row],[Existing Control(s)]]='Tables &amp; Ranges'!$A$25, VLOOKUP(ReviewCalcs[[#This Row],[Building/Space Type]], Table_364[], 3, FALSE), CF_Contols)</f>
        <v>0.26</v>
      </c>
      <c r="AE195" s="68" t="e">
        <f>VLOOKUP(ReviewCalcs[[#This Row],[Existing Control(s)]], Table_358[], 2, FALSE)</f>
        <v>#N/A</v>
      </c>
      <c r="AF195" s="68">
        <f>IF(ReviewCalcs[[#This Row],[Proposed Control(s)]]='Tables &amp; Ranges'!$A$25, VLOOKUP(ReviewCalcs[[#This Row],[Building/Space Type]], Table_364[], 3, FALSE), CF_Contols)</f>
        <v>0.26</v>
      </c>
      <c r="AG195" s="68" t="e">
        <f>VLOOKUP(ReviewCalcs[[#This Row],[Proposed Control(s)]], Table_358[], 2, FALSE)</f>
        <v>#N/A</v>
      </c>
      <c r="AH195" s="68">
        <f>IFERROR((ReviewCalcs[[#This Row],[Existing Fixture Quantity]]*ReviewCalcs[[#This Row],[Existing Fixture Watts]]/1000)*ReviewCalcs[[#This Row],[Existing CF]]*ReviewCalcs[[#This Row],[IEFD]], 0)</f>
        <v>0</v>
      </c>
      <c r="AI195" s="68">
        <f>IFERROR((ReviewCalcs[[#This Row],[Proposed Fixture Quantity]]*ReviewCalcs[[#This Row],[Proposed Fixture Watts]]/1000)*ReviewCalcs[[#This Row],[Existing CF]]*ReviewCalcs[[#This Row],[IEFD]], 0)</f>
        <v>0</v>
      </c>
      <c r="AJ195" s="118">
        <f>IFERROR((ReviewCalcs[[#This Row],[Existing Fixture Quantity]]*ReviewCalcs[[#This Row],[Existing Fixture Watts]]/1000-ReviewCalcs[[#This Row],[Proposed Fixture Quantity]]*ReviewCalcs[[#This Row],[Proposed Fixture Watts]]/1000)*ReviewCalcs[[#This Row],[Existing CF]]*ReviewCalcs[[#This Row],[IEFD]], 0)</f>
        <v>0</v>
      </c>
      <c r="AK195" s="118">
        <f>IFERROR((ReviewCalcs[[#This Row],[Existing Fixture Quantity]]*ReviewCalcs[[#This Row],[Existing Fixture Watts]]/1000)*ReviewCalcs[[#This Row],[AOH]]*ReviewCalcs[[#This Row],[IEFE]]*ReviewCalcs[[#This Row],[Existing PAF]], 0)</f>
        <v>0</v>
      </c>
      <c r="AL195" s="118">
        <f>IFERROR((ReviewCalcs[[#This Row],[Proposed Fixture Quantity]]*ReviewCalcs[[#This Row],[Proposed Fixture Watts]]/1000)*ReviewCalcs[[#This Row],[AOH]]*ReviewCalcs[[#This Row],[IEFE]]*ReviewCalcs[[#This Row],[Existing PAF]], 0)</f>
        <v>0</v>
      </c>
      <c r="AM1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5" s="118">
        <f>ReviewCalcs[[#This Row],[Fixture Existing Energy (kWh)]]*Avg_KWh_Rate</f>
        <v>0</v>
      </c>
      <c r="AO195" s="118">
        <f>ReviewCalcs[[#This Row],[Fixture Proposed Energy (kWh)]]*Avg_KWh_Rate</f>
        <v>0</v>
      </c>
      <c r="AP195" s="70">
        <f>ReviewCalcs[[#This Row],[Fixture Energy Savings]]*Avg_KWh_Rate</f>
        <v>0</v>
      </c>
      <c r="AQ195" s="129" t="e">
        <f>ReviewCalcs[[#This Row],[Existing Fixture Quantity]]*ReviewCalcs[[#This Row],[Existing Fixture Watts]]/1000*ReviewCalcs[[#This Row],[Existing CF]]*ReviewCalcs[[#This Row],[IEFD]]</f>
        <v>#VALUE!</v>
      </c>
      <c r="AR195" s="129" t="e">
        <f>ReviewCalcs[[#This Row],[Proposed Fixture Quantity]]*ReviewCalcs[[#This Row],[Proposed Fixture Watts]]/1000*ReviewCalcs[[#This Row],[Proposed CF]]*ReviewCalcs[[#This Row],[IEFD]]</f>
        <v>#VALUE!</v>
      </c>
      <c r="AS195" s="118">
        <f>IF(ReviewCalcs[[#This Row],[Existing CF]]=ReviewCalcs[[#This Row],[Proposed CF]], 0, ReviewCalcs[[#This Row],[Proposed Fixture Quantity]]*ReviewCalcs[[#This Row],[Proposed Fixture Watts]]/1000*ReviewCalcs[[#This Row],[Proposed CF]]*ReviewCalcs[[#This Row],[IEFD]])</f>
        <v>0</v>
      </c>
      <c r="AT195" s="118">
        <f>IFERROR(ReviewCalcs[[#This Row],[Existing Fixture Quantity]]*ReviewCalcs[[#This Row],[Existing Fixture Watts]]/1000*ReviewCalcs[[#This Row],[Existing PAF]]*ReviewCalcs[[#This Row],[AOH]]*ReviewCalcs[[#This Row],[IEFE]], 0)</f>
        <v>0</v>
      </c>
      <c r="AU195" s="118">
        <f>IFERROR(ReviewCalcs[[#This Row],[Proposed Fixture Quantity]]*ReviewCalcs[[#This Row],[Proposed Fixture Watts]]/1000*ReviewCalcs[[#This Row],[Proposed PAF]]*ReviewCalcs[[#This Row],[AOH]]*ReviewCalcs[[#This Row],[IEFE]], 0)</f>
        <v>0</v>
      </c>
      <c r="AV195" s="118">
        <f>IFERROR(ReviewCalcs[[#This Row],[Proposed Fixture Quantity]]*ReviewCalcs[[#This Row],[Proposed Fixture Watts]]/1000*(ReviewCalcs[[#This Row],[Existing PAF]]-ReviewCalcs[[#This Row],[Proposed PAF]])*ReviewCalcs[[#This Row],[AOH]]*ReviewCalcs[[#This Row],[IEFE]], 0)</f>
        <v>0</v>
      </c>
      <c r="AW195" s="118">
        <f>ReviewCalcs[[#This Row],[Control Existing Energy (kWh)]]*kWh_Incentive_Rate</f>
        <v>0</v>
      </c>
      <c r="AX195" s="118">
        <f>ReviewCalcs[[#This Row],[Control Proposed Energy (kWh)]]*kWh_Incentive_Rate</f>
        <v>0</v>
      </c>
      <c r="AY195" s="70">
        <f>ReviewCalcs[[#This Row],[Control Energy Savings (kWh)]]*kWh_Incentive_Rate</f>
        <v>0</v>
      </c>
      <c r="AZ195" s="70" t="e">
        <f>ReviewCalcs[[#This Row],[Fixture Existing Demand (kW)]]+ReviewCalcs[[#This Row],[Control Existing Demand (kW)]]</f>
        <v>#VALUE!</v>
      </c>
      <c r="BA195" s="70" t="e">
        <f>ReviewCalcs[[#This Row],[Fixture Proposed Demand (kW)]]+ReviewCalcs[[#This Row],[Control Proposed Demand (kW)]]</f>
        <v>#VALUE!</v>
      </c>
      <c r="BB195" s="118">
        <f>ReviewCalcs[[#This Row],[Fixture Demand Savings (kW)]]+ReviewCalcs[[#This Row],[Control Demand Savings (kW)]]</f>
        <v>0</v>
      </c>
      <c r="BC195" s="118">
        <f>ReviewCalcs[[#This Row],[Fixture Existing Energy (kWh)]]+ReviewCalcs[[#This Row],[Control Existing Energy (kWh)]]</f>
        <v>0</v>
      </c>
      <c r="BD195" s="118">
        <f>ReviewCalcs[[#This Row],[Fixture Proposed Energy (kWh)]]+ReviewCalcs[[#This Row],[Control Proposed Energy (kWh)]]</f>
        <v>0</v>
      </c>
      <c r="BE195" s="118">
        <f>ReviewCalcs[[#This Row],[Fixture Energy Savings]]+ReviewCalcs[[#This Row],[Control Energy Savings (kWh)]]</f>
        <v>0</v>
      </c>
      <c r="BF195" s="118">
        <f>ReviewCalcs[[#This Row],[Fixture Existing Cost ($)]]+ReviewCalcs[[#This Row],[Control Existing Cost ($)]]</f>
        <v>0</v>
      </c>
      <c r="BG195" s="118">
        <f>ReviewCalcs[[#This Row],[Fixture Proposed Cost ($)]]+ReviewCalcs[[#This Row],[Controls Proposed Cost ($)]]</f>
        <v>0</v>
      </c>
      <c r="BH195" s="70">
        <f>ReviewCalcs[[#This Row],[Total Energy Savings (kWh)]]*Avg_KWh_Rate</f>
        <v>0</v>
      </c>
      <c r="BI1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5" s="70">
        <f>ReviewCalcs[[#This Row],[Retrofit Cost]]</f>
        <v>0</v>
      </c>
      <c r="BK195" s="70">
        <f>ReviewCalcs[[#This Row],[Retrofit Cost]]-ReviewCalcs[[#This Row],[Incentive ($)]]</f>
        <v>0</v>
      </c>
      <c r="BL195" s="118" t="e">
        <f>IFERROR(ReviewCalcs[[#This Row],[Net Project Cost ($)]]/ReviewCalcs[[#This Row],[Fixture Energy Cost Savings ($)]], #N/A)</f>
        <v>#N/A</v>
      </c>
      <c r="BM195" s="118" t="e">
        <f>IF(VLOOKUP(ReviewCalcs[[#This Row],[Existing Fixture Code]], Table7[[FIXTURE CODE]:[Baseline Fixture Code]], 8, FALSE)="N", VLOOKUP(ReviewCalcs[[#This Row],[Existing Fixture Code]], Table7[[FIXTURE CODE]:[Baseline Fixture Code]], 9, FALSE), ReviewCalcs[[#This Row],[Existing Fixture Code]])</f>
        <v>#N/A</v>
      </c>
      <c r="BN195" s="118" t="e">
        <f>INDEX(Table7[WATT/ FIXT], MATCH(ReviewCalcs[Baseline Fixture Code], Table7[FIXTURE CODE], 0))</f>
        <v>#N/A</v>
      </c>
      <c r="BO195" s="118">
        <f>IFERROR((ReviewCalcs[[#This Row],[Existing Fixture Quantity]]*ReviewCalcs[[#This Row],[Baseline Fixture Watts]]/1000-ReviewCalcs[[#This Row],[Proposed Fixture Quantity]]*ReviewCalcs[[#This Row],[Proposed Fixture Watts]]/1000)*ReviewCalcs[[#This Row],[Existing CF]]*ReviewCalcs[[#This Row],[IEFD]], 0)</f>
        <v>0</v>
      </c>
      <c r="BP1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5" s="118">
        <f>IF(ReviewCalcs[[#This Row],[Existing CF]]=ReviewCalcs[[#This Row],[Proposed CF]], 0, ReviewCalcs[[#This Row],[Proposed Fixture Quantity]]*ReviewCalcs[[#This Row],[Proposed Fixture Watts]]/1000*ReviewCalcs[[#This Row],[Proposed CF]]*ReviewCalcs[[#This Row],[IEFD]])</f>
        <v>0</v>
      </c>
      <c r="BR195" s="118">
        <f>IFERROR(ReviewCalcs[[#This Row],[Proposed Fixture Quantity]]*ReviewCalcs[[#This Row],[Proposed Fixture Watts]]/1000*(ReviewCalcs[[#This Row],[Existing PAF]]-ReviewCalcs[[#This Row],[Proposed PAF]])*ReviewCalcs[[#This Row],[AOH]]*ReviewCalcs[[#This Row],[IEFE]],0)</f>
        <v>0</v>
      </c>
      <c r="BS195" s="118">
        <f>ReviewCalcs[[#This Row],[Incentive Fixture Demand Savings (kW)]]+ReviewCalcs[[#This Row],[Incentive Control Demand Savings (kW)]]</f>
        <v>0</v>
      </c>
      <c r="BT195" s="118">
        <f>ReviewCalcs[[#This Row],[Incentive Fixture Energy Savings (kWh)]]+ReviewCalcs[[#This Row],[Incentive Control Energy Savings (kWh)]]</f>
        <v>0</v>
      </c>
      <c r="BU195" s="73"/>
    </row>
    <row r="196" spans="1:73" ht="30" customHeight="1">
      <c r="A196" s="68">
        <v>193</v>
      </c>
      <c r="B196" s="96">
        <f>VLOOKUP(ReviewCalcs[[#This Row],[Project Index]], ProjectInput[], D$1, FALSE)</f>
        <v>0</v>
      </c>
      <c r="C196" s="97">
        <f>VLOOKUP(ReviewCalcs[[#This Row],[Project Index]], ProjectInput[], E$1, FALSE)</f>
        <v>0</v>
      </c>
      <c r="D196" s="97">
        <f>VLOOKUP(ReviewCalcs[[#This Row],[Project Index]], ProjectInput[], F$1, FALSE)</f>
        <v>0</v>
      </c>
      <c r="E196" s="97">
        <f>VLOOKUP(ReviewCalcs[[#This Row],[Project Index]], ProjectInput[], G$1, FALSE)</f>
        <v>0</v>
      </c>
      <c r="F196" s="97">
        <f>VLOOKUP(ReviewCalcs[[#This Row],[Project Index]], ProjectInput[], H$1, FALSE)</f>
        <v>0</v>
      </c>
      <c r="G196" s="98" t="str">
        <f>VLOOKUP(ReviewCalcs[[#This Row],[Project Index]], ProjectInput[], I$1, FALSE)</f>
        <v/>
      </c>
      <c r="H196" s="96">
        <f>VLOOKUP(ReviewCalcs[[#This Row],[Project Index]], ProjectInput[], J$1, FALSE)</f>
        <v>0</v>
      </c>
      <c r="I196" s="97">
        <f>VLOOKUP(ReviewCalcs[[#This Row],[Project Index]], ProjectInput[], K$1, FALSE)</f>
        <v>0</v>
      </c>
      <c r="J196" s="97">
        <f>VLOOKUP(ReviewCalcs[[#This Row],[Project Index]], ProjectInput[], L$1, FALSE)</f>
        <v>0</v>
      </c>
      <c r="K196" s="97">
        <f>VLOOKUP(ReviewCalcs[[#This Row],[Project Index]], ProjectInput[], M$1, FALSE)</f>
        <v>0</v>
      </c>
      <c r="L196" s="97">
        <f>VLOOKUP(ReviewCalcs[[#This Row],[Project Index]], ProjectInput[], N$1, FALSE)</f>
        <v>0</v>
      </c>
      <c r="M196" s="98" t="str">
        <f>VLOOKUP(ReviewCalcs[[#This Row],[Project Index]], ProjectInput[], O$1, FALSE)</f>
        <v/>
      </c>
      <c r="N196" s="96">
        <f>VLOOKUP(ReviewCalcs[[#This Row],[Project Index]], ProjectInput[], P$1, FALSE)</f>
        <v>0</v>
      </c>
      <c r="O196" s="97">
        <f>VLOOKUP(ReviewCalcs[[#This Row],[Project Index]], ProjectInput[], Q$1, FALSE)</f>
        <v>0</v>
      </c>
      <c r="P196" s="97">
        <f>VLOOKUP(ReviewCalcs[[#This Row],[Project Index]], ProjectInput[], R$1, FALSE)</f>
        <v>0</v>
      </c>
      <c r="Q196" s="97">
        <f>VLOOKUP(ReviewCalcs[[#This Row],[Project Index]], ProjectInput[], S$1, FALSE)</f>
        <v>0</v>
      </c>
      <c r="R196" s="97">
        <f>VLOOKUP(ReviewCalcs[[#This Row],[Project Index]], ProjectInput[], T$1, FALSE)</f>
        <v>0</v>
      </c>
      <c r="S196" s="97">
        <f>VLOOKUP(ReviewCalcs[[#This Row],[Project Index]], ProjectInput[], U$1, FALSE)</f>
        <v>0</v>
      </c>
      <c r="T196" s="97">
        <f>VLOOKUP(ReviewCalcs[[#This Row],[Project Index]], ProjectInput[], V$1, FALSE)</f>
        <v>0</v>
      </c>
      <c r="U196" s="97">
        <f>VLOOKUP(ReviewCalcs[[#This Row],[Project Index]], ProjectInput[], W$1, FALSE)</f>
        <v>0</v>
      </c>
      <c r="V196" s="98" t="str">
        <f>VLOOKUP(ReviewCalcs[[#This Row],[Project Index]], ProjectInput[], X$1, FALSE)</f>
        <v/>
      </c>
      <c r="W1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6" s="75" t="e">
        <f>IF(VLOOKUP(ReviewCalcs[[#This Row],[Proposed Fixture Code]], Table7[[FIXTURE CODE]:[Baseline Fixture Code]], 8, FALSE)="N", "ERROR", "PASS")</f>
        <v>#N/A</v>
      </c>
      <c r="Y1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6" s="75" t="e">
        <f>IF(OR(ReviewCalcs[[#This Row],[Baseline Fixture Watts]]&gt;=ReviewCalcs[[#This Row],[Proposed Fixture Watts]],ReviewCalcs[[#This Row],[Existing Fixture Watts]]&gt;=ReviewCalcs[[#This Row],[Proposed Fixture Watts]] ), "PASS", "ERROR")</f>
        <v>#N/A</v>
      </c>
      <c r="AA196" s="69" t="e">
        <f>VLOOKUP(ReviewCalcs[[#This Row],[Space Conditions]], Table_365[], 5, FALSE)</f>
        <v>#N/A</v>
      </c>
      <c r="AB196" s="68" t="str">
        <f>ReviewCalcs[[#This Row],[Annual Hours]]</f>
        <v/>
      </c>
      <c r="AC196" s="68" t="e">
        <f>VLOOKUP(ReviewCalcs[[#This Row],[Space Conditions]], Table_365[], 6, FALSE)</f>
        <v>#N/A</v>
      </c>
      <c r="AD196" s="68">
        <f>IF(ReviewCalcs[[#This Row],[Existing Control(s)]]='Tables &amp; Ranges'!$A$25, VLOOKUP(ReviewCalcs[[#This Row],[Building/Space Type]], Table_364[], 3, FALSE), CF_Contols)</f>
        <v>0.26</v>
      </c>
      <c r="AE196" s="68" t="e">
        <f>VLOOKUP(ReviewCalcs[[#This Row],[Existing Control(s)]], Table_358[], 2, FALSE)</f>
        <v>#N/A</v>
      </c>
      <c r="AF196" s="68">
        <f>IF(ReviewCalcs[[#This Row],[Proposed Control(s)]]='Tables &amp; Ranges'!$A$25, VLOOKUP(ReviewCalcs[[#This Row],[Building/Space Type]], Table_364[], 3, FALSE), CF_Contols)</f>
        <v>0.26</v>
      </c>
      <c r="AG196" s="68" t="e">
        <f>VLOOKUP(ReviewCalcs[[#This Row],[Proposed Control(s)]], Table_358[], 2, FALSE)</f>
        <v>#N/A</v>
      </c>
      <c r="AH196" s="68">
        <f>IFERROR((ReviewCalcs[[#This Row],[Existing Fixture Quantity]]*ReviewCalcs[[#This Row],[Existing Fixture Watts]]/1000)*ReviewCalcs[[#This Row],[Existing CF]]*ReviewCalcs[[#This Row],[IEFD]], 0)</f>
        <v>0</v>
      </c>
      <c r="AI196" s="68">
        <f>IFERROR((ReviewCalcs[[#This Row],[Proposed Fixture Quantity]]*ReviewCalcs[[#This Row],[Proposed Fixture Watts]]/1000)*ReviewCalcs[[#This Row],[Existing CF]]*ReviewCalcs[[#This Row],[IEFD]], 0)</f>
        <v>0</v>
      </c>
      <c r="AJ196" s="118">
        <f>IFERROR((ReviewCalcs[[#This Row],[Existing Fixture Quantity]]*ReviewCalcs[[#This Row],[Existing Fixture Watts]]/1000-ReviewCalcs[[#This Row],[Proposed Fixture Quantity]]*ReviewCalcs[[#This Row],[Proposed Fixture Watts]]/1000)*ReviewCalcs[[#This Row],[Existing CF]]*ReviewCalcs[[#This Row],[IEFD]], 0)</f>
        <v>0</v>
      </c>
      <c r="AK196" s="118">
        <f>IFERROR((ReviewCalcs[[#This Row],[Existing Fixture Quantity]]*ReviewCalcs[[#This Row],[Existing Fixture Watts]]/1000)*ReviewCalcs[[#This Row],[AOH]]*ReviewCalcs[[#This Row],[IEFE]]*ReviewCalcs[[#This Row],[Existing PAF]], 0)</f>
        <v>0</v>
      </c>
      <c r="AL196" s="118">
        <f>IFERROR((ReviewCalcs[[#This Row],[Proposed Fixture Quantity]]*ReviewCalcs[[#This Row],[Proposed Fixture Watts]]/1000)*ReviewCalcs[[#This Row],[AOH]]*ReviewCalcs[[#This Row],[IEFE]]*ReviewCalcs[[#This Row],[Existing PAF]], 0)</f>
        <v>0</v>
      </c>
      <c r="AM1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6" s="118">
        <f>ReviewCalcs[[#This Row],[Fixture Existing Energy (kWh)]]*Avg_KWh_Rate</f>
        <v>0</v>
      </c>
      <c r="AO196" s="118">
        <f>ReviewCalcs[[#This Row],[Fixture Proposed Energy (kWh)]]*Avg_KWh_Rate</f>
        <v>0</v>
      </c>
      <c r="AP196" s="70">
        <f>ReviewCalcs[[#This Row],[Fixture Energy Savings]]*Avg_KWh_Rate</f>
        <v>0</v>
      </c>
      <c r="AQ196" s="129" t="e">
        <f>ReviewCalcs[[#This Row],[Existing Fixture Quantity]]*ReviewCalcs[[#This Row],[Existing Fixture Watts]]/1000*ReviewCalcs[[#This Row],[Existing CF]]*ReviewCalcs[[#This Row],[IEFD]]</f>
        <v>#VALUE!</v>
      </c>
      <c r="AR196" s="129" t="e">
        <f>ReviewCalcs[[#This Row],[Proposed Fixture Quantity]]*ReviewCalcs[[#This Row],[Proposed Fixture Watts]]/1000*ReviewCalcs[[#This Row],[Proposed CF]]*ReviewCalcs[[#This Row],[IEFD]]</f>
        <v>#VALUE!</v>
      </c>
      <c r="AS196" s="118">
        <f>IF(ReviewCalcs[[#This Row],[Existing CF]]=ReviewCalcs[[#This Row],[Proposed CF]], 0, ReviewCalcs[[#This Row],[Proposed Fixture Quantity]]*ReviewCalcs[[#This Row],[Proposed Fixture Watts]]/1000*ReviewCalcs[[#This Row],[Proposed CF]]*ReviewCalcs[[#This Row],[IEFD]])</f>
        <v>0</v>
      </c>
      <c r="AT196" s="118">
        <f>IFERROR(ReviewCalcs[[#This Row],[Existing Fixture Quantity]]*ReviewCalcs[[#This Row],[Existing Fixture Watts]]/1000*ReviewCalcs[[#This Row],[Existing PAF]]*ReviewCalcs[[#This Row],[AOH]]*ReviewCalcs[[#This Row],[IEFE]], 0)</f>
        <v>0</v>
      </c>
      <c r="AU196" s="118">
        <f>IFERROR(ReviewCalcs[[#This Row],[Proposed Fixture Quantity]]*ReviewCalcs[[#This Row],[Proposed Fixture Watts]]/1000*ReviewCalcs[[#This Row],[Proposed PAF]]*ReviewCalcs[[#This Row],[AOH]]*ReviewCalcs[[#This Row],[IEFE]], 0)</f>
        <v>0</v>
      </c>
      <c r="AV196" s="118">
        <f>IFERROR(ReviewCalcs[[#This Row],[Proposed Fixture Quantity]]*ReviewCalcs[[#This Row],[Proposed Fixture Watts]]/1000*(ReviewCalcs[[#This Row],[Existing PAF]]-ReviewCalcs[[#This Row],[Proposed PAF]])*ReviewCalcs[[#This Row],[AOH]]*ReviewCalcs[[#This Row],[IEFE]], 0)</f>
        <v>0</v>
      </c>
      <c r="AW196" s="118">
        <f>ReviewCalcs[[#This Row],[Control Existing Energy (kWh)]]*kWh_Incentive_Rate</f>
        <v>0</v>
      </c>
      <c r="AX196" s="118">
        <f>ReviewCalcs[[#This Row],[Control Proposed Energy (kWh)]]*kWh_Incentive_Rate</f>
        <v>0</v>
      </c>
      <c r="AY196" s="70">
        <f>ReviewCalcs[[#This Row],[Control Energy Savings (kWh)]]*kWh_Incentive_Rate</f>
        <v>0</v>
      </c>
      <c r="AZ196" s="70" t="e">
        <f>ReviewCalcs[[#This Row],[Fixture Existing Demand (kW)]]+ReviewCalcs[[#This Row],[Control Existing Demand (kW)]]</f>
        <v>#VALUE!</v>
      </c>
      <c r="BA196" s="70" t="e">
        <f>ReviewCalcs[[#This Row],[Fixture Proposed Demand (kW)]]+ReviewCalcs[[#This Row],[Control Proposed Demand (kW)]]</f>
        <v>#VALUE!</v>
      </c>
      <c r="BB196" s="118">
        <f>ReviewCalcs[[#This Row],[Fixture Demand Savings (kW)]]+ReviewCalcs[[#This Row],[Control Demand Savings (kW)]]</f>
        <v>0</v>
      </c>
      <c r="BC196" s="118">
        <f>ReviewCalcs[[#This Row],[Fixture Existing Energy (kWh)]]+ReviewCalcs[[#This Row],[Control Existing Energy (kWh)]]</f>
        <v>0</v>
      </c>
      <c r="BD196" s="118">
        <f>ReviewCalcs[[#This Row],[Fixture Proposed Energy (kWh)]]+ReviewCalcs[[#This Row],[Control Proposed Energy (kWh)]]</f>
        <v>0</v>
      </c>
      <c r="BE196" s="118">
        <f>ReviewCalcs[[#This Row],[Fixture Energy Savings]]+ReviewCalcs[[#This Row],[Control Energy Savings (kWh)]]</f>
        <v>0</v>
      </c>
      <c r="BF196" s="118">
        <f>ReviewCalcs[[#This Row],[Fixture Existing Cost ($)]]+ReviewCalcs[[#This Row],[Control Existing Cost ($)]]</f>
        <v>0</v>
      </c>
      <c r="BG196" s="118">
        <f>ReviewCalcs[[#This Row],[Fixture Proposed Cost ($)]]+ReviewCalcs[[#This Row],[Controls Proposed Cost ($)]]</f>
        <v>0</v>
      </c>
      <c r="BH196" s="70">
        <f>ReviewCalcs[[#This Row],[Total Energy Savings (kWh)]]*Avg_KWh_Rate</f>
        <v>0</v>
      </c>
      <c r="BI1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6" s="70">
        <f>ReviewCalcs[[#This Row],[Retrofit Cost]]</f>
        <v>0</v>
      </c>
      <c r="BK196" s="70">
        <f>ReviewCalcs[[#This Row],[Retrofit Cost]]-ReviewCalcs[[#This Row],[Incentive ($)]]</f>
        <v>0</v>
      </c>
      <c r="BL196" s="118" t="e">
        <f>IFERROR(ReviewCalcs[[#This Row],[Net Project Cost ($)]]/ReviewCalcs[[#This Row],[Fixture Energy Cost Savings ($)]], #N/A)</f>
        <v>#N/A</v>
      </c>
      <c r="BM196" s="118" t="e">
        <f>IF(VLOOKUP(ReviewCalcs[[#This Row],[Existing Fixture Code]], Table7[[FIXTURE CODE]:[Baseline Fixture Code]], 8, FALSE)="N", VLOOKUP(ReviewCalcs[[#This Row],[Existing Fixture Code]], Table7[[FIXTURE CODE]:[Baseline Fixture Code]], 9, FALSE), ReviewCalcs[[#This Row],[Existing Fixture Code]])</f>
        <v>#N/A</v>
      </c>
      <c r="BN196" s="118" t="e">
        <f>INDEX(Table7[WATT/ FIXT], MATCH(ReviewCalcs[Baseline Fixture Code], Table7[FIXTURE CODE], 0))</f>
        <v>#N/A</v>
      </c>
      <c r="BO196" s="118">
        <f>IFERROR((ReviewCalcs[[#This Row],[Existing Fixture Quantity]]*ReviewCalcs[[#This Row],[Baseline Fixture Watts]]/1000-ReviewCalcs[[#This Row],[Proposed Fixture Quantity]]*ReviewCalcs[[#This Row],[Proposed Fixture Watts]]/1000)*ReviewCalcs[[#This Row],[Existing CF]]*ReviewCalcs[[#This Row],[IEFD]], 0)</f>
        <v>0</v>
      </c>
      <c r="BP1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6" s="118">
        <f>IF(ReviewCalcs[[#This Row],[Existing CF]]=ReviewCalcs[[#This Row],[Proposed CF]], 0, ReviewCalcs[[#This Row],[Proposed Fixture Quantity]]*ReviewCalcs[[#This Row],[Proposed Fixture Watts]]/1000*ReviewCalcs[[#This Row],[Proposed CF]]*ReviewCalcs[[#This Row],[IEFD]])</f>
        <v>0</v>
      </c>
      <c r="BR196" s="118">
        <f>IFERROR(ReviewCalcs[[#This Row],[Proposed Fixture Quantity]]*ReviewCalcs[[#This Row],[Proposed Fixture Watts]]/1000*(ReviewCalcs[[#This Row],[Existing PAF]]-ReviewCalcs[[#This Row],[Proposed PAF]])*ReviewCalcs[[#This Row],[AOH]]*ReviewCalcs[[#This Row],[IEFE]],0)</f>
        <v>0</v>
      </c>
      <c r="BS196" s="118">
        <f>ReviewCalcs[[#This Row],[Incentive Fixture Demand Savings (kW)]]+ReviewCalcs[[#This Row],[Incentive Control Demand Savings (kW)]]</f>
        <v>0</v>
      </c>
      <c r="BT196" s="118">
        <f>ReviewCalcs[[#This Row],[Incentive Fixture Energy Savings (kWh)]]+ReviewCalcs[[#This Row],[Incentive Control Energy Savings (kWh)]]</f>
        <v>0</v>
      </c>
      <c r="BU196" s="73"/>
    </row>
    <row r="197" spans="1:73" ht="30" customHeight="1">
      <c r="A197" s="68">
        <v>194</v>
      </c>
      <c r="B197" s="96">
        <f>VLOOKUP(ReviewCalcs[[#This Row],[Project Index]], ProjectInput[], D$1, FALSE)</f>
        <v>0</v>
      </c>
      <c r="C197" s="97">
        <f>VLOOKUP(ReviewCalcs[[#This Row],[Project Index]], ProjectInput[], E$1, FALSE)</f>
        <v>0</v>
      </c>
      <c r="D197" s="97">
        <f>VLOOKUP(ReviewCalcs[[#This Row],[Project Index]], ProjectInput[], F$1, FALSE)</f>
        <v>0</v>
      </c>
      <c r="E197" s="97">
        <f>VLOOKUP(ReviewCalcs[[#This Row],[Project Index]], ProjectInput[], G$1, FALSE)</f>
        <v>0</v>
      </c>
      <c r="F197" s="97">
        <f>VLOOKUP(ReviewCalcs[[#This Row],[Project Index]], ProjectInput[], H$1, FALSE)</f>
        <v>0</v>
      </c>
      <c r="G197" s="98" t="str">
        <f>VLOOKUP(ReviewCalcs[[#This Row],[Project Index]], ProjectInput[], I$1, FALSE)</f>
        <v/>
      </c>
      <c r="H197" s="96">
        <f>VLOOKUP(ReviewCalcs[[#This Row],[Project Index]], ProjectInput[], J$1, FALSE)</f>
        <v>0</v>
      </c>
      <c r="I197" s="97">
        <f>VLOOKUP(ReviewCalcs[[#This Row],[Project Index]], ProjectInput[], K$1, FALSE)</f>
        <v>0</v>
      </c>
      <c r="J197" s="97">
        <f>VLOOKUP(ReviewCalcs[[#This Row],[Project Index]], ProjectInput[], L$1, FALSE)</f>
        <v>0</v>
      </c>
      <c r="K197" s="97">
        <f>VLOOKUP(ReviewCalcs[[#This Row],[Project Index]], ProjectInput[], M$1, FALSE)</f>
        <v>0</v>
      </c>
      <c r="L197" s="97">
        <f>VLOOKUP(ReviewCalcs[[#This Row],[Project Index]], ProjectInput[], N$1, FALSE)</f>
        <v>0</v>
      </c>
      <c r="M197" s="98" t="str">
        <f>VLOOKUP(ReviewCalcs[[#This Row],[Project Index]], ProjectInput[], O$1, FALSE)</f>
        <v/>
      </c>
      <c r="N197" s="96">
        <f>VLOOKUP(ReviewCalcs[[#This Row],[Project Index]], ProjectInput[], P$1, FALSE)</f>
        <v>0</v>
      </c>
      <c r="O197" s="97">
        <f>VLOOKUP(ReviewCalcs[[#This Row],[Project Index]], ProjectInput[], Q$1, FALSE)</f>
        <v>0</v>
      </c>
      <c r="P197" s="97">
        <f>VLOOKUP(ReviewCalcs[[#This Row],[Project Index]], ProjectInput[], R$1, FALSE)</f>
        <v>0</v>
      </c>
      <c r="Q197" s="97">
        <f>VLOOKUP(ReviewCalcs[[#This Row],[Project Index]], ProjectInput[], S$1, FALSE)</f>
        <v>0</v>
      </c>
      <c r="R197" s="97">
        <f>VLOOKUP(ReviewCalcs[[#This Row],[Project Index]], ProjectInput[], T$1, FALSE)</f>
        <v>0</v>
      </c>
      <c r="S197" s="97">
        <f>VLOOKUP(ReviewCalcs[[#This Row],[Project Index]], ProjectInput[], U$1, FALSE)</f>
        <v>0</v>
      </c>
      <c r="T197" s="97">
        <f>VLOOKUP(ReviewCalcs[[#This Row],[Project Index]], ProjectInput[], V$1, FALSE)</f>
        <v>0</v>
      </c>
      <c r="U197" s="97">
        <f>VLOOKUP(ReviewCalcs[[#This Row],[Project Index]], ProjectInput[], W$1, FALSE)</f>
        <v>0</v>
      </c>
      <c r="V197" s="98" t="str">
        <f>VLOOKUP(ReviewCalcs[[#This Row],[Project Index]], ProjectInput[], X$1, FALSE)</f>
        <v/>
      </c>
      <c r="W1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7" s="75" t="e">
        <f>IF(VLOOKUP(ReviewCalcs[[#This Row],[Proposed Fixture Code]], Table7[[FIXTURE CODE]:[Baseline Fixture Code]], 8, FALSE)="N", "ERROR", "PASS")</f>
        <v>#N/A</v>
      </c>
      <c r="Y1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7" s="75" t="e">
        <f>IF(OR(ReviewCalcs[[#This Row],[Baseline Fixture Watts]]&gt;=ReviewCalcs[[#This Row],[Proposed Fixture Watts]],ReviewCalcs[[#This Row],[Existing Fixture Watts]]&gt;=ReviewCalcs[[#This Row],[Proposed Fixture Watts]] ), "PASS", "ERROR")</f>
        <v>#N/A</v>
      </c>
      <c r="AA197" s="69" t="e">
        <f>VLOOKUP(ReviewCalcs[[#This Row],[Space Conditions]], Table_365[], 5, FALSE)</f>
        <v>#N/A</v>
      </c>
      <c r="AB197" s="68" t="str">
        <f>ReviewCalcs[[#This Row],[Annual Hours]]</f>
        <v/>
      </c>
      <c r="AC197" s="68" t="e">
        <f>VLOOKUP(ReviewCalcs[[#This Row],[Space Conditions]], Table_365[], 6, FALSE)</f>
        <v>#N/A</v>
      </c>
      <c r="AD197" s="68">
        <f>IF(ReviewCalcs[[#This Row],[Existing Control(s)]]='Tables &amp; Ranges'!$A$25, VLOOKUP(ReviewCalcs[[#This Row],[Building/Space Type]], Table_364[], 3, FALSE), CF_Contols)</f>
        <v>0.26</v>
      </c>
      <c r="AE197" s="68" t="e">
        <f>VLOOKUP(ReviewCalcs[[#This Row],[Existing Control(s)]], Table_358[], 2, FALSE)</f>
        <v>#N/A</v>
      </c>
      <c r="AF197" s="68">
        <f>IF(ReviewCalcs[[#This Row],[Proposed Control(s)]]='Tables &amp; Ranges'!$A$25, VLOOKUP(ReviewCalcs[[#This Row],[Building/Space Type]], Table_364[], 3, FALSE), CF_Contols)</f>
        <v>0.26</v>
      </c>
      <c r="AG197" s="68" t="e">
        <f>VLOOKUP(ReviewCalcs[[#This Row],[Proposed Control(s)]], Table_358[], 2, FALSE)</f>
        <v>#N/A</v>
      </c>
      <c r="AH197" s="68">
        <f>IFERROR((ReviewCalcs[[#This Row],[Existing Fixture Quantity]]*ReviewCalcs[[#This Row],[Existing Fixture Watts]]/1000)*ReviewCalcs[[#This Row],[Existing CF]]*ReviewCalcs[[#This Row],[IEFD]], 0)</f>
        <v>0</v>
      </c>
      <c r="AI197" s="68">
        <f>IFERROR((ReviewCalcs[[#This Row],[Proposed Fixture Quantity]]*ReviewCalcs[[#This Row],[Proposed Fixture Watts]]/1000)*ReviewCalcs[[#This Row],[Existing CF]]*ReviewCalcs[[#This Row],[IEFD]], 0)</f>
        <v>0</v>
      </c>
      <c r="AJ197" s="118">
        <f>IFERROR((ReviewCalcs[[#This Row],[Existing Fixture Quantity]]*ReviewCalcs[[#This Row],[Existing Fixture Watts]]/1000-ReviewCalcs[[#This Row],[Proposed Fixture Quantity]]*ReviewCalcs[[#This Row],[Proposed Fixture Watts]]/1000)*ReviewCalcs[[#This Row],[Existing CF]]*ReviewCalcs[[#This Row],[IEFD]], 0)</f>
        <v>0</v>
      </c>
      <c r="AK197" s="118">
        <f>IFERROR((ReviewCalcs[[#This Row],[Existing Fixture Quantity]]*ReviewCalcs[[#This Row],[Existing Fixture Watts]]/1000)*ReviewCalcs[[#This Row],[AOH]]*ReviewCalcs[[#This Row],[IEFE]]*ReviewCalcs[[#This Row],[Existing PAF]], 0)</f>
        <v>0</v>
      </c>
      <c r="AL197" s="118">
        <f>IFERROR((ReviewCalcs[[#This Row],[Proposed Fixture Quantity]]*ReviewCalcs[[#This Row],[Proposed Fixture Watts]]/1000)*ReviewCalcs[[#This Row],[AOH]]*ReviewCalcs[[#This Row],[IEFE]]*ReviewCalcs[[#This Row],[Existing PAF]], 0)</f>
        <v>0</v>
      </c>
      <c r="AM1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7" s="118">
        <f>ReviewCalcs[[#This Row],[Fixture Existing Energy (kWh)]]*Avg_KWh_Rate</f>
        <v>0</v>
      </c>
      <c r="AO197" s="118">
        <f>ReviewCalcs[[#This Row],[Fixture Proposed Energy (kWh)]]*Avg_KWh_Rate</f>
        <v>0</v>
      </c>
      <c r="AP197" s="70">
        <f>ReviewCalcs[[#This Row],[Fixture Energy Savings]]*Avg_KWh_Rate</f>
        <v>0</v>
      </c>
      <c r="AQ197" s="129" t="e">
        <f>ReviewCalcs[[#This Row],[Existing Fixture Quantity]]*ReviewCalcs[[#This Row],[Existing Fixture Watts]]/1000*ReviewCalcs[[#This Row],[Existing CF]]*ReviewCalcs[[#This Row],[IEFD]]</f>
        <v>#VALUE!</v>
      </c>
      <c r="AR197" s="129" t="e">
        <f>ReviewCalcs[[#This Row],[Proposed Fixture Quantity]]*ReviewCalcs[[#This Row],[Proposed Fixture Watts]]/1000*ReviewCalcs[[#This Row],[Proposed CF]]*ReviewCalcs[[#This Row],[IEFD]]</f>
        <v>#VALUE!</v>
      </c>
      <c r="AS197" s="118">
        <f>IF(ReviewCalcs[[#This Row],[Existing CF]]=ReviewCalcs[[#This Row],[Proposed CF]], 0, ReviewCalcs[[#This Row],[Proposed Fixture Quantity]]*ReviewCalcs[[#This Row],[Proposed Fixture Watts]]/1000*ReviewCalcs[[#This Row],[Proposed CF]]*ReviewCalcs[[#This Row],[IEFD]])</f>
        <v>0</v>
      </c>
      <c r="AT197" s="118">
        <f>IFERROR(ReviewCalcs[[#This Row],[Existing Fixture Quantity]]*ReviewCalcs[[#This Row],[Existing Fixture Watts]]/1000*ReviewCalcs[[#This Row],[Existing PAF]]*ReviewCalcs[[#This Row],[AOH]]*ReviewCalcs[[#This Row],[IEFE]], 0)</f>
        <v>0</v>
      </c>
      <c r="AU197" s="118">
        <f>IFERROR(ReviewCalcs[[#This Row],[Proposed Fixture Quantity]]*ReviewCalcs[[#This Row],[Proposed Fixture Watts]]/1000*ReviewCalcs[[#This Row],[Proposed PAF]]*ReviewCalcs[[#This Row],[AOH]]*ReviewCalcs[[#This Row],[IEFE]], 0)</f>
        <v>0</v>
      </c>
      <c r="AV197" s="118">
        <f>IFERROR(ReviewCalcs[[#This Row],[Proposed Fixture Quantity]]*ReviewCalcs[[#This Row],[Proposed Fixture Watts]]/1000*(ReviewCalcs[[#This Row],[Existing PAF]]-ReviewCalcs[[#This Row],[Proposed PAF]])*ReviewCalcs[[#This Row],[AOH]]*ReviewCalcs[[#This Row],[IEFE]], 0)</f>
        <v>0</v>
      </c>
      <c r="AW197" s="118">
        <f>ReviewCalcs[[#This Row],[Control Existing Energy (kWh)]]*kWh_Incentive_Rate</f>
        <v>0</v>
      </c>
      <c r="AX197" s="118">
        <f>ReviewCalcs[[#This Row],[Control Proposed Energy (kWh)]]*kWh_Incentive_Rate</f>
        <v>0</v>
      </c>
      <c r="AY197" s="70">
        <f>ReviewCalcs[[#This Row],[Control Energy Savings (kWh)]]*kWh_Incentive_Rate</f>
        <v>0</v>
      </c>
      <c r="AZ197" s="70" t="e">
        <f>ReviewCalcs[[#This Row],[Fixture Existing Demand (kW)]]+ReviewCalcs[[#This Row],[Control Existing Demand (kW)]]</f>
        <v>#VALUE!</v>
      </c>
      <c r="BA197" s="70" t="e">
        <f>ReviewCalcs[[#This Row],[Fixture Proposed Demand (kW)]]+ReviewCalcs[[#This Row],[Control Proposed Demand (kW)]]</f>
        <v>#VALUE!</v>
      </c>
      <c r="BB197" s="118">
        <f>ReviewCalcs[[#This Row],[Fixture Demand Savings (kW)]]+ReviewCalcs[[#This Row],[Control Demand Savings (kW)]]</f>
        <v>0</v>
      </c>
      <c r="BC197" s="118">
        <f>ReviewCalcs[[#This Row],[Fixture Existing Energy (kWh)]]+ReviewCalcs[[#This Row],[Control Existing Energy (kWh)]]</f>
        <v>0</v>
      </c>
      <c r="BD197" s="118">
        <f>ReviewCalcs[[#This Row],[Fixture Proposed Energy (kWh)]]+ReviewCalcs[[#This Row],[Control Proposed Energy (kWh)]]</f>
        <v>0</v>
      </c>
      <c r="BE197" s="118">
        <f>ReviewCalcs[[#This Row],[Fixture Energy Savings]]+ReviewCalcs[[#This Row],[Control Energy Savings (kWh)]]</f>
        <v>0</v>
      </c>
      <c r="BF197" s="118">
        <f>ReviewCalcs[[#This Row],[Fixture Existing Cost ($)]]+ReviewCalcs[[#This Row],[Control Existing Cost ($)]]</f>
        <v>0</v>
      </c>
      <c r="BG197" s="118">
        <f>ReviewCalcs[[#This Row],[Fixture Proposed Cost ($)]]+ReviewCalcs[[#This Row],[Controls Proposed Cost ($)]]</f>
        <v>0</v>
      </c>
      <c r="BH197" s="70">
        <f>ReviewCalcs[[#This Row],[Total Energy Savings (kWh)]]*Avg_KWh_Rate</f>
        <v>0</v>
      </c>
      <c r="BI1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7" s="70">
        <f>ReviewCalcs[[#This Row],[Retrofit Cost]]</f>
        <v>0</v>
      </c>
      <c r="BK197" s="70">
        <f>ReviewCalcs[[#This Row],[Retrofit Cost]]-ReviewCalcs[[#This Row],[Incentive ($)]]</f>
        <v>0</v>
      </c>
      <c r="BL197" s="118" t="e">
        <f>IFERROR(ReviewCalcs[[#This Row],[Net Project Cost ($)]]/ReviewCalcs[[#This Row],[Fixture Energy Cost Savings ($)]], #N/A)</f>
        <v>#N/A</v>
      </c>
      <c r="BM197" s="118" t="e">
        <f>IF(VLOOKUP(ReviewCalcs[[#This Row],[Existing Fixture Code]], Table7[[FIXTURE CODE]:[Baseline Fixture Code]], 8, FALSE)="N", VLOOKUP(ReviewCalcs[[#This Row],[Existing Fixture Code]], Table7[[FIXTURE CODE]:[Baseline Fixture Code]], 9, FALSE), ReviewCalcs[[#This Row],[Existing Fixture Code]])</f>
        <v>#N/A</v>
      </c>
      <c r="BN197" s="118" t="e">
        <f>INDEX(Table7[WATT/ FIXT], MATCH(ReviewCalcs[Baseline Fixture Code], Table7[FIXTURE CODE], 0))</f>
        <v>#N/A</v>
      </c>
      <c r="BO197" s="118">
        <f>IFERROR((ReviewCalcs[[#This Row],[Existing Fixture Quantity]]*ReviewCalcs[[#This Row],[Baseline Fixture Watts]]/1000-ReviewCalcs[[#This Row],[Proposed Fixture Quantity]]*ReviewCalcs[[#This Row],[Proposed Fixture Watts]]/1000)*ReviewCalcs[[#This Row],[Existing CF]]*ReviewCalcs[[#This Row],[IEFD]], 0)</f>
        <v>0</v>
      </c>
      <c r="BP1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7" s="118">
        <f>IF(ReviewCalcs[[#This Row],[Existing CF]]=ReviewCalcs[[#This Row],[Proposed CF]], 0, ReviewCalcs[[#This Row],[Proposed Fixture Quantity]]*ReviewCalcs[[#This Row],[Proposed Fixture Watts]]/1000*ReviewCalcs[[#This Row],[Proposed CF]]*ReviewCalcs[[#This Row],[IEFD]])</f>
        <v>0</v>
      </c>
      <c r="BR197" s="118">
        <f>IFERROR(ReviewCalcs[[#This Row],[Proposed Fixture Quantity]]*ReviewCalcs[[#This Row],[Proposed Fixture Watts]]/1000*(ReviewCalcs[[#This Row],[Existing PAF]]-ReviewCalcs[[#This Row],[Proposed PAF]])*ReviewCalcs[[#This Row],[AOH]]*ReviewCalcs[[#This Row],[IEFE]],0)</f>
        <v>0</v>
      </c>
      <c r="BS197" s="118">
        <f>ReviewCalcs[[#This Row],[Incentive Fixture Demand Savings (kW)]]+ReviewCalcs[[#This Row],[Incentive Control Demand Savings (kW)]]</f>
        <v>0</v>
      </c>
      <c r="BT197" s="118">
        <f>ReviewCalcs[[#This Row],[Incentive Fixture Energy Savings (kWh)]]+ReviewCalcs[[#This Row],[Incentive Control Energy Savings (kWh)]]</f>
        <v>0</v>
      </c>
      <c r="BU197" s="73"/>
    </row>
    <row r="198" spans="1:73" ht="30" customHeight="1">
      <c r="A198" s="68">
        <v>195</v>
      </c>
      <c r="B198" s="96">
        <f>VLOOKUP(ReviewCalcs[[#This Row],[Project Index]], ProjectInput[], D$1, FALSE)</f>
        <v>0</v>
      </c>
      <c r="C198" s="97">
        <f>VLOOKUP(ReviewCalcs[[#This Row],[Project Index]], ProjectInput[], E$1, FALSE)</f>
        <v>0</v>
      </c>
      <c r="D198" s="97">
        <f>VLOOKUP(ReviewCalcs[[#This Row],[Project Index]], ProjectInput[], F$1, FALSE)</f>
        <v>0</v>
      </c>
      <c r="E198" s="97">
        <f>VLOOKUP(ReviewCalcs[[#This Row],[Project Index]], ProjectInput[], G$1, FALSE)</f>
        <v>0</v>
      </c>
      <c r="F198" s="97">
        <f>VLOOKUP(ReviewCalcs[[#This Row],[Project Index]], ProjectInput[], H$1, FALSE)</f>
        <v>0</v>
      </c>
      <c r="G198" s="98" t="str">
        <f>VLOOKUP(ReviewCalcs[[#This Row],[Project Index]], ProjectInput[], I$1, FALSE)</f>
        <v/>
      </c>
      <c r="H198" s="96">
        <f>VLOOKUP(ReviewCalcs[[#This Row],[Project Index]], ProjectInput[], J$1, FALSE)</f>
        <v>0</v>
      </c>
      <c r="I198" s="97">
        <f>VLOOKUP(ReviewCalcs[[#This Row],[Project Index]], ProjectInput[], K$1, FALSE)</f>
        <v>0</v>
      </c>
      <c r="J198" s="97">
        <f>VLOOKUP(ReviewCalcs[[#This Row],[Project Index]], ProjectInput[], L$1, FALSE)</f>
        <v>0</v>
      </c>
      <c r="K198" s="97">
        <f>VLOOKUP(ReviewCalcs[[#This Row],[Project Index]], ProjectInput[], M$1, FALSE)</f>
        <v>0</v>
      </c>
      <c r="L198" s="97">
        <f>VLOOKUP(ReviewCalcs[[#This Row],[Project Index]], ProjectInput[], N$1, FALSE)</f>
        <v>0</v>
      </c>
      <c r="M198" s="98" t="str">
        <f>VLOOKUP(ReviewCalcs[[#This Row],[Project Index]], ProjectInput[], O$1, FALSE)</f>
        <v/>
      </c>
      <c r="N198" s="96">
        <f>VLOOKUP(ReviewCalcs[[#This Row],[Project Index]], ProjectInput[], P$1, FALSE)</f>
        <v>0</v>
      </c>
      <c r="O198" s="97">
        <f>VLOOKUP(ReviewCalcs[[#This Row],[Project Index]], ProjectInput[], Q$1, FALSE)</f>
        <v>0</v>
      </c>
      <c r="P198" s="97">
        <f>VLOOKUP(ReviewCalcs[[#This Row],[Project Index]], ProjectInput[], R$1, FALSE)</f>
        <v>0</v>
      </c>
      <c r="Q198" s="97">
        <f>VLOOKUP(ReviewCalcs[[#This Row],[Project Index]], ProjectInput[], S$1, FALSE)</f>
        <v>0</v>
      </c>
      <c r="R198" s="97">
        <f>VLOOKUP(ReviewCalcs[[#This Row],[Project Index]], ProjectInput[], T$1, FALSE)</f>
        <v>0</v>
      </c>
      <c r="S198" s="97">
        <f>VLOOKUP(ReviewCalcs[[#This Row],[Project Index]], ProjectInput[], U$1, FALSE)</f>
        <v>0</v>
      </c>
      <c r="T198" s="97">
        <f>VLOOKUP(ReviewCalcs[[#This Row],[Project Index]], ProjectInput[], V$1, FALSE)</f>
        <v>0</v>
      </c>
      <c r="U198" s="97">
        <f>VLOOKUP(ReviewCalcs[[#This Row],[Project Index]], ProjectInput[], W$1, FALSE)</f>
        <v>0</v>
      </c>
      <c r="V198" s="98" t="str">
        <f>VLOOKUP(ReviewCalcs[[#This Row],[Project Index]], ProjectInput[], X$1, FALSE)</f>
        <v/>
      </c>
      <c r="W1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8" s="75" t="e">
        <f>IF(VLOOKUP(ReviewCalcs[[#This Row],[Proposed Fixture Code]], Table7[[FIXTURE CODE]:[Baseline Fixture Code]], 8, FALSE)="N", "ERROR", "PASS")</f>
        <v>#N/A</v>
      </c>
      <c r="Y1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8" s="75" t="e">
        <f>IF(OR(ReviewCalcs[[#This Row],[Baseline Fixture Watts]]&gt;=ReviewCalcs[[#This Row],[Proposed Fixture Watts]],ReviewCalcs[[#This Row],[Existing Fixture Watts]]&gt;=ReviewCalcs[[#This Row],[Proposed Fixture Watts]] ), "PASS", "ERROR")</f>
        <v>#N/A</v>
      </c>
      <c r="AA198" s="69" t="e">
        <f>VLOOKUP(ReviewCalcs[[#This Row],[Space Conditions]], Table_365[], 5, FALSE)</f>
        <v>#N/A</v>
      </c>
      <c r="AB198" s="68" t="str">
        <f>ReviewCalcs[[#This Row],[Annual Hours]]</f>
        <v/>
      </c>
      <c r="AC198" s="68" t="e">
        <f>VLOOKUP(ReviewCalcs[[#This Row],[Space Conditions]], Table_365[], 6, FALSE)</f>
        <v>#N/A</v>
      </c>
      <c r="AD198" s="68">
        <f>IF(ReviewCalcs[[#This Row],[Existing Control(s)]]='Tables &amp; Ranges'!$A$25, VLOOKUP(ReviewCalcs[[#This Row],[Building/Space Type]], Table_364[], 3, FALSE), CF_Contols)</f>
        <v>0.26</v>
      </c>
      <c r="AE198" s="68" t="e">
        <f>VLOOKUP(ReviewCalcs[[#This Row],[Existing Control(s)]], Table_358[], 2, FALSE)</f>
        <v>#N/A</v>
      </c>
      <c r="AF198" s="68">
        <f>IF(ReviewCalcs[[#This Row],[Proposed Control(s)]]='Tables &amp; Ranges'!$A$25, VLOOKUP(ReviewCalcs[[#This Row],[Building/Space Type]], Table_364[], 3, FALSE), CF_Contols)</f>
        <v>0.26</v>
      </c>
      <c r="AG198" s="68" t="e">
        <f>VLOOKUP(ReviewCalcs[[#This Row],[Proposed Control(s)]], Table_358[], 2, FALSE)</f>
        <v>#N/A</v>
      </c>
      <c r="AH198" s="68">
        <f>IFERROR((ReviewCalcs[[#This Row],[Existing Fixture Quantity]]*ReviewCalcs[[#This Row],[Existing Fixture Watts]]/1000)*ReviewCalcs[[#This Row],[Existing CF]]*ReviewCalcs[[#This Row],[IEFD]], 0)</f>
        <v>0</v>
      </c>
      <c r="AI198" s="68">
        <f>IFERROR((ReviewCalcs[[#This Row],[Proposed Fixture Quantity]]*ReviewCalcs[[#This Row],[Proposed Fixture Watts]]/1000)*ReviewCalcs[[#This Row],[Existing CF]]*ReviewCalcs[[#This Row],[IEFD]], 0)</f>
        <v>0</v>
      </c>
      <c r="AJ198" s="118">
        <f>IFERROR((ReviewCalcs[[#This Row],[Existing Fixture Quantity]]*ReviewCalcs[[#This Row],[Existing Fixture Watts]]/1000-ReviewCalcs[[#This Row],[Proposed Fixture Quantity]]*ReviewCalcs[[#This Row],[Proposed Fixture Watts]]/1000)*ReviewCalcs[[#This Row],[Existing CF]]*ReviewCalcs[[#This Row],[IEFD]], 0)</f>
        <v>0</v>
      </c>
      <c r="AK198" s="118">
        <f>IFERROR((ReviewCalcs[[#This Row],[Existing Fixture Quantity]]*ReviewCalcs[[#This Row],[Existing Fixture Watts]]/1000)*ReviewCalcs[[#This Row],[AOH]]*ReviewCalcs[[#This Row],[IEFE]]*ReviewCalcs[[#This Row],[Existing PAF]], 0)</f>
        <v>0</v>
      </c>
      <c r="AL198" s="118">
        <f>IFERROR((ReviewCalcs[[#This Row],[Proposed Fixture Quantity]]*ReviewCalcs[[#This Row],[Proposed Fixture Watts]]/1000)*ReviewCalcs[[#This Row],[AOH]]*ReviewCalcs[[#This Row],[IEFE]]*ReviewCalcs[[#This Row],[Existing PAF]], 0)</f>
        <v>0</v>
      </c>
      <c r="AM1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8" s="118">
        <f>ReviewCalcs[[#This Row],[Fixture Existing Energy (kWh)]]*Avg_KWh_Rate</f>
        <v>0</v>
      </c>
      <c r="AO198" s="118">
        <f>ReviewCalcs[[#This Row],[Fixture Proposed Energy (kWh)]]*Avg_KWh_Rate</f>
        <v>0</v>
      </c>
      <c r="AP198" s="70">
        <f>ReviewCalcs[[#This Row],[Fixture Energy Savings]]*Avg_KWh_Rate</f>
        <v>0</v>
      </c>
      <c r="AQ198" s="129" t="e">
        <f>ReviewCalcs[[#This Row],[Existing Fixture Quantity]]*ReviewCalcs[[#This Row],[Existing Fixture Watts]]/1000*ReviewCalcs[[#This Row],[Existing CF]]*ReviewCalcs[[#This Row],[IEFD]]</f>
        <v>#VALUE!</v>
      </c>
      <c r="AR198" s="129" t="e">
        <f>ReviewCalcs[[#This Row],[Proposed Fixture Quantity]]*ReviewCalcs[[#This Row],[Proposed Fixture Watts]]/1000*ReviewCalcs[[#This Row],[Proposed CF]]*ReviewCalcs[[#This Row],[IEFD]]</f>
        <v>#VALUE!</v>
      </c>
      <c r="AS198" s="118">
        <f>IF(ReviewCalcs[[#This Row],[Existing CF]]=ReviewCalcs[[#This Row],[Proposed CF]], 0, ReviewCalcs[[#This Row],[Proposed Fixture Quantity]]*ReviewCalcs[[#This Row],[Proposed Fixture Watts]]/1000*ReviewCalcs[[#This Row],[Proposed CF]]*ReviewCalcs[[#This Row],[IEFD]])</f>
        <v>0</v>
      </c>
      <c r="AT198" s="118">
        <f>IFERROR(ReviewCalcs[[#This Row],[Existing Fixture Quantity]]*ReviewCalcs[[#This Row],[Existing Fixture Watts]]/1000*ReviewCalcs[[#This Row],[Existing PAF]]*ReviewCalcs[[#This Row],[AOH]]*ReviewCalcs[[#This Row],[IEFE]], 0)</f>
        <v>0</v>
      </c>
      <c r="AU198" s="118">
        <f>IFERROR(ReviewCalcs[[#This Row],[Proposed Fixture Quantity]]*ReviewCalcs[[#This Row],[Proposed Fixture Watts]]/1000*ReviewCalcs[[#This Row],[Proposed PAF]]*ReviewCalcs[[#This Row],[AOH]]*ReviewCalcs[[#This Row],[IEFE]], 0)</f>
        <v>0</v>
      </c>
      <c r="AV198" s="118">
        <f>IFERROR(ReviewCalcs[[#This Row],[Proposed Fixture Quantity]]*ReviewCalcs[[#This Row],[Proposed Fixture Watts]]/1000*(ReviewCalcs[[#This Row],[Existing PAF]]-ReviewCalcs[[#This Row],[Proposed PAF]])*ReviewCalcs[[#This Row],[AOH]]*ReviewCalcs[[#This Row],[IEFE]], 0)</f>
        <v>0</v>
      </c>
      <c r="AW198" s="118">
        <f>ReviewCalcs[[#This Row],[Control Existing Energy (kWh)]]*kWh_Incentive_Rate</f>
        <v>0</v>
      </c>
      <c r="AX198" s="118">
        <f>ReviewCalcs[[#This Row],[Control Proposed Energy (kWh)]]*kWh_Incentive_Rate</f>
        <v>0</v>
      </c>
      <c r="AY198" s="70">
        <f>ReviewCalcs[[#This Row],[Control Energy Savings (kWh)]]*kWh_Incentive_Rate</f>
        <v>0</v>
      </c>
      <c r="AZ198" s="70" t="e">
        <f>ReviewCalcs[[#This Row],[Fixture Existing Demand (kW)]]+ReviewCalcs[[#This Row],[Control Existing Demand (kW)]]</f>
        <v>#VALUE!</v>
      </c>
      <c r="BA198" s="70" t="e">
        <f>ReviewCalcs[[#This Row],[Fixture Proposed Demand (kW)]]+ReviewCalcs[[#This Row],[Control Proposed Demand (kW)]]</f>
        <v>#VALUE!</v>
      </c>
      <c r="BB198" s="118">
        <f>ReviewCalcs[[#This Row],[Fixture Demand Savings (kW)]]+ReviewCalcs[[#This Row],[Control Demand Savings (kW)]]</f>
        <v>0</v>
      </c>
      <c r="BC198" s="118">
        <f>ReviewCalcs[[#This Row],[Fixture Existing Energy (kWh)]]+ReviewCalcs[[#This Row],[Control Existing Energy (kWh)]]</f>
        <v>0</v>
      </c>
      <c r="BD198" s="118">
        <f>ReviewCalcs[[#This Row],[Fixture Proposed Energy (kWh)]]+ReviewCalcs[[#This Row],[Control Proposed Energy (kWh)]]</f>
        <v>0</v>
      </c>
      <c r="BE198" s="118">
        <f>ReviewCalcs[[#This Row],[Fixture Energy Savings]]+ReviewCalcs[[#This Row],[Control Energy Savings (kWh)]]</f>
        <v>0</v>
      </c>
      <c r="BF198" s="118">
        <f>ReviewCalcs[[#This Row],[Fixture Existing Cost ($)]]+ReviewCalcs[[#This Row],[Control Existing Cost ($)]]</f>
        <v>0</v>
      </c>
      <c r="BG198" s="118">
        <f>ReviewCalcs[[#This Row],[Fixture Proposed Cost ($)]]+ReviewCalcs[[#This Row],[Controls Proposed Cost ($)]]</f>
        <v>0</v>
      </c>
      <c r="BH198" s="70">
        <f>ReviewCalcs[[#This Row],[Total Energy Savings (kWh)]]*Avg_KWh_Rate</f>
        <v>0</v>
      </c>
      <c r="BI1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8" s="70">
        <f>ReviewCalcs[[#This Row],[Retrofit Cost]]</f>
        <v>0</v>
      </c>
      <c r="BK198" s="70">
        <f>ReviewCalcs[[#This Row],[Retrofit Cost]]-ReviewCalcs[[#This Row],[Incentive ($)]]</f>
        <v>0</v>
      </c>
      <c r="BL198" s="118" t="e">
        <f>IFERROR(ReviewCalcs[[#This Row],[Net Project Cost ($)]]/ReviewCalcs[[#This Row],[Fixture Energy Cost Savings ($)]], #N/A)</f>
        <v>#N/A</v>
      </c>
      <c r="BM198" s="118" t="e">
        <f>IF(VLOOKUP(ReviewCalcs[[#This Row],[Existing Fixture Code]], Table7[[FIXTURE CODE]:[Baseline Fixture Code]], 8, FALSE)="N", VLOOKUP(ReviewCalcs[[#This Row],[Existing Fixture Code]], Table7[[FIXTURE CODE]:[Baseline Fixture Code]], 9, FALSE), ReviewCalcs[[#This Row],[Existing Fixture Code]])</f>
        <v>#N/A</v>
      </c>
      <c r="BN198" s="118" t="e">
        <f>INDEX(Table7[WATT/ FIXT], MATCH(ReviewCalcs[Baseline Fixture Code], Table7[FIXTURE CODE], 0))</f>
        <v>#N/A</v>
      </c>
      <c r="BO198" s="118">
        <f>IFERROR((ReviewCalcs[[#This Row],[Existing Fixture Quantity]]*ReviewCalcs[[#This Row],[Baseline Fixture Watts]]/1000-ReviewCalcs[[#This Row],[Proposed Fixture Quantity]]*ReviewCalcs[[#This Row],[Proposed Fixture Watts]]/1000)*ReviewCalcs[[#This Row],[Existing CF]]*ReviewCalcs[[#This Row],[IEFD]], 0)</f>
        <v>0</v>
      </c>
      <c r="BP1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8" s="118">
        <f>IF(ReviewCalcs[[#This Row],[Existing CF]]=ReviewCalcs[[#This Row],[Proposed CF]], 0, ReviewCalcs[[#This Row],[Proposed Fixture Quantity]]*ReviewCalcs[[#This Row],[Proposed Fixture Watts]]/1000*ReviewCalcs[[#This Row],[Proposed CF]]*ReviewCalcs[[#This Row],[IEFD]])</f>
        <v>0</v>
      </c>
      <c r="BR198" s="118">
        <f>IFERROR(ReviewCalcs[[#This Row],[Proposed Fixture Quantity]]*ReviewCalcs[[#This Row],[Proposed Fixture Watts]]/1000*(ReviewCalcs[[#This Row],[Existing PAF]]-ReviewCalcs[[#This Row],[Proposed PAF]])*ReviewCalcs[[#This Row],[AOH]]*ReviewCalcs[[#This Row],[IEFE]],0)</f>
        <v>0</v>
      </c>
      <c r="BS198" s="118">
        <f>ReviewCalcs[[#This Row],[Incentive Fixture Demand Savings (kW)]]+ReviewCalcs[[#This Row],[Incentive Control Demand Savings (kW)]]</f>
        <v>0</v>
      </c>
      <c r="BT198" s="118">
        <f>ReviewCalcs[[#This Row],[Incentive Fixture Energy Savings (kWh)]]+ReviewCalcs[[#This Row],[Incentive Control Energy Savings (kWh)]]</f>
        <v>0</v>
      </c>
      <c r="BU198" s="73"/>
    </row>
    <row r="199" spans="1:73" ht="30" customHeight="1">
      <c r="A199" s="68">
        <v>196</v>
      </c>
      <c r="B199" s="96">
        <f>VLOOKUP(ReviewCalcs[[#This Row],[Project Index]], ProjectInput[], D$1, FALSE)</f>
        <v>0</v>
      </c>
      <c r="C199" s="97">
        <f>VLOOKUP(ReviewCalcs[[#This Row],[Project Index]], ProjectInput[], E$1, FALSE)</f>
        <v>0</v>
      </c>
      <c r="D199" s="97">
        <f>VLOOKUP(ReviewCalcs[[#This Row],[Project Index]], ProjectInput[], F$1, FALSE)</f>
        <v>0</v>
      </c>
      <c r="E199" s="97">
        <f>VLOOKUP(ReviewCalcs[[#This Row],[Project Index]], ProjectInput[], G$1, FALSE)</f>
        <v>0</v>
      </c>
      <c r="F199" s="97">
        <f>VLOOKUP(ReviewCalcs[[#This Row],[Project Index]], ProjectInput[], H$1, FALSE)</f>
        <v>0</v>
      </c>
      <c r="G199" s="98" t="str">
        <f>VLOOKUP(ReviewCalcs[[#This Row],[Project Index]], ProjectInput[], I$1, FALSE)</f>
        <v/>
      </c>
      <c r="H199" s="96">
        <f>VLOOKUP(ReviewCalcs[[#This Row],[Project Index]], ProjectInput[], J$1, FALSE)</f>
        <v>0</v>
      </c>
      <c r="I199" s="97">
        <f>VLOOKUP(ReviewCalcs[[#This Row],[Project Index]], ProjectInput[], K$1, FALSE)</f>
        <v>0</v>
      </c>
      <c r="J199" s="97">
        <f>VLOOKUP(ReviewCalcs[[#This Row],[Project Index]], ProjectInput[], L$1, FALSE)</f>
        <v>0</v>
      </c>
      <c r="K199" s="97">
        <f>VLOOKUP(ReviewCalcs[[#This Row],[Project Index]], ProjectInput[], M$1, FALSE)</f>
        <v>0</v>
      </c>
      <c r="L199" s="97">
        <f>VLOOKUP(ReviewCalcs[[#This Row],[Project Index]], ProjectInput[], N$1, FALSE)</f>
        <v>0</v>
      </c>
      <c r="M199" s="98" t="str">
        <f>VLOOKUP(ReviewCalcs[[#This Row],[Project Index]], ProjectInput[], O$1, FALSE)</f>
        <v/>
      </c>
      <c r="N199" s="96">
        <f>VLOOKUP(ReviewCalcs[[#This Row],[Project Index]], ProjectInput[], P$1, FALSE)</f>
        <v>0</v>
      </c>
      <c r="O199" s="97">
        <f>VLOOKUP(ReviewCalcs[[#This Row],[Project Index]], ProjectInput[], Q$1, FALSE)</f>
        <v>0</v>
      </c>
      <c r="P199" s="97">
        <f>VLOOKUP(ReviewCalcs[[#This Row],[Project Index]], ProjectInput[], R$1, FALSE)</f>
        <v>0</v>
      </c>
      <c r="Q199" s="97">
        <f>VLOOKUP(ReviewCalcs[[#This Row],[Project Index]], ProjectInput[], S$1, FALSE)</f>
        <v>0</v>
      </c>
      <c r="R199" s="97">
        <f>VLOOKUP(ReviewCalcs[[#This Row],[Project Index]], ProjectInput[], T$1, FALSE)</f>
        <v>0</v>
      </c>
      <c r="S199" s="97">
        <f>VLOOKUP(ReviewCalcs[[#This Row],[Project Index]], ProjectInput[], U$1, FALSE)</f>
        <v>0</v>
      </c>
      <c r="T199" s="97">
        <f>VLOOKUP(ReviewCalcs[[#This Row],[Project Index]], ProjectInput[], V$1, FALSE)</f>
        <v>0</v>
      </c>
      <c r="U199" s="97">
        <f>VLOOKUP(ReviewCalcs[[#This Row],[Project Index]], ProjectInput[], W$1, FALSE)</f>
        <v>0</v>
      </c>
      <c r="V199" s="98" t="str">
        <f>VLOOKUP(ReviewCalcs[[#This Row],[Project Index]], ProjectInput[], X$1, FALSE)</f>
        <v/>
      </c>
      <c r="W1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199" s="75" t="e">
        <f>IF(VLOOKUP(ReviewCalcs[[#This Row],[Proposed Fixture Code]], Table7[[FIXTURE CODE]:[Baseline Fixture Code]], 8, FALSE)="N", "ERROR", "PASS")</f>
        <v>#N/A</v>
      </c>
      <c r="Y1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199" s="75" t="e">
        <f>IF(OR(ReviewCalcs[[#This Row],[Baseline Fixture Watts]]&gt;=ReviewCalcs[[#This Row],[Proposed Fixture Watts]],ReviewCalcs[[#This Row],[Existing Fixture Watts]]&gt;=ReviewCalcs[[#This Row],[Proposed Fixture Watts]] ), "PASS", "ERROR")</f>
        <v>#N/A</v>
      </c>
      <c r="AA199" s="69" t="e">
        <f>VLOOKUP(ReviewCalcs[[#This Row],[Space Conditions]], Table_365[], 5, FALSE)</f>
        <v>#N/A</v>
      </c>
      <c r="AB199" s="68" t="str">
        <f>ReviewCalcs[[#This Row],[Annual Hours]]</f>
        <v/>
      </c>
      <c r="AC199" s="68" t="e">
        <f>VLOOKUP(ReviewCalcs[[#This Row],[Space Conditions]], Table_365[], 6, FALSE)</f>
        <v>#N/A</v>
      </c>
      <c r="AD199" s="68">
        <f>IF(ReviewCalcs[[#This Row],[Existing Control(s)]]='Tables &amp; Ranges'!$A$25, VLOOKUP(ReviewCalcs[[#This Row],[Building/Space Type]], Table_364[], 3, FALSE), CF_Contols)</f>
        <v>0.26</v>
      </c>
      <c r="AE199" s="68" t="e">
        <f>VLOOKUP(ReviewCalcs[[#This Row],[Existing Control(s)]], Table_358[], 2, FALSE)</f>
        <v>#N/A</v>
      </c>
      <c r="AF199" s="68">
        <f>IF(ReviewCalcs[[#This Row],[Proposed Control(s)]]='Tables &amp; Ranges'!$A$25, VLOOKUP(ReviewCalcs[[#This Row],[Building/Space Type]], Table_364[], 3, FALSE), CF_Contols)</f>
        <v>0.26</v>
      </c>
      <c r="AG199" s="68" t="e">
        <f>VLOOKUP(ReviewCalcs[[#This Row],[Proposed Control(s)]], Table_358[], 2, FALSE)</f>
        <v>#N/A</v>
      </c>
      <c r="AH199" s="68">
        <f>IFERROR((ReviewCalcs[[#This Row],[Existing Fixture Quantity]]*ReviewCalcs[[#This Row],[Existing Fixture Watts]]/1000)*ReviewCalcs[[#This Row],[Existing CF]]*ReviewCalcs[[#This Row],[IEFD]], 0)</f>
        <v>0</v>
      </c>
      <c r="AI199" s="68">
        <f>IFERROR((ReviewCalcs[[#This Row],[Proposed Fixture Quantity]]*ReviewCalcs[[#This Row],[Proposed Fixture Watts]]/1000)*ReviewCalcs[[#This Row],[Existing CF]]*ReviewCalcs[[#This Row],[IEFD]], 0)</f>
        <v>0</v>
      </c>
      <c r="AJ199" s="118">
        <f>IFERROR((ReviewCalcs[[#This Row],[Existing Fixture Quantity]]*ReviewCalcs[[#This Row],[Existing Fixture Watts]]/1000-ReviewCalcs[[#This Row],[Proposed Fixture Quantity]]*ReviewCalcs[[#This Row],[Proposed Fixture Watts]]/1000)*ReviewCalcs[[#This Row],[Existing CF]]*ReviewCalcs[[#This Row],[IEFD]], 0)</f>
        <v>0</v>
      </c>
      <c r="AK199" s="118">
        <f>IFERROR((ReviewCalcs[[#This Row],[Existing Fixture Quantity]]*ReviewCalcs[[#This Row],[Existing Fixture Watts]]/1000)*ReviewCalcs[[#This Row],[AOH]]*ReviewCalcs[[#This Row],[IEFE]]*ReviewCalcs[[#This Row],[Existing PAF]], 0)</f>
        <v>0</v>
      </c>
      <c r="AL199" s="118">
        <f>IFERROR((ReviewCalcs[[#This Row],[Proposed Fixture Quantity]]*ReviewCalcs[[#This Row],[Proposed Fixture Watts]]/1000)*ReviewCalcs[[#This Row],[AOH]]*ReviewCalcs[[#This Row],[IEFE]]*ReviewCalcs[[#This Row],[Existing PAF]], 0)</f>
        <v>0</v>
      </c>
      <c r="AM1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199" s="118">
        <f>ReviewCalcs[[#This Row],[Fixture Existing Energy (kWh)]]*Avg_KWh_Rate</f>
        <v>0</v>
      </c>
      <c r="AO199" s="118">
        <f>ReviewCalcs[[#This Row],[Fixture Proposed Energy (kWh)]]*Avg_KWh_Rate</f>
        <v>0</v>
      </c>
      <c r="AP199" s="70">
        <f>ReviewCalcs[[#This Row],[Fixture Energy Savings]]*Avg_KWh_Rate</f>
        <v>0</v>
      </c>
      <c r="AQ199" s="129" t="e">
        <f>ReviewCalcs[[#This Row],[Existing Fixture Quantity]]*ReviewCalcs[[#This Row],[Existing Fixture Watts]]/1000*ReviewCalcs[[#This Row],[Existing CF]]*ReviewCalcs[[#This Row],[IEFD]]</f>
        <v>#VALUE!</v>
      </c>
      <c r="AR199" s="129" t="e">
        <f>ReviewCalcs[[#This Row],[Proposed Fixture Quantity]]*ReviewCalcs[[#This Row],[Proposed Fixture Watts]]/1000*ReviewCalcs[[#This Row],[Proposed CF]]*ReviewCalcs[[#This Row],[IEFD]]</f>
        <v>#VALUE!</v>
      </c>
      <c r="AS199" s="118">
        <f>IF(ReviewCalcs[[#This Row],[Existing CF]]=ReviewCalcs[[#This Row],[Proposed CF]], 0, ReviewCalcs[[#This Row],[Proposed Fixture Quantity]]*ReviewCalcs[[#This Row],[Proposed Fixture Watts]]/1000*ReviewCalcs[[#This Row],[Proposed CF]]*ReviewCalcs[[#This Row],[IEFD]])</f>
        <v>0</v>
      </c>
      <c r="AT199" s="118">
        <f>IFERROR(ReviewCalcs[[#This Row],[Existing Fixture Quantity]]*ReviewCalcs[[#This Row],[Existing Fixture Watts]]/1000*ReviewCalcs[[#This Row],[Existing PAF]]*ReviewCalcs[[#This Row],[AOH]]*ReviewCalcs[[#This Row],[IEFE]], 0)</f>
        <v>0</v>
      </c>
      <c r="AU199" s="118">
        <f>IFERROR(ReviewCalcs[[#This Row],[Proposed Fixture Quantity]]*ReviewCalcs[[#This Row],[Proposed Fixture Watts]]/1000*ReviewCalcs[[#This Row],[Proposed PAF]]*ReviewCalcs[[#This Row],[AOH]]*ReviewCalcs[[#This Row],[IEFE]], 0)</f>
        <v>0</v>
      </c>
      <c r="AV199" s="118">
        <f>IFERROR(ReviewCalcs[[#This Row],[Proposed Fixture Quantity]]*ReviewCalcs[[#This Row],[Proposed Fixture Watts]]/1000*(ReviewCalcs[[#This Row],[Existing PAF]]-ReviewCalcs[[#This Row],[Proposed PAF]])*ReviewCalcs[[#This Row],[AOH]]*ReviewCalcs[[#This Row],[IEFE]], 0)</f>
        <v>0</v>
      </c>
      <c r="AW199" s="118">
        <f>ReviewCalcs[[#This Row],[Control Existing Energy (kWh)]]*kWh_Incentive_Rate</f>
        <v>0</v>
      </c>
      <c r="AX199" s="118">
        <f>ReviewCalcs[[#This Row],[Control Proposed Energy (kWh)]]*kWh_Incentive_Rate</f>
        <v>0</v>
      </c>
      <c r="AY199" s="70">
        <f>ReviewCalcs[[#This Row],[Control Energy Savings (kWh)]]*kWh_Incentive_Rate</f>
        <v>0</v>
      </c>
      <c r="AZ199" s="70" t="e">
        <f>ReviewCalcs[[#This Row],[Fixture Existing Demand (kW)]]+ReviewCalcs[[#This Row],[Control Existing Demand (kW)]]</f>
        <v>#VALUE!</v>
      </c>
      <c r="BA199" s="70" t="e">
        <f>ReviewCalcs[[#This Row],[Fixture Proposed Demand (kW)]]+ReviewCalcs[[#This Row],[Control Proposed Demand (kW)]]</f>
        <v>#VALUE!</v>
      </c>
      <c r="BB199" s="118">
        <f>ReviewCalcs[[#This Row],[Fixture Demand Savings (kW)]]+ReviewCalcs[[#This Row],[Control Demand Savings (kW)]]</f>
        <v>0</v>
      </c>
      <c r="BC199" s="118">
        <f>ReviewCalcs[[#This Row],[Fixture Existing Energy (kWh)]]+ReviewCalcs[[#This Row],[Control Existing Energy (kWh)]]</f>
        <v>0</v>
      </c>
      <c r="BD199" s="118">
        <f>ReviewCalcs[[#This Row],[Fixture Proposed Energy (kWh)]]+ReviewCalcs[[#This Row],[Control Proposed Energy (kWh)]]</f>
        <v>0</v>
      </c>
      <c r="BE199" s="118">
        <f>ReviewCalcs[[#This Row],[Fixture Energy Savings]]+ReviewCalcs[[#This Row],[Control Energy Savings (kWh)]]</f>
        <v>0</v>
      </c>
      <c r="BF199" s="118">
        <f>ReviewCalcs[[#This Row],[Fixture Existing Cost ($)]]+ReviewCalcs[[#This Row],[Control Existing Cost ($)]]</f>
        <v>0</v>
      </c>
      <c r="BG199" s="118">
        <f>ReviewCalcs[[#This Row],[Fixture Proposed Cost ($)]]+ReviewCalcs[[#This Row],[Controls Proposed Cost ($)]]</f>
        <v>0</v>
      </c>
      <c r="BH199" s="70">
        <f>ReviewCalcs[[#This Row],[Total Energy Savings (kWh)]]*Avg_KWh_Rate</f>
        <v>0</v>
      </c>
      <c r="BI1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199" s="70">
        <f>ReviewCalcs[[#This Row],[Retrofit Cost]]</f>
        <v>0</v>
      </c>
      <c r="BK199" s="70">
        <f>ReviewCalcs[[#This Row],[Retrofit Cost]]-ReviewCalcs[[#This Row],[Incentive ($)]]</f>
        <v>0</v>
      </c>
      <c r="BL199" s="118" t="e">
        <f>IFERROR(ReviewCalcs[[#This Row],[Net Project Cost ($)]]/ReviewCalcs[[#This Row],[Fixture Energy Cost Savings ($)]], #N/A)</f>
        <v>#N/A</v>
      </c>
      <c r="BM199" s="118" t="e">
        <f>IF(VLOOKUP(ReviewCalcs[[#This Row],[Existing Fixture Code]], Table7[[FIXTURE CODE]:[Baseline Fixture Code]], 8, FALSE)="N", VLOOKUP(ReviewCalcs[[#This Row],[Existing Fixture Code]], Table7[[FIXTURE CODE]:[Baseline Fixture Code]], 9, FALSE), ReviewCalcs[[#This Row],[Existing Fixture Code]])</f>
        <v>#N/A</v>
      </c>
      <c r="BN199" s="118" t="e">
        <f>INDEX(Table7[WATT/ FIXT], MATCH(ReviewCalcs[Baseline Fixture Code], Table7[FIXTURE CODE], 0))</f>
        <v>#N/A</v>
      </c>
      <c r="BO199" s="118">
        <f>IFERROR((ReviewCalcs[[#This Row],[Existing Fixture Quantity]]*ReviewCalcs[[#This Row],[Baseline Fixture Watts]]/1000-ReviewCalcs[[#This Row],[Proposed Fixture Quantity]]*ReviewCalcs[[#This Row],[Proposed Fixture Watts]]/1000)*ReviewCalcs[[#This Row],[Existing CF]]*ReviewCalcs[[#This Row],[IEFD]], 0)</f>
        <v>0</v>
      </c>
      <c r="BP1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199" s="118">
        <f>IF(ReviewCalcs[[#This Row],[Existing CF]]=ReviewCalcs[[#This Row],[Proposed CF]], 0, ReviewCalcs[[#This Row],[Proposed Fixture Quantity]]*ReviewCalcs[[#This Row],[Proposed Fixture Watts]]/1000*ReviewCalcs[[#This Row],[Proposed CF]]*ReviewCalcs[[#This Row],[IEFD]])</f>
        <v>0</v>
      </c>
      <c r="BR199" s="118">
        <f>IFERROR(ReviewCalcs[[#This Row],[Proposed Fixture Quantity]]*ReviewCalcs[[#This Row],[Proposed Fixture Watts]]/1000*(ReviewCalcs[[#This Row],[Existing PAF]]-ReviewCalcs[[#This Row],[Proposed PAF]])*ReviewCalcs[[#This Row],[AOH]]*ReviewCalcs[[#This Row],[IEFE]],0)</f>
        <v>0</v>
      </c>
      <c r="BS199" s="118">
        <f>ReviewCalcs[[#This Row],[Incentive Fixture Demand Savings (kW)]]+ReviewCalcs[[#This Row],[Incentive Control Demand Savings (kW)]]</f>
        <v>0</v>
      </c>
      <c r="BT199" s="118">
        <f>ReviewCalcs[[#This Row],[Incentive Fixture Energy Savings (kWh)]]+ReviewCalcs[[#This Row],[Incentive Control Energy Savings (kWh)]]</f>
        <v>0</v>
      </c>
      <c r="BU199" s="73"/>
    </row>
    <row r="200" spans="1:73" ht="30" customHeight="1">
      <c r="A200" s="68">
        <v>197</v>
      </c>
      <c r="B200" s="96">
        <f>VLOOKUP(ReviewCalcs[[#This Row],[Project Index]], ProjectInput[], D$1, FALSE)</f>
        <v>0</v>
      </c>
      <c r="C200" s="97">
        <f>VLOOKUP(ReviewCalcs[[#This Row],[Project Index]], ProjectInput[], E$1, FALSE)</f>
        <v>0</v>
      </c>
      <c r="D200" s="97">
        <f>VLOOKUP(ReviewCalcs[[#This Row],[Project Index]], ProjectInput[], F$1, FALSE)</f>
        <v>0</v>
      </c>
      <c r="E200" s="97">
        <f>VLOOKUP(ReviewCalcs[[#This Row],[Project Index]], ProjectInput[], G$1, FALSE)</f>
        <v>0</v>
      </c>
      <c r="F200" s="97">
        <f>VLOOKUP(ReviewCalcs[[#This Row],[Project Index]], ProjectInput[], H$1, FALSE)</f>
        <v>0</v>
      </c>
      <c r="G200" s="98" t="str">
        <f>VLOOKUP(ReviewCalcs[[#This Row],[Project Index]], ProjectInput[], I$1, FALSE)</f>
        <v/>
      </c>
      <c r="H200" s="96">
        <f>VLOOKUP(ReviewCalcs[[#This Row],[Project Index]], ProjectInput[], J$1, FALSE)</f>
        <v>0</v>
      </c>
      <c r="I200" s="97">
        <f>VLOOKUP(ReviewCalcs[[#This Row],[Project Index]], ProjectInput[], K$1, FALSE)</f>
        <v>0</v>
      </c>
      <c r="J200" s="97">
        <f>VLOOKUP(ReviewCalcs[[#This Row],[Project Index]], ProjectInput[], L$1, FALSE)</f>
        <v>0</v>
      </c>
      <c r="K200" s="97">
        <f>VLOOKUP(ReviewCalcs[[#This Row],[Project Index]], ProjectInput[], M$1, FALSE)</f>
        <v>0</v>
      </c>
      <c r="L200" s="97">
        <f>VLOOKUP(ReviewCalcs[[#This Row],[Project Index]], ProjectInput[], N$1, FALSE)</f>
        <v>0</v>
      </c>
      <c r="M200" s="98" t="str">
        <f>VLOOKUP(ReviewCalcs[[#This Row],[Project Index]], ProjectInput[], O$1, FALSE)</f>
        <v/>
      </c>
      <c r="N200" s="96">
        <f>VLOOKUP(ReviewCalcs[[#This Row],[Project Index]], ProjectInput[], P$1, FALSE)</f>
        <v>0</v>
      </c>
      <c r="O200" s="97">
        <f>VLOOKUP(ReviewCalcs[[#This Row],[Project Index]], ProjectInput[], Q$1, FALSE)</f>
        <v>0</v>
      </c>
      <c r="P200" s="97">
        <f>VLOOKUP(ReviewCalcs[[#This Row],[Project Index]], ProjectInput[], R$1, FALSE)</f>
        <v>0</v>
      </c>
      <c r="Q200" s="97">
        <f>VLOOKUP(ReviewCalcs[[#This Row],[Project Index]], ProjectInput[], S$1, FALSE)</f>
        <v>0</v>
      </c>
      <c r="R200" s="97">
        <f>VLOOKUP(ReviewCalcs[[#This Row],[Project Index]], ProjectInput[], T$1, FALSE)</f>
        <v>0</v>
      </c>
      <c r="S200" s="97">
        <f>VLOOKUP(ReviewCalcs[[#This Row],[Project Index]], ProjectInput[], U$1, FALSE)</f>
        <v>0</v>
      </c>
      <c r="T200" s="97">
        <f>VLOOKUP(ReviewCalcs[[#This Row],[Project Index]], ProjectInput[], V$1, FALSE)</f>
        <v>0</v>
      </c>
      <c r="U200" s="97">
        <f>VLOOKUP(ReviewCalcs[[#This Row],[Project Index]], ProjectInput[], W$1, FALSE)</f>
        <v>0</v>
      </c>
      <c r="V200" s="98" t="str">
        <f>VLOOKUP(ReviewCalcs[[#This Row],[Project Index]], ProjectInput[], X$1, FALSE)</f>
        <v/>
      </c>
      <c r="W2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0" s="75" t="e">
        <f>IF(VLOOKUP(ReviewCalcs[[#This Row],[Proposed Fixture Code]], Table7[[FIXTURE CODE]:[Baseline Fixture Code]], 8, FALSE)="N", "ERROR", "PASS")</f>
        <v>#N/A</v>
      </c>
      <c r="Y2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0" s="75" t="e">
        <f>IF(OR(ReviewCalcs[[#This Row],[Baseline Fixture Watts]]&gt;=ReviewCalcs[[#This Row],[Proposed Fixture Watts]],ReviewCalcs[[#This Row],[Existing Fixture Watts]]&gt;=ReviewCalcs[[#This Row],[Proposed Fixture Watts]] ), "PASS", "ERROR")</f>
        <v>#N/A</v>
      </c>
      <c r="AA200" s="69" t="e">
        <f>VLOOKUP(ReviewCalcs[[#This Row],[Space Conditions]], Table_365[], 5, FALSE)</f>
        <v>#N/A</v>
      </c>
      <c r="AB200" s="68" t="str">
        <f>ReviewCalcs[[#This Row],[Annual Hours]]</f>
        <v/>
      </c>
      <c r="AC200" s="68" t="e">
        <f>VLOOKUP(ReviewCalcs[[#This Row],[Space Conditions]], Table_365[], 6, FALSE)</f>
        <v>#N/A</v>
      </c>
      <c r="AD200" s="68">
        <f>IF(ReviewCalcs[[#This Row],[Existing Control(s)]]='Tables &amp; Ranges'!$A$25, VLOOKUP(ReviewCalcs[[#This Row],[Building/Space Type]], Table_364[], 3, FALSE), CF_Contols)</f>
        <v>0.26</v>
      </c>
      <c r="AE200" s="68" t="e">
        <f>VLOOKUP(ReviewCalcs[[#This Row],[Existing Control(s)]], Table_358[], 2, FALSE)</f>
        <v>#N/A</v>
      </c>
      <c r="AF200" s="68">
        <f>IF(ReviewCalcs[[#This Row],[Proposed Control(s)]]='Tables &amp; Ranges'!$A$25, VLOOKUP(ReviewCalcs[[#This Row],[Building/Space Type]], Table_364[], 3, FALSE), CF_Contols)</f>
        <v>0.26</v>
      </c>
      <c r="AG200" s="68" t="e">
        <f>VLOOKUP(ReviewCalcs[[#This Row],[Proposed Control(s)]], Table_358[], 2, FALSE)</f>
        <v>#N/A</v>
      </c>
      <c r="AH200" s="68">
        <f>IFERROR((ReviewCalcs[[#This Row],[Existing Fixture Quantity]]*ReviewCalcs[[#This Row],[Existing Fixture Watts]]/1000)*ReviewCalcs[[#This Row],[Existing CF]]*ReviewCalcs[[#This Row],[IEFD]], 0)</f>
        <v>0</v>
      </c>
      <c r="AI200" s="68">
        <f>IFERROR((ReviewCalcs[[#This Row],[Proposed Fixture Quantity]]*ReviewCalcs[[#This Row],[Proposed Fixture Watts]]/1000)*ReviewCalcs[[#This Row],[Existing CF]]*ReviewCalcs[[#This Row],[IEFD]], 0)</f>
        <v>0</v>
      </c>
      <c r="AJ200" s="118">
        <f>IFERROR((ReviewCalcs[[#This Row],[Existing Fixture Quantity]]*ReviewCalcs[[#This Row],[Existing Fixture Watts]]/1000-ReviewCalcs[[#This Row],[Proposed Fixture Quantity]]*ReviewCalcs[[#This Row],[Proposed Fixture Watts]]/1000)*ReviewCalcs[[#This Row],[Existing CF]]*ReviewCalcs[[#This Row],[IEFD]], 0)</f>
        <v>0</v>
      </c>
      <c r="AK200" s="118">
        <f>IFERROR((ReviewCalcs[[#This Row],[Existing Fixture Quantity]]*ReviewCalcs[[#This Row],[Existing Fixture Watts]]/1000)*ReviewCalcs[[#This Row],[AOH]]*ReviewCalcs[[#This Row],[IEFE]]*ReviewCalcs[[#This Row],[Existing PAF]], 0)</f>
        <v>0</v>
      </c>
      <c r="AL200" s="118">
        <f>IFERROR((ReviewCalcs[[#This Row],[Proposed Fixture Quantity]]*ReviewCalcs[[#This Row],[Proposed Fixture Watts]]/1000)*ReviewCalcs[[#This Row],[AOH]]*ReviewCalcs[[#This Row],[IEFE]]*ReviewCalcs[[#This Row],[Existing PAF]], 0)</f>
        <v>0</v>
      </c>
      <c r="AM2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0" s="118">
        <f>ReviewCalcs[[#This Row],[Fixture Existing Energy (kWh)]]*Avg_KWh_Rate</f>
        <v>0</v>
      </c>
      <c r="AO200" s="118">
        <f>ReviewCalcs[[#This Row],[Fixture Proposed Energy (kWh)]]*Avg_KWh_Rate</f>
        <v>0</v>
      </c>
      <c r="AP200" s="70">
        <f>ReviewCalcs[[#This Row],[Fixture Energy Savings]]*Avg_KWh_Rate</f>
        <v>0</v>
      </c>
      <c r="AQ200" s="129" t="e">
        <f>ReviewCalcs[[#This Row],[Existing Fixture Quantity]]*ReviewCalcs[[#This Row],[Existing Fixture Watts]]/1000*ReviewCalcs[[#This Row],[Existing CF]]*ReviewCalcs[[#This Row],[IEFD]]</f>
        <v>#VALUE!</v>
      </c>
      <c r="AR200" s="129" t="e">
        <f>ReviewCalcs[[#This Row],[Proposed Fixture Quantity]]*ReviewCalcs[[#This Row],[Proposed Fixture Watts]]/1000*ReviewCalcs[[#This Row],[Proposed CF]]*ReviewCalcs[[#This Row],[IEFD]]</f>
        <v>#VALUE!</v>
      </c>
      <c r="AS200" s="118">
        <f>IF(ReviewCalcs[[#This Row],[Existing CF]]=ReviewCalcs[[#This Row],[Proposed CF]], 0, ReviewCalcs[[#This Row],[Proposed Fixture Quantity]]*ReviewCalcs[[#This Row],[Proposed Fixture Watts]]/1000*ReviewCalcs[[#This Row],[Proposed CF]]*ReviewCalcs[[#This Row],[IEFD]])</f>
        <v>0</v>
      </c>
      <c r="AT200" s="118">
        <f>IFERROR(ReviewCalcs[[#This Row],[Existing Fixture Quantity]]*ReviewCalcs[[#This Row],[Existing Fixture Watts]]/1000*ReviewCalcs[[#This Row],[Existing PAF]]*ReviewCalcs[[#This Row],[AOH]]*ReviewCalcs[[#This Row],[IEFE]], 0)</f>
        <v>0</v>
      </c>
      <c r="AU200" s="118">
        <f>IFERROR(ReviewCalcs[[#This Row],[Proposed Fixture Quantity]]*ReviewCalcs[[#This Row],[Proposed Fixture Watts]]/1000*ReviewCalcs[[#This Row],[Proposed PAF]]*ReviewCalcs[[#This Row],[AOH]]*ReviewCalcs[[#This Row],[IEFE]], 0)</f>
        <v>0</v>
      </c>
      <c r="AV200" s="118">
        <f>IFERROR(ReviewCalcs[[#This Row],[Proposed Fixture Quantity]]*ReviewCalcs[[#This Row],[Proposed Fixture Watts]]/1000*(ReviewCalcs[[#This Row],[Existing PAF]]-ReviewCalcs[[#This Row],[Proposed PAF]])*ReviewCalcs[[#This Row],[AOH]]*ReviewCalcs[[#This Row],[IEFE]], 0)</f>
        <v>0</v>
      </c>
      <c r="AW200" s="118">
        <f>ReviewCalcs[[#This Row],[Control Existing Energy (kWh)]]*kWh_Incentive_Rate</f>
        <v>0</v>
      </c>
      <c r="AX200" s="118">
        <f>ReviewCalcs[[#This Row],[Control Proposed Energy (kWh)]]*kWh_Incentive_Rate</f>
        <v>0</v>
      </c>
      <c r="AY200" s="70">
        <f>ReviewCalcs[[#This Row],[Control Energy Savings (kWh)]]*kWh_Incentive_Rate</f>
        <v>0</v>
      </c>
      <c r="AZ200" s="70" t="e">
        <f>ReviewCalcs[[#This Row],[Fixture Existing Demand (kW)]]+ReviewCalcs[[#This Row],[Control Existing Demand (kW)]]</f>
        <v>#VALUE!</v>
      </c>
      <c r="BA200" s="70" t="e">
        <f>ReviewCalcs[[#This Row],[Fixture Proposed Demand (kW)]]+ReviewCalcs[[#This Row],[Control Proposed Demand (kW)]]</f>
        <v>#VALUE!</v>
      </c>
      <c r="BB200" s="118">
        <f>ReviewCalcs[[#This Row],[Fixture Demand Savings (kW)]]+ReviewCalcs[[#This Row],[Control Demand Savings (kW)]]</f>
        <v>0</v>
      </c>
      <c r="BC200" s="118">
        <f>ReviewCalcs[[#This Row],[Fixture Existing Energy (kWh)]]+ReviewCalcs[[#This Row],[Control Existing Energy (kWh)]]</f>
        <v>0</v>
      </c>
      <c r="BD200" s="118">
        <f>ReviewCalcs[[#This Row],[Fixture Proposed Energy (kWh)]]+ReviewCalcs[[#This Row],[Control Proposed Energy (kWh)]]</f>
        <v>0</v>
      </c>
      <c r="BE200" s="118">
        <f>ReviewCalcs[[#This Row],[Fixture Energy Savings]]+ReviewCalcs[[#This Row],[Control Energy Savings (kWh)]]</f>
        <v>0</v>
      </c>
      <c r="BF200" s="118">
        <f>ReviewCalcs[[#This Row],[Fixture Existing Cost ($)]]+ReviewCalcs[[#This Row],[Control Existing Cost ($)]]</f>
        <v>0</v>
      </c>
      <c r="BG200" s="118">
        <f>ReviewCalcs[[#This Row],[Fixture Proposed Cost ($)]]+ReviewCalcs[[#This Row],[Controls Proposed Cost ($)]]</f>
        <v>0</v>
      </c>
      <c r="BH200" s="70">
        <f>ReviewCalcs[[#This Row],[Total Energy Savings (kWh)]]*Avg_KWh_Rate</f>
        <v>0</v>
      </c>
      <c r="BI2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0" s="70">
        <f>ReviewCalcs[[#This Row],[Retrofit Cost]]</f>
        <v>0</v>
      </c>
      <c r="BK200" s="70">
        <f>ReviewCalcs[[#This Row],[Retrofit Cost]]-ReviewCalcs[[#This Row],[Incentive ($)]]</f>
        <v>0</v>
      </c>
      <c r="BL200" s="118" t="e">
        <f>IFERROR(ReviewCalcs[[#This Row],[Net Project Cost ($)]]/ReviewCalcs[[#This Row],[Fixture Energy Cost Savings ($)]], #N/A)</f>
        <v>#N/A</v>
      </c>
      <c r="BM200" s="118" t="e">
        <f>IF(VLOOKUP(ReviewCalcs[[#This Row],[Existing Fixture Code]], Table7[[FIXTURE CODE]:[Baseline Fixture Code]], 8, FALSE)="N", VLOOKUP(ReviewCalcs[[#This Row],[Existing Fixture Code]], Table7[[FIXTURE CODE]:[Baseline Fixture Code]], 9, FALSE), ReviewCalcs[[#This Row],[Existing Fixture Code]])</f>
        <v>#N/A</v>
      </c>
      <c r="BN200" s="118" t="e">
        <f>INDEX(Table7[WATT/ FIXT], MATCH(ReviewCalcs[Baseline Fixture Code], Table7[FIXTURE CODE], 0))</f>
        <v>#N/A</v>
      </c>
      <c r="BO200" s="118">
        <f>IFERROR((ReviewCalcs[[#This Row],[Existing Fixture Quantity]]*ReviewCalcs[[#This Row],[Baseline Fixture Watts]]/1000-ReviewCalcs[[#This Row],[Proposed Fixture Quantity]]*ReviewCalcs[[#This Row],[Proposed Fixture Watts]]/1000)*ReviewCalcs[[#This Row],[Existing CF]]*ReviewCalcs[[#This Row],[IEFD]], 0)</f>
        <v>0</v>
      </c>
      <c r="BP2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0" s="118">
        <f>IF(ReviewCalcs[[#This Row],[Existing CF]]=ReviewCalcs[[#This Row],[Proposed CF]], 0, ReviewCalcs[[#This Row],[Proposed Fixture Quantity]]*ReviewCalcs[[#This Row],[Proposed Fixture Watts]]/1000*ReviewCalcs[[#This Row],[Proposed CF]]*ReviewCalcs[[#This Row],[IEFD]])</f>
        <v>0</v>
      </c>
      <c r="BR200" s="118">
        <f>IFERROR(ReviewCalcs[[#This Row],[Proposed Fixture Quantity]]*ReviewCalcs[[#This Row],[Proposed Fixture Watts]]/1000*(ReviewCalcs[[#This Row],[Existing PAF]]-ReviewCalcs[[#This Row],[Proposed PAF]])*ReviewCalcs[[#This Row],[AOH]]*ReviewCalcs[[#This Row],[IEFE]],0)</f>
        <v>0</v>
      </c>
      <c r="BS200" s="118">
        <f>ReviewCalcs[[#This Row],[Incentive Fixture Demand Savings (kW)]]+ReviewCalcs[[#This Row],[Incentive Control Demand Savings (kW)]]</f>
        <v>0</v>
      </c>
      <c r="BT200" s="118">
        <f>ReviewCalcs[[#This Row],[Incentive Fixture Energy Savings (kWh)]]+ReviewCalcs[[#This Row],[Incentive Control Energy Savings (kWh)]]</f>
        <v>0</v>
      </c>
      <c r="BU200" s="73"/>
    </row>
    <row r="201" spans="1:73" ht="30" customHeight="1">
      <c r="A201" s="68">
        <v>198</v>
      </c>
      <c r="B201" s="96">
        <f>VLOOKUP(ReviewCalcs[[#This Row],[Project Index]], ProjectInput[], D$1, FALSE)</f>
        <v>0</v>
      </c>
      <c r="C201" s="97">
        <f>VLOOKUP(ReviewCalcs[[#This Row],[Project Index]], ProjectInput[], E$1, FALSE)</f>
        <v>0</v>
      </c>
      <c r="D201" s="97">
        <f>VLOOKUP(ReviewCalcs[[#This Row],[Project Index]], ProjectInput[], F$1, FALSE)</f>
        <v>0</v>
      </c>
      <c r="E201" s="97">
        <f>VLOOKUP(ReviewCalcs[[#This Row],[Project Index]], ProjectInput[], G$1, FALSE)</f>
        <v>0</v>
      </c>
      <c r="F201" s="97">
        <f>VLOOKUP(ReviewCalcs[[#This Row],[Project Index]], ProjectInput[], H$1, FALSE)</f>
        <v>0</v>
      </c>
      <c r="G201" s="98" t="str">
        <f>VLOOKUP(ReviewCalcs[[#This Row],[Project Index]], ProjectInput[], I$1, FALSE)</f>
        <v/>
      </c>
      <c r="H201" s="96">
        <f>VLOOKUP(ReviewCalcs[[#This Row],[Project Index]], ProjectInput[], J$1, FALSE)</f>
        <v>0</v>
      </c>
      <c r="I201" s="97">
        <f>VLOOKUP(ReviewCalcs[[#This Row],[Project Index]], ProjectInput[], K$1, FALSE)</f>
        <v>0</v>
      </c>
      <c r="J201" s="97">
        <f>VLOOKUP(ReviewCalcs[[#This Row],[Project Index]], ProjectInput[], L$1, FALSE)</f>
        <v>0</v>
      </c>
      <c r="K201" s="97">
        <f>VLOOKUP(ReviewCalcs[[#This Row],[Project Index]], ProjectInput[], M$1, FALSE)</f>
        <v>0</v>
      </c>
      <c r="L201" s="97">
        <f>VLOOKUP(ReviewCalcs[[#This Row],[Project Index]], ProjectInput[], N$1, FALSE)</f>
        <v>0</v>
      </c>
      <c r="M201" s="98" t="str">
        <f>VLOOKUP(ReviewCalcs[[#This Row],[Project Index]], ProjectInput[], O$1, FALSE)</f>
        <v/>
      </c>
      <c r="N201" s="96">
        <f>VLOOKUP(ReviewCalcs[[#This Row],[Project Index]], ProjectInput[], P$1, FALSE)</f>
        <v>0</v>
      </c>
      <c r="O201" s="97">
        <f>VLOOKUP(ReviewCalcs[[#This Row],[Project Index]], ProjectInput[], Q$1, FALSE)</f>
        <v>0</v>
      </c>
      <c r="P201" s="97">
        <f>VLOOKUP(ReviewCalcs[[#This Row],[Project Index]], ProjectInput[], R$1, FALSE)</f>
        <v>0</v>
      </c>
      <c r="Q201" s="97">
        <f>VLOOKUP(ReviewCalcs[[#This Row],[Project Index]], ProjectInput[], S$1, FALSE)</f>
        <v>0</v>
      </c>
      <c r="R201" s="97">
        <f>VLOOKUP(ReviewCalcs[[#This Row],[Project Index]], ProjectInput[], T$1, FALSE)</f>
        <v>0</v>
      </c>
      <c r="S201" s="97">
        <f>VLOOKUP(ReviewCalcs[[#This Row],[Project Index]], ProjectInput[], U$1, FALSE)</f>
        <v>0</v>
      </c>
      <c r="T201" s="97">
        <f>VLOOKUP(ReviewCalcs[[#This Row],[Project Index]], ProjectInput[], V$1, FALSE)</f>
        <v>0</v>
      </c>
      <c r="U201" s="97">
        <f>VLOOKUP(ReviewCalcs[[#This Row],[Project Index]], ProjectInput[], W$1, FALSE)</f>
        <v>0</v>
      </c>
      <c r="V201" s="98" t="str">
        <f>VLOOKUP(ReviewCalcs[[#This Row],[Project Index]], ProjectInput[], X$1, FALSE)</f>
        <v/>
      </c>
      <c r="W2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1" s="75" t="e">
        <f>IF(VLOOKUP(ReviewCalcs[[#This Row],[Proposed Fixture Code]], Table7[[FIXTURE CODE]:[Baseline Fixture Code]], 8, FALSE)="N", "ERROR", "PASS")</f>
        <v>#N/A</v>
      </c>
      <c r="Y2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1" s="75" t="e">
        <f>IF(OR(ReviewCalcs[[#This Row],[Baseline Fixture Watts]]&gt;=ReviewCalcs[[#This Row],[Proposed Fixture Watts]],ReviewCalcs[[#This Row],[Existing Fixture Watts]]&gt;=ReviewCalcs[[#This Row],[Proposed Fixture Watts]] ), "PASS", "ERROR")</f>
        <v>#N/A</v>
      </c>
      <c r="AA201" s="69" t="e">
        <f>VLOOKUP(ReviewCalcs[[#This Row],[Space Conditions]], Table_365[], 5, FALSE)</f>
        <v>#N/A</v>
      </c>
      <c r="AB201" s="68" t="str">
        <f>ReviewCalcs[[#This Row],[Annual Hours]]</f>
        <v/>
      </c>
      <c r="AC201" s="68" t="e">
        <f>VLOOKUP(ReviewCalcs[[#This Row],[Space Conditions]], Table_365[], 6, FALSE)</f>
        <v>#N/A</v>
      </c>
      <c r="AD201" s="68">
        <f>IF(ReviewCalcs[[#This Row],[Existing Control(s)]]='Tables &amp; Ranges'!$A$25, VLOOKUP(ReviewCalcs[[#This Row],[Building/Space Type]], Table_364[], 3, FALSE), CF_Contols)</f>
        <v>0.26</v>
      </c>
      <c r="AE201" s="68" t="e">
        <f>VLOOKUP(ReviewCalcs[[#This Row],[Existing Control(s)]], Table_358[], 2, FALSE)</f>
        <v>#N/A</v>
      </c>
      <c r="AF201" s="68">
        <f>IF(ReviewCalcs[[#This Row],[Proposed Control(s)]]='Tables &amp; Ranges'!$A$25, VLOOKUP(ReviewCalcs[[#This Row],[Building/Space Type]], Table_364[], 3, FALSE), CF_Contols)</f>
        <v>0.26</v>
      </c>
      <c r="AG201" s="68" t="e">
        <f>VLOOKUP(ReviewCalcs[[#This Row],[Proposed Control(s)]], Table_358[], 2, FALSE)</f>
        <v>#N/A</v>
      </c>
      <c r="AH201" s="68">
        <f>IFERROR((ReviewCalcs[[#This Row],[Existing Fixture Quantity]]*ReviewCalcs[[#This Row],[Existing Fixture Watts]]/1000)*ReviewCalcs[[#This Row],[Existing CF]]*ReviewCalcs[[#This Row],[IEFD]], 0)</f>
        <v>0</v>
      </c>
      <c r="AI201" s="68">
        <f>IFERROR((ReviewCalcs[[#This Row],[Proposed Fixture Quantity]]*ReviewCalcs[[#This Row],[Proposed Fixture Watts]]/1000)*ReviewCalcs[[#This Row],[Existing CF]]*ReviewCalcs[[#This Row],[IEFD]], 0)</f>
        <v>0</v>
      </c>
      <c r="AJ201" s="118">
        <f>IFERROR((ReviewCalcs[[#This Row],[Existing Fixture Quantity]]*ReviewCalcs[[#This Row],[Existing Fixture Watts]]/1000-ReviewCalcs[[#This Row],[Proposed Fixture Quantity]]*ReviewCalcs[[#This Row],[Proposed Fixture Watts]]/1000)*ReviewCalcs[[#This Row],[Existing CF]]*ReviewCalcs[[#This Row],[IEFD]], 0)</f>
        <v>0</v>
      </c>
      <c r="AK201" s="118">
        <f>IFERROR((ReviewCalcs[[#This Row],[Existing Fixture Quantity]]*ReviewCalcs[[#This Row],[Existing Fixture Watts]]/1000)*ReviewCalcs[[#This Row],[AOH]]*ReviewCalcs[[#This Row],[IEFE]]*ReviewCalcs[[#This Row],[Existing PAF]], 0)</f>
        <v>0</v>
      </c>
      <c r="AL201" s="118">
        <f>IFERROR((ReviewCalcs[[#This Row],[Proposed Fixture Quantity]]*ReviewCalcs[[#This Row],[Proposed Fixture Watts]]/1000)*ReviewCalcs[[#This Row],[AOH]]*ReviewCalcs[[#This Row],[IEFE]]*ReviewCalcs[[#This Row],[Existing PAF]], 0)</f>
        <v>0</v>
      </c>
      <c r="AM2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1" s="118">
        <f>ReviewCalcs[[#This Row],[Fixture Existing Energy (kWh)]]*Avg_KWh_Rate</f>
        <v>0</v>
      </c>
      <c r="AO201" s="118">
        <f>ReviewCalcs[[#This Row],[Fixture Proposed Energy (kWh)]]*Avg_KWh_Rate</f>
        <v>0</v>
      </c>
      <c r="AP201" s="70">
        <f>ReviewCalcs[[#This Row],[Fixture Energy Savings]]*Avg_KWh_Rate</f>
        <v>0</v>
      </c>
      <c r="AQ201" s="129" t="e">
        <f>ReviewCalcs[[#This Row],[Existing Fixture Quantity]]*ReviewCalcs[[#This Row],[Existing Fixture Watts]]/1000*ReviewCalcs[[#This Row],[Existing CF]]*ReviewCalcs[[#This Row],[IEFD]]</f>
        <v>#VALUE!</v>
      </c>
      <c r="AR201" s="129" t="e">
        <f>ReviewCalcs[[#This Row],[Proposed Fixture Quantity]]*ReviewCalcs[[#This Row],[Proposed Fixture Watts]]/1000*ReviewCalcs[[#This Row],[Proposed CF]]*ReviewCalcs[[#This Row],[IEFD]]</f>
        <v>#VALUE!</v>
      </c>
      <c r="AS201" s="118">
        <f>IF(ReviewCalcs[[#This Row],[Existing CF]]=ReviewCalcs[[#This Row],[Proposed CF]], 0, ReviewCalcs[[#This Row],[Proposed Fixture Quantity]]*ReviewCalcs[[#This Row],[Proposed Fixture Watts]]/1000*ReviewCalcs[[#This Row],[Proposed CF]]*ReviewCalcs[[#This Row],[IEFD]])</f>
        <v>0</v>
      </c>
      <c r="AT201" s="118">
        <f>IFERROR(ReviewCalcs[[#This Row],[Existing Fixture Quantity]]*ReviewCalcs[[#This Row],[Existing Fixture Watts]]/1000*ReviewCalcs[[#This Row],[Existing PAF]]*ReviewCalcs[[#This Row],[AOH]]*ReviewCalcs[[#This Row],[IEFE]], 0)</f>
        <v>0</v>
      </c>
      <c r="AU201" s="118">
        <f>IFERROR(ReviewCalcs[[#This Row],[Proposed Fixture Quantity]]*ReviewCalcs[[#This Row],[Proposed Fixture Watts]]/1000*ReviewCalcs[[#This Row],[Proposed PAF]]*ReviewCalcs[[#This Row],[AOH]]*ReviewCalcs[[#This Row],[IEFE]], 0)</f>
        <v>0</v>
      </c>
      <c r="AV201" s="118">
        <f>IFERROR(ReviewCalcs[[#This Row],[Proposed Fixture Quantity]]*ReviewCalcs[[#This Row],[Proposed Fixture Watts]]/1000*(ReviewCalcs[[#This Row],[Existing PAF]]-ReviewCalcs[[#This Row],[Proposed PAF]])*ReviewCalcs[[#This Row],[AOH]]*ReviewCalcs[[#This Row],[IEFE]], 0)</f>
        <v>0</v>
      </c>
      <c r="AW201" s="118">
        <f>ReviewCalcs[[#This Row],[Control Existing Energy (kWh)]]*kWh_Incentive_Rate</f>
        <v>0</v>
      </c>
      <c r="AX201" s="118">
        <f>ReviewCalcs[[#This Row],[Control Proposed Energy (kWh)]]*kWh_Incentive_Rate</f>
        <v>0</v>
      </c>
      <c r="AY201" s="70">
        <f>ReviewCalcs[[#This Row],[Control Energy Savings (kWh)]]*kWh_Incentive_Rate</f>
        <v>0</v>
      </c>
      <c r="AZ201" s="70" t="e">
        <f>ReviewCalcs[[#This Row],[Fixture Existing Demand (kW)]]+ReviewCalcs[[#This Row],[Control Existing Demand (kW)]]</f>
        <v>#VALUE!</v>
      </c>
      <c r="BA201" s="70" t="e">
        <f>ReviewCalcs[[#This Row],[Fixture Proposed Demand (kW)]]+ReviewCalcs[[#This Row],[Control Proposed Demand (kW)]]</f>
        <v>#VALUE!</v>
      </c>
      <c r="BB201" s="118">
        <f>ReviewCalcs[[#This Row],[Fixture Demand Savings (kW)]]+ReviewCalcs[[#This Row],[Control Demand Savings (kW)]]</f>
        <v>0</v>
      </c>
      <c r="BC201" s="118">
        <f>ReviewCalcs[[#This Row],[Fixture Existing Energy (kWh)]]+ReviewCalcs[[#This Row],[Control Existing Energy (kWh)]]</f>
        <v>0</v>
      </c>
      <c r="BD201" s="118">
        <f>ReviewCalcs[[#This Row],[Fixture Proposed Energy (kWh)]]+ReviewCalcs[[#This Row],[Control Proposed Energy (kWh)]]</f>
        <v>0</v>
      </c>
      <c r="BE201" s="118">
        <f>ReviewCalcs[[#This Row],[Fixture Energy Savings]]+ReviewCalcs[[#This Row],[Control Energy Savings (kWh)]]</f>
        <v>0</v>
      </c>
      <c r="BF201" s="118">
        <f>ReviewCalcs[[#This Row],[Fixture Existing Cost ($)]]+ReviewCalcs[[#This Row],[Control Existing Cost ($)]]</f>
        <v>0</v>
      </c>
      <c r="BG201" s="118">
        <f>ReviewCalcs[[#This Row],[Fixture Proposed Cost ($)]]+ReviewCalcs[[#This Row],[Controls Proposed Cost ($)]]</f>
        <v>0</v>
      </c>
      <c r="BH201" s="70">
        <f>ReviewCalcs[[#This Row],[Total Energy Savings (kWh)]]*Avg_KWh_Rate</f>
        <v>0</v>
      </c>
      <c r="BI2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1" s="70">
        <f>ReviewCalcs[[#This Row],[Retrofit Cost]]</f>
        <v>0</v>
      </c>
      <c r="BK201" s="70">
        <f>ReviewCalcs[[#This Row],[Retrofit Cost]]-ReviewCalcs[[#This Row],[Incentive ($)]]</f>
        <v>0</v>
      </c>
      <c r="BL201" s="118" t="e">
        <f>IFERROR(ReviewCalcs[[#This Row],[Net Project Cost ($)]]/ReviewCalcs[[#This Row],[Fixture Energy Cost Savings ($)]], #N/A)</f>
        <v>#N/A</v>
      </c>
      <c r="BM201" s="118" t="e">
        <f>IF(VLOOKUP(ReviewCalcs[[#This Row],[Existing Fixture Code]], Table7[[FIXTURE CODE]:[Baseline Fixture Code]], 8, FALSE)="N", VLOOKUP(ReviewCalcs[[#This Row],[Existing Fixture Code]], Table7[[FIXTURE CODE]:[Baseline Fixture Code]], 9, FALSE), ReviewCalcs[[#This Row],[Existing Fixture Code]])</f>
        <v>#N/A</v>
      </c>
      <c r="BN201" s="118" t="e">
        <f>INDEX(Table7[WATT/ FIXT], MATCH(ReviewCalcs[Baseline Fixture Code], Table7[FIXTURE CODE], 0))</f>
        <v>#N/A</v>
      </c>
      <c r="BO201" s="118">
        <f>IFERROR((ReviewCalcs[[#This Row],[Existing Fixture Quantity]]*ReviewCalcs[[#This Row],[Baseline Fixture Watts]]/1000-ReviewCalcs[[#This Row],[Proposed Fixture Quantity]]*ReviewCalcs[[#This Row],[Proposed Fixture Watts]]/1000)*ReviewCalcs[[#This Row],[Existing CF]]*ReviewCalcs[[#This Row],[IEFD]], 0)</f>
        <v>0</v>
      </c>
      <c r="BP2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1" s="118">
        <f>IF(ReviewCalcs[[#This Row],[Existing CF]]=ReviewCalcs[[#This Row],[Proposed CF]], 0, ReviewCalcs[[#This Row],[Proposed Fixture Quantity]]*ReviewCalcs[[#This Row],[Proposed Fixture Watts]]/1000*ReviewCalcs[[#This Row],[Proposed CF]]*ReviewCalcs[[#This Row],[IEFD]])</f>
        <v>0</v>
      </c>
      <c r="BR201" s="118">
        <f>IFERROR(ReviewCalcs[[#This Row],[Proposed Fixture Quantity]]*ReviewCalcs[[#This Row],[Proposed Fixture Watts]]/1000*(ReviewCalcs[[#This Row],[Existing PAF]]-ReviewCalcs[[#This Row],[Proposed PAF]])*ReviewCalcs[[#This Row],[AOH]]*ReviewCalcs[[#This Row],[IEFE]],0)</f>
        <v>0</v>
      </c>
      <c r="BS201" s="118">
        <f>ReviewCalcs[[#This Row],[Incentive Fixture Demand Savings (kW)]]+ReviewCalcs[[#This Row],[Incentive Control Demand Savings (kW)]]</f>
        <v>0</v>
      </c>
      <c r="BT201" s="118">
        <f>ReviewCalcs[[#This Row],[Incentive Fixture Energy Savings (kWh)]]+ReviewCalcs[[#This Row],[Incentive Control Energy Savings (kWh)]]</f>
        <v>0</v>
      </c>
      <c r="BU201" s="73"/>
    </row>
    <row r="202" spans="1:73" ht="30" customHeight="1">
      <c r="A202" s="68">
        <v>199</v>
      </c>
      <c r="B202" s="96">
        <f>VLOOKUP(ReviewCalcs[[#This Row],[Project Index]], ProjectInput[], D$1, FALSE)</f>
        <v>0</v>
      </c>
      <c r="C202" s="97">
        <f>VLOOKUP(ReviewCalcs[[#This Row],[Project Index]], ProjectInput[], E$1, FALSE)</f>
        <v>0</v>
      </c>
      <c r="D202" s="97">
        <f>VLOOKUP(ReviewCalcs[[#This Row],[Project Index]], ProjectInput[], F$1, FALSE)</f>
        <v>0</v>
      </c>
      <c r="E202" s="97">
        <f>VLOOKUP(ReviewCalcs[[#This Row],[Project Index]], ProjectInput[], G$1, FALSE)</f>
        <v>0</v>
      </c>
      <c r="F202" s="97">
        <f>VLOOKUP(ReviewCalcs[[#This Row],[Project Index]], ProjectInput[], H$1, FALSE)</f>
        <v>0</v>
      </c>
      <c r="G202" s="98" t="str">
        <f>VLOOKUP(ReviewCalcs[[#This Row],[Project Index]], ProjectInput[], I$1, FALSE)</f>
        <v/>
      </c>
      <c r="H202" s="96">
        <f>VLOOKUP(ReviewCalcs[[#This Row],[Project Index]], ProjectInput[], J$1, FALSE)</f>
        <v>0</v>
      </c>
      <c r="I202" s="97">
        <f>VLOOKUP(ReviewCalcs[[#This Row],[Project Index]], ProjectInput[], K$1, FALSE)</f>
        <v>0</v>
      </c>
      <c r="J202" s="97">
        <f>VLOOKUP(ReviewCalcs[[#This Row],[Project Index]], ProjectInput[], L$1, FALSE)</f>
        <v>0</v>
      </c>
      <c r="K202" s="97">
        <f>VLOOKUP(ReviewCalcs[[#This Row],[Project Index]], ProjectInput[], M$1, FALSE)</f>
        <v>0</v>
      </c>
      <c r="L202" s="97">
        <f>VLOOKUP(ReviewCalcs[[#This Row],[Project Index]], ProjectInput[], N$1, FALSE)</f>
        <v>0</v>
      </c>
      <c r="M202" s="98" t="str">
        <f>VLOOKUP(ReviewCalcs[[#This Row],[Project Index]], ProjectInput[], O$1, FALSE)</f>
        <v/>
      </c>
      <c r="N202" s="96">
        <f>VLOOKUP(ReviewCalcs[[#This Row],[Project Index]], ProjectInput[], P$1, FALSE)</f>
        <v>0</v>
      </c>
      <c r="O202" s="97">
        <f>VLOOKUP(ReviewCalcs[[#This Row],[Project Index]], ProjectInput[], Q$1, FALSE)</f>
        <v>0</v>
      </c>
      <c r="P202" s="97">
        <f>VLOOKUP(ReviewCalcs[[#This Row],[Project Index]], ProjectInput[], R$1, FALSE)</f>
        <v>0</v>
      </c>
      <c r="Q202" s="97">
        <f>VLOOKUP(ReviewCalcs[[#This Row],[Project Index]], ProjectInput[], S$1, FALSE)</f>
        <v>0</v>
      </c>
      <c r="R202" s="97">
        <f>VLOOKUP(ReviewCalcs[[#This Row],[Project Index]], ProjectInput[], T$1, FALSE)</f>
        <v>0</v>
      </c>
      <c r="S202" s="97">
        <f>VLOOKUP(ReviewCalcs[[#This Row],[Project Index]], ProjectInput[], U$1, FALSE)</f>
        <v>0</v>
      </c>
      <c r="T202" s="97">
        <f>VLOOKUP(ReviewCalcs[[#This Row],[Project Index]], ProjectInput[], V$1, FALSE)</f>
        <v>0</v>
      </c>
      <c r="U202" s="97">
        <f>VLOOKUP(ReviewCalcs[[#This Row],[Project Index]], ProjectInput[], W$1, FALSE)</f>
        <v>0</v>
      </c>
      <c r="V202" s="98" t="str">
        <f>VLOOKUP(ReviewCalcs[[#This Row],[Project Index]], ProjectInput[], X$1, FALSE)</f>
        <v/>
      </c>
      <c r="W2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2" s="75" t="e">
        <f>IF(VLOOKUP(ReviewCalcs[[#This Row],[Proposed Fixture Code]], Table7[[FIXTURE CODE]:[Baseline Fixture Code]], 8, FALSE)="N", "ERROR", "PASS")</f>
        <v>#N/A</v>
      </c>
      <c r="Y2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2" s="75" t="e">
        <f>IF(OR(ReviewCalcs[[#This Row],[Baseline Fixture Watts]]&gt;=ReviewCalcs[[#This Row],[Proposed Fixture Watts]],ReviewCalcs[[#This Row],[Existing Fixture Watts]]&gt;=ReviewCalcs[[#This Row],[Proposed Fixture Watts]] ), "PASS", "ERROR")</f>
        <v>#N/A</v>
      </c>
      <c r="AA202" s="69" t="e">
        <f>VLOOKUP(ReviewCalcs[[#This Row],[Space Conditions]], Table_365[], 5, FALSE)</f>
        <v>#N/A</v>
      </c>
      <c r="AB202" s="68" t="str">
        <f>ReviewCalcs[[#This Row],[Annual Hours]]</f>
        <v/>
      </c>
      <c r="AC202" s="68" t="e">
        <f>VLOOKUP(ReviewCalcs[[#This Row],[Space Conditions]], Table_365[], 6, FALSE)</f>
        <v>#N/A</v>
      </c>
      <c r="AD202" s="68">
        <f>IF(ReviewCalcs[[#This Row],[Existing Control(s)]]='Tables &amp; Ranges'!$A$25, VLOOKUP(ReviewCalcs[[#This Row],[Building/Space Type]], Table_364[], 3, FALSE), CF_Contols)</f>
        <v>0.26</v>
      </c>
      <c r="AE202" s="68" t="e">
        <f>VLOOKUP(ReviewCalcs[[#This Row],[Existing Control(s)]], Table_358[], 2, FALSE)</f>
        <v>#N/A</v>
      </c>
      <c r="AF202" s="68">
        <f>IF(ReviewCalcs[[#This Row],[Proposed Control(s)]]='Tables &amp; Ranges'!$A$25, VLOOKUP(ReviewCalcs[[#This Row],[Building/Space Type]], Table_364[], 3, FALSE), CF_Contols)</f>
        <v>0.26</v>
      </c>
      <c r="AG202" s="68" t="e">
        <f>VLOOKUP(ReviewCalcs[[#This Row],[Proposed Control(s)]], Table_358[], 2, FALSE)</f>
        <v>#N/A</v>
      </c>
      <c r="AH202" s="68">
        <f>IFERROR((ReviewCalcs[[#This Row],[Existing Fixture Quantity]]*ReviewCalcs[[#This Row],[Existing Fixture Watts]]/1000)*ReviewCalcs[[#This Row],[Existing CF]]*ReviewCalcs[[#This Row],[IEFD]], 0)</f>
        <v>0</v>
      </c>
      <c r="AI202" s="68">
        <f>IFERROR((ReviewCalcs[[#This Row],[Proposed Fixture Quantity]]*ReviewCalcs[[#This Row],[Proposed Fixture Watts]]/1000)*ReviewCalcs[[#This Row],[Existing CF]]*ReviewCalcs[[#This Row],[IEFD]], 0)</f>
        <v>0</v>
      </c>
      <c r="AJ202" s="118">
        <f>IFERROR((ReviewCalcs[[#This Row],[Existing Fixture Quantity]]*ReviewCalcs[[#This Row],[Existing Fixture Watts]]/1000-ReviewCalcs[[#This Row],[Proposed Fixture Quantity]]*ReviewCalcs[[#This Row],[Proposed Fixture Watts]]/1000)*ReviewCalcs[[#This Row],[Existing CF]]*ReviewCalcs[[#This Row],[IEFD]], 0)</f>
        <v>0</v>
      </c>
      <c r="AK202" s="118">
        <f>IFERROR((ReviewCalcs[[#This Row],[Existing Fixture Quantity]]*ReviewCalcs[[#This Row],[Existing Fixture Watts]]/1000)*ReviewCalcs[[#This Row],[AOH]]*ReviewCalcs[[#This Row],[IEFE]]*ReviewCalcs[[#This Row],[Existing PAF]], 0)</f>
        <v>0</v>
      </c>
      <c r="AL202" s="118">
        <f>IFERROR((ReviewCalcs[[#This Row],[Proposed Fixture Quantity]]*ReviewCalcs[[#This Row],[Proposed Fixture Watts]]/1000)*ReviewCalcs[[#This Row],[AOH]]*ReviewCalcs[[#This Row],[IEFE]]*ReviewCalcs[[#This Row],[Existing PAF]], 0)</f>
        <v>0</v>
      </c>
      <c r="AM2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2" s="118">
        <f>ReviewCalcs[[#This Row],[Fixture Existing Energy (kWh)]]*Avg_KWh_Rate</f>
        <v>0</v>
      </c>
      <c r="AO202" s="118">
        <f>ReviewCalcs[[#This Row],[Fixture Proposed Energy (kWh)]]*Avg_KWh_Rate</f>
        <v>0</v>
      </c>
      <c r="AP202" s="70">
        <f>ReviewCalcs[[#This Row],[Fixture Energy Savings]]*Avg_KWh_Rate</f>
        <v>0</v>
      </c>
      <c r="AQ202" s="129" t="e">
        <f>ReviewCalcs[[#This Row],[Existing Fixture Quantity]]*ReviewCalcs[[#This Row],[Existing Fixture Watts]]/1000*ReviewCalcs[[#This Row],[Existing CF]]*ReviewCalcs[[#This Row],[IEFD]]</f>
        <v>#VALUE!</v>
      </c>
      <c r="AR202" s="129" t="e">
        <f>ReviewCalcs[[#This Row],[Proposed Fixture Quantity]]*ReviewCalcs[[#This Row],[Proposed Fixture Watts]]/1000*ReviewCalcs[[#This Row],[Proposed CF]]*ReviewCalcs[[#This Row],[IEFD]]</f>
        <v>#VALUE!</v>
      </c>
      <c r="AS202" s="118">
        <f>IF(ReviewCalcs[[#This Row],[Existing CF]]=ReviewCalcs[[#This Row],[Proposed CF]], 0, ReviewCalcs[[#This Row],[Proposed Fixture Quantity]]*ReviewCalcs[[#This Row],[Proposed Fixture Watts]]/1000*ReviewCalcs[[#This Row],[Proposed CF]]*ReviewCalcs[[#This Row],[IEFD]])</f>
        <v>0</v>
      </c>
      <c r="AT202" s="118">
        <f>IFERROR(ReviewCalcs[[#This Row],[Existing Fixture Quantity]]*ReviewCalcs[[#This Row],[Existing Fixture Watts]]/1000*ReviewCalcs[[#This Row],[Existing PAF]]*ReviewCalcs[[#This Row],[AOH]]*ReviewCalcs[[#This Row],[IEFE]], 0)</f>
        <v>0</v>
      </c>
      <c r="AU202" s="118">
        <f>IFERROR(ReviewCalcs[[#This Row],[Proposed Fixture Quantity]]*ReviewCalcs[[#This Row],[Proposed Fixture Watts]]/1000*ReviewCalcs[[#This Row],[Proposed PAF]]*ReviewCalcs[[#This Row],[AOH]]*ReviewCalcs[[#This Row],[IEFE]], 0)</f>
        <v>0</v>
      </c>
      <c r="AV202" s="118">
        <f>IFERROR(ReviewCalcs[[#This Row],[Proposed Fixture Quantity]]*ReviewCalcs[[#This Row],[Proposed Fixture Watts]]/1000*(ReviewCalcs[[#This Row],[Existing PAF]]-ReviewCalcs[[#This Row],[Proposed PAF]])*ReviewCalcs[[#This Row],[AOH]]*ReviewCalcs[[#This Row],[IEFE]], 0)</f>
        <v>0</v>
      </c>
      <c r="AW202" s="118">
        <f>ReviewCalcs[[#This Row],[Control Existing Energy (kWh)]]*kWh_Incentive_Rate</f>
        <v>0</v>
      </c>
      <c r="AX202" s="118">
        <f>ReviewCalcs[[#This Row],[Control Proposed Energy (kWh)]]*kWh_Incentive_Rate</f>
        <v>0</v>
      </c>
      <c r="AY202" s="70">
        <f>ReviewCalcs[[#This Row],[Control Energy Savings (kWh)]]*kWh_Incentive_Rate</f>
        <v>0</v>
      </c>
      <c r="AZ202" s="70" t="e">
        <f>ReviewCalcs[[#This Row],[Fixture Existing Demand (kW)]]+ReviewCalcs[[#This Row],[Control Existing Demand (kW)]]</f>
        <v>#VALUE!</v>
      </c>
      <c r="BA202" s="70" t="e">
        <f>ReviewCalcs[[#This Row],[Fixture Proposed Demand (kW)]]+ReviewCalcs[[#This Row],[Control Proposed Demand (kW)]]</f>
        <v>#VALUE!</v>
      </c>
      <c r="BB202" s="118">
        <f>ReviewCalcs[[#This Row],[Fixture Demand Savings (kW)]]+ReviewCalcs[[#This Row],[Control Demand Savings (kW)]]</f>
        <v>0</v>
      </c>
      <c r="BC202" s="118">
        <f>ReviewCalcs[[#This Row],[Fixture Existing Energy (kWh)]]+ReviewCalcs[[#This Row],[Control Existing Energy (kWh)]]</f>
        <v>0</v>
      </c>
      <c r="BD202" s="118">
        <f>ReviewCalcs[[#This Row],[Fixture Proposed Energy (kWh)]]+ReviewCalcs[[#This Row],[Control Proposed Energy (kWh)]]</f>
        <v>0</v>
      </c>
      <c r="BE202" s="118">
        <f>ReviewCalcs[[#This Row],[Fixture Energy Savings]]+ReviewCalcs[[#This Row],[Control Energy Savings (kWh)]]</f>
        <v>0</v>
      </c>
      <c r="BF202" s="118">
        <f>ReviewCalcs[[#This Row],[Fixture Existing Cost ($)]]+ReviewCalcs[[#This Row],[Control Existing Cost ($)]]</f>
        <v>0</v>
      </c>
      <c r="BG202" s="118">
        <f>ReviewCalcs[[#This Row],[Fixture Proposed Cost ($)]]+ReviewCalcs[[#This Row],[Controls Proposed Cost ($)]]</f>
        <v>0</v>
      </c>
      <c r="BH202" s="70">
        <f>ReviewCalcs[[#This Row],[Total Energy Savings (kWh)]]*Avg_KWh_Rate</f>
        <v>0</v>
      </c>
      <c r="BI2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2" s="70">
        <f>ReviewCalcs[[#This Row],[Retrofit Cost]]</f>
        <v>0</v>
      </c>
      <c r="BK202" s="70">
        <f>ReviewCalcs[[#This Row],[Retrofit Cost]]-ReviewCalcs[[#This Row],[Incentive ($)]]</f>
        <v>0</v>
      </c>
      <c r="BL202" s="118" t="e">
        <f>IFERROR(ReviewCalcs[[#This Row],[Net Project Cost ($)]]/ReviewCalcs[[#This Row],[Fixture Energy Cost Savings ($)]], #N/A)</f>
        <v>#N/A</v>
      </c>
      <c r="BM202" s="118" t="e">
        <f>IF(VLOOKUP(ReviewCalcs[[#This Row],[Existing Fixture Code]], Table7[[FIXTURE CODE]:[Baseline Fixture Code]], 8, FALSE)="N", VLOOKUP(ReviewCalcs[[#This Row],[Existing Fixture Code]], Table7[[FIXTURE CODE]:[Baseline Fixture Code]], 9, FALSE), ReviewCalcs[[#This Row],[Existing Fixture Code]])</f>
        <v>#N/A</v>
      </c>
      <c r="BN202" s="118" t="e">
        <f>INDEX(Table7[WATT/ FIXT], MATCH(ReviewCalcs[Baseline Fixture Code], Table7[FIXTURE CODE], 0))</f>
        <v>#N/A</v>
      </c>
      <c r="BO202" s="118">
        <f>IFERROR((ReviewCalcs[[#This Row],[Existing Fixture Quantity]]*ReviewCalcs[[#This Row],[Baseline Fixture Watts]]/1000-ReviewCalcs[[#This Row],[Proposed Fixture Quantity]]*ReviewCalcs[[#This Row],[Proposed Fixture Watts]]/1000)*ReviewCalcs[[#This Row],[Existing CF]]*ReviewCalcs[[#This Row],[IEFD]], 0)</f>
        <v>0</v>
      </c>
      <c r="BP2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2" s="118">
        <f>IF(ReviewCalcs[[#This Row],[Existing CF]]=ReviewCalcs[[#This Row],[Proposed CF]], 0, ReviewCalcs[[#This Row],[Proposed Fixture Quantity]]*ReviewCalcs[[#This Row],[Proposed Fixture Watts]]/1000*ReviewCalcs[[#This Row],[Proposed CF]]*ReviewCalcs[[#This Row],[IEFD]])</f>
        <v>0</v>
      </c>
      <c r="BR202" s="118">
        <f>IFERROR(ReviewCalcs[[#This Row],[Proposed Fixture Quantity]]*ReviewCalcs[[#This Row],[Proposed Fixture Watts]]/1000*(ReviewCalcs[[#This Row],[Existing PAF]]-ReviewCalcs[[#This Row],[Proposed PAF]])*ReviewCalcs[[#This Row],[AOH]]*ReviewCalcs[[#This Row],[IEFE]],0)</f>
        <v>0</v>
      </c>
      <c r="BS202" s="118">
        <f>ReviewCalcs[[#This Row],[Incentive Fixture Demand Savings (kW)]]+ReviewCalcs[[#This Row],[Incentive Control Demand Savings (kW)]]</f>
        <v>0</v>
      </c>
      <c r="BT202" s="118">
        <f>ReviewCalcs[[#This Row],[Incentive Fixture Energy Savings (kWh)]]+ReviewCalcs[[#This Row],[Incentive Control Energy Savings (kWh)]]</f>
        <v>0</v>
      </c>
      <c r="BU202" s="73"/>
    </row>
    <row r="203" spans="1:73" ht="30" customHeight="1">
      <c r="A203" s="68">
        <v>200</v>
      </c>
      <c r="B203" s="96">
        <f>VLOOKUP(ReviewCalcs[[#This Row],[Project Index]], ProjectInput[], D$1, FALSE)</f>
        <v>0</v>
      </c>
      <c r="C203" s="97">
        <f>VLOOKUP(ReviewCalcs[[#This Row],[Project Index]], ProjectInput[], E$1, FALSE)</f>
        <v>0</v>
      </c>
      <c r="D203" s="97">
        <f>VLOOKUP(ReviewCalcs[[#This Row],[Project Index]], ProjectInput[], F$1, FALSE)</f>
        <v>0</v>
      </c>
      <c r="E203" s="97">
        <f>VLOOKUP(ReviewCalcs[[#This Row],[Project Index]], ProjectInput[], G$1, FALSE)</f>
        <v>0</v>
      </c>
      <c r="F203" s="97">
        <f>VLOOKUP(ReviewCalcs[[#This Row],[Project Index]], ProjectInput[], H$1, FALSE)</f>
        <v>0</v>
      </c>
      <c r="G203" s="98" t="str">
        <f>VLOOKUP(ReviewCalcs[[#This Row],[Project Index]], ProjectInput[], I$1, FALSE)</f>
        <v/>
      </c>
      <c r="H203" s="96">
        <f>VLOOKUP(ReviewCalcs[[#This Row],[Project Index]], ProjectInput[], J$1, FALSE)</f>
        <v>0</v>
      </c>
      <c r="I203" s="97">
        <f>VLOOKUP(ReviewCalcs[[#This Row],[Project Index]], ProjectInput[], K$1, FALSE)</f>
        <v>0</v>
      </c>
      <c r="J203" s="97">
        <f>VLOOKUP(ReviewCalcs[[#This Row],[Project Index]], ProjectInput[], L$1, FALSE)</f>
        <v>0</v>
      </c>
      <c r="K203" s="97">
        <f>VLOOKUP(ReviewCalcs[[#This Row],[Project Index]], ProjectInput[], M$1, FALSE)</f>
        <v>0</v>
      </c>
      <c r="L203" s="97">
        <f>VLOOKUP(ReviewCalcs[[#This Row],[Project Index]], ProjectInput[], N$1, FALSE)</f>
        <v>0</v>
      </c>
      <c r="M203" s="98" t="str">
        <f>VLOOKUP(ReviewCalcs[[#This Row],[Project Index]], ProjectInput[], O$1, FALSE)</f>
        <v/>
      </c>
      <c r="N203" s="96">
        <f>VLOOKUP(ReviewCalcs[[#This Row],[Project Index]], ProjectInput[], P$1, FALSE)</f>
        <v>0</v>
      </c>
      <c r="O203" s="97">
        <f>VLOOKUP(ReviewCalcs[[#This Row],[Project Index]], ProjectInput[], Q$1, FALSE)</f>
        <v>0</v>
      </c>
      <c r="P203" s="97">
        <f>VLOOKUP(ReviewCalcs[[#This Row],[Project Index]], ProjectInput[], R$1, FALSE)</f>
        <v>0</v>
      </c>
      <c r="Q203" s="97">
        <f>VLOOKUP(ReviewCalcs[[#This Row],[Project Index]], ProjectInput[], S$1, FALSE)</f>
        <v>0</v>
      </c>
      <c r="R203" s="97">
        <f>VLOOKUP(ReviewCalcs[[#This Row],[Project Index]], ProjectInput[], T$1, FALSE)</f>
        <v>0</v>
      </c>
      <c r="S203" s="97">
        <f>VLOOKUP(ReviewCalcs[[#This Row],[Project Index]], ProjectInput[], U$1, FALSE)</f>
        <v>0</v>
      </c>
      <c r="T203" s="97">
        <f>VLOOKUP(ReviewCalcs[[#This Row],[Project Index]], ProjectInput[], V$1, FALSE)</f>
        <v>0</v>
      </c>
      <c r="U203" s="97">
        <f>VLOOKUP(ReviewCalcs[[#This Row],[Project Index]], ProjectInput[], W$1, FALSE)</f>
        <v>0</v>
      </c>
      <c r="V203" s="98" t="str">
        <f>VLOOKUP(ReviewCalcs[[#This Row],[Project Index]], ProjectInput[], X$1, FALSE)</f>
        <v/>
      </c>
      <c r="W2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3" s="75" t="e">
        <f>IF(VLOOKUP(ReviewCalcs[[#This Row],[Proposed Fixture Code]], Table7[[FIXTURE CODE]:[Baseline Fixture Code]], 8, FALSE)="N", "ERROR", "PASS")</f>
        <v>#N/A</v>
      </c>
      <c r="Y2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3" s="75" t="e">
        <f>IF(OR(ReviewCalcs[[#This Row],[Baseline Fixture Watts]]&gt;=ReviewCalcs[[#This Row],[Proposed Fixture Watts]],ReviewCalcs[[#This Row],[Existing Fixture Watts]]&gt;=ReviewCalcs[[#This Row],[Proposed Fixture Watts]] ), "PASS", "ERROR")</f>
        <v>#N/A</v>
      </c>
      <c r="AA203" s="69" t="e">
        <f>VLOOKUP(ReviewCalcs[[#This Row],[Space Conditions]], Table_365[], 5, FALSE)</f>
        <v>#N/A</v>
      </c>
      <c r="AB203" s="68" t="str">
        <f>ReviewCalcs[[#This Row],[Annual Hours]]</f>
        <v/>
      </c>
      <c r="AC203" s="68" t="e">
        <f>VLOOKUP(ReviewCalcs[[#This Row],[Space Conditions]], Table_365[], 6, FALSE)</f>
        <v>#N/A</v>
      </c>
      <c r="AD203" s="68">
        <f>IF(ReviewCalcs[[#This Row],[Existing Control(s)]]='Tables &amp; Ranges'!$A$25, VLOOKUP(ReviewCalcs[[#This Row],[Building/Space Type]], Table_364[], 3, FALSE), CF_Contols)</f>
        <v>0.26</v>
      </c>
      <c r="AE203" s="68" t="e">
        <f>VLOOKUP(ReviewCalcs[[#This Row],[Existing Control(s)]], Table_358[], 2, FALSE)</f>
        <v>#N/A</v>
      </c>
      <c r="AF203" s="68">
        <f>IF(ReviewCalcs[[#This Row],[Proposed Control(s)]]='Tables &amp; Ranges'!$A$25, VLOOKUP(ReviewCalcs[[#This Row],[Building/Space Type]], Table_364[], 3, FALSE), CF_Contols)</f>
        <v>0.26</v>
      </c>
      <c r="AG203" s="68" t="e">
        <f>VLOOKUP(ReviewCalcs[[#This Row],[Proposed Control(s)]], Table_358[], 2, FALSE)</f>
        <v>#N/A</v>
      </c>
      <c r="AH203" s="68">
        <f>IFERROR((ReviewCalcs[[#This Row],[Existing Fixture Quantity]]*ReviewCalcs[[#This Row],[Existing Fixture Watts]]/1000)*ReviewCalcs[[#This Row],[Existing CF]]*ReviewCalcs[[#This Row],[IEFD]], 0)</f>
        <v>0</v>
      </c>
      <c r="AI203" s="68">
        <f>IFERROR((ReviewCalcs[[#This Row],[Proposed Fixture Quantity]]*ReviewCalcs[[#This Row],[Proposed Fixture Watts]]/1000)*ReviewCalcs[[#This Row],[Existing CF]]*ReviewCalcs[[#This Row],[IEFD]], 0)</f>
        <v>0</v>
      </c>
      <c r="AJ203" s="118">
        <f>IFERROR((ReviewCalcs[[#This Row],[Existing Fixture Quantity]]*ReviewCalcs[[#This Row],[Existing Fixture Watts]]/1000-ReviewCalcs[[#This Row],[Proposed Fixture Quantity]]*ReviewCalcs[[#This Row],[Proposed Fixture Watts]]/1000)*ReviewCalcs[[#This Row],[Existing CF]]*ReviewCalcs[[#This Row],[IEFD]], 0)</f>
        <v>0</v>
      </c>
      <c r="AK203" s="118">
        <f>IFERROR((ReviewCalcs[[#This Row],[Existing Fixture Quantity]]*ReviewCalcs[[#This Row],[Existing Fixture Watts]]/1000)*ReviewCalcs[[#This Row],[AOH]]*ReviewCalcs[[#This Row],[IEFE]]*ReviewCalcs[[#This Row],[Existing PAF]], 0)</f>
        <v>0</v>
      </c>
      <c r="AL203" s="118">
        <f>IFERROR((ReviewCalcs[[#This Row],[Proposed Fixture Quantity]]*ReviewCalcs[[#This Row],[Proposed Fixture Watts]]/1000)*ReviewCalcs[[#This Row],[AOH]]*ReviewCalcs[[#This Row],[IEFE]]*ReviewCalcs[[#This Row],[Existing PAF]], 0)</f>
        <v>0</v>
      </c>
      <c r="AM2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3" s="118">
        <f>ReviewCalcs[[#This Row],[Fixture Existing Energy (kWh)]]*Avg_KWh_Rate</f>
        <v>0</v>
      </c>
      <c r="AO203" s="118">
        <f>ReviewCalcs[[#This Row],[Fixture Proposed Energy (kWh)]]*Avg_KWh_Rate</f>
        <v>0</v>
      </c>
      <c r="AP203" s="70">
        <f>ReviewCalcs[[#This Row],[Fixture Energy Savings]]*Avg_KWh_Rate</f>
        <v>0</v>
      </c>
      <c r="AQ203" s="129" t="e">
        <f>ReviewCalcs[[#This Row],[Existing Fixture Quantity]]*ReviewCalcs[[#This Row],[Existing Fixture Watts]]/1000*ReviewCalcs[[#This Row],[Existing CF]]*ReviewCalcs[[#This Row],[IEFD]]</f>
        <v>#VALUE!</v>
      </c>
      <c r="AR203" s="129" t="e">
        <f>ReviewCalcs[[#This Row],[Proposed Fixture Quantity]]*ReviewCalcs[[#This Row],[Proposed Fixture Watts]]/1000*ReviewCalcs[[#This Row],[Proposed CF]]*ReviewCalcs[[#This Row],[IEFD]]</f>
        <v>#VALUE!</v>
      </c>
      <c r="AS203" s="118">
        <f>IF(ReviewCalcs[[#This Row],[Existing CF]]=ReviewCalcs[[#This Row],[Proposed CF]], 0, ReviewCalcs[[#This Row],[Proposed Fixture Quantity]]*ReviewCalcs[[#This Row],[Proposed Fixture Watts]]/1000*ReviewCalcs[[#This Row],[Proposed CF]]*ReviewCalcs[[#This Row],[IEFD]])</f>
        <v>0</v>
      </c>
      <c r="AT203" s="118">
        <f>IFERROR(ReviewCalcs[[#This Row],[Existing Fixture Quantity]]*ReviewCalcs[[#This Row],[Existing Fixture Watts]]/1000*ReviewCalcs[[#This Row],[Existing PAF]]*ReviewCalcs[[#This Row],[AOH]]*ReviewCalcs[[#This Row],[IEFE]], 0)</f>
        <v>0</v>
      </c>
      <c r="AU203" s="118">
        <f>IFERROR(ReviewCalcs[[#This Row],[Proposed Fixture Quantity]]*ReviewCalcs[[#This Row],[Proposed Fixture Watts]]/1000*ReviewCalcs[[#This Row],[Proposed PAF]]*ReviewCalcs[[#This Row],[AOH]]*ReviewCalcs[[#This Row],[IEFE]], 0)</f>
        <v>0</v>
      </c>
      <c r="AV203" s="118">
        <f>IFERROR(ReviewCalcs[[#This Row],[Proposed Fixture Quantity]]*ReviewCalcs[[#This Row],[Proposed Fixture Watts]]/1000*(ReviewCalcs[[#This Row],[Existing PAF]]-ReviewCalcs[[#This Row],[Proposed PAF]])*ReviewCalcs[[#This Row],[AOH]]*ReviewCalcs[[#This Row],[IEFE]], 0)</f>
        <v>0</v>
      </c>
      <c r="AW203" s="118">
        <f>ReviewCalcs[[#This Row],[Control Existing Energy (kWh)]]*kWh_Incentive_Rate</f>
        <v>0</v>
      </c>
      <c r="AX203" s="118">
        <f>ReviewCalcs[[#This Row],[Control Proposed Energy (kWh)]]*kWh_Incentive_Rate</f>
        <v>0</v>
      </c>
      <c r="AY203" s="70">
        <f>ReviewCalcs[[#This Row],[Control Energy Savings (kWh)]]*kWh_Incentive_Rate</f>
        <v>0</v>
      </c>
      <c r="AZ203" s="70" t="e">
        <f>ReviewCalcs[[#This Row],[Fixture Existing Demand (kW)]]+ReviewCalcs[[#This Row],[Control Existing Demand (kW)]]</f>
        <v>#VALUE!</v>
      </c>
      <c r="BA203" s="70" t="e">
        <f>ReviewCalcs[[#This Row],[Fixture Proposed Demand (kW)]]+ReviewCalcs[[#This Row],[Control Proposed Demand (kW)]]</f>
        <v>#VALUE!</v>
      </c>
      <c r="BB203" s="118">
        <f>ReviewCalcs[[#This Row],[Fixture Demand Savings (kW)]]+ReviewCalcs[[#This Row],[Control Demand Savings (kW)]]</f>
        <v>0</v>
      </c>
      <c r="BC203" s="118">
        <f>ReviewCalcs[[#This Row],[Fixture Existing Energy (kWh)]]+ReviewCalcs[[#This Row],[Control Existing Energy (kWh)]]</f>
        <v>0</v>
      </c>
      <c r="BD203" s="118">
        <f>ReviewCalcs[[#This Row],[Fixture Proposed Energy (kWh)]]+ReviewCalcs[[#This Row],[Control Proposed Energy (kWh)]]</f>
        <v>0</v>
      </c>
      <c r="BE203" s="118">
        <f>ReviewCalcs[[#This Row],[Fixture Energy Savings]]+ReviewCalcs[[#This Row],[Control Energy Savings (kWh)]]</f>
        <v>0</v>
      </c>
      <c r="BF203" s="118">
        <f>ReviewCalcs[[#This Row],[Fixture Existing Cost ($)]]+ReviewCalcs[[#This Row],[Control Existing Cost ($)]]</f>
        <v>0</v>
      </c>
      <c r="BG203" s="118">
        <f>ReviewCalcs[[#This Row],[Fixture Proposed Cost ($)]]+ReviewCalcs[[#This Row],[Controls Proposed Cost ($)]]</f>
        <v>0</v>
      </c>
      <c r="BH203" s="70">
        <f>ReviewCalcs[[#This Row],[Total Energy Savings (kWh)]]*Avg_KWh_Rate</f>
        <v>0</v>
      </c>
      <c r="BI2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3" s="70">
        <f>ReviewCalcs[[#This Row],[Retrofit Cost]]</f>
        <v>0</v>
      </c>
      <c r="BK203" s="70">
        <f>ReviewCalcs[[#This Row],[Retrofit Cost]]-ReviewCalcs[[#This Row],[Incentive ($)]]</f>
        <v>0</v>
      </c>
      <c r="BL203" s="118" t="e">
        <f>IFERROR(ReviewCalcs[[#This Row],[Net Project Cost ($)]]/ReviewCalcs[[#This Row],[Fixture Energy Cost Savings ($)]], #N/A)</f>
        <v>#N/A</v>
      </c>
      <c r="BM203" s="118" t="e">
        <f>IF(VLOOKUP(ReviewCalcs[[#This Row],[Existing Fixture Code]], Table7[[FIXTURE CODE]:[Baseline Fixture Code]], 8, FALSE)="N", VLOOKUP(ReviewCalcs[[#This Row],[Existing Fixture Code]], Table7[[FIXTURE CODE]:[Baseline Fixture Code]], 9, FALSE), ReviewCalcs[[#This Row],[Existing Fixture Code]])</f>
        <v>#N/A</v>
      </c>
      <c r="BN203" s="118" t="e">
        <f>INDEX(Table7[WATT/ FIXT], MATCH(ReviewCalcs[Baseline Fixture Code], Table7[FIXTURE CODE], 0))</f>
        <v>#N/A</v>
      </c>
      <c r="BO203" s="118">
        <f>IFERROR((ReviewCalcs[[#This Row],[Existing Fixture Quantity]]*ReviewCalcs[[#This Row],[Baseline Fixture Watts]]/1000-ReviewCalcs[[#This Row],[Proposed Fixture Quantity]]*ReviewCalcs[[#This Row],[Proposed Fixture Watts]]/1000)*ReviewCalcs[[#This Row],[Existing CF]]*ReviewCalcs[[#This Row],[IEFD]], 0)</f>
        <v>0</v>
      </c>
      <c r="BP2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3" s="118">
        <f>IF(ReviewCalcs[[#This Row],[Existing CF]]=ReviewCalcs[[#This Row],[Proposed CF]], 0, ReviewCalcs[[#This Row],[Proposed Fixture Quantity]]*ReviewCalcs[[#This Row],[Proposed Fixture Watts]]/1000*ReviewCalcs[[#This Row],[Proposed CF]]*ReviewCalcs[[#This Row],[IEFD]])</f>
        <v>0</v>
      </c>
      <c r="BR203" s="118">
        <f>IFERROR(ReviewCalcs[[#This Row],[Proposed Fixture Quantity]]*ReviewCalcs[[#This Row],[Proposed Fixture Watts]]/1000*(ReviewCalcs[[#This Row],[Existing PAF]]-ReviewCalcs[[#This Row],[Proposed PAF]])*ReviewCalcs[[#This Row],[AOH]]*ReviewCalcs[[#This Row],[IEFE]],0)</f>
        <v>0</v>
      </c>
      <c r="BS203" s="118">
        <f>ReviewCalcs[[#This Row],[Incentive Fixture Demand Savings (kW)]]+ReviewCalcs[[#This Row],[Incentive Control Demand Savings (kW)]]</f>
        <v>0</v>
      </c>
      <c r="BT203" s="118">
        <f>ReviewCalcs[[#This Row],[Incentive Fixture Energy Savings (kWh)]]+ReviewCalcs[[#This Row],[Incentive Control Energy Savings (kWh)]]</f>
        <v>0</v>
      </c>
      <c r="BU203" s="73"/>
    </row>
    <row r="204" spans="1:73" ht="30" customHeight="1">
      <c r="A204" s="68">
        <v>201</v>
      </c>
      <c r="B204" s="96">
        <f>VLOOKUP(ReviewCalcs[[#This Row],[Project Index]], ProjectInput[], D$1, FALSE)</f>
        <v>0</v>
      </c>
      <c r="C204" s="97">
        <f>VLOOKUP(ReviewCalcs[[#This Row],[Project Index]], ProjectInput[], E$1, FALSE)</f>
        <v>0</v>
      </c>
      <c r="D204" s="97">
        <f>VLOOKUP(ReviewCalcs[[#This Row],[Project Index]], ProjectInput[], F$1, FALSE)</f>
        <v>0</v>
      </c>
      <c r="E204" s="97">
        <f>VLOOKUP(ReviewCalcs[[#This Row],[Project Index]], ProjectInput[], G$1, FALSE)</f>
        <v>0</v>
      </c>
      <c r="F204" s="97">
        <f>VLOOKUP(ReviewCalcs[[#This Row],[Project Index]], ProjectInput[], H$1, FALSE)</f>
        <v>0</v>
      </c>
      <c r="G204" s="98" t="str">
        <f>VLOOKUP(ReviewCalcs[[#This Row],[Project Index]], ProjectInput[], I$1, FALSE)</f>
        <v/>
      </c>
      <c r="H204" s="96">
        <f>VLOOKUP(ReviewCalcs[[#This Row],[Project Index]], ProjectInput[], J$1, FALSE)</f>
        <v>0</v>
      </c>
      <c r="I204" s="97">
        <f>VLOOKUP(ReviewCalcs[[#This Row],[Project Index]], ProjectInput[], K$1, FALSE)</f>
        <v>0</v>
      </c>
      <c r="J204" s="97">
        <f>VLOOKUP(ReviewCalcs[[#This Row],[Project Index]], ProjectInput[], L$1, FALSE)</f>
        <v>0</v>
      </c>
      <c r="K204" s="97">
        <f>VLOOKUP(ReviewCalcs[[#This Row],[Project Index]], ProjectInput[], M$1, FALSE)</f>
        <v>0</v>
      </c>
      <c r="L204" s="97">
        <f>VLOOKUP(ReviewCalcs[[#This Row],[Project Index]], ProjectInput[], N$1, FALSE)</f>
        <v>0</v>
      </c>
      <c r="M204" s="98" t="str">
        <f>VLOOKUP(ReviewCalcs[[#This Row],[Project Index]], ProjectInput[], O$1, FALSE)</f>
        <v/>
      </c>
      <c r="N204" s="96">
        <f>VLOOKUP(ReviewCalcs[[#This Row],[Project Index]], ProjectInput[], P$1, FALSE)</f>
        <v>0</v>
      </c>
      <c r="O204" s="97">
        <f>VLOOKUP(ReviewCalcs[[#This Row],[Project Index]], ProjectInput[], Q$1, FALSE)</f>
        <v>0</v>
      </c>
      <c r="P204" s="97">
        <f>VLOOKUP(ReviewCalcs[[#This Row],[Project Index]], ProjectInput[], R$1, FALSE)</f>
        <v>0</v>
      </c>
      <c r="Q204" s="97">
        <f>VLOOKUP(ReviewCalcs[[#This Row],[Project Index]], ProjectInput[], S$1, FALSE)</f>
        <v>0</v>
      </c>
      <c r="R204" s="97">
        <f>VLOOKUP(ReviewCalcs[[#This Row],[Project Index]], ProjectInput[], T$1, FALSE)</f>
        <v>0</v>
      </c>
      <c r="S204" s="97">
        <f>VLOOKUP(ReviewCalcs[[#This Row],[Project Index]], ProjectInput[], U$1, FALSE)</f>
        <v>0</v>
      </c>
      <c r="T204" s="97">
        <f>VLOOKUP(ReviewCalcs[[#This Row],[Project Index]], ProjectInput[], V$1, FALSE)</f>
        <v>0</v>
      </c>
      <c r="U204" s="97">
        <f>VLOOKUP(ReviewCalcs[[#This Row],[Project Index]], ProjectInput[], W$1, FALSE)</f>
        <v>0</v>
      </c>
      <c r="V204" s="98" t="str">
        <f>VLOOKUP(ReviewCalcs[[#This Row],[Project Index]], ProjectInput[], X$1, FALSE)</f>
        <v/>
      </c>
      <c r="W20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4" s="75" t="e">
        <f>IF(VLOOKUP(ReviewCalcs[[#This Row],[Proposed Fixture Code]], Table7[[FIXTURE CODE]:[Baseline Fixture Code]], 8, FALSE)="N", "ERROR", "PASS")</f>
        <v>#N/A</v>
      </c>
      <c r="Y20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4" s="75" t="e">
        <f>IF(OR(ReviewCalcs[[#This Row],[Baseline Fixture Watts]]&gt;=ReviewCalcs[[#This Row],[Proposed Fixture Watts]],ReviewCalcs[[#This Row],[Existing Fixture Watts]]&gt;=ReviewCalcs[[#This Row],[Proposed Fixture Watts]] ), "PASS", "ERROR")</f>
        <v>#N/A</v>
      </c>
      <c r="AA204" s="69" t="e">
        <f>VLOOKUP(ReviewCalcs[[#This Row],[Space Conditions]], Table_365[], 5, FALSE)</f>
        <v>#N/A</v>
      </c>
      <c r="AB204" s="68" t="str">
        <f>ReviewCalcs[[#This Row],[Annual Hours]]</f>
        <v/>
      </c>
      <c r="AC204" s="68" t="e">
        <f>VLOOKUP(ReviewCalcs[[#This Row],[Space Conditions]], Table_365[], 6, FALSE)</f>
        <v>#N/A</v>
      </c>
      <c r="AD204" s="68">
        <f>IF(ReviewCalcs[[#This Row],[Existing Control(s)]]='Tables &amp; Ranges'!$A$25, VLOOKUP(ReviewCalcs[[#This Row],[Building/Space Type]], Table_364[], 3, FALSE), CF_Contols)</f>
        <v>0.26</v>
      </c>
      <c r="AE204" s="68" t="e">
        <f>VLOOKUP(ReviewCalcs[[#This Row],[Existing Control(s)]], Table_358[], 2, FALSE)</f>
        <v>#N/A</v>
      </c>
      <c r="AF204" s="68">
        <f>IF(ReviewCalcs[[#This Row],[Proposed Control(s)]]='Tables &amp; Ranges'!$A$25, VLOOKUP(ReviewCalcs[[#This Row],[Building/Space Type]], Table_364[], 3, FALSE), CF_Contols)</f>
        <v>0.26</v>
      </c>
      <c r="AG204" s="68" t="e">
        <f>VLOOKUP(ReviewCalcs[[#This Row],[Proposed Control(s)]], Table_358[], 2, FALSE)</f>
        <v>#N/A</v>
      </c>
      <c r="AH204" s="68">
        <f>IFERROR((ReviewCalcs[[#This Row],[Existing Fixture Quantity]]*ReviewCalcs[[#This Row],[Existing Fixture Watts]]/1000)*ReviewCalcs[[#This Row],[Existing CF]]*ReviewCalcs[[#This Row],[IEFD]], 0)</f>
        <v>0</v>
      </c>
      <c r="AI204" s="68">
        <f>IFERROR((ReviewCalcs[[#This Row],[Proposed Fixture Quantity]]*ReviewCalcs[[#This Row],[Proposed Fixture Watts]]/1000)*ReviewCalcs[[#This Row],[Existing CF]]*ReviewCalcs[[#This Row],[IEFD]], 0)</f>
        <v>0</v>
      </c>
      <c r="AJ204" s="118">
        <f>IFERROR((ReviewCalcs[[#This Row],[Existing Fixture Quantity]]*ReviewCalcs[[#This Row],[Existing Fixture Watts]]/1000-ReviewCalcs[[#This Row],[Proposed Fixture Quantity]]*ReviewCalcs[[#This Row],[Proposed Fixture Watts]]/1000)*ReviewCalcs[[#This Row],[Existing CF]]*ReviewCalcs[[#This Row],[IEFD]], 0)</f>
        <v>0</v>
      </c>
      <c r="AK204" s="118">
        <f>IFERROR((ReviewCalcs[[#This Row],[Existing Fixture Quantity]]*ReviewCalcs[[#This Row],[Existing Fixture Watts]]/1000)*ReviewCalcs[[#This Row],[AOH]]*ReviewCalcs[[#This Row],[IEFE]]*ReviewCalcs[[#This Row],[Existing PAF]], 0)</f>
        <v>0</v>
      </c>
      <c r="AL204" s="118">
        <f>IFERROR((ReviewCalcs[[#This Row],[Proposed Fixture Quantity]]*ReviewCalcs[[#This Row],[Proposed Fixture Watts]]/1000)*ReviewCalcs[[#This Row],[AOH]]*ReviewCalcs[[#This Row],[IEFE]]*ReviewCalcs[[#This Row],[Existing PAF]], 0)</f>
        <v>0</v>
      </c>
      <c r="AM20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4" s="118">
        <f>ReviewCalcs[[#This Row],[Fixture Existing Energy (kWh)]]*Avg_KWh_Rate</f>
        <v>0</v>
      </c>
      <c r="AO204" s="118">
        <f>ReviewCalcs[[#This Row],[Fixture Proposed Energy (kWh)]]*Avg_KWh_Rate</f>
        <v>0</v>
      </c>
      <c r="AP204" s="70">
        <f>ReviewCalcs[[#This Row],[Fixture Energy Savings]]*Avg_KWh_Rate</f>
        <v>0</v>
      </c>
      <c r="AQ204" s="129" t="e">
        <f>ReviewCalcs[[#This Row],[Existing Fixture Quantity]]*ReviewCalcs[[#This Row],[Existing Fixture Watts]]/1000*ReviewCalcs[[#This Row],[Existing CF]]*ReviewCalcs[[#This Row],[IEFD]]</f>
        <v>#VALUE!</v>
      </c>
      <c r="AR204" s="129" t="e">
        <f>ReviewCalcs[[#This Row],[Proposed Fixture Quantity]]*ReviewCalcs[[#This Row],[Proposed Fixture Watts]]/1000*ReviewCalcs[[#This Row],[Proposed CF]]*ReviewCalcs[[#This Row],[IEFD]]</f>
        <v>#VALUE!</v>
      </c>
      <c r="AS204" s="118">
        <f>IF(ReviewCalcs[[#This Row],[Existing CF]]=ReviewCalcs[[#This Row],[Proposed CF]], 0, ReviewCalcs[[#This Row],[Proposed Fixture Quantity]]*ReviewCalcs[[#This Row],[Proposed Fixture Watts]]/1000*ReviewCalcs[[#This Row],[Proposed CF]]*ReviewCalcs[[#This Row],[IEFD]])</f>
        <v>0</v>
      </c>
      <c r="AT204" s="118">
        <f>IFERROR(ReviewCalcs[[#This Row],[Existing Fixture Quantity]]*ReviewCalcs[[#This Row],[Existing Fixture Watts]]/1000*ReviewCalcs[[#This Row],[Existing PAF]]*ReviewCalcs[[#This Row],[AOH]]*ReviewCalcs[[#This Row],[IEFE]], 0)</f>
        <v>0</v>
      </c>
      <c r="AU204" s="118">
        <f>IFERROR(ReviewCalcs[[#This Row],[Proposed Fixture Quantity]]*ReviewCalcs[[#This Row],[Proposed Fixture Watts]]/1000*ReviewCalcs[[#This Row],[Proposed PAF]]*ReviewCalcs[[#This Row],[AOH]]*ReviewCalcs[[#This Row],[IEFE]], 0)</f>
        <v>0</v>
      </c>
      <c r="AV204" s="118">
        <f>IFERROR(ReviewCalcs[[#This Row],[Proposed Fixture Quantity]]*ReviewCalcs[[#This Row],[Proposed Fixture Watts]]/1000*(ReviewCalcs[[#This Row],[Existing PAF]]-ReviewCalcs[[#This Row],[Proposed PAF]])*ReviewCalcs[[#This Row],[AOH]]*ReviewCalcs[[#This Row],[IEFE]], 0)</f>
        <v>0</v>
      </c>
      <c r="AW204" s="118">
        <f>ReviewCalcs[[#This Row],[Control Existing Energy (kWh)]]*kWh_Incentive_Rate</f>
        <v>0</v>
      </c>
      <c r="AX204" s="118">
        <f>ReviewCalcs[[#This Row],[Control Proposed Energy (kWh)]]*kWh_Incentive_Rate</f>
        <v>0</v>
      </c>
      <c r="AY204" s="70">
        <f>ReviewCalcs[[#This Row],[Control Energy Savings (kWh)]]*kWh_Incentive_Rate</f>
        <v>0</v>
      </c>
      <c r="AZ204" s="70" t="e">
        <f>ReviewCalcs[[#This Row],[Fixture Existing Demand (kW)]]+ReviewCalcs[[#This Row],[Control Existing Demand (kW)]]</f>
        <v>#VALUE!</v>
      </c>
      <c r="BA204" s="70" t="e">
        <f>ReviewCalcs[[#This Row],[Fixture Proposed Demand (kW)]]+ReviewCalcs[[#This Row],[Control Proposed Demand (kW)]]</f>
        <v>#VALUE!</v>
      </c>
      <c r="BB204" s="118">
        <f>ReviewCalcs[[#This Row],[Fixture Demand Savings (kW)]]+ReviewCalcs[[#This Row],[Control Demand Savings (kW)]]</f>
        <v>0</v>
      </c>
      <c r="BC204" s="118">
        <f>ReviewCalcs[[#This Row],[Fixture Existing Energy (kWh)]]+ReviewCalcs[[#This Row],[Control Existing Energy (kWh)]]</f>
        <v>0</v>
      </c>
      <c r="BD204" s="118">
        <f>ReviewCalcs[[#This Row],[Fixture Proposed Energy (kWh)]]+ReviewCalcs[[#This Row],[Control Proposed Energy (kWh)]]</f>
        <v>0</v>
      </c>
      <c r="BE204" s="118">
        <f>ReviewCalcs[[#This Row],[Fixture Energy Savings]]+ReviewCalcs[[#This Row],[Control Energy Savings (kWh)]]</f>
        <v>0</v>
      </c>
      <c r="BF204" s="118">
        <f>ReviewCalcs[[#This Row],[Fixture Existing Cost ($)]]+ReviewCalcs[[#This Row],[Control Existing Cost ($)]]</f>
        <v>0</v>
      </c>
      <c r="BG204" s="118">
        <f>ReviewCalcs[[#This Row],[Fixture Proposed Cost ($)]]+ReviewCalcs[[#This Row],[Controls Proposed Cost ($)]]</f>
        <v>0</v>
      </c>
      <c r="BH204" s="70">
        <f>ReviewCalcs[[#This Row],[Total Energy Savings (kWh)]]*Avg_KWh_Rate</f>
        <v>0</v>
      </c>
      <c r="BI20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4" s="70">
        <f>ReviewCalcs[[#This Row],[Retrofit Cost]]</f>
        <v>0</v>
      </c>
      <c r="BK204" s="70">
        <f>ReviewCalcs[[#This Row],[Retrofit Cost]]-ReviewCalcs[[#This Row],[Incentive ($)]]</f>
        <v>0</v>
      </c>
      <c r="BL204" s="118" t="e">
        <f>IFERROR(ReviewCalcs[[#This Row],[Net Project Cost ($)]]/ReviewCalcs[[#This Row],[Fixture Energy Cost Savings ($)]], #N/A)</f>
        <v>#N/A</v>
      </c>
      <c r="BM204" s="118" t="e">
        <f>IF(VLOOKUP(ReviewCalcs[[#This Row],[Existing Fixture Code]], Table7[[FIXTURE CODE]:[Baseline Fixture Code]], 8, FALSE)="N", VLOOKUP(ReviewCalcs[[#This Row],[Existing Fixture Code]], Table7[[FIXTURE CODE]:[Baseline Fixture Code]], 9, FALSE), ReviewCalcs[[#This Row],[Existing Fixture Code]])</f>
        <v>#N/A</v>
      </c>
      <c r="BN204" s="118" t="e">
        <f>INDEX(Table7[WATT/ FIXT], MATCH(ReviewCalcs[Baseline Fixture Code], Table7[FIXTURE CODE], 0))</f>
        <v>#N/A</v>
      </c>
      <c r="BO204" s="118">
        <f>IFERROR((ReviewCalcs[[#This Row],[Existing Fixture Quantity]]*ReviewCalcs[[#This Row],[Baseline Fixture Watts]]/1000-ReviewCalcs[[#This Row],[Proposed Fixture Quantity]]*ReviewCalcs[[#This Row],[Proposed Fixture Watts]]/1000)*ReviewCalcs[[#This Row],[Existing CF]]*ReviewCalcs[[#This Row],[IEFD]], 0)</f>
        <v>0</v>
      </c>
      <c r="BP20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4" s="118">
        <f>IF(ReviewCalcs[[#This Row],[Existing CF]]=ReviewCalcs[[#This Row],[Proposed CF]], 0, ReviewCalcs[[#This Row],[Proposed Fixture Quantity]]*ReviewCalcs[[#This Row],[Proposed Fixture Watts]]/1000*ReviewCalcs[[#This Row],[Proposed CF]]*ReviewCalcs[[#This Row],[IEFD]])</f>
        <v>0</v>
      </c>
      <c r="BR204" s="118">
        <f>IFERROR(ReviewCalcs[[#This Row],[Proposed Fixture Quantity]]*ReviewCalcs[[#This Row],[Proposed Fixture Watts]]/1000*(ReviewCalcs[[#This Row],[Existing PAF]]-ReviewCalcs[[#This Row],[Proposed PAF]])*ReviewCalcs[[#This Row],[AOH]]*ReviewCalcs[[#This Row],[IEFE]],0)</f>
        <v>0</v>
      </c>
      <c r="BS204" s="118">
        <f>ReviewCalcs[[#This Row],[Incentive Fixture Demand Savings (kW)]]+ReviewCalcs[[#This Row],[Incentive Control Demand Savings (kW)]]</f>
        <v>0</v>
      </c>
      <c r="BT204" s="118">
        <f>ReviewCalcs[[#This Row],[Incentive Fixture Energy Savings (kWh)]]+ReviewCalcs[[#This Row],[Incentive Control Energy Savings (kWh)]]</f>
        <v>0</v>
      </c>
      <c r="BU204" s="73"/>
    </row>
    <row r="205" spans="1:73" ht="30" customHeight="1">
      <c r="A205" s="68">
        <v>202</v>
      </c>
      <c r="B205" s="96">
        <f>VLOOKUP(ReviewCalcs[[#This Row],[Project Index]], ProjectInput[], D$1, FALSE)</f>
        <v>0</v>
      </c>
      <c r="C205" s="97">
        <f>VLOOKUP(ReviewCalcs[[#This Row],[Project Index]], ProjectInput[], E$1, FALSE)</f>
        <v>0</v>
      </c>
      <c r="D205" s="97">
        <f>VLOOKUP(ReviewCalcs[[#This Row],[Project Index]], ProjectInput[], F$1, FALSE)</f>
        <v>0</v>
      </c>
      <c r="E205" s="97">
        <f>VLOOKUP(ReviewCalcs[[#This Row],[Project Index]], ProjectInput[], G$1, FALSE)</f>
        <v>0</v>
      </c>
      <c r="F205" s="97">
        <f>VLOOKUP(ReviewCalcs[[#This Row],[Project Index]], ProjectInput[], H$1, FALSE)</f>
        <v>0</v>
      </c>
      <c r="G205" s="98" t="str">
        <f>VLOOKUP(ReviewCalcs[[#This Row],[Project Index]], ProjectInput[], I$1, FALSE)</f>
        <v/>
      </c>
      <c r="H205" s="96">
        <f>VLOOKUP(ReviewCalcs[[#This Row],[Project Index]], ProjectInput[], J$1, FALSE)</f>
        <v>0</v>
      </c>
      <c r="I205" s="97">
        <f>VLOOKUP(ReviewCalcs[[#This Row],[Project Index]], ProjectInput[], K$1, FALSE)</f>
        <v>0</v>
      </c>
      <c r="J205" s="97">
        <f>VLOOKUP(ReviewCalcs[[#This Row],[Project Index]], ProjectInput[], L$1, FALSE)</f>
        <v>0</v>
      </c>
      <c r="K205" s="97">
        <f>VLOOKUP(ReviewCalcs[[#This Row],[Project Index]], ProjectInput[], M$1, FALSE)</f>
        <v>0</v>
      </c>
      <c r="L205" s="97">
        <f>VLOOKUP(ReviewCalcs[[#This Row],[Project Index]], ProjectInput[], N$1, FALSE)</f>
        <v>0</v>
      </c>
      <c r="M205" s="98" t="str">
        <f>VLOOKUP(ReviewCalcs[[#This Row],[Project Index]], ProjectInput[], O$1, FALSE)</f>
        <v/>
      </c>
      <c r="N205" s="96">
        <f>VLOOKUP(ReviewCalcs[[#This Row],[Project Index]], ProjectInput[], P$1, FALSE)</f>
        <v>0</v>
      </c>
      <c r="O205" s="97">
        <f>VLOOKUP(ReviewCalcs[[#This Row],[Project Index]], ProjectInput[], Q$1, FALSE)</f>
        <v>0</v>
      </c>
      <c r="P205" s="97">
        <f>VLOOKUP(ReviewCalcs[[#This Row],[Project Index]], ProjectInput[], R$1, FALSE)</f>
        <v>0</v>
      </c>
      <c r="Q205" s="97">
        <f>VLOOKUP(ReviewCalcs[[#This Row],[Project Index]], ProjectInput[], S$1, FALSE)</f>
        <v>0</v>
      </c>
      <c r="R205" s="97">
        <f>VLOOKUP(ReviewCalcs[[#This Row],[Project Index]], ProjectInput[], T$1, FALSE)</f>
        <v>0</v>
      </c>
      <c r="S205" s="97">
        <f>VLOOKUP(ReviewCalcs[[#This Row],[Project Index]], ProjectInput[], U$1, FALSE)</f>
        <v>0</v>
      </c>
      <c r="T205" s="97">
        <f>VLOOKUP(ReviewCalcs[[#This Row],[Project Index]], ProjectInput[], V$1, FALSE)</f>
        <v>0</v>
      </c>
      <c r="U205" s="97">
        <f>VLOOKUP(ReviewCalcs[[#This Row],[Project Index]], ProjectInput[], W$1, FALSE)</f>
        <v>0</v>
      </c>
      <c r="V205" s="98" t="str">
        <f>VLOOKUP(ReviewCalcs[[#This Row],[Project Index]], ProjectInput[], X$1, FALSE)</f>
        <v/>
      </c>
      <c r="W20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5" s="75" t="e">
        <f>IF(VLOOKUP(ReviewCalcs[[#This Row],[Proposed Fixture Code]], Table7[[FIXTURE CODE]:[Baseline Fixture Code]], 8, FALSE)="N", "ERROR", "PASS")</f>
        <v>#N/A</v>
      </c>
      <c r="Y20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5" s="75" t="e">
        <f>IF(OR(ReviewCalcs[[#This Row],[Baseline Fixture Watts]]&gt;=ReviewCalcs[[#This Row],[Proposed Fixture Watts]],ReviewCalcs[[#This Row],[Existing Fixture Watts]]&gt;=ReviewCalcs[[#This Row],[Proposed Fixture Watts]] ), "PASS", "ERROR")</f>
        <v>#N/A</v>
      </c>
      <c r="AA205" s="69" t="e">
        <f>VLOOKUP(ReviewCalcs[[#This Row],[Space Conditions]], Table_365[], 5, FALSE)</f>
        <v>#N/A</v>
      </c>
      <c r="AB205" s="68" t="str">
        <f>ReviewCalcs[[#This Row],[Annual Hours]]</f>
        <v/>
      </c>
      <c r="AC205" s="68" t="e">
        <f>VLOOKUP(ReviewCalcs[[#This Row],[Space Conditions]], Table_365[], 6, FALSE)</f>
        <v>#N/A</v>
      </c>
      <c r="AD205" s="68">
        <f>IF(ReviewCalcs[[#This Row],[Existing Control(s)]]='Tables &amp; Ranges'!$A$25, VLOOKUP(ReviewCalcs[[#This Row],[Building/Space Type]], Table_364[], 3, FALSE), CF_Contols)</f>
        <v>0.26</v>
      </c>
      <c r="AE205" s="68" t="e">
        <f>VLOOKUP(ReviewCalcs[[#This Row],[Existing Control(s)]], Table_358[], 2, FALSE)</f>
        <v>#N/A</v>
      </c>
      <c r="AF205" s="68">
        <f>IF(ReviewCalcs[[#This Row],[Proposed Control(s)]]='Tables &amp; Ranges'!$A$25, VLOOKUP(ReviewCalcs[[#This Row],[Building/Space Type]], Table_364[], 3, FALSE), CF_Contols)</f>
        <v>0.26</v>
      </c>
      <c r="AG205" s="68" t="e">
        <f>VLOOKUP(ReviewCalcs[[#This Row],[Proposed Control(s)]], Table_358[], 2, FALSE)</f>
        <v>#N/A</v>
      </c>
      <c r="AH205" s="68">
        <f>IFERROR((ReviewCalcs[[#This Row],[Existing Fixture Quantity]]*ReviewCalcs[[#This Row],[Existing Fixture Watts]]/1000)*ReviewCalcs[[#This Row],[Existing CF]]*ReviewCalcs[[#This Row],[IEFD]], 0)</f>
        <v>0</v>
      </c>
      <c r="AI205" s="68">
        <f>IFERROR((ReviewCalcs[[#This Row],[Proposed Fixture Quantity]]*ReviewCalcs[[#This Row],[Proposed Fixture Watts]]/1000)*ReviewCalcs[[#This Row],[Existing CF]]*ReviewCalcs[[#This Row],[IEFD]], 0)</f>
        <v>0</v>
      </c>
      <c r="AJ205" s="118">
        <f>IFERROR((ReviewCalcs[[#This Row],[Existing Fixture Quantity]]*ReviewCalcs[[#This Row],[Existing Fixture Watts]]/1000-ReviewCalcs[[#This Row],[Proposed Fixture Quantity]]*ReviewCalcs[[#This Row],[Proposed Fixture Watts]]/1000)*ReviewCalcs[[#This Row],[Existing CF]]*ReviewCalcs[[#This Row],[IEFD]], 0)</f>
        <v>0</v>
      </c>
      <c r="AK205" s="118">
        <f>IFERROR((ReviewCalcs[[#This Row],[Existing Fixture Quantity]]*ReviewCalcs[[#This Row],[Existing Fixture Watts]]/1000)*ReviewCalcs[[#This Row],[AOH]]*ReviewCalcs[[#This Row],[IEFE]]*ReviewCalcs[[#This Row],[Existing PAF]], 0)</f>
        <v>0</v>
      </c>
      <c r="AL205" s="118">
        <f>IFERROR((ReviewCalcs[[#This Row],[Proposed Fixture Quantity]]*ReviewCalcs[[#This Row],[Proposed Fixture Watts]]/1000)*ReviewCalcs[[#This Row],[AOH]]*ReviewCalcs[[#This Row],[IEFE]]*ReviewCalcs[[#This Row],[Existing PAF]], 0)</f>
        <v>0</v>
      </c>
      <c r="AM20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5" s="118">
        <f>ReviewCalcs[[#This Row],[Fixture Existing Energy (kWh)]]*Avg_KWh_Rate</f>
        <v>0</v>
      </c>
      <c r="AO205" s="118">
        <f>ReviewCalcs[[#This Row],[Fixture Proposed Energy (kWh)]]*Avg_KWh_Rate</f>
        <v>0</v>
      </c>
      <c r="AP205" s="70">
        <f>ReviewCalcs[[#This Row],[Fixture Energy Savings]]*Avg_KWh_Rate</f>
        <v>0</v>
      </c>
      <c r="AQ205" s="129" t="e">
        <f>ReviewCalcs[[#This Row],[Existing Fixture Quantity]]*ReviewCalcs[[#This Row],[Existing Fixture Watts]]/1000*ReviewCalcs[[#This Row],[Existing CF]]*ReviewCalcs[[#This Row],[IEFD]]</f>
        <v>#VALUE!</v>
      </c>
      <c r="AR205" s="129" t="e">
        <f>ReviewCalcs[[#This Row],[Proposed Fixture Quantity]]*ReviewCalcs[[#This Row],[Proposed Fixture Watts]]/1000*ReviewCalcs[[#This Row],[Proposed CF]]*ReviewCalcs[[#This Row],[IEFD]]</f>
        <v>#VALUE!</v>
      </c>
      <c r="AS205" s="118">
        <f>IF(ReviewCalcs[[#This Row],[Existing CF]]=ReviewCalcs[[#This Row],[Proposed CF]], 0, ReviewCalcs[[#This Row],[Proposed Fixture Quantity]]*ReviewCalcs[[#This Row],[Proposed Fixture Watts]]/1000*ReviewCalcs[[#This Row],[Proposed CF]]*ReviewCalcs[[#This Row],[IEFD]])</f>
        <v>0</v>
      </c>
      <c r="AT205" s="118">
        <f>IFERROR(ReviewCalcs[[#This Row],[Existing Fixture Quantity]]*ReviewCalcs[[#This Row],[Existing Fixture Watts]]/1000*ReviewCalcs[[#This Row],[Existing PAF]]*ReviewCalcs[[#This Row],[AOH]]*ReviewCalcs[[#This Row],[IEFE]], 0)</f>
        <v>0</v>
      </c>
      <c r="AU205" s="118">
        <f>IFERROR(ReviewCalcs[[#This Row],[Proposed Fixture Quantity]]*ReviewCalcs[[#This Row],[Proposed Fixture Watts]]/1000*ReviewCalcs[[#This Row],[Proposed PAF]]*ReviewCalcs[[#This Row],[AOH]]*ReviewCalcs[[#This Row],[IEFE]], 0)</f>
        <v>0</v>
      </c>
      <c r="AV205" s="118">
        <f>IFERROR(ReviewCalcs[[#This Row],[Proposed Fixture Quantity]]*ReviewCalcs[[#This Row],[Proposed Fixture Watts]]/1000*(ReviewCalcs[[#This Row],[Existing PAF]]-ReviewCalcs[[#This Row],[Proposed PAF]])*ReviewCalcs[[#This Row],[AOH]]*ReviewCalcs[[#This Row],[IEFE]], 0)</f>
        <v>0</v>
      </c>
      <c r="AW205" s="118">
        <f>ReviewCalcs[[#This Row],[Control Existing Energy (kWh)]]*kWh_Incentive_Rate</f>
        <v>0</v>
      </c>
      <c r="AX205" s="118">
        <f>ReviewCalcs[[#This Row],[Control Proposed Energy (kWh)]]*kWh_Incentive_Rate</f>
        <v>0</v>
      </c>
      <c r="AY205" s="70">
        <f>ReviewCalcs[[#This Row],[Control Energy Savings (kWh)]]*kWh_Incentive_Rate</f>
        <v>0</v>
      </c>
      <c r="AZ205" s="70" t="e">
        <f>ReviewCalcs[[#This Row],[Fixture Existing Demand (kW)]]+ReviewCalcs[[#This Row],[Control Existing Demand (kW)]]</f>
        <v>#VALUE!</v>
      </c>
      <c r="BA205" s="70" t="e">
        <f>ReviewCalcs[[#This Row],[Fixture Proposed Demand (kW)]]+ReviewCalcs[[#This Row],[Control Proposed Demand (kW)]]</f>
        <v>#VALUE!</v>
      </c>
      <c r="BB205" s="118">
        <f>ReviewCalcs[[#This Row],[Fixture Demand Savings (kW)]]+ReviewCalcs[[#This Row],[Control Demand Savings (kW)]]</f>
        <v>0</v>
      </c>
      <c r="BC205" s="118">
        <f>ReviewCalcs[[#This Row],[Fixture Existing Energy (kWh)]]+ReviewCalcs[[#This Row],[Control Existing Energy (kWh)]]</f>
        <v>0</v>
      </c>
      <c r="BD205" s="118">
        <f>ReviewCalcs[[#This Row],[Fixture Proposed Energy (kWh)]]+ReviewCalcs[[#This Row],[Control Proposed Energy (kWh)]]</f>
        <v>0</v>
      </c>
      <c r="BE205" s="118">
        <f>ReviewCalcs[[#This Row],[Fixture Energy Savings]]+ReviewCalcs[[#This Row],[Control Energy Savings (kWh)]]</f>
        <v>0</v>
      </c>
      <c r="BF205" s="118">
        <f>ReviewCalcs[[#This Row],[Fixture Existing Cost ($)]]+ReviewCalcs[[#This Row],[Control Existing Cost ($)]]</f>
        <v>0</v>
      </c>
      <c r="BG205" s="118">
        <f>ReviewCalcs[[#This Row],[Fixture Proposed Cost ($)]]+ReviewCalcs[[#This Row],[Controls Proposed Cost ($)]]</f>
        <v>0</v>
      </c>
      <c r="BH205" s="70">
        <f>ReviewCalcs[[#This Row],[Total Energy Savings (kWh)]]*Avg_KWh_Rate</f>
        <v>0</v>
      </c>
      <c r="BI20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5" s="70">
        <f>ReviewCalcs[[#This Row],[Retrofit Cost]]</f>
        <v>0</v>
      </c>
      <c r="BK205" s="70">
        <f>ReviewCalcs[[#This Row],[Retrofit Cost]]-ReviewCalcs[[#This Row],[Incentive ($)]]</f>
        <v>0</v>
      </c>
      <c r="BL205" s="118" t="e">
        <f>IFERROR(ReviewCalcs[[#This Row],[Net Project Cost ($)]]/ReviewCalcs[[#This Row],[Fixture Energy Cost Savings ($)]], #N/A)</f>
        <v>#N/A</v>
      </c>
      <c r="BM205" s="118" t="e">
        <f>IF(VLOOKUP(ReviewCalcs[[#This Row],[Existing Fixture Code]], Table7[[FIXTURE CODE]:[Baseline Fixture Code]], 8, FALSE)="N", VLOOKUP(ReviewCalcs[[#This Row],[Existing Fixture Code]], Table7[[FIXTURE CODE]:[Baseline Fixture Code]], 9, FALSE), ReviewCalcs[[#This Row],[Existing Fixture Code]])</f>
        <v>#N/A</v>
      </c>
      <c r="BN205" s="118" t="e">
        <f>INDEX(Table7[WATT/ FIXT], MATCH(ReviewCalcs[Baseline Fixture Code], Table7[FIXTURE CODE], 0))</f>
        <v>#N/A</v>
      </c>
      <c r="BO205" s="118">
        <f>IFERROR((ReviewCalcs[[#This Row],[Existing Fixture Quantity]]*ReviewCalcs[[#This Row],[Baseline Fixture Watts]]/1000-ReviewCalcs[[#This Row],[Proposed Fixture Quantity]]*ReviewCalcs[[#This Row],[Proposed Fixture Watts]]/1000)*ReviewCalcs[[#This Row],[Existing CF]]*ReviewCalcs[[#This Row],[IEFD]], 0)</f>
        <v>0</v>
      </c>
      <c r="BP20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5" s="118">
        <f>IF(ReviewCalcs[[#This Row],[Existing CF]]=ReviewCalcs[[#This Row],[Proposed CF]], 0, ReviewCalcs[[#This Row],[Proposed Fixture Quantity]]*ReviewCalcs[[#This Row],[Proposed Fixture Watts]]/1000*ReviewCalcs[[#This Row],[Proposed CF]]*ReviewCalcs[[#This Row],[IEFD]])</f>
        <v>0</v>
      </c>
      <c r="BR205" s="118">
        <f>IFERROR(ReviewCalcs[[#This Row],[Proposed Fixture Quantity]]*ReviewCalcs[[#This Row],[Proposed Fixture Watts]]/1000*(ReviewCalcs[[#This Row],[Existing PAF]]-ReviewCalcs[[#This Row],[Proposed PAF]])*ReviewCalcs[[#This Row],[AOH]]*ReviewCalcs[[#This Row],[IEFE]],0)</f>
        <v>0</v>
      </c>
      <c r="BS205" s="118">
        <f>ReviewCalcs[[#This Row],[Incentive Fixture Demand Savings (kW)]]+ReviewCalcs[[#This Row],[Incentive Control Demand Savings (kW)]]</f>
        <v>0</v>
      </c>
      <c r="BT205" s="118">
        <f>ReviewCalcs[[#This Row],[Incentive Fixture Energy Savings (kWh)]]+ReviewCalcs[[#This Row],[Incentive Control Energy Savings (kWh)]]</f>
        <v>0</v>
      </c>
      <c r="BU205" s="73"/>
    </row>
    <row r="206" spans="1:73" ht="30" customHeight="1">
      <c r="A206" s="68">
        <v>203</v>
      </c>
      <c r="B206" s="96">
        <f>VLOOKUP(ReviewCalcs[[#This Row],[Project Index]], ProjectInput[], D$1, FALSE)</f>
        <v>0</v>
      </c>
      <c r="C206" s="97">
        <f>VLOOKUP(ReviewCalcs[[#This Row],[Project Index]], ProjectInput[], E$1, FALSE)</f>
        <v>0</v>
      </c>
      <c r="D206" s="97">
        <f>VLOOKUP(ReviewCalcs[[#This Row],[Project Index]], ProjectInput[], F$1, FALSE)</f>
        <v>0</v>
      </c>
      <c r="E206" s="97">
        <f>VLOOKUP(ReviewCalcs[[#This Row],[Project Index]], ProjectInput[], G$1, FALSE)</f>
        <v>0</v>
      </c>
      <c r="F206" s="97">
        <f>VLOOKUP(ReviewCalcs[[#This Row],[Project Index]], ProjectInput[], H$1, FALSE)</f>
        <v>0</v>
      </c>
      <c r="G206" s="98" t="str">
        <f>VLOOKUP(ReviewCalcs[[#This Row],[Project Index]], ProjectInput[], I$1, FALSE)</f>
        <v/>
      </c>
      <c r="H206" s="96">
        <f>VLOOKUP(ReviewCalcs[[#This Row],[Project Index]], ProjectInput[], J$1, FALSE)</f>
        <v>0</v>
      </c>
      <c r="I206" s="97">
        <f>VLOOKUP(ReviewCalcs[[#This Row],[Project Index]], ProjectInput[], K$1, FALSE)</f>
        <v>0</v>
      </c>
      <c r="J206" s="97">
        <f>VLOOKUP(ReviewCalcs[[#This Row],[Project Index]], ProjectInput[], L$1, FALSE)</f>
        <v>0</v>
      </c>
      <c r="K206" s="97">
        <f>VLOOKUP(ReviewCalcs[[#This Row],[Project Index]], ProjectInput[], M$1, FALSE)</f>
        <v>0</v>
      </c>
      <c r="L206" s="97">
        <f>VLOOKUP(ReviewCalcs[[#This Row],[Project Index]], ProjectInput[], N$1, FALSE)</f>
        <v>0</v>
      </c>
      <c r="M206" s="98" t="str">
        <f>VLOOKUP(ReviewCalcs[[#This Row],[Project Index]], ProjectInput[], O$1, FALSE)</f>
        <v/>
      </c>
      <c r="N206" s="96">
        <f>VLOOKUP(ReviewCalcs[[#This Row],[Project Index]], ProjectInput[], P$1, FALSE)</f>
        <v>0</v>
      </c>
      <c r="O206" s="97">
        <f>VLOOKUP(ReviewCalcs[[#This Row],[Project Index]], ProjectInput[], Q$1, FALSE)</f>
        <v>0</v>
      </c>
      <c r="P206" s="97">
        <f>VLOOKUP(ReviewCalcs[[#This Row],[Project Index]], ProjectInput[], R$1, FALSE)</f>
        <v>0</v>
      </c>
      <c r="Q206" s="97">
        <f>VLOOKUP(ReviewCalcs[[#This Row],[Project Index]], ProjectInput[], S$1, FALSE)</f>
        <v>0</v>
      </c>
      <c r="R206" s="97">
        <f>VLOOKUP(ReviewCalcs[[#This Row],[Project Index]], ProjectInput[], T$1, FALSE)</f>
        <v>0</v>
      </c>
      <c r="S206" s="97">
        <f>VLOOKUP(ReviewCalcs[[#This Row],[Project Index]], ProjectInput[], U$1, FALSE)</f>
        <v>0</v>
      </c>
      <c r="T206" s="97">
        <f>VLOOKUP(ReviewCalcs[[#This Row],[Project Index]], ProjectInput[], V$1, FALSE)</f>
        <v>0</v>
      </c>
      <c r="U206" s="97">
        <f>VLOOKUP(ReviewCalcs[[#This Row],[Project Index]], ProjectInput[], W$1, FALSE)</f>
        <v>0</v>
      </c>
      <c r="V206" s="98" t="str">
        <f>VLOOKUP(ReviewCalcs[[#This Row],[Project Index]], ProjectInput[], X$1, FALSE)</f>
        <v/>
      </c>
      <c r="W20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6" s="75" t="e">
        <f>IF(VLOOKUP(ReviewCalcs[[#This Row],[Proposed Fixture Code]], Table7[[FIXTURE CODE]:[Baseline Fixture Code]], 8, FALSE)="N", "ERROR", "PASS")</f>
        <v>#N/A</v>
      </c>
      <c r="Y20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6" s="75" t="e">
        <f>IF(OR(ReviewCalcs[[#This Row],[Baseline Fixture Watts]]&gt;=ReviewCalcs[[#This Row],[Proposed Fixture Watts]],ReviewCalcs[[#This Row],[Existing Fixture Watts]]&gt;=ReviewCalcs[[#This Row],[Proposed Fixture Watts]] ), "PASS", "ERROR")</f>
        <v>#N/A</v>
      </c>
      <c r="AA206" s="69" t="e">
        <f>VLOOKUP(ReviewCalcs[[#This Row],[Space Conditions]], Table_365[], 5, FALSE)</f>
        <v>#N/A</v>
      </c>
      <c r="AB206" s="68" t="str">
        <f>ReviewCalcs[[#This Row],[Annual Hours]]</f>
        <v/>
      </c>
      <c r="AC206" s="68" t="e">
        <f>VLOOKUP(ReviewCalcs[[#This Row],[Space Conditions]], Table_365[], 6, FALSE)</f>
        <v>#N/A</v>
      </c>
      <c r="AD206" s="68">
        <f>IF(ReviewCalcs[[#This Row],[Existing Control(s)]]='Tables &amp; Ranges'!$A$25, VLOOKUP(ReviewCalcs[[#This Row],[Building/Space Type]], Table_364[], 3, FALSE), CF_Contols)</f>
        <v>0.26</v>
      </c>
      <c r="AE206" s="68" t="e">
        <f>VLOOKUP(ReviewCalcs[[#This Row],[Existing Control(s)]], Table_358[], 2, FALSE)</f>
        <v>#N/A</v>
      </c>
      <c r="AF206" s="68">
        <f>IF(ReviewCalcs[[#This Row],[Proposed Control(s)]]='Tables &amp; Ranges'!$A$25, VLOOKUP(ReviewCalcs[[#This Row],[Building/Space Type]], Table_364[], 3, FALSE), CF_Contols)</f>
        <v>0.26</v>
      </c>
      <c r="AG206" s="68" t="e">
        <f>VLOOKUP(ReviewCalcs[[#This Row],[Proposed Control(s)]], Table_358[], 2, FALSE)</f>
        <v>#N/A</v>
      </c>
      <c r="AH206" s="68">
        <f>IFERROR((ReviewCalcs[[#This Row],[Existing Fixture Quantity]]*ReviewCalcs[[#This Row],[Existing Fixture Watts]]/1000)*ReviewCalcs[[#This Row],[Existing CF]]*ReviewCalcs[[#This Row],[IEFD]], 0)</f>
        <v>0</v>
      </c>
      <c r="AI206" s="68">
        <f>IFERROR((ReviewCalcs[[#This Row],[Proposed Fixture Quantity]]*ReviewCalcs[[#This Row],[Proposed Fixture Watts]]/1000)*ReviewCalcs[[#This Row],[Existing CF]]*ReviewCalcs[[#This Row],[IEFD]], 0)</f>
        <v>0</v>
      </c>
      <c r="AJ206" s="118">
        <f>IFERROR((ReviewCalcs[[#This Row],[Existing Fixture Quantity]]*ReviewCalcs[[#This Row],[Existing Fixture Watts]]/1000-ReviewCalcs[[#This Row],[Proposed Fixture Quantity]]*ReviewCalcs[[#This Row],[Proposed Fixture Watts]]/1000)*ReviewCalcs[[#This Row],[Existing CF]]*ReviewCalcs[[#This Row],[IEFD]], 0)</f>
        <v>0</v>
      </c>
      <c r="AK206" s="118">
        <f>IFERROR((ReviewCalcs[[#This Row],[Existing Fixture Quantity]]*ReviewCalcs[[#This Row],[Existing Fixture Watts]]/1000)*ReviewCalcs[[#This Row],[AOH]]*ReviewCalcs[[#This Row],[IEFE]]*ReviewCalcs[[#This Row],[Existing PAF]], 0)</f>
        <v>0</v>
      </c>
      <c r="AL206" s="118">
        <f>IFERROR((ReviewCalcs[[#This Row],[Proposed Fixture Quantity]]*ReviewCalcs[[#This Row],[Proposed Fixture Watts]]/1000)*ReviewCalcs[[#This Row],[AOH]]*ReviewCalcs[[#This Row],[IEFE]]*ReviewCalcs[[#This Row],[Existing PAF]], 0)</f>
        <v>0</v>
      </c>
      <c r="AM20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6" s="118">
        <f>ReviewCalcs[[#This Row],[Fixture Existing Energy (kWh)]]*Avg_KWh_Rate</f>
        <v>0</v>
      </c>
      <c r="AO206" s="118">
        <f>ReviewCalcs[[#This Row],[Fixture Proposed Energy (kWh)]]*Avg_KWh_Rate</f>
        <v>0</v>
      </c>
      <c r="AP206" s="70">
        <f>ReviewCalcs[[#This Row],[Fixture Energy Savings]]*Avg_KWh_Rate</f>
        <v>0</v>
      </c>
      <c r="AQ206" s="129" t="e">
        <f>ReviewCalcs[[#This Row],[Existing Fixture Quantity]]*ReviewCalcs[[#This Row],[Existing Fixture Watts]]/1000*ReviewCalcs[[#This Row],[Existing CF]]*ReviewCalcs[[#This Row],[IEFD]]</f>
        <v>#VALUE!</v>
      </c>
      <c r="AR206" s="129" t="e">
        <f>ReviewCalcs[[#This Row],[Proposed Fixture Quantity]]*ReviewCalcs[[#This Row],[Proposed Fixture Watts]]/1000*ReviewCalcs[[#This Row],[Proposed CF]]*ReviewCalcs[[#This Row],[IEFD]]</f>
        <v>#VALUE!</v>
      </c>
      <c r="AS206" s="118">
        <f>IF(ReviewCalcs[[#This Row],[Existing CF]]=ReviewCalcs[[#This Row],[Proposed CF]], 0, ReviewCalcs[[#This Row],[Proposed Fixture Quantity]]*ReviewCalcs[[#This Row],[Proposed Fixture Watts]]/1000*ReviewCalcs[[#This Row],[Proposed CF]]*ReviewCalcs[[#This Row],[IEFD]])</f>
        <v>0</v>
      </c>
      <c r="AT206" s="118">
        <f>IFERROR(ReviewCalcs[[#This Row],[Existing Fixture Quantity]]*ReviewCalcs[[#This Row],[Existing Fixture Watts]]/1000*ReviewCalcs[[#This Row],[Existing PAF]]*ReviewCalcs[[#This Row],[AOH]]*ReviewCalcs[[#This Row],[IEFE]], 0)</f>
        <v>0</v>
      </c>
      <c r="AU206" s="118">
        <f>IFERROR(ReviewCalcs[[#This Row],[Proposed Fixture Quantity]]*ReviewCalcs[[#This Row],[Proposed Fixture Watts]]/1000*ReviewCalcs[[#This Row],[Proposed PAF]]*ReviewCalcs[[#This Row],[AOH]]*ReviewCalcs[[#This Row],[IEFE]], 0)</f>
        <v>0</v>
      </c>
      <c r="AV206" s="118">
        <f>IFERROR(ReviewCalcs[[#This Row],[Proposed Fixture Quantity]]*ReviewCalcs[[#This Row],[Proposed Fixture Watts]]/1000*(ReviewCalcs[[#This Row],[Existing PAF]]-ReviewCalcs[[#This Row],[Proposed PAF]])*ReviewCalcs[[#This Row],[AOH]]*ReviewCalcs[[#This Row],[IEFE]], 0)</f>
        <v>0</v>
      </c>
      <c r="AW206" s="118">
        <f>ReviewCalcs[[#This Row],[Control Existing Energy (kWh)]]*kWh_Incentive_Rate</f>
        <v>0</v>
      </c>
      <c r="AX206" s="118">
        <f>ReviewCalcs[[#This Row],[Control Proposed Energy (kWh)]]*kWh_Incentive_Rate</f>
        <v>0</v>
      </c>
      <c r="AY206" s="70">
        <f>ReviewCalcs[[#This Row],[Control Energy Savings (kWh)]]*kWh_Incentive_Rate</f>
        <v>0</v>
      </c>
      <c r="AZ206" s="70" t="e">
        <f>ReviewCalcs[[#This Row],[Fixture Existing Demand (kW)]]+ReviewCalcs[[#This Row],[Control Existing Demand (kW)]]</f>
        <v>#VALUE!</v>
      </c>
      <c r="BA206" s="70" t="e">
        <f>ReviewCalcs[[#This Row],[Fixture Proposed Demand (kW)]]+ReviewCalcs[[#This Row],[Control Proposed Demand (kW)]]</f>
        <v>#VALUE!</v>
      </c>
      <c r="BB206" s="118">
        <f>ReviewCalcs[[#This Row],[Fixture Demand Savings (kW)]]+ReviewCalcs[[#This Row],[Control Demand Savings (kW)]]</f>
        <v>0</v>
      </c>
      <c r="BC206" s="118">
        <f>ReviewCalcs[[#This Row],[Fixture Existing Energy (kWh)]]+ReviewCalcs[[#This Row],[Control Existing Energy (kWh)]]</f>
        <v>0</v>
      </c>
      <c r="BD206" s="118">
        <f>ReviewCalcs[[#This Row],[Fixture Proposed Energy (kWh)]]+ReviewCalcs[[#This Row],[Control Proposed Energy (kWh)]]</f>
        <v>0</v>
      </c>
      <c r="BE206" s="118">
        <f>ReviewCalcs[[#This Row],[Fixture Energy Savings]]+ReviewCalcs[[#This Row],[Control Energy Savings (kWh)]]</f>
        <v>0</v>
      </c>
      <c r="BF206" s="118">
        <f>ReviewCalcs[[#This Row],[Fixture Existing Cost ($)]]+ReviewCalcs[[#This Row],[Control Existing Cost ($)]]</f>
        <v>0</v>
      </c>
      <c r="BG206" s="118">
        <f>ReviewCalcs[[#This Row],[Fixture Proposed Cost ($)]]+ReviewCalcs[[#This Row],[Controls Proposed Cost ($)]]</f>
        <v>0</v>
      </c>
      <c r="BH206" s="70">
        <f>ReviewCalcs[[#This Row],[Total Energy Savings (kWh)]]*Avg_KWh_Rate</f>
        <v>0</v>
      </c>
      <c r="BI20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6" s="70">
        <f>ReviewCalcs[[#This Row],[Retrofit Cost]]</f>
        <v>0</v>
      </c>
      <c r="BK206" s="70">
        <f>ReviewCalcs[[#This Row],[Retrofit Cost]]-ReviewCalcs[[#This Row],[Incentive ($)]]</f>
        <v>0</v>
      </c>
      <c r="BL206" s="118" t="e">
        <f>IFERROR(ReviewCalcs[[#This Row],[Net Project Cost ($)]]/ReviewCalcs[[#This Row],[Fixture Energy Cost Savings ($)]], #N/A)</f>
        <v>#N/A</v>
      </c>
      <c r="BM206" s="118" t="e">
        <f>IF(VLOOKUP(ReviewCalcs[[#This Row],[Existing Fixture Code]], Table7[[FIXTURE CODE]:[Baseline Fixture Code]], 8, FALSE)="N", VLOOKUP(ReviewCalcs[[#This Row],[Existing Fixture Code]], Table7[[FIXTURE CODE]:[Baseline Fixture Code]], 9, FALSE), ReviewCalcs[[#This Row],[Existing Fixture Code]])</f>
        <v>#N/A</v>
      </c>
      <c r="BN206" s="118" t="e">
        <f>INDEX(Table7[WATT/ FIXT], MATCH(ReviewCalcs[Baseline Fixture Code], Table7[FIXTURE CODE], 0))</f>
        <v>#N/A</v>
      </c>
      <c r="BO206" s="118">
        <f>IFERROR((ReviewCalcs[[#This Row],[Existing Fixture Quantity]]*ReviewCalcs[[#This Row],[Baseline Fixture Watts]]/1000-ReviewCalcs[[#This Row],[Proposed Fixture Quantity]]*ReviewCalcs[[#This Row],[Proposed Fixture Watts]]/1000)*ReviewCalcs[[#This Row],[Existing CF]]*ReviewCalcs[[#This Row],[IEFD]], 0)</f>
        <v>0</v>
      </c>
      <c r="BP20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6" s="118">
        <f>IF(ReviewCalcs[[#This Row],[Existing CF]]=ReviewCalcs[[#This Row],[Proposed CF]], 0, ReviewCalcs[[#This Row],[Proposed Fixture Quantity]]*ReviewCalcs[[#This Row],[Proposed Fixture Watts]]/1000*ReviewCalcs[[#This Row],[Proposed CF]]*ReviewCalcs[[#This Row],[IEFD]])</f>
        <v>0</v>
      </c>
      <c r="BR206" s="118">
        <f>IFERROR(ReviewCalcs[[#This Row],[Proposed Fixture Quantity]]*ReviewCalcs[[#This Row],[Proposed Fixture Watts]]/1000*(ReviewCalcs[[#This Row],[Existing PAF]]-ReviewCalcs[[#This Row],[Proposed PAF]])*ReviewCalcs[[#This Row],[AOH]]*ReviewCalcs[[#This Row],[IEFE]],0)</f>
        <v>0</v>
      </c>
      <c r="BS206" s="118">
        <f>ReviewCalcs[[#This Row],[Incentive Fixture Demand Savings (kW)]]+ReviewCalcs[[#This Row],[Incentive Control Demand Savings (kW)]]</f>
        <v>0</v>
      </c>
      <c r="BT206" s="118">
        <f>ReviewCalcs[[#This Row],[Incentive Fixture Energy Savings (kWh)]]+ReviewCalcs[[#This Row],[Incentive Control Energy Savings (kWh)]]</f>
        <v>0</v>
      </c>
      <c r="BU206" s="73"/>
    </row>
    <row r="207" spans="1:73" ht="30" customHeight="1">
      <c r="A207" s="68">
        <v>204</v>
      </c>
      <c r="B207" s="96">
        <f>VLOOKUP(ReviewCalcs[[#This Row],[Project Index]], ProjectInput[], D$1, FALSE)</f>
        <v>0</v>
      </c>
      <c r="C207" s="97">
        <f>VLOOKUP(ReviewCalcs[[#This Row],[Project Index]], ProjectInput[], E$1, FALSE)</f>
        <v>0</v>
      </c>
      <c r="D207" s="97">
        <f>VLOOKUP(ReviewCalcs[[#This Row],[Project Index]], ProjectInput[], F$1, FALSE)</f>
        <v>0</v>
      </c>
      <c r="E207" s="97">
        <f>VLOOKUP(ReviewCalcs[[#This Row],[Project Index]], ProjectInput[], G$1, FALSE)</f>
        <v>0</v>
      </c>
      <c r="F207" s="97">
        <f>VLOOKUP(ReviewCalcs[[#This Row],[Project Index]], ProjectInput[], H$1, FALSE)</f>
        <v>0</v>
      </c>
      <c r="G207" s="98" t="str">
        <f>VLOOKUP(ReviewCalcs[[#This Row],[Project Index]], ProjectInput[], I$1, FALSE)</f>
        <v/>
      </c>
      <c r="H207" s="96">
        <f>VLOOKUP(ReviewCalcs[[#This Row],[Project Index]], ProjectInput[], J$1, FALSE)</f>
        <v>0</v>
      </c>
      <c r="I207" s="97">
        <f>VLOOKUP(ReviewCalcs[[#This Row],[Project Index]], ProjectInput[], K$1, FALSE)</f>
        <v>0</v>
      </c>
      <c r="J207" s="97">
        <f>VLOOKUP(ReviewCalcs[[#This Row],[Project Index]], ProjectInput[], L$1, FALSE)</f>
        <v>0</v>
      </c>
      <c r="K207" s="97">
        <f>VLOOKUP(ReviewCalcs[[#This Row],[Project Index]], ProjectInput[], M$1, FALSE)</f>
        <v>0</v>
      </c>
      <c r="L207" s="97">
        <f>VLOOKUP(ReviewCalcs[[#This Row],[Project Index]], ProjectInput[], N$1, FALSE)</f>
        <v>0</v>
      </c>
      <c r="M207" s="98" t="str">
        <f>VLOOKUP(ReviewCalcs[[#This Row],[Project Index]], ProjectInput[], O$1, FALSE)</f>
        <v/>
      </c>
      <c r="N207" s="96">
        <f>VLOOKUP(ReviewCalcs[[#This Row],[Project Index]], ProjectInput[], P$1, FALSE)</f>
        <v>0</v>
      </c>
      <c r="O207" s="97">
        <f>VLOOKUP(ReviewCalcs[[#This Row],[Project Index]], ProjectInput[], Q$1, FALSE)</f>
        <v>0</v>
      </c>
      <c r="P207" s="97">
        <f>VLOOKUP(ReviewCalcs[[#This Row],[Project Index]], ProjectInput[], R$1, FALSE)</f>
        <v>0</v>
      </c>
      <c r="Q207" s="97">
        <f>VLOOKUP(ReviewCalcs[[#This Row],[Project Index]], ProjectInput[], S$1, FALSE)</f>
        <v>0</v>
      </c>
      <c r="R207" s="97">
        <f>VLOOKUP(ReviewCalcs[[#This Row],[Project Index]], ProjectInput[], T$1, FALSE)</f>
        <v>0</v>
      </c>
      <c r="S207" s="97">
        <f>VLOOKUP(ReviewCalcs[[#This Row],[Project Index]], ProjectInput[], U$1, FALSE)</f>
        <v>0</v>
      </c>
      <c r="T207" s="97">
        <f>VLOOKUP(ReviewCalcs[[#This Row],[Project Index]], ProjectInput[], V$1, FALSE)</f>
        <v>0</v>
      </c>
      <c r="U207" s="97">
        <f>VLOOKUP(ReviewCalcs[[#This Row],[Project Index]], ProjectInput[], W$1, FALSE)</f>
        <v>0</v>
      </c>
      <c r="V207" s="98" t="str">
        <f>VLOOKUP(ReviewCalcs[[#This Row],[Project Index]], ProjectInput[], X$1, FALSE)</f>
        <v/>
      </c>
      <c r="W20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7" s="75" t="e">
        <f>IF(VLOOKUP(ReviewCalcs[[#This Row],[Proposed Fixture Code]], Table7[[FIXTURE CODE]:[Baseline Fixture Code]], 8, FALSE)="N", "ERROR", "PASS")</f>
        <v>#N/A</v>
      </c>
      <c r="Y20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7" s="75" t="e">
        <f>IF(OR(ReviewCalcs[[#This Row],[Baseline Fixture Watts]]&gt;=ReviewCalcs[[#This Row],[Proposed Fixture Watts]],ReviewCalcs[[#This Row],[Existing Fixture Watts]]&gt;=ReviewCalcs[[#This Row],[Proposed Fixture Watts]] ), "PASS", "ERROR")</f>
        <v>#N/A</v>
      </c>
      <c r="AA207" s="69" t="e">
        <f>VLOOKUP(ReviewCalcs[[#This Row],[Space Conditions]], Table_365[], 5, FALSE)</f>
        <v>#N/A</v>
      </c>
      <c r="AB207" s="68" t="str">
        <f>ReviewCalcs[[#This Row],[Annual Hours]]</f>
        <v/>
      </c>
      <c r="AC207" s="68" t="e">
        <f>VLOOKUP(ReviewCalcs[[#This Row],[Space Conditions]], Table_365[], 6, FALSE)</f>
        <v>#N/A</v>
      </c>
      <c r="AD207" s="68">
        <f>IF(ReviewCalcs[[#This Row],[Existing Control(s)]]='Tables &amp; Ranges'!$A$25, VLOOKUP(ReviewCalcs[[#This Row],[Building/Space Type]], Table_364[], 3, FALSE), CF_Contols)</f>
        <v>0.26</v>
      </c>
      <c r="AE207" s="68" t="e">
        <f>VLOOKUP(ReviewCalcs[[#This Row],[Existing Control(s)]], Table_358[], 2, FALSE)</f>
        <v>#N/A</v>
      </c>
      <c r="AF207" s="68">
        <f>IF(ReviewCalcs[[#This Row],[Proposed Control(s)]]='Tables &amp; Ranges'!$A$25, VLOOKUP(ReviewCalcs[[#This Row],[Building/Space Type]], Table_364[], 3, FALSE), CF_Contols)</f>
        <v>0.26</v>
      </c>
      <c r="AG207" s="68" t="e">
        <f>VLOOKUP(ReviewCalcs[[#This Row],[Proposed Control(s)]], Table_358[], 2, FALSE)</f>
        <v>#N/A</v>
      </c>
      <c r="AH207" s="68">
        <f>IFERROR((ReviewCalcs[[#This Row],[Existing Fixture Quantity]]*ReviewCalcs[[#This Row],[Existing Fixture Watts]]/1000)*ReviewCalcs[[#This Row],[Existing CF]]*ReviewCalcs[[#This Row],[IEFD]], 0)</f>
        <v>0</v>
      </c>
      <c r="AI207" s="68">
        <f>IFERROR((ReviewCalcs[[#This Row],[Proposed Fixture Quantity]]*ReviewCalcs[[#This Row],[Proposed Fixture Watts]]/1000)*ReviewCalcs[[#This Row],[Existing CF]]*ReviewCalcs[[#This Row],[IEFD]], 0)</f>
        <v>0</v>
      </c>
      <c r="AJ207" s="118">
        <f>IFERROR((ReviewCalcs[[#This Row],[Existing Fixture Quantity]]*ReviewCalcs[[#This Row],[Existing Fixture Watts]]/1000-ReviewCalcs[[#This Row],[Proposed Fixture Quantity]]*ReviewCalcs[[#This Row],[Proposed Fixture Watts]]/1000)*ReviewCalcs[[#This Row],[Existing CF]]*ReviewCalcs[[#This Row],[IEFD]], 0)</f>
        <v>0</v>
      </c>
      <c r="AK207" s="118">
        <f>IFERROR((ReviewCalcs[[#This Row],[Existing Fixture Quantity]]*ReviewCalcs[[#This Row],[Existing Fixture Watts]]/1000)*ReviewCalcs[[#This Row],[AOH]]*ReviewCalcs[[#This Row],[IEFE]]*ReviewCalcs[[#This Row],[Existing PAF]], 0)</f>
        <v>0</v>
      </c>
      <c r="AL207" s="118">
        <f>IFERROR((ReviewCalcs[[#This Row],[Proposed Fixture Quantity]]*ReviewCalcs[[#This Row],[Proposed Fixture Watts]]/1000)*ReviewCalcs[[#This Row],[AOH]]*ReviewCalcs[[#This Row],[IEFE]]*ReviewCalcs[[#This Row],[Existing PAF]], 0)</f>
        <v>0</v>
      </c>
      <c r="AM20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7" s="118">
        <f>ReviewCalcs[[#This Row],[Fixture Existing Energy (kWh)]]*Avg_KWh_Rate</f>
        <v>0</v>
      </c>
      <c r="AO207" s="118">
        <f>ReviewCalcs[[#This Row],[Fixture Proposed Energy (kWh)]]*Avg_KWh_Rate</f>
        <v>0</v>
      </c>
      <c r="AP207" s="70">
        <f>ReviewCalcs[[#This Row],[Fixture Energy Savings]]*Avg_KWh_Rate</f>
        <v>0</v>
      </c>
      <c r="AQ207" s="129" t="e">
        <f>ReviewCalcs[[#This Row],[Existing Fixture Quantity]]*ReviewCalcs[[#This Row],[Existing Fixture Watts]]/1000*ReviewCalcs[[#This Row],[Existing CF]]*ReviewCalcs[[#This Row],[IEFD]]</f>
        <v>#VALUE!</v>
      </c>
      <c r="AR207" s="129" t="e">
        <f>ReviewCalcs[[#This Row],[Proposed Fixture Quantity]]*ReviewCalcs[[#This Row],[Proposed Fixture Watts]]/1000*ReviewCalcs[[#This Row],[Proposed CF]]*ReviewCalcs[[#This Row],[IEFD]]</f>
        <v>#VALUE!</v>
      </c>
      <c r="AS207" s="118">
        <f>IF(ReviewCalcs[[#This Row],[Existing CF]]=ReviewCalcs[[#This Row],[Proposed CF]], 0, ReviewCalcs[[#This Row],[Proposed Fixture Quantity]]*ReviewCalcs[[#This Row],[Proposed Fixture Watts]]/1000*ReviewCalcs[[#This Row],[Proposed CF]]*ReviewCalcs[[#This Row],[IEFD]])</f>
        <v>0</v>
      </c>
      <c r="AT207" s="118">
        <f>IFERROR(ReviewCalcs[[#This Row],[Existing Fixture Quantity]]*ReviewCalcs[[#This Row],[Existing Fixture Watts]]/1000*ReviewCalcs[[#This Row],[Existing PAF]]*ReviewCalcs[[#This Row],[AOH]]*ReviewCalcs[[#This Row],[IEFE]], 0)</f>
        <v>0</v>
      </c>
      <c r="AU207" s="118">
        <f>IFERROR(ReviewCalcs[[#This Row],[Proposed Fixture Quantity]]*ReviewCalcs[[#This Row],[Proposed Fixture Watts]]/1000*ReviewCalcs[[#This Row],[Proposed PAF]]*ReviewCalcs[[#This Row],[AOH]]*ReviewCalcs[[#This Row],[IEFE]], 0)</f>
        <v>0</v>
      </c>
      <c r="AV207" s="118">
        <f>IFERROR(ReviewCalcs[[#This Row],[Proposed Fixture Quantity]]*ReviewCalcs[[#This Row],[Proposed Fixture Watts]]/1000*(ReviewCalcs[[#This Row],[Existing PAF]]-ReviewCalcs[[#This Row],[Proposed PAF]])*ReviewCalcs[[#This Row],[AOH]]*ReviewCalcs[[#This Row],[IEFE]], 0)</f>
        <v>0</v>
      </c>
      <c r="AW207" s="118">
        <f>ReviewCalcs[[#This Row],[Control Existing Energy (kWh)]]*kWh_Incentive_Rate</f>
        <v>0</v>
      </c>
      <c r="AX207" s="118">
        <f>ReviewCalcs[[#This Row],[Control Proposed Energy (kWh)]]*kWh_Incentive_Rate</f>
        <v>0</v>
      </c>
      <c r="AY207" s="70">
        <f>ReviewCalcs[[#This Row],[Control Energy Savings (kWh)]]*kWh_Incentive_Rate</f>
        <v>0</v>
      </c>
      <c r="AZ207" s="70" t="e">
        <f>ReviewCalcs[[#This Row],[Fixture Existing Demand (kW)]]+ReviewCalcs[[#This Row],[Control Existing Demand (kW)]]</f>
        <v>#VALUE!</v>
      </c>
      <c r="BA207" s="70" t="e">
        <f>ReviewCalcs[[#This Row],[Fixture Proposed Demand (kW)]]+ReviewCalcs[[#This Row],[Control Proposed Demand (kW)]]</f>
        <v>#VALUE!</v>
      </c>
      <c r="BB207" s="118">
        <f>ReviewCalcs[[#This Row],[Fixture Demand Savings (kW)]]+ReviewCalcs[[#This Row],[Control Demand Savings (kW)]]</f>
        <v>0</v>
      </c>
      <c r="BC207" s="118">
        <f>ReviewCalcs[[#This Row],[Fixture Existing Energy (kWh)]]+ReviewCalcs[[#This Row],[Control Existing Energy (kWh)]]</f>
        <v>0</v>
      </c>
      <c r="BD207" s="118">
        <f>ReviewCalcs[[#This Row],[Fixture Proposed Energy (kWh)]]+ReviewCalcs[[#This Row],[Control Proposed Energy (kWh)]]</f>
        <v>0</v>
      </c>
      <c r="BE207" s="118">
        <f>ReviewCalcs[[#This Row],[Fixture Energy Savings]]+ReviewCalcs[[#This Row],[Control Energy Savings (kWh)]]</f>
        <v>0</v>
      </c>
      <c r="BF207" s="118">
        <f>ReviewCalcs[[#This Row],[Fixture Existing Cost ($)]]+ReviewCalcs[[#This Row],[Control Existing Cost ($)]]</f>
        <v>0</v>
      </c>
      <c r="BG207" s="118">
        <f>ReviewCalcs[[#This Row],[Fixture Proposed Cost ($)]]+ReviewCalcs[[#This Row],[Controls Proposed Cost ($)]]</f>
        <v>0</v>
      </c>
      <c r="BH207" s="70">
        <f>ReviewCalcs[[#This Row],[Total Energy Savings (kWh)]]*Avg_KWh_Rate</f>
        <v>0</v>
      </c>
      <c r="BI20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7" s="70">
        <f>ReviewCalcs[[#This Row],[Retrofit Cost]]</f>
        <v>0</v>
      </c>
      <c r="BK207" s="70">
        <f>ReviewCalcs[[#This Row],[Retrofit Cost]]-ReviewCalcs[[#This Row],[Incentive ($)]]</f>
        <v>0</v>
      </c>
      <c r="BL207" s="118" t="e">
        <f>IFERROR(ReviewCalcs[[#This Row],[Net Project Cost ($)]]/ReviewCalcs[[#This Row],[Fixture Energy Cost Savings ($)]], #N/A)</f>
        <v>#N/A</v>
      </c>
      <c r="BM207" s="118" t="e">
        <f>IF(VLOOKUP(ReviewCalcs[[#This Row],[Existing Fixture Code]], Table7[[FIXTURE CODE]:[Baseline Fixture Code]], 8, FALSE)="N", VLOOKUP(ReviewCalcs[[#This Row],[Existing Fixture Code]], Table7[[FIXTURE CODE]:[Baseline Fixture Code]], 9, FALSE), ReviewCalcs[[#This Row],[Existing Fixture Code]])</f>
        <v>#N/A</v>
      </c>
      <c r="BN207" s="118" t="e">
        <f>INDEX(Table7[WATT/ FIXT], MATCH(ReviewCalcs[Baseline Fixture Code], Table7[FIXTURE CODE], 0))</f>
        <v>#N/A</v>
      </c>
      <c r="BO207" s="118">
        <f>IFERROR((ReviewCalcs[[#This Row],[Existing Fixture Quantity]]*ReviewCalcs[[#This Row],[Baseline Fixture Watts]]/1000-ReviewCalcs[[#This Row],[Proposed Fixture Quantity]]*ReviewCalcs[[#This Row],[Proposed Fixture Watts]]/1000)*ReviewCalcs[[#This Row],[Existing CF]]*ReviewCalcs[[#This Row],[IEFD]], 0)</f>
        <v>0</v>
      </c>
      <c r="BP20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7" s="118">
        <f>IF(ReviewCalcs[[#This Row],[Existing CF]]=ReviewCalcs[[#This Row],[Proposed CF]], 0, ReviewCalcs[[#This Row],[Proposed Fixture Quantity]]*ReviewCalcs[[#This Row],[Proposed Fixture Watts]]/1000*ReviewCalcs[[#This Row],[Proposed CF]]*ReviewCalcs[[#This Row],[IEFD]])</f>
        <v>0</v>
      </c>
      <c r="BR207" s="118">
        <f>IFERROR(ReviewCalcs[[#This Row],[Proposed Fixture Quantity]]*ReviewCalcs[[#This Row],[Proposed Fixture Watts]]/1000*(ReviewCalcs[[#This Row],[Existing PAF]]-ReviewCalcs[[#This Row],[Proposed PAF]])*ReviewCalcs[[#This Row],[AOH]]*ReviewCalcs[[#This Row],[IEFE]],0)</f>
        <v>0</v>
      </c>
      <c r="BS207" s="118">
        <f>ReviewCalcs[[#This Row],[Incentive Fixture Demand Savings (kW)]]+ReviewCalcs[[#This Row],[Incentive Control Demand Savings (kW)]]</f>
        <v>0</v>
      </c>
      <c r="BT207" s="118">
        <f>ReviewCalcs[[#This Row],[Incentive Fixture Energy Savings (kWh)]]+ReviewCalcs[[#This Row],[Incentive Control Energy Savings (kWh)]]</f>
        <v>0</v>
      </c>
      <c r="BU207" s="73"/>
    </row>
    <row r="208" spans="1:73" ht="30" customHeight="1">
      <c r="A208" s="68">
        <v>205</v>
      </c>
      <c r="B208" s="96">
        <f>VLOOKUP(ReviewCalcs[[#This Row],[Project Index]], ProjectInput[], D$1, FALSE)</f>
        <v>0</v>
      </c>
      <c r="C208" s="97">
        <f>VLOOKUP(ReviewCalcs[[#This Row],[Project Index]], ProjectInput[], E$1, FALSE)</f>
        <v>0</v>
      </c>
      <c r="D208" s="97">
        <f>VLOOKUP(ReviewCalcs[[#This Row],[Project Index]], ProjectInput[], F$1, FALSE)</f>
        <v>0</v>
      </c>
      <c r="E208" s="97">
        <f>VLOOKUP(ReviewCalcs[[#This Row],[Project Index]], ProjectInput[], G$1, FALSE)</f>
        <v>0</v>
      </c>
      <c r="F208" s="97">
        <f>VLOOKUP(ReviewCalcs[[#This Row],[Project Index]], ProjectInput[], H$1, FALSE)</f>
        <v>0</v>
      </c>
      <c r="G208" s="98" t="str">
        <f>VLOOKUP(ReviewCalcs[[#This Row],[Project Index]], ProjectInput[], I$1, FALSE)</f>
        <v/>
      </c>
      <c r="H208" s="96">
        <f>VLOOKUP(ReviewCalcs[[#This Row],[Project Index]], ProjectInput[], J$1, FALSE)</f>
        <v>0</v>
      </c>
      <c r="I208" s="97">
        <f>VLOOKUP(ReviewCalcs[[#This Row],[Project Index]], ProjectInput[], K$1, FALSE)</f>
        <v>0</v>
      </c>
      <c r="J208" s="97">
        <f>VLOOKUP(ReviewCalcs[[#This Row],[Project Index]], ProjectInput[], L$1, FALSE)</f>
        <v>0</v>
      </c>
      <c r="K208" s="97">
        <f>VLOOKUP(ReviewCalcs[[#This Row],[Project Index]], ProjectInput[], M$1, FALSE)</f>
        <v>0</v>
      </c>
      <c r="L208" s="97">
        <f>VLOOKUP(ReviewCalcs[[#This Row],[Project Index]], ProjectInput[], N$1, FALSE)</f>
        <v>0</v>
      </c>
      <c r="M208" s="98" t="str">
        <f>VLOOKUP(ReviewCalcs[[#This Row],[Project Index]], ProjectInput[], O$1, FALSE)</f>
        <v/>
      </c>
      <c r="N208" s="96">
        <f>VLOOKUP(ReviewCalcs[[#This Row],[Project Index]], ProjectInput[], P$1, FALSE)</f>
        <v>0</v>
      </c>
      <c r="O208" s="97">
        <f>VLOOKUP(ReviewCalcs[[#This Row],[Project Index]], ProjectInput[], Q$1, FALSE)</f>
        <v>0</v>
      </c>
      <c r="P208" s="97">
        <f>VLOOKUP(ReviewCalcs[[#This Row],[Project Index]], ProjectInput[], R$1, FALSE)</f>
        <v>0</v>
      </c>
      <c r="Q208" s="97">
        <f>VLOOKUP(ReviewCalcs[[#This Row],[Project Index]], ProjectInput[], S$1, FALSE)</f>
        <v>0</v>
      </c>
      <c r="R208" s="97">
        <f>VLOOKUP(ReviewCalcs[[#This Row],[Project Index]], ProjectInput[], T$1, FALSE)</f>
        <v>0</v>
      </c>
      <c r="S208" s="97">
        <f>VLOOKUP(ReviewCalcs[[#This Row],[Project Index]], ProjectInput[], U$1, FALSE)</f>
        <v>0</v>
      </c>
      <c r="T208" s="97">
        <f>VLOOKUP(ReviewCalcs[[#This Row],[Project Index]], ProjectInput[], V$1, FALSE)</f>
        <v>0</v>
      </c>
      <c r="U208" s="97">
        <f>VLOOKUP(ReviewCalcs[[#This Row],[Project Index]], ProjectInput[], W$1, FALSE)</f>
        <v>0</v>
      </c>
      <c r="V208" s="98" t="str">
        <f>VLOOKUP(ReviewCalcs[[#This Row],[Project Index]], ProjectInput[], X$1, FALSE)</f>
        <v/>
      </c>
      <c r="W20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8" s="75" t="e">
        <f>IF(VLOOKUP(ReviewCalcs[[#This Row],[Proposed Fixture Code]], Table7[[FIXTURE CODE]:[Baseline Fixture Code]], 8, FALSE)="N", "ERROR", "PASS")</f>
        <v>#N/A</v>
      </c>
      <c r="Y20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8" s="75" t="e">
        <f>IF(OR(ReviewCalcs[[#This Row],[Baseline Fixture Watts]]&gt;=ReviewCalcs[[#This Row],[Proposed Fixture Watts]],ReviewCalcs[[#This Row],[Existing Fixture Watts]]&gt;=ReviewCalcs[[#This Row],[Proposed Fixture Watts]] ), "PASS", "ERROR")</f>
        <v>#N/A</v>
      </c>
      <c r="AA208" s="69" t="e">
        <f>VLOOKUP(ReviewCalcs[[#This Row],[Space Conditions]], Table_365[], 5, FALSE)</f>
        <v>#N/A</v>
      </c>
      <c r="AB208" s="68" t="str">
        <f>ReviewCalcs[[#This Row],[Annual Hours]]</f>
        <v/>
      </c>
      <c r="AC208" s="68" t="e">
        <f>VLOOKUP(ReviewCalcs[[#This Row],[Space Conditions]], Table_365[], 6, FALSE)</f>
        <v>#N/A</v>
      </c>
      <c r="AD208" s="68">
        <f>IF(ReviewCalcs[[#This Row],[Existing Control(s)]]='Tables &amp; Ranges'!$A$25, VLOOKUP(ReviewCalcs[[#This Row],[Building/Space Type]], Table_364[], 3, FALSE), CF_Contols)</f>
        <v>0.26</v>
      </c>
      <c r="AE208" s="68" t="e">
        <f>VLOOKUP(ReviewCalcs[[#This Row],[Existing Control(s)]], Table_358[], 2, FALSE)</f>
        <v>#N/A</v>
      </c>
      <c r="AF208" s="68">
        <f>IF(ReviewCalcs[[#This Row],[Proposed Control(s)]]='Tables &amp; Ranges'!$A$25, VLOOKUP(ReviewCalcs[[#This Row],[Building/Space Type]], Table_364[], 3, FALSE), CF_Contols)</f>
        <v>0.26</v>
      </c>
      <c r="AG208" s="68" t="e">
        <f>VLOOKUP(ReviewCalcs[[#This Row],[Proposed Control(s)]], Table_358[], 2, FALSE)</f>
        <v>#N/A</v>
      </c>
      <c r="AH208" s="68">
        <f>IFERROR((ReviewCalcs[[#This Row],[Existing Fixture Quantity]]*ReviewCalcs[[#This Row],[Existing Fixture Watts]]/1000)*ReviewCalcs[[#This Row],[Existing CF]]*ReviewCalcs[[#This Row],[IEFD]], 0)</f>
        <v>0</v>
      </c>
      <c r="AI208" s="68">
        <f>IFERROR((ReviewCalcs[[#This Row],[Proposed Fixture Quantity]]*ReviewCalcs[[#This Row],[Proposed Fixture Watts]]/1000)*ReviewCalcs[[#This Row],[Existing CF]]*ReviewCalcs[[#This Row],[IEFD]], 0)</f>
        <v>0</v>
      </c>
      <c r="AJ208" s="118">
        <f>IFERROR((ReviewCalcs[[#This Row],[Existing Fixture Quantity]]*ReviewCalcs[[#This Row],[Existing Fixture Watts]]/1000-ReviewCalcs[[#This Row],[Proposed Fixture Quantity]]*ReviewCalcs[[#This Row],[Proposed Fixture Watts]]/1000)*ReviewCalcs[[#This Row],[Existing CF]]*ReviewCalcs[[#This Row],[IEFD]], 0)</f>
        <v>0</v>
      </c>
      <c r="AK208" s="118">
        <f>IFERROR((ReviewCalcs[[#This Row],[Existing Fixture Quantity]]*ReviewCalcs[[#This Row],[Existing Fixture Watts]]/1000)*ReviewCalcs[[#This Row],[AOH]]*ReviewCalcs[[#This Row],[IEFE]]*ReviewCalcs[[#This Row],[Existing PAF]], 0)</f>
        <v>0</v>
      </c>
      <c r="AL208" s="118">
        <f>IFERROR((ReviewCalcs[[#This Row],[Proposed Fixture Quantity]]*ReviewCalcs[[#This Row],[Proposed Fixture Watts]]/1000)*ReviewCalcs[[#This Row],[AOH]]*ReviewCalcs[[#This Row],[IEFE]]*ReviewCalcs[[#This Row],[Existing PAF]], 0)</f>
        <v>0</v>
      </c>
      <c r="AM20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8" s="118">
        <f>ReviewCalcs[[#This Row],[Fixture Existing Energy (kWh)]]*Avg_KWh_Rate</f>
        <v>0</v>
      </c>
      <c r="AO208" s="118">
        <f>ReviewCalcs[[#This Row],[Fixture Proposed Energy (kWh)]]*Avg_KWh_Rate</f>
        <v>0</v>
      </c>
      <c r="AP208" s="70">
        <f>ReviewCalcs[[#This Row],[Fixture Energy Savings]]*Avg_KWh_Rate</f>
        <v>0</v>
      </c>
      <c r="AQ208" s="129" t="e">
        <f>ReviewCalcs[[#This Row],[Existing Fixture Quantity]]*ReviewCalcs[[#This Row],[Existing Fixture Watts]]/1000*ReviewCalcs[[#This Row],[Existing CF]]*ReviewCalcs[[#This Row],[IEFD]]</f>
        <v>#VALUE!</v>
      </c>
      <c r="AR208" s="129" t="e">
        <f>ReviewCalcs[[#This Row],[Proposed Fixture Quantity]]*ReviewCalcs[[#This Row],[Proposed Fixture Watts]]/1000*ReviewCalcs[[#This Row],[Proposed CF]]*ReviewCalcs[[#This Row],[IEFD]]</f>
        <v>#VALUE!</v>
      </c>
      <c r="AS208" s="118">
        <f>IF(ReviewCalcs[[#This Row],[Existing CF]]=ReviewCalcs[[#This Row],[Proposed CF]], 0, ReviewCalcs[[#This Row],[Proposed Fixture Quantity]]*ReviewCalcs[[#This Row],[Proposed Fixture Watts]]/1000*ReviewCalcs[[#This Row],[Proposed CF]]*ReviewCalcs[[#This Row],[IEFD]])</f>
        <v>0</v>
      </c>
      <c r="AT208" s="118">
        <f>IFERROR(ReviewCalcs[[#This Row],[Existing Fixture Quantity]]*ReviewCalcs[[#This Row],[Existing Fixture Watts]]/1000*ReviewCalcs[[#This Row],[Existing PAF]]*ReviewCalcs[[#This Row],[AOH]]*ReviewCalcs[[#This Row],[IEFE]], 0)</f>
        <v>0</v>
      </c>
      <c r="AU208" s="118">
        <f>IFERROR(ReviewCalcs[[#This Row],[Proposed Fixture Quantity]]*ReviewCalcs[[#This Row],[Proposed Fixture Watts]]/1000*ReviewCalcs[[#This Row],[Proposed PAF]]*ReviewCalcs[[#This Row],[AOH]]*ReviewCalcs[[#This Row],[IEFE]], 0)</f>
        <v>0</v>
      </c>
      <c r="AV208" s="118">
        <f>IFERROR(ReviewCalcs[[#This Row],[Proposed Fixture Quantity]]*ReviewCalcs[[#This Row],[Proposed Fixture Watts]]/1000*(ReviewCalcs[[#This Row],[Existing PAF]]-ReviewCalcs[[#This Row],[Proposed PAF]])*ReviewCalcs[[#This Row],[AOH]]*ReviewCalcs[[#This Row],[IEFE]], 0)</f>
        <v>0</v>
      </c>
      <c r="AW208" s="118">
        <f>ReviewCalcs[[#This Row],[Control Existing Energy (kWh)]]*kWh_Incentive_Rate</f>
        <v>0</v>
      </c>
      <c r="AX208" s="118">
        <f>ReviewCalcs[[#This Row],[Control Proposed Energy (kWh)]]*kWh_Incentive_Rate</f>
        <v>0</v>
      </c>
      <c r="AY208" s="70">
        <f>ReviewCalcs[[#This Row],[Control Energy Savings (kWh)]]*kWh_Incentive_Rate</f>
        <v>0</v>
      </c>
      <c r="AZ208" s="70" t="e">
        <f>ReviewCalcs[[#This Row],[Fixture Existing Demand (kW)]]+ReviewCalcs[[#This Row],[Control Existing Demand (kW)]]</f>
        <v>#VALUE!</v>
      </c>
      <c r="BA208" s="70" t="e">
        <f>ReviewCalcs[[#This Row],[Fixture Proposed Demand (kW)]]+ReviewCalcs[[#This Row],[Control Proposed Demand (kW)]]</f>
        <v>#VALUE!</v>
      </c>
      <c r="BB208" s="118">
        <f>ReviewCalcs[[#This Row],[Fixture Demand Savings (kW)]]+ReviewCalcs[[#This Row],[Control Demand Savings (kW)]]</f>
        <v>0</v>
      </c>
      <c r="BC208" s="118">
        <f>ReviewCalcs[[#This Row],[Fixture Existing Energy (kWh)]]+ReviewCalcs[[#This Row],[Control Existing Energy (kWh)]]</f>
        <v>0</v>
      </c>
      <c r="BD208" s="118">
        <f>ReviewCalcs[[#This Row],[Fixture Proposed Energy (kWh)]]+ReviewCalcs[[#This Row],[Control Proposed Energy (kWh)]]</f>
        <v>0</v>
      </c>
      <c r="BE208" s="118">
        <f>ReviewCalcs[[#This Row],[Fixture Energy Savings]]+ReviewCalcs[[#This Row],[Control Energy Savings (kWh)]]</f>
        <v>0</v>
      </c>
      <c r="BF208" s="118">
        <f>ReviewCalcs[[#This Row],[Fixture Existing Cost ($)]]+ReviewCalcs[[#This Row],[Control Existing Cost ($)]]</f>
        <v>0</v>
      </c>
      <c r="BG208" s="118">
        <f>ReviewCalcs[[#This Row],[Fixture Proposed Cost ($)]]+ReviewCalcs[[#This Row],[Controls Proposed Cost ($)]]</f>
        <v>0</v>
      </c>
      <c r="BH208" s="70">
        <f>ReviewCalcs[[#This Row],[Total Energy Savings (kWh)]]*Avg_KWh_Rate</f>
        <v>0</v>
      </c>
      <c r="BI20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8" s="70">
        <f>ReviewCalcs[[#This Row],[Retrofit Cost]]</f>
        <v>0</v>
      </c>
      <c r="BK208" s="70">
        <f>ReviewCalcs[[#This Row],[Retrofit Cost]]-ReviewCalcs[[#This Row],[Incentive ($)]]</f>
        <v>0</v>
      </c>
      <c r="BL208" s="118" t="e">
        <f>IFERROR(ReviewCalcs[[#This Row],[Net Project Cost ($)]]/ReviewCalcs[[#This Row],[Fixture Energy Cost Savings ($)]], #N/A)</f>
        <v>#N/A</v>
      </c>
      <c r="BM208" s="118" t="e">
        <f>IF(VLOOKUP(ReviewCalcs[[#This Row],[Existing Fixture Code]], Table7[[FIXTURE CODE]:[Baseline Fixture Code]], 8, FALSE)="N", VLOOKUP(ReviewCalcs[[#This Row],[Existing Fixture Code]], Table7[[FIXTURE CODE]:[Baseline Fixture Code]], 9, FALSE), ReviewCalcs[[#This Row],[Existing Fixture Code]])</f>
        <v>#N/A</v>
      </c>
      <c r="BN208" s="118" t="e">
        <f>INDEX(Table7[WATT/ FIXT], MATCH(ReviewCalcs[Baseline Fixture Code], Table7[FIXTURE CODE], 0))</f>
        <v>#N/A</v>
      </c>
      <c r="BO208" s="118">
        <f>IFERROR((ReviewCalcs[[#This Row],[Existing Fixture Quantity]]*ReviewCalcs[[#This Row],[Baseline Fixture Watts]]/1000-ReviewCalcs[[#This Row],[Proposed Fixture Quantity]]*ReviewCalcs[[#This Row],[Proposed Fixture Watts]]/1000)*ReviewCalcs[[#This Row],[Existing CF]]*ReviewCalcs[[#This Row],[IEFD]], 0)</f>
        <v>0</v>
      </c>
      <c r="BP20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8" s="118">
        <f>IF(ReviewCalcs[[#This Row],[Existing CF]]=ReviewCalcs[[#This Row],[Proposed CF]], 0, ReviewCalcs[[#This Row],[Proposed Fixture Quantity]]*ReviewCalcs[[#This Row],[Proposed Fixture Watts]]/1000*ReviewCalcs[[#This Row],[Proposed CF]]*ReviewCalcs[[#This Row],[IEFD]])</f>
        <v>0</v>
      </c>
      <c r="BR208" s="118">
        <f>IFERROR(ReviewCalcs[[#This Row],[Proposed Fixture Quantity]]*ReviewCalcs[[#This Row],[Proposed Fixture Watts]]/1000*(ReviewCalcs[[#This Row],[Existing PAF]]-ReviewCalcs[[#This Row],[Proposed PAF]])*ReviewCalcs[[#This Row],[AOH]]*ReviewCalcs[[#This Row],[IEFE]],0)</f>
        <v>0</v>
      </c>
      <c r="BS208" s="118">
        <f>ReviewCalcs[[#This Row],[Incentive Fixture Demand Savings (kW)]]+ReviewCalcs[[#This Row],[Incentive Control Demand Savings (kW)]]</f>
        <v>0</v>
      </c>
      <c r="BT208" s="118">
        <f>ReviewCalcs[[#This Row],[Incentive Fixture Energy Savings (kWh)]]+ReviewCalcs[[#This Row],[Incentive Control Energy Savings (kWh)]]</f>
        <v>0</v>
      </c>
      <c r="BU208" s="73"/>
    </row>
    <row r="209" spans="1:73" ht="30" customHeight="1">
      <c r="A209" s="68">
        <v>206</v>
      </c>
      <c r="B209" s="96">
        <f>VLOOKUP(ReviewCalcs[[#This Row],[Project Index]], ProjectInput[], D$1, FALSE)</f>
        <v>0</v>
      </c>
      <c r="C209" s="97">
        <f>VLOOKUP(ReviewCalcs[[#This Row],[Project Index]], ProjectInput[], E$1, FALSE)</f>
        <v>0</v>
      </c>
      <c r="D209" s="97">
        <f>VLOOKUP(ReviewCalcs[[#This Row],[Project Index]], ProjectInput[], F$1, FALSE)</f>
        <v>0</v>
      </c>
      <c r="E209" s="97">
        <f>VLOOKUP(ReviewCalcs[[#This Row],[Project Index]], ProjectInput[], G$1, FALSE)</f>
        <v>0</v>
      </c>
      <c r="F209" s="97">
        <f>VLOOKUP(ReviewCalcs[[#This Row],[Project Index]], ProjectInput[], H$1, FALSE)</f>
        <v>0</v>
      </c>
      <c r="G209" s="98" t="str">
        <f>VLOOKUP(ReviewCalcs[[#This Row],[Project Index]], ProjectInput[], I$1, FALSE)</f>
        <v/>
      </c>
      <c r="H209" s="96">
        <f>VLOOKUP(ReviewCalcs[[#This Row],[Project Index]], ProjectInput[], J$1, FALSE)</f>
        <v>0</v>
      </c>
      <c r="I209" s="97">
        <f>VLOOKUP(ReviewCalcs[[#This Row],[Project Index]], ProjectInput[], K$1, FALSE)</f>
        <v>0</v>
      </c>
      <c r="J209" s="97">
        <f>VLOOKUP(ReviewCalcs[[#This Row],[Project Index]], ProjectInput[], L$1, FALSE)</f>
        <v>0</v>
      </c>
      <c r="K209" s="97">
        <f>VLOOKUP(ReviewCalcs[[#This Row],[Project Index]], ProjectInput[], M$1, FALSE)</f>
        <v>0</v>
      </c>
      <c r="L209" s="97">
        <f>VLOOKUP(ReviewCalcs[[#This Row],[Project Index]], ProjectInput[], N$1, FALSE)</f>
        <v>0</v>
      </c>
      <c r="M209" s="98" t="str">
        <f>VLOOKUP(ReviewCalcs[[#This Row],[Project Index]], ProjectInput[], O$1, FALSE)</f>
        <v/>
      </c>
      <c r="N209" s="96">
        <f>VLOOKUP(ReviewCalcs[[#This Row],[Project Index]], ProjectInput[], P$1, FALSE)</f>
        <v>0</v>
      </c>
      <c r="O209" s="97">
        <f>VLOOKUP(ReviewCalcs[[#This Row],[Project Index]], ProjectInput[], Q$1, FALSE)</f>
        <v>0</v>
      </c>
      <c r="P209" s="97">
        <f>VLOOKUP(ReviewCalcs[[#This Row],[Project Index]], ProjectInput[], R$1, FALSE)</f>
        <v>0</v>
      </c>
      <c r="Q209" s="97">
        <f>VLOOKUP(ReviewCalcs[[#This Row],[Project Index]], ProjectInput[], S$1, FALSE)</f>
        <v>0</v>
      </c>
      <c r="R209" s="97">
        <f>VLOOKUP(ReviewCalcs[[#This Row],[Project Index]], ProjectInput[], T$1, FALSE)</f>
        <v>0</v>
      </c>
      <c r="S209" s="97">
        <f>VLOOKUP(ReviewCalcs[[#This Row],[Project Index]], ProjectInput[], U$1, FALSE)</f>
        <v>0</v>
      </c>
      <c r="T209" s="97">
        <f>VLOOKUP(ReviewCalcs[[#This Row],[Project Index]], ProjectInput[], V$1, FALSE)</f>
        <v>0</v>
      </c>
      <c r="U209" s="97">
        <f>VLOOKUP(ReviewCalcs[[#This Row],[Project Index]], ProjectInput[], W$1, FALSE)</f>
        <v>0</v>
      </c>
      <c r="V209" s="98" t="str">
        <f>VLOOKUP(ReviewCalcs[[#This Row],[Project Index]], ProjectInput[], X$1, FALSE)</f>
        <v/>
      </c>
      <c r="W20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09" s="75" t="e">
        <f>IF(VLOOKUP(ReviewCalcs[[#This Row],[Proposed Fixture Code]], Table7[[FIXTURE CODE]:[Baseline Fixture Code]], 8, FALSE)="N", "ERROR", "PASS")</f>
        <v>#N/A</v>
      </c>
      <c r="Y20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09" s="75" t="e">
        <f>IF(OR(ReviewCalcs[[#This Row],[Baseline Fixture Watts]]&gt;=ReviewCalcs[[#This Row],[Proposed Fixture Watts]],ReviewCalcs[[#This Row],[Existing Fixture Watts]]&gt;=ReviewCalcs[[#This Row],[Proposed Fixture Watts]] ), "PASS", "ERROR")</f>
        <v>#N/A</v>
      </c>
      <c r="AA209" s="69" t="e">
        <f>VLOOKUP(ReviewCalcs[[#This Row],[Space Conditions]], Table_365[], 5, FALSE)</f>
        <v>#N/A</v>
      </c>
      <c r="AB209" s="68" t="str">
        <f>ReviewCalcs[[#This Row],[Annual Hours]]</f>
        <v/>
      </c>
      <c r="AC209" s="68" t="e">
        <f>VLOOKUP(ReviewCalcs[[#This Row],[Space Conditions]], Table_365[], 6, FALSE)</f>
        <v>#N/A</v>
      </c>
      <c r="AD209" s="68">
        <f>IF(ReviewCalcs[[#This Row],[Existing Control(s)]]='Tables &amp; Ranges'!$A$25, VLOOKUP(ReviewCalcs[[#This Row],[Building/Space Type]], Table_364[], 3, FALSE), CF_Contols)</f>
        <v>0.26</v>
      </c>
      <c r="AE209" s="68" t="e">
        <f>VLOOKUP(ReviewCalcs[[#This Row],[Existing Control(s)]], Table_358[], 2, FALSE)</f>
        <v>#N/A</v>
      </c>
      <c r="AF209" s="68">
        <f>IF(ReviewCalcs[[#This Row],[Proposed Control(s)]]='Tables &amp; Ranges'!$A$25, VLOOKUP(ReviewCalcs[[#This Row],[Building/Space Type]], Table_364[], 3, FALSE), CF_Contols)</f>
        <v>0.26</v>
      </c>
      <c r="AG209" s="68" t="e">
        <f>VLOOKUP(ReviewCalcs[[#This Row],[Proposed Control(s)]], Table_358[], 2, FALSE)</f>
        <v>#N/A</v>
      </c>
      <c r="AH209" s="68">
        <f>IFERROR((ReviewCalcs[[#This Row],[Existing Fixture Quantity]]*ReviewCalcs[[#This Row],[Existing Fixture Watts]]/1000)*ReviewCalcs[[#This Row],[Existing CF]]*ReviewCalcs[[#This Row],[IEFD]], 0)</f>
        <v>0</v>
      </c>
      <c r="AI209" s="68">
        <f>IFERROR((ReviewCalcs[[#This Row],[Proposed Fixture Quantity]]*ReviewCalcs[[#This Row],[Proposed Fixture Watts]]/1000)*ReviewCalcs[[#This Row],[Existing CF]]*ReviewCalcs[[#This Row],[IEFD]], 0)</f>
        <v>0</v>
      </c>
      <c r="AJ209" s="118">
        <f>IFERROR((ReviewCalcs[[#This Row],[Existing Fixture Quantity]]*ReviewCalcs[[#This Row],[Existing Fixture Watts]]/1000-ReviewCalcs[[#This Row],[Proposed Fixture Quantity]]*ReviewCalcs[[#This Row],[Proposed Fixture Watts]]/1000)*ReviewCalcs[[#This Row],[Existing CF]]*ReviewCalcs[[#This Row],[IEFD]], 0)</f>
        <v>0</v>
      </c>
      <c r="AK209" s="118">
        <f>IFERROR((ReviewCalcs[[#This Row],[Existing Fixture Quantity]]*ReviewCalcs[[#This Row],[Existing Fixture Watts]]/1000)*ReviewCalcs[[#This Row],[AOH]]*ReviewCalcs[[#This Row],[IEFE]]*ReviewCalcs[[#This Row],[Existing PAF]], 0)</f>
        <v>0</v>
      </c>
      <c r="AL209" s="118">
        <f>IFERROR((ReviewCalcs[[#This Row],[Proposed Fixture Quantity]]*ReviewCalcs[[#This Row],[Proposed Fixture Watts]]/1000)*ReviewCalcs[[#This Row],[AOH]]*ReviewCalcs[[#This Row],[IEFE]]*ReviewCalcs[[#This Row],[Existing PAF]], 0)</f>
        <v>0</v>
      </c>
      <c r="AM20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09" s="118">
        <f>ReviewCalcs[[#This Row],[Fixture Existing Energy (kWh)]]*Avg_KWh_Rate</f>
        <v>0</v>
      </c>
      <c r="AO209" s="118">
        <f>ReviewCalcs[[#This Row],[Fixture Proposed Energy (kWh)]]*Avg_KWh_Rate</f>
        <v>0</v>
      </c>
      <c r="AP209" s="70">
        <f>ReviewCalcs[[#This Row],[Fixture Energy Savings]]*Avg_KWh_Rate</f>
        <v>0</v>
      </c>
      <c r="AQ209" s="129" t="e">
        <f>ReviewCalcs[[#This Row],[Existing Fixture Quantity]]*ReviewCalcs[[#This Row],[Existing Fixture Watts]]/1000*ReviewCalcs[[#This Row],[Existing CF]]*ReviewCalcs[[#This Row],[IEFD]]</f>
        <v>#VALUE!</v>
      </c>
      <c r="AR209" s="129" t="e">
        <f>ReviewCalcs[[#This Row],[Proposed Fixture Quantity]]*ReviewCalcs[[#This Row],[Proposed Fixture Watts]]/1000*ReviewCalcs[[#This Row],[Proposed CF]]*ReviewCalcs[[#This Row],[IEFD]]</f>
        <v>#VALUE!</v>
      </c>
      <c r="AS209" s="118">
        <f>IF(ReviewCalcs[[#This Row],[Existing CF]]=ReviewCalcs[[#This Row],[Proposed CF]], 0, ReviewCalcs[[#This Row],[Proposed Fixture Quantity]]*ReviewCalcs[[#This Row],[Proposed Fixture Watts]]/1000*ReviewCalcs[[#This Row],[Proposed CF]]*ReviewCalcs[[#This Row],[IEFD]])</f>
        <v>0</v>
      </c>
      <c r="AT209" s="118">
        <f>IFERROR(ReviewCalcs[[#This Row],[Existing Fixture Quantity]]*ReviewCalcs[[#This Row],[Existing Fixture Watts]]/1000*ReviewCalcs[[#This Row],[Existing PAF]]*ReviewCalcs[[#This Row],[AOH]]*ReviewCalcs[[#This Row],[IEFE]], 0)</f>
        <v>0</v>
      </c>
      <c r="AU209" s="118">
        <f>IFERROR(ReviewCalcs[[#This Row],[Proposed Fixture Quantity]]*ReviewCalcs[[#This Row],[Proposed Fixture Watts]]/1000*ReviewCalcs[[#This Row],[Proposed PAF]]*ReviewCalcs[[#This Row],[AOH]]*ReviewCalcs[[#This Row],[IEFE]], 0)</f>
        <v>0</v>
      </c>
      <c r="AV209" s="118">
        <f>IFERROR(ReviewCalcs[[#This Row],[Proposed Fixture Quantity]]*ReviewCalcs[[#This Row],[Proposed Fixture Watts]]/1000*(ReviewCalcs[[#This Row],[Existing PAF]]-ReviewCalcs[[#This Row],[Proposed PAF]])*ReviewCalcs[[#This Row],[AOH]]*ReviewCalcs[[#This Row],[IEFE]], 0)</f>
        <v>0</v>
      </c>
      <c r="AW209" s="118">
        <f>ReviewCalcs[[#This Row],[Control Existing Energy (kWh)]]*kWh_Incentive_Rate</f>
        <v>0</v>
      </c>
      <c r="AX209" s="118">
        <f>ReviewCalcs[[#This Row],[Control Proposed Energy (kWh)]]*kWh_Incentive_Rate</f>
        <v>0</v>
      </c>
      <c r="AY209" s="70">
        <f>ReviewCalcs[[#This Row],[Control Energy Savings (kWh)]]*kWh_Incentive_Rate</f>
        <v>0</v>
      </c>
      <c r="AZ209" s="70" t="e">
        <f>ReviewCalcs[[#This Row],[Fixture Existing Demand (kW)]]+ReviewCalcs[[#This Row],[Control Existing Demand (kW)]]</f>
        <v>#VALUE!</v>
      </c>
      <c r="BA209" s="70" t="e">
        <f>ReviewCalcs[[#This Row],[Fixture Proposed Demand (kW)]]+ReviewCalcs[[#This Row],[Control Proposed Demand (kW)]]</f>
        <v>#VALUE!</v>
      </c>
      <c r="BB209" s="118">
        <f>ReviewCalcs[[#This Row],[Fixture Demand Savings (kW)]]+ReviewCalcs[[#This Row],[Control Demand Savings (kW)]]</f>
        <v>0</v>
      </c>
      <c r="BC209" s="118">
        <f>ReviewCalcs[[#This Row],[Fixture Existing Energy (kWh)]]+ReviewCalcs[[#This Row],[Control Existing Energy (kWh)]]</f>
        <v>0</v>
      </c>
      <c r="BD209" s="118">
        <f>ReviewCalcs[[#This Row],[Fixture Proposed Energy (kWh)]]+ReviewCalcs[[#This Row],[Control Proposed Energy (kWh)]]</f>
        <v>0</v>
      </c>
      <c r="BE209" s="118">
        <f>ReviewCalcs[[#This Row],[Fixture Energy Savings]]+ReviewCalcs[[#This Row],[Control Energy Savings (kWh)]]</f>
        <v>0</v>
      </c>
      <c r="BF209" s="118">
        <f>ReviewCalcs[[#This Row],[Fixture Existing Cost ($)]]+ReviewCalcs[[#This Row],[Control Existing Cost ($)]]</f>
        <v>0</v>
      </c>
      <c r="BG209" s="118">
        <f>ReviewCalcs[[#This Row],[Fixture Proposed Cost ($)]]+ReviewCalcs[[#This Row],[Controls Proposed Cost ($)]]</f>
        <v>0</v>
      </c>
      <c r="BH209" s="70">
        <f>ReviewCalcs[[#This Row],[Total Energy Savings (kWh)]]*Avg_KWh_Rate</f>
        <v>0</v>
      </c>
      <c r="BI20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09" s="70">
        <f>ReviewCalcs[[#This Row],[Retrofit Cost]]</f>
        <v>0</v>
      </c>
      <c r="BK209" s="70">
        <f>ReviewCalcs[[#This Row],[Retrofit Cost]]-ReviewCalcs[[#This Row],[Incentive ($)]]</f>
        <v>0</v>
      </c>
      <c r="BL209" s="118" t="e">
        <f>IFERROR(ReviewCalcs[[#This Row],[Net Project Cost ($)]]/ReviewCalcs[[#This Row],[Fixture Energy Cost Savings ($)]], #N/A)</f>
        <v>#N/A</v>
      </c>
      <c r="BM209" s="118" t="e">
        <f>IF(VLOOKUP(ReviewCalcs[[#This Row],[Existing Fixture Code]], Table7[[FIXTURE CODE]:[Baseline Fixture Code]], 8, FALSE)="N", VLOOKUP(ReviewCalcs[[#This Row],[Existing Fixture Code]], Table7[[FIXTURE CODE]:[Baseline Fixture Code]], 9, FALSE), ReviewCalcs[[#This Row],[Existing Fixture Code]])</f>
        <v>#N/A</v>
      </c>
      <c r="BN209" s="118" t="e">
        <f>INDEX(Table7[WATT/ FIXT], MATCH(ReviewCalcs[Baseline Fixture Code], Table7[FIXTURE CODE], 0))</f>
        <v>#N/A</v>
      </c>
      <c r="BO209" s="118">
        <f>IFERROR((ReviewCalcs[[#This Row],[Existing Fixture Quantity]]*ReviewCalcs[[#This Row],[Baseline Fixture Watts]]/1000-ReviewCalcs[[#This Row],[Proposed Fixture Quantity]]*ReviewCalcs[[#This Row],[Proposed Fixture Watts]]/1000)*ReviewCalcs[[#This Row],[Existing CF]]*ReviewCalcs[[#This Row],[IEFD]], 0)</f>
        <v>0</v>
      </c>
      <c r="BP20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09" s="118">
        <f>IF(ReviewCalcs[[#This Row],[Existing CF]]=ReviewCalcs[[#This Row],[Proposed CF]], 0, ReviewCalcs[[#This Row],[Proposed Fixture Quantity]]*ReviewCalcs[[#This Row],[Proposed Fixture Watts]]/1000*ReviewCalcs[[#This Row],[Proposed CF]]*ReviewCalcs[[#This Row],[IEFD]])</f>
        <v>0</v>
      </c>
      <c r="BR209" s="118">
        <f>IFERROR(ReviewCalcs[[#This Row],[Proposed Fixture Quantity]]*ReviewCalcs[[#This Row],[Proposed Fixture Watts]]/1000*(ReviewCalcs[[#This Row],[Existing PAF]]-ReviewCalcs[[#This Row],[Proposed PAF]])*ReviewCalcs[[#This Row],[AOH]]*ReviewCalcs[[#This Row],[IEFE]],0)</f>
        <v>0</v>
      </c>
      <c r="BS209" s="118">
        <f>ReviewCalcs[[#This Row],[Incentive Fixture Demand Savings (kW)]]+ReviewCalcs[[#This Row],[Incentive Control Demand Savings (kW)]]</f>
        <v>0</v>
      </c>
      <c r="BT209" s="118">
        <f>ReviewCalcs[[#This Row],[Incentive Fixture Energy Savings (kWh)]]+ReviewCalcs[[#This Row],[Incentive Control Energy Savings (kWh)]]</f>
        <v>0</v>
      </c>
      <c r="BU209" s="73"/>
    </row>
    <row r="210" spans="1:73" ht="30" customHeight="1">
      <c r="A210" s="68">
        <v>207</v>
      </c>
      <c r="B210" s="96">
        <f>VLOOKUP(ReviewCalcs[[#This Row],[Project Index]], ProjectInput[], D$1, FALSE)</f>
        <v>0</v>
      </c>
      <c r="C210" s="97">
        <f>VLOOKUP(ReviewCalcs[[#This Row],[Project Index]], ProjectInput[], E$1, FALSE)</f>
        <v>0</v>
      </c>
      <c r="D210" s="97">
        <f>VLOOKUP(ReviewCalcs[[#This Row],[Project Index]], ProjectInput[], F$1, FALSE)</f>
        <v>0</v>
      </c>
      <c r="E210" s="97">
        <f>VLOOKUP(ReviewCalcs[[#This Row],[Project Index]], ProjectInput[], G$1, FALSE)</f>
        <v>0</v>
      </c>
      <c r="F210" s="97">
        <f>VLOOKUP(ReviewCalcs[[#This Row],[Project Index]], ProjectInput[], H$1, FALSE)</f>
        <v>0</v>
      </c>
      <c r="G210" s="98" t="str">
        <f>VLOOKUP(ReviewCalcs[[#This Row],[Project Index]], ProjectInput[], I$1, FALSE)</f>
        <v/>
      </c>
      <c r="H210" s="96">
        <f>VLOOKUP(ReviewCalcs[[#This Row],[Project Index]], ProjectInput[], J$1, FALSE)</f>
        <v>0</v>
      </c>
      <c r="I210" s="97">
        <f>VLOOKUP(ReviewCalcs[[#This Row],[Project Index]], ProjectInput[], K$1, FALSE)</f>
        <v>0</v>
      </c>
      <c r="J210" s="97">
        <f>VLOOKUP(ReviewCalcs[[#This Row],[Project Index]], ProjectInput[], L$1, FALSE)</f>
        <v>0</v>
      </c>
      <c r="K210" s="97">
        <f>VLOOKUP(ReviewCalcs[[#This Row],[Project Index]], ProjectInput[], M$1, FALSE)</f>
        <v>0</v>
      </c>
      <c r="L210" s="97">
        <f>VLOOKUP(ReviewCalcs[[#This Row],[Project Index]], ProjectInput[], N$1, FALSE)</f>
        <v>0</v>
      </c>
      <c r="M210" s="98" t="str">
        <f>VLOOKUP(ReviewCalcs[[#This Row],[Project Index]], ProjectInput[], O$1, FALSE)</f>
        <v/>
      </c>
      <c r="N210" s="96">
        <f>VLOOKUP(ReviewCalcs[[#This Row],[Project Index]], ProjectInput[], P$1, FALSE)</f>
        <v>0</v>
      </c>
      <c r="O210" s="97">
        <f>VLOOKUP(ReviewCalcs[[#This Row],[Project Index]], ProjectInput[], Q$1, FALSE)</f>
        <v>0</v>
      </c>
      <c r="P210" s="97">
        <f>VLOOKUP(ReviewCalcs[[#This Row],[Project Index]], ProjectInput[], R$1, FALSE)</f>
        <v>0</v>
      </c>
      <c r="Q210" s="97">
        <f>VLOOKUP(ReviewCalcs[[#This Row],[Project Index]], ProjectInput[], S$1, FALSE)</f>
        <v>0</v>
      </c>
      <c r="R210" s="97">
        <f>VLOOKUP(ReviewCalcs[[#This Row],[Project Index]], ProjectInput[], T$1, FALSE)</f>
        <v>0</v>
      </c>
      <c r="S210" s="97">
        <f>VLOOKUP(ReviewCalcs[[#This Row],[Project Index]], ProjectInput[], U$1, FALSE)</f>
        <v>0</v>
      </c>
      <c r="T210" s="97">
        <f>VLOOKUP(ReviewCalcs[[#This Row],[Project Index]], ProjectInput[], V$1, FALSE)</f>
        <v>0</v>
      </c>
      <c r="U210" s="97">
        <f>VLOOKUP(ReviewCalcs[[#This Row],[Project Index]], ProjectInput[], W$1, FALSE)</f>
        <v>0</v>
      </c>
      <c r="V210" s="98" t="str">
        <f>VLOOKUP(ReviewCalcs[[#This Row],[Project Index]], ProjectInput[], X$1, FALSE)</f>
        <v/>
      </c>
      <c r="W21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0" s="75" t="e">
        <f>IF(VLOOKUP(ReviewCalcs[[#This Row],[Proposed Fixture Code]], Table7[[FIXTURE CODE]:[Baseline Fixture Code]], 8, FALSE)="N", "ERROR", "PASS")</f>
        <v>#N/A</v>
      </c>
      <c r="Y21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0" s="75" t="e">
        <f>IF(OR(ReviewCalcs[[#This Row],[Baseline Fixture Watts]]&gt;=ReviewCalcs[[#This Row],[Proposed Fixture Watts]],ReviewCalcs[[#This Row],[Existing Fixture Watts]]&gt;=ReviewCalcs[[#This Row],[Proposed Fixture Watts]] ), "PASS", "ERROR")</f>
        <v>#N/A</v>
      </c>
      <c r="AA210" s="69" t="e">
        <f>VLOOKUP(ReviewCalcs[[#This Row],[Space Conditions]], Table_365[], 5, FALSE)</f>
        <v>#N/A</v>
      </c>
      <c r="AB210" s="68" t="str">
        <f>ReviewCalcs[[#This Row],[Annual Hours]]</f>
        <v/>
      </c>
      <c r="AC210" s="68" t="e">
        <f>VLOOKUP(ReviewCalcs[[#This Row],[Space Conditions]], Table_365[], 6, FALSE)</f>
        <v>#N/A</v>
      </c>
      <c r="AD210" s="68">
        <f>IF(ReviewCalcs[[#This Row],[Existing Control(s)]]='Tables &amp; Ranges'!$A$25, VLOOKUP(ReviewCalcs[[#This Row],[Building/Space Type]], Table_364[], 3, FALSE), CF_Contols)</f>
        <v>0.26</v>
      </c>
      <c r="AE210" s="68" t="e">
        <f>VLOOKUP(ReviewCalcs[[#This Row],[Existing Control(s)]], Table_358[], 2, FALSE)</f>
        <v>#N/A</v>
      </c>
      <c r="AF210" s="68">
        <f>IF(ReviewCalcs[[#This Row],[Proposed Control(s)]]='Tables &amp; Ranges'!$A$25, VLOOKUP(ReviewCalcs[[#This Row],[Building/Space Type]], Table_364[], 3, FALSE), CF_Contols)</f>
        <v>0.26</v>
      </c>
      <c r="AG210" s="68" t="e">
        <f>VLOOKUP(ReviewCalcs[[#This Row],[Proposed Control(s)]], Table_358[], 2, FALSE)</f>
        <v>#N/A</v>
      </c>
      <c r="AH210" s="68">
        <f>IFERROR((ReviewCalcs[[#This Row],[Existing Fixture Quantity]]*ReviewCalcs[[#This Row],[Existing Fixture Watts]]/1000)*ReviewCalcs[[#This Row],[Existing CF]]*ReviewCalcs[[#This Row],[IEFD]], 0)</f>
        <v>0</v>
      </c>
      <c r="AI210" s="68">
        <f>IFERROR((ReviewCalcs[[#This Row],[Proposed Fixture Quantity]]*ReviewCalcs[[#This Row],[Proposed Fixture Watts]]/1000)*ReviewCalcs[[#This Row],[Existing CF]]*ReviewCalcs[[#This Row],[IEFD]], 0)</f>
        <v>0</v>
      </c>
      <c r="AJ210" s="118">
        <f>IFERROR((ReviewCalcs[[#This Row],[Existing Fixture Quantity]]*ReviewCalcs[[#This Row],[Existing Fixture Watts]]/1000-ReviewCalcs[[#This Row],[Proposed Fixture Quantity]]*ReviewCalcs[[#This Row],[Proposed Fixture Watts]]/1000)*ReviewCalcs[[#This Row],[Existing CF]]*ReviewCalcs[[#This Row],[IEFD]], 0)</f>
        <v>0</v>
      </c>
      <c r="AK210" s="118">
        <f>IFERROR((ReviewCalcs[[#This Row],[Existing Fixture Quantity]]*ReviewCalcs[[#This Row],[Existing Fixture Watts]]/1000)*ReviewCalcs[[#This Row],[AOH]]*ReviewCalcs[[#This Row],[IEFE]]*ReviewCalcs[[#This Row],[Existing PAF]], 0)</f>
        <v>0</v>
      </c>
      <c r="AL210" s="118">
        <f>IFERROR((ReviewCalcs[[#This Row],[Proposed Fixture Quantity]]*ReviewCalcs[[#This Row],[Proposed Fixture Watts]]/1000)*ReviewCalcs[[#This Row],[AOH]]*ReviewCalcs[[#This Row],[IEFE]]*ReviewCalcs[[#This Row],[Existing PAF]], 0)</f>
        <v>0</v>
      </c>
      <c r="AM21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0" s="118">
        <f>ReviewCalcs[[#This Row],[Fixture Existing Energy (kWh)]]*Avg_KWh_Rate</f>
        <v>0</v>
      </c>
      <c r="AO210" s="118">
        <f>ReviewCalcs[[#This Row],[Fixture Proposed Energy (kWh)]]*Avg_KWh_Rate</f>
        <v>0</v>
      </c>
      <c r="AP210" s="70">
        <f>ReviewCalcs[[#This Row],[Fixture Energy Savings]]*Avg_KWh_Rate</f>
        <v>0</v>
      </c>
      <c r="AQ210" s="129" t="e">
        <f>ReviewCalcs[[#This Row],[Existing Fixture Quantity]]*ReviewCalcs[[#This Row],[Existing Fixture Watts]]/1000*ReviewCalcs[[#This Row],[Existing CF]]*ReviewCalcs[[#This Row],[IEFD]]</f>
        <v>#VALUE!</v>
      </c>
      <c r="AR210" s="129" t="e">
        <f>ReviewCalcs[[#This Row],[Proposed Fixture Quantity]]*ReviewCalcs[[#This Row],[Proposed Fixture Watts]]/1000*ReviewCalcs[[#This Row],[Proposed CF]]*ReviewCalcs[[#This Row],[IEFD]]</f>
        <v>#VALUE!</v>
      </c>
      <c r="AS210" s="118">
        <f>IF(ReviewCalcs[[#This Row],[Existing CF]]=ReviewCalcs[[#This Row],[Proposed CF]], 0, ReviewCalcs[[#This Row],[Proposed Fixture Quantity]]*ReviewCalcs[[#This Row],[Proposed Fixture Watts]]/1000*ReviewCalcs[[#This Row],[Proposed CF]]*ReviewCalcs[[#This Row],[IEFD]])</f>
        <v>0</v>
      </c>
      <c r="AT210" s="118">
        <f>IFERROR(ReviewCalcs[[#This Row],[Existing Fixture Quantity]]*ReviewCalcs[[#This Row],[Existing Fixture Watts]]/1000*ReviewCalcs[[#This Row],[Existing PAF]]*ReviewCalcs[[#This Row],[AOH]]*ReviewCalcs[[#This Row],[IEFE]], 0)</f>
        <v>0</v>
      </c>
      <c r="AU210" s="118">
        <f>IFERROR(ReviewCalcs[[#This Row],[Proposed Fixture Quantity]]*ReviewCalcs[[#This Row],[Proposed Fixture Watts]]/1000*ReviewCalcs[[#This Row],[Proposed PAF]]*ReviewCalcs[[#This Row],[AOH]]*ReviewCalcs[[#This Row],[IEFE]], 0)</f>
        <v>0</v>
      </c>
      <c r="AV210" s="118">
        <f>IFERROR(ReviewCalcs[[#This Row],[Proposed Fixture Quantity]]*ReviewCalcs[[#This Row],[Proposed Fixture Watts]]/1000*(ReviewCalcs[[#This Row],[Existing PAF]]-ReviewCalcs[[#This Row],[Proposed PAF]])*ReviewCalcs[[#This Row],[AOH]]*ReviewCalcs[[#This Row],[IEFE]], 0)</f>
        <v>0</v>
      </c>
      <c r="AW210" s="118">
        <f>ReviewCalcs[[#This Row],[Control Existing Energy (kWh)]]*kWh_Incentive_Rate</f>
        <v>0</v>
      </c>
      <c r="AX210" s="118">
        <f>ReviewCalcs[[#This Row],[Control Proposed Energy (kWh)]]*kWh_Incentive_Rate</f>
        <v>0</v>
      </c>
      <c r="AY210" s="70">
        <f>ReviewCalcs[[#This Row],[Control Energy Savings (kWh)]]*kWh_Incentive_Rate</f>
        <v>0</v>
      </c>
      <c r="AZ210" s="70" t="e">
        <f>ReviewCalcs[[#This Row],[Fixture Existing Demand (kW)]]+ReviewCalcs[[#This Row],[Control Existing Demand (kW)]]</f>
        <v>#VALUE!</v>
      </c>
      <c r="BA210" s="70" t="e">
        <f>ReviewCalcs[[#This Row],[Fixture Proposed Demand (kW)]]+ReviewCalcs[[#This Row],[Control Proposed Demand (kW)]]</f>
        <v>#VALUE!</v>
      </c>
      <c r="BB210" s="118">
        <f>ReviewCalcs[[#This Row],[Fixture Demand Savings (kW)]]+ReviewCalcs[[#This Row],[Control Demand Savings (kW)]]</f>
        <v>0</v>
      </c>
      <c r="BC210" s="118">
        <f>ReviewCalcs[[#This Row],[Fixture Existing Energy (kWh)]]+ReviewCalcs[[#This Row],[Control Existing Energy (kWh)]]</f>
        <v>0</v>
      </c>
      <c r="BD210" s="118">
        <f>ReviewCalcs[[#This Row],[Fixture Proposed Energy (kWh)]]+ReviewCalcs[[#This Row],[Control Proposed Energy (kWh)]]</f>
        <v>0</v>
      </c>
      <c r="BE210" s="118">
        <f>ReviewCalcs[[#This Row],[Fixture Energy Savings]]+ReviewCalcs[[#This Row],[Control Energy Savings (kWh)]]</f>
        <v>0</v>
      </c>
      <c r="BF210" s="118">
        <f>ReviewCalcs[[#This Row],[Fixture Existing Cost ($)]]+ReviewCalcs[[#This Row],[Control Existing Cost ($)]]</f>
        <v>0</v>
      </c>
      <c r="BG210" s="118">
        <f>ReviewCalcs[[#This Row],[Fixture Proposed Cost ($)]]+ReviewCalcs[[#This Row],[Controls Proposed Cost ($)]]</f>
        <v>0</v>
      </c>
      <c r="BH210" s="70">
        <f>ReviewCalcs[[#This Row],[Total Energy Savings (kWh)]]*Avg_KWh_Rate</f>
        <v>0</v>
      </c>
      <c r="BI21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0" s="70">
        <f>ReviewCalcs[[#This Row],[Retrofit Cost]]</f>
        <v>0</v>
      </c>
      <c r="BK210" s="70">
        <f>ReviewCalcs[[#This Row],[Retrofit Cost]]-ReviewCalcs[[#This Row],[Incentive ($)]]</f>
        <v>0</v>
      </c>
      <c r="BL210" s="118" t="e">
        <f>IFERROR(ReviewCalcs[[#This Row],[Net Project Cost ($)]]/ReviewCalcs[[#This Row],[Fixture Energy Cost Savings ($)]], #N/A)</f>
        <v>#N/A</v>
      </c>
      <c r="BM210" s="118" t="e">
        <f>IF(VLOOKUP(ReviewCalcs[[#This Row],[Existing Fixture Code]], Table7[[FIXTURE CODE]:[Baseline Fixture Code]], 8, FALSE)="N", VLOOKUP(ReviewCalcs[[#This Row],[Existing Fixture Code]], Table7[[FIXTURE CODE]:[Baseline Fixture Code]], 9, FALSE), ReviewCalcs[[#This Row],[Existing Fixture Code]])</f>
        <v>#N/A</v>
      </c>
      <c r="BN210" s="118" t="e">
        <f>INDEX(Table7[WATT/ FIXT], MATCH(ReviewCalcs[Baseline Fixture Code], Table7[FIXTURE CODE], 0))</f>
        <v>#N/A</v>
      </c>
      <c r="BO210" s="118">
        <f>IFERROR((ReviewCalcs[[#This Row],[Existing Fixture Quantity]]*ReviewCalcs[[#This Row],[Baseline Fixture Watts]]/1000-ReviewCalcs[[#This Row],[Proposed Fixture Quantity]]*ReviewCalcs[[#This Row],[Proposed Fixture Watts]]/1000)*ReviewCalcs[[#This Row],[Existing CF]]*ReviewCalcs[[#This Row],[IEFD]], 0)</f>
        <v>0</v>
      </c>
      <c r="BP21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0" s="118">
        <f>IF(ReviewCalcs[[#This Row],[Existing CF]]=ReviewCalcs[[#This Row],[Proposed CF]], 0, ReviewCalcs[[#This Row],[Proposed Fixture Quantity]]*ReviewCalcs[[#This Row],[Proposed Fixture Watts]]/1000*ReviewCalcs[[#This Row],[Proposed CF]]*ReviewCalcs[[#This Row],[IEFD]])</f>
        <v>0</v>
      </c>
      <c r="BR210" s="118">
        <f>IFERROR(ReviewCalcs[[#This Row],[Proposed Fixture Quantity]]*ReviewCalcs[[#This Row],[Proposed Fixture Watts]]/1000*(ReviewCalcs[[#This Row],[Existing PAF]]-ReviewCalcs[[#This Row],[Proposed PAF]])*ReviewCalcs[[#This Row],[AOH]]*ReviewCalcs[[#This Row],[IEFE]],0)</f>
        <v>0</v>
      </c>
      <c r="BS210" s="118">
        <f>ReviewCalcs[[#This Row],[Incentive Fixture Demand Savings (kW)]]+ReviewCalcs[[#This Row],[Incentive Control Demand Savings (kW)]]</f>
        <v>0</v>
      </c>
      <c r="BT210" s="118">
        <f>ReviewCalcs[[#This Row],[Incentive Fixture Energy Savings (kWh)]]+ReviewCalcs[[#This Row],[Incentive Control Energy Savings (kWh)]]</f>
        <v>0</v>
      </c>
      <c r="BU210" s="73"/>
    </row>
    <row r="211" spans="1:73" ht="30" customHeight="1">
      <c r="A211" s="68">
        <v>208</v>
      </c>
      <c r="B211" s="96">
        <f>VLOOKUP(ReviewCalcs[[#This Row],[Project Index]], ProjectInput[], D$1, FALSE)</f>
        <v>0</v>
      </c>
      <c r="C211" s="97">
        <f>VLOOKUP(ReviewCalcs[[#This Row],[Project Index]], ProjectInput[], E$1, FALSE)</f>
        <v>0</v>
      </c>
      <c r="D211" s="97">
        <f>VLOOKUP(ReviewCalcs[[#This Row],[Project Index]], ProjectInput[], F$1, FALSE)</f>
        <v>0</v>
      </c>
      <c r="E211" s="97">
        <f>VLOOKUP(ReviewCalcs[[#This Row],[Project Index]], ProjectInput[], G$1, FALSE)</f>
        <v>0</v>
      </c>
      <c r="F211" s="97">
        <f>VLOOKUP(ReviewCalcs[[#This Row],[Project Index]], ProjectInput[], H$1, FALSE)</f>
        <v>0</v>
      </c>
      <c r="G211" s="98" t="str">
        <f>VLOOKUP(ReviewCalcs[[#This Row],[Project Index]], ProjectInput[], I$1, FALSE)</f>
        <v/>
      </c>
      <c r="H211" s="96">
        <f>VLOOKUP(ReviewCalcs[[#This Row],[Project Index]], ProjectInput[], J$1, FALSE)</f>
        <v>0</v>
      </c>
      <c r="I211" s="97">
        <f>VLOOKUP(ReviewCalcs[[#This Row],[Project Index]], ProjectInput[], K$1, FALSE)</f>
        <v>0</v>
      </c>
      <c r="J211" s="97">
        <f>VLOOKUP(ReviewCalcs[[#This Row],[Project Index]], ProjectInput[], L$1, FALSE)</f>
        <v>0</v>
      </c>
      <c r="K211" s="97">
        <f>VLOOKUP(ReviewCalcs[[#This Row],[Project Index]], ProjectInput[], M$1, FALSE)</f>
        <v>0</v>
      </c>
      <c r="L211" s="97">
        <f>VLOOKUP(ReviewCalcs[[#This Row],[Project Index]], ProjectInput[], N$1, FALSE)</f>
        <v>0</v>
      </c>
      <c r="M211" s="98" t="str">
        <f>VLOOKUP(ReviewCalcs[[#This Row],[Project Index]], ProjectInput[], O$1, FALSE)</f>
        <v/>
      </c>
      <c r="N211" s="96">
        <f>VLOOKUP(ReviewCalcs[[#This Row],[Project Index]], ProjectInput[], P$1, FALSE)</f>
        <v>0</v>
      </c>
      <c r="O211" s="97">
        <f>VLOOKUP(ReviewCalcs[[#This Row],[Project Index]], ProjectInput[], Q$1, FALSE)</f>
        <v>0</v>
      </c>
      <c r="P211" s="97">
        <f>VLOOKUP(ReviewCalcs[[#This Row],[Project Index]], ProjectInput[], R$1, FALSE)</f>
        <v>0</v>
      </c>
      <c r="Q211" s="97">
        <f>VLOOKUP(ReviewCalcs[[#This Row],[Project Index]], ProjectInput[], S$1, FALSE)</f>
        <v>0</v>
      </c>
      <c r="R211" s="97">
        <f>VLOOKUP(ReviewCalcs[[#This Row],[Project Index]], ProjectInput[], T$1, FALSE)</f>
        <v>0</v>
      </c>
      <c r="S211" s="97">
        <f>VLOOKUP(ReviewCalcs[[#This Row],[Project Index]], ProjectInput[], U$1, FALSE)</f>
        <v>0</v>
      </c>
      <c r="T211" s="97">
        <f>VLOOKUP(ReviewCalcs[[#This Row],[Project Index]], ProjectInput[], V$1, FALSE)</f>
        <v>0</v>
      </c>
      <c r="U211" s="97">
        <f>VLOOKUP(ReviewCalcs[[#This Row],[Project Index]], ProjectInput[], W$1, FALSE)</f>
        <v>0</v>
      </c>
      <c r="V211" s="98" t="str">
        <f>VLOOKUP(ReviewCalcs[[#This Row],[Project Index]], ProjectInput[], X$1, FALSE)</f>
        <v/>
      </c>
      <c r="W21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1" s="75" t="e">
        <f>IF(VLOOKUP(ReviewCalcs[[#This Row],[Proposed Fixture Code]], Table7[[FIXTURE CODE]:[Baseline Fixture Code]], 8, FALSE)="N", "ERROR", "PASS")</f>
        <v>#N/A</v>
      </c>
      <c r="Y21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1" s="75" t="e">
        <f>IF(OR(ReviewCalcs[[#This Row],[Baseline Fixture Watts]]&gt;=ReviewCalcs[[#This Row],[Proposed Fixture Watts]],ReviewCalcs[[#This Row],[Existing Fixture Watts]]&gt;=ReviewCalcs[[#This Row],[Proposed Fixture Watts]] ), "PASS", "ERROR")</f>
        <v>#N/A</v>
      </c>
      <c r="AA211" s="69" t="e">
        <f>VLOOKUP(ReviewCalcs[[#This Row],[Space Conditions]], Table_365[], 5, FALSE)</f>
        <v>#N/A</v>
      </c>
      <c r="AB211" s="68" t="str">
        <f>ReviewCalcs[[#This Row],[Annual Hours]]</f>
        <v/>
      </c>
      <c r="AC211" s="68" t="e">
        <f>VLOOKUP(ReviewCalcs[[#This Row],[Space Conditions]], Table_365[], 6, FALSE)</f>
        <v>#N/A</v>
      </c>
      <c r="AD211" s="68">
        <f>IF(ReviewCalcs[[#This Row],[Existing Control(s)]]='Tables &amp; Ranges'!$A$25, VLOOKUP(ReviewCalcs[[#This Row],[Building/Space Type]], Table_364[], 3, FALSE), CF_Contols)</f>
        <v>0.26</v>
      </c>
      <c r="AE211" s="68" t="e">
        <f>VLOOKUP(ReviewCalcs[[#This Row],[Existing Control(s)]], Table_358[], 2, FALSE)</f>
        <v>#N/A</v>
      </c>
      <c r="AF211" s="68">
        <f>IF(ReviewCalcs[[#This Row],[Proposed Control(s)]]='Tables &amp; Ranges'!$A$25, VLOOKUP(ReviewCalcs[[#This Row],[Building/Space Type]], Table_364[], 3, FALSE), CF_Contols)</f>
        <v>0.26</v>
      </c>
      <c r="AG211" s="68" t="e">
        <f>VLOOKUP(ReviewCalcs[[#This Row],[Proposed Control(s)]], Table_358[], 2, FALSE)</f>
        <v>#N/A</v>
      </c>
      <c r="AH211" s="68">
        <f>IFERROR((ReviewCalcs[[#This Row],[Existing Fixture Quantity]]*ReviewCalcs[[#This Row],[Existing Fixture Watts]]/1000)*ReviewCalcs[[#This Row],[Existing CF]]*ReviewCalcs[[#This Row],[IEFD]], 0)</f>
        <v>0</v>
      </c>
      <c r="AI211" s="68">
        <f>IFERROR((ReviewCalcs[[#This Row],[Proposed Fixture Quantity]]*ReviewCalcs[[#This Row],[Proposed Fixture Watts]]/1000)*ReviewCalcs[[#This Row],[Existing CF]]*ReviewCalcs[[#This Row],[IEFD]], 0)</f>
        <v>0</v>
      </c>
      <c r="AJ211" s="118">
        <f>IFERROR((ReviewCalcs[[#This Row],[Existing Fixture Quantity]]*ReviewCalcs[[#This Row],[Existing Fixture Watts]]/1000-ReviewCalcs[[#This Row],[Proposed Fixture Quantity]]*ReviewCalcs[[#This Row],[Proposed Fixture Watts]]/1000)*ReviewCalcs[[#This Row],[Existing CF]]*ReviewCalcs[[#This Row],[IEFD]], 0)</f>
        <v>0</v>
      </c>
      <c r="AK211" s="118">
        <f>IFERROR((ReviewCalcs[[#This Row],[Existing Fixture Quantity]]*ReviewCalcs[[#This Row],[Existing Fixture Watts]]/1000)*ReviewCalcs[[#This Row],[AOH]]*ReviewCalcs[[#This Row],[IEFE]]*ReviewCalcs[[#This Row],[Existing PAF]], 0)</f>
        <v>0</v>
      </c>
      <c r="AL211" s="118">
        <f>IFERROR((ReviewCalcs[[#This Row],[Proposed Fixture Quantity]]*ReviewCalcs[[#This Row],[Proposed Fixture Watts]]/1000)*ReviewCalcs[[#This Row],[AOH]]*ReviewCalcs[[#This Row],[IEFE]]*ReviewCalcs[[#This Row],[Existing PAF]], 0)</f>
        <v>0</v>
      </c>
      <c r="AM21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1" s="118">
        <f>ReviewCalcs[[#This Row],[Fixture Existing Energy (kWh)]]*Avg_KWh_Rate</f>
        <v>0</v>
      </c>
      <c r="AO211" s="118">
        <f>ReviewCalcs[[#This Row],[Fixture Proposed Energy (kWh)]]*Avg_KWh_Rate</f>
        <v>0</v>
      </c>
      <c r="AP211" s="70">
        <f>ReviewCalcs[[#This Row],[Fixture Energy Savings]]*Avg_KWh_Rate</f>
        <v>0</v>
      </c>
      <c r="AQ211" s="129" t="e">
        <f>ReviewCalcs[[#This Row],[Existing Fixture Quantity]]*ReviewCalcs[[#This Row],[Existing Fixture Watts]]/1000*ReviewCalcs[[#This Row],[Existing CF]]*ReviewCalcs[[#This Row],[IEFD]]</f>
        <v>#VALUE!</v>
      </c>
      <c r="AR211" s="129" t="e">
        <f>ReviewCalcs[[#This Row],[Proposed Fixture Quantity]]*ReviewCalcs[[#This Row],[Proposed Fixture Watts]]/1000*ReviewCalcs[[#This Row],[Proposed CF]]*ReviewCalcs[[#This Row],[IEFD]]</f>
        <v>#VALUE!</v>
      </c>
      <c r="AS211" s="118">
        <f>IF(ReviewCalcs[[#This Row],[Existing CF]]=ReviewCalcs[[#This Row],[Proposed CF]], 0, ReviewCalcs[[#This Row],[Proposed Fixture Quantity]]*ReviewCalcs[[#This Row],[Proposed Fixture Watts]]/1000*ReviewCalcs[[#This Row],[Proposed CF]]*ReviewCalcs[[#This Row],[IEFD]])</f>
        <v>0</v>
      </c>
      <c r="AT211" s="118">
        <f>IFERROR(ReviewCalcs[[#This Row],[Existing Fixture Quantity]]*ReviewCalcs[[#This Row],[Existing Fixture Watts]]/1000*ReviewCalcs[[#This Row],[Existing PAF]]*ReviewCalcs[[#This Row],[AOH]]*ReviewCalcs[[#This Row],[IEFE]], 0)</f>
        <v>0</v>
      </c>
      <c r="AU211" s="118">
        <f>IFERROR(ReviewCalcs[[#This Row],[Proposed Fixture Quantity]]*ReviewCalcs[[#This Row],[Proposed Fixture Watts]]/1000*ReviewCalcs[[#This Row],[Proposed PAF]]*ReviewCalcs[[#This Row],[AOH]]*ReviewCalcs[[#This Row],[IEFE]], 0)</f>
        <v>0</v>
      </c>
      <c r="AV211" s="118">
        <f>IFERROR(ReviewCalcs[[#This Row],[Proposed Fixture Quantity]]*ReviewCalcs[[#This Row],[Proposed Fixture Watts]]/1000*(ReviewCalcs[[#This Row],[Existing PAF]]-ReviewCalcs[[#This Row],[Proposed PAF]])*ReviewCalcs[[#This Row],[AOH]]*ReviewCalcs[[#This Row],[IEFE]], 0)</f>
        <v>0</v>
      </c>
      <c r="AW211" s="118">
        <f>ReviewCalcs[[#This Row],[Control Existing Energy (kWh)]]*kWh_Incentive_Rate</f>
        <v>0</v>
      </c>
      <c r="AX211" s="118">
        <f>ReviewCalcs[[#This Row],[Control Proposed Energy (kWh)]]*kWh_Incentive_Rate</f>
        <v>0</v>
      </c>
      <c r="AY211" s="70">
        <f>ReviewCalcs[[#This Row],[Control Energy Savings (kWh)]]*kWh_Incentive_Rate</f>
        <v>0</v>
      </c>
      <c r="AZ211" s="70" t="e">
        <f>ReviewCalcs[[#This Row],[Fixture Existing Demand (kW)]]+ReviewCalcs[[#This Row],[Control Existing Demand (kW)]]</f>
        <v>#VALUE!</v>
      </c>
      <c r="BA211" s="70" t="e">
        <f>ReviewCalcs[[#This Row],[Fixture Proposed Demand (kW)]]+ReviewCalcs[[#This Row],[Control Proposed Demand (kW)]]</f>
        <v>#VALUE!</v>
      </c>
      <c r="BB211" s="118">
        <f>ReviewCalcs[[#This Row],[Fixture Demand Savings (kW)]]+ReviewCalcs[[#This Row],[Control Demand Savings (kW)]]</f>
        <v>0</v>
      </c>
      <c r="BC211" s="118">
        <f>ReviewCalcs[[#This Row],[Fixture Existing Energy (kWh)]]+ReviewCalcs[[#This Row],[Control Existing Energy (kWh)]]</f>
        <v>0</v>
      </c>
      <c r="BD211" s="118">
        <f>ReviewCalcs[[#This Row],[Fixture Proposed Energy (kWh)]]+ReviewCalcs[[#This Row],[Control Proposed Energy (kWh)]]</f>
        <v>0</v>
      </c>
      <c r="BE211" s="118">
        <f>ReviewCalcs[[#This Row],[Fixture Energy Savings]]+ReviewCalcs[[#This Row],[Control Energy Savings (kWh)]]</f>
        <v>0</v>
      </c>
      <c r="BF211" s="118">
        <f>ReviewCalcs[[#This Row],[Fixture Existing Cost ($)]]+ReviewCalcs[[#This Row],[Control Existing Cost ($)]]</f>
        <v>0</v>
      </c>
      <c r="BG211" s="118">
        <f>ReviewCalcs[[#This Row],[Fixture Proposed Cost ($)]]+ReviewCalcs[[#This Row],[Controls Proposed Cost ($)]]</f>
        <v>0</v>
      </c>
      <c r="BH211" s="70">
        <f>ReviewCalcs[[#This Row],[Total Energy Savings (kWh)]]*Avg_KWh_Rate</f>
        <v>0</v>
      </c>
      <c r="BI21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1" s="70">
        <f>ReviewCalcs[[#This Row],[Retrofit Cost]]</f>
        <v>0</v>
      </c>
      <c r="BK211" s="70">
        <f>ReviewCalcs[[#This Row],[Retrofit Cost]]-ReviewCalcs[[#This Row],[Incentive ($)]]</f>
        <v>0</v>
      </c>
      <c r="BL211" s="118" t="e">
        <f>IFERROR(ReviewCalcs[[#This Row],[Net Project Cost ($)]]/ReviewCalcs[[#This Row],[Fixture Energy Cost Savings ($)]], #N/A)</f>
        <v>#N/A</v>
      </c>
      <c r="BM211" s="118" t="e">
        <f>IF(VLOOKUP(ReviewCalcs[[#This Row],[Existing Fixture Code]], Table7[[FIXTURE CODE]:[Baseline Fixture Code]], 8, FALSE)="N", VLOOKUP(ReviewCalcs[[#This Row],[Existing Fixture Code]], Table7[[FIXTURE CODE]:[Baseline Fixture Code]], 9, FALSE), ReviewCalcs[[#This Row],[Existing Fixture Code]])</f>
        <v>#N/A</v>
      </c>
      <c r="BN211" s="118" t="e">
        <f>INDEX(Table7[WATT/ FIXT], MATCH(ReviewCalcs[Baseline Fixture Code], Table7[FIXTURE CODE], 0))</f>
        <v>#N/A</v>
      </c>
      <c r="BO211" s="118">
        <f>IFERROR((ReviewCalcs[[#This Row],[Existing Fixture Quantity]]*ReviewCalcs[[#This Row],[Baseline Fixture Watts]]/1000-ReviewCalcs[[#This Row],[Proposed Fixture Quantity]]*ReviewCalcs[[#This Row],[Proposed Fixture Watts]]/1000)*ReviewCalcs[[#This Row],[Existing CF]]*ReviewCalcs[[#This Row],[IEFD]], 0)</f>
        <v>0</v>
      </c>
      <c r="BP21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1" s="118">
        <f>IF(ReviewCalcs[[#This Row],[Existing CF]]=ReviewCalcs[[#This Row],[Proposed CF]], 0, ReviewCalcs[[#This Row],[Proposed Fixture Quantity]]*ReviewCalcs[[#This Row],[Proposed Fixture Watts]]/1000*ReviewCalcs[[#This Row],[Proposed CF]]*ReviewCalcs[[#This Row],[IEFD]])</f>
        <v>0</v>
      </c>
      <c r="BR211" s="118">
        <f>IFERROR(ReviewCalcs[[#This Row],[Proposed Fixture Quantity]]*ReviewCalcs[[#This Row],[Proposed Fixture Watts]]/1000*(ReviewCalcs[[#This Row],[Existing PAF]]-ReviewCalcs[[#This Row],[Proposed PAF]])*ReviewCalcs[[#This Row],[AOH]]*ReviewCalcs[[#This Row],[IEFE]],0)</f>
        <v>0</v>
      </c>
      <c r="BS211" s="118">
        <f>ReviewCalcs[[#This Row],[Incentive Fixture Demand Savings (kW)]]+ReviewCalcs[[#This Row],[Incentive Control Demand Savings (kW)]]</f>
        <v>0</v>
      </c>
      <c r="BT211" s="118">
        <f>ReviewCalcs[[#This Row],[Incentive Fixture Energy Savings (kWh)]]+ReviewCalcs[[#This Row],[Incentive Control Energy Savings (kWh)]]</f>
        <v>0</v>
      </c>
      <c r="BU211" s="73"/>
    </row>
    <row r="212" spans="1:73" ht="30" customHeight="1">
      <c r="A212" s="68">
        <v>209</v>
      </c>
      <c r="B212" s="96">
        <f>VLOOKUP(ReviewCalcs[[#This Row],[Project Index]], ProjectInput[], D$1, FALSE)</f>
        <v>0</v>
      </c>
      <c r="C212" s="97">
        <f>VLOOKUP(ReviewCalcs[[#This Row],[Project Index]], ProjectInput[], E$1, FALSE)</f>
        <v>0</v>
      </c>
      <c r="D212" s="97">
        <f>VLOOKUP(ReviewCalcs[[#This Row],[Project Index]], ProjectInput[], F$1, FALSE)</f>
        <v>0</v>
      </c>
      <c r="E212" s="97">
        <f>VLOOKUP(ReviewCalcs[[#This Row],[Project Index]], ProjectInput[], G$1, FALSE)</f>
        <v>0</v>
      </c>
      <c r="F212" s="97">
        <f>VLOOKUP(ReviewCalcs[[#This Row],[Project Index]], ProjectInput[], H$1, FALSE)</f>
        <v>0</v>
      </c>
      <c r="G212" s="98" t="str">
        <f>VLOOKUP(ReviewCalcs[[#This Row],[Project Index]], ProjectInput[], I$1, FALSE)</f>
        <v/>
      </c>
      <c r="H212" s="96">
        <f>VLOOKUP(ReviewCalcs[[#This Row],[Project Index]], ProjectInput[], J$1, FALSE)</f>
        <v>0</v>
      </c>
      <c r="I212" s="97">
        <f>VLOOKUP(ReviewCalcs[[#This Row],[Project Index]], ProjectInput[], K$1, FALSE)</f>
        <v>0</v>
      </c>
      <c r="J212" s="97">
        <f>VLOOKUP(ReviewCalcs[[#This Row],[Project Index]], ProjectInput[], L$1, FALSE)</f>
        <v>0</v>
      </c>
      <c r="K212" s="97">
        <f>VLOOKUP(ReviewCalcs[[#This Row],[Project Index]], ProjectInput[], M$1, FALSE)</f>
        <v>0</v>
      </c>
      <c r="L212" s="97">
        <f>VLOOKUP(ReviewCalcs[[#This Row],[Project Index]], ProjectInput[], N$1, FALSE)</f>
        <v>0</v>
      </c>
      <c r="M212" s="98" t="str">
        <f>VLOOKUP(ReviewCalcs[[#This Row],[Project Index]], ProjectInput[], O$1, FALSE)</f>
        <v/>
      </c>
      <c r="N212" s="96">
        <f>VLOOKUP(ReviewCalcs[[#This Row],[Project Index]], ProjectInput[], P$1, FALSE)</f>
        <v>0</v>
      </c>
      <c r="O212" s="97">
        <f>VLOOKUP(ReviewCalcs[[#This Row],[Project Index]], ProjectInput[], Q$1, FALSE)</f>
        <v>0</v>
      </c>
      <c r="P212" s="97">
        <f>VLOOKUP(ReviewCalcs[[#This Row],[Project Index]], ProjectInput[], R$1, FALSE)</f>
        <v>0</v>
      </c>
      <c r="Q212" s="97">
        <f>VLOOKUP(ReviewCalcs[[#This Row],[Project Index]], ProjectInput[], S$1, FALSE)</f>
        <v>0</v>
      </c>
      <c r="R212" s="97">
        <f>VLOOKUP(ReviewCalcs[[#This Row],[Project Index]], ProjectInput[], T$1, FALSE)</f>
        <v>0</v>
      </c>
      <c r="S212" s="97">
        <f>VLOOKUP(ReviewCalcs[[#This Row],[Project Index]], ProjectInput[], U$1, FALSE)</f>
        <v>0</v>
      </c>
      <c r="T212" s="97">
        <f>VLOOKUP(ReviewCalcs[[#This Row],[Project Index]], ProjectInput[], V$1, FALSE)</f>
        <v>0</v>
      </c>
      <c r="U212" s="97">
        <f>VLOOKUP(ReviewCalcs[[#This Row],[Project Index]], ProjectInput[], W$1, FALSE)</f>
        <v>0</v>
      </c>
      <c r="V212" s="98" t="str">
        <f>VLOOKUP(ReviewCalcs[[#This Row],[Project Index]], ProjectInput[], X$1, FALSE)</f>
        <v/>
      </c>
      <c r="W21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2" s="75" t="e">
        <f>IF(VLOOKUP(ReviewCalcs[[#This Row],[Proposed Fixture Code]], Table7[[FIXTURE CODE]:[Baseline Fixture Code]], 8, FALSE)="N", "ERROR", "PASS")</f>
        <v>#N/A</v>
      </c>
      <c r="Y21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2" s="75" t="e">
        <f>IF(OR(ReviewCalcs[[#This Row],[Baseline Fixture Watts]]&gt;=ReviewCalcs[[#This Row],[Proposed Fixture Watts]],ReviewCalcs[[#This Row],[Existing Fixture Watts]]&gt;=ReviewCalcs[[#This Row],[Proposed Fixture Watts]] ), "PASS", "ERROR")</f>
        <v>#N/A</v>
      </c>
      <c r="AA212" s="69" t="e">
        <f>VLOOKUP(ReviewCalcs[[#This Row],[Space Conditions]], Table_365[], 5, FALSE)</f>
        <v>#N/A</v>
      </c>
      <c r="AB212" s="68" t="str">
        <f>ReviewCalcs[[#This Row],[Annual Hours]]</f>
        <v/>
      </c>
      <c r="AC212" s="68" t="e">
        <f>VLOOKUP(ReviewCalcs[[#This Row],[Space Conditions]], Table_365[], 6, FALSE)</f>
        <v>#N/A</v>
      </c>
      <c r="AD212" s="68">
        <f>IF(ReviewCalcs[[#This Row],[Existing Control(s)]]='Tables &amp; Ranges'!$A$25, VLOOKUP(ReviewCalcs[[#This Row],[Building/Space Type]], Table_364[], 3, FALSE), CF_Contols)</f>
        <v>0.26</v>
      </c>
      <c r="AE212" s="68" t="e">
        <f>VLOOKUP(ReviewCalcs[[#This Row],[Existing Control(s)]], Table_358[], 2, FALSE)</f>
        <v>#N/A</v>
      </c>
      <c r="AF212" s="68">
        <f>IF(ReviewCalcs[[#This Row],[Proposed Control(s)]]='Tables &amp; Ranges'!$A$25, VLOOKUP(ReviewCalcs[[#This Row],[Building/Space Type]], Table_364[], 3, FALSE), CF_Contols)</f>
        <v>0.26</v>
      </c>
      <c r="AG212" s="68" t="e">
        <f>VLOOKUP(ReviewCalcs[[#This Row],[Proposed Control(s)]], Table_358[], 2, FALSE)</f>
        <v>#N/A</v>
      </c>
      <c r="AH212" s="68">
        <f>IFERROR((ReviewCalcs[[#This Row],[Existing Fixture Quantity]]*ReviewCalcs[[#This Row],[Existing Fixture Watts]]/1000)*ReviewCalcs[[#This Row],[Existing CF]]*ReviewCalcs[[#This Row],[IEFD]], 0)</f>
        <v>0</v>
      </c>
      <c r="AI212" s="68">
        <f>IFERROR((ReviewCalcs[[#This Row],[Proposed Fixture Quantity]]*ReviewCalcs[[#This Row],[Proposed Fixture Watts]]/1000)*ReviewCalcs[[#This Row],[Existing CF]]*ReviewCalcs[[#This Row],[IEFD]], 0)</f>
        <v>0</v>
      </c>
      <c r="AJ212" s="118">
        <f>IFERROR((ReviewCalcs[[#This Row],[Existing Fixture Quantity]]*ReviewCalcs[[#This Row],[Existing Fixture Watts]]/1000-ReviewCalcs[[#This Row],[Proposed Fixture Quantity]]*ReviewCalcs[[#This Row],[Proposed Fixture Watts]]/1000)*ReviewCalcs[[#This Row],[Existing CF]]*ReviewCalcs[[#This Row],[IEFD]], 0)</f>
        <v>0</v>
      </c>
      <c r="AK212" s="118">
        <f>IFERROR((ReviewCalcs[[#This Row],[Existing Fixture Quantity]]*ReviewCalcs[[#This Row],[Existing Fixture Watts]]/1000)*ReviewCalcs[[#This Row],[AOH]]*ReviewCalcs[[#This Row],[IEFE]]*ReviewCalcs[[#This Row],[Existing PAF]], 0)</f>
        <v>0</v>
      </c>
      <c r="AL212" s="118">
        <f>IFERROR((ReviewCalcs[[#This Row],[Proposed Fixture Quantity]]*ReviewCalcs[[#This Row],[Proposed Fixture Watts]]/1000)*ReviewCalcs[[#This Row],[AOH]]*ReviewCalcs[[#This Row],[IEFE]]*ReviewCalcs[[#This Row],[Existing PAF]], 0)</f>
        <v>0</v>
      </c>
      <c r="AM21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2" s="118">
        <f>ReviewCalcs[[#This Row],[Fixture Existing Energy (kWh)]]*Avg_KWh_Rate</f>
        <v>0</v>
      </c>
      <c r="AO212" s="118">
        <f>ReviewCalcs[[#This Row],[Fixture Proposed Energy (kWh)]]*Avg_KWh_Rate</f>
        <v>0</v>
      </c>
      <c r="AP212" s="70">
        <f>ReviewCalcs[[#This Row],[Fixture Energy Savings]]*Avg_KWh_Rate</f>
        <v>0</v>
      </c>
      <c r="AQ212" s="129" t="e">
        <f>ReviewCalcs[[#This Row],[Existing Fixture Quantity]]*ReviewCalcs[[#This Row],[Existing Fixture Watts]]/1000*ReviewCalcs[[#This Row],[Existing CF]]*ReviewCalcs[[#This Row],[IEFD]]</f>
        <v>#VALUE!</v>
      </c>
      <c r="AR212" s="129" t="e">
        <f>ReviewCalcs[[#This Row],[Proposed Fixture Quantity]]*ReviewCalcs[[#This Row],[Proposed Fixture Watts]]/1000*ReviewCalcs[[#This Row],[Proposed CF]]*ReviewCalcs[[#This Row],[IEFD]]</f>
        <v>#VALUE!</v>
      </c>
      <c r="AS212" s="118">
        <f>IF(ReviewCalcs[[#This Row],[Existing CF]]=ReviewCalcs[[#This Row],[Proposed CF]], 0, ReviewCalcs[[#This Row],[Proposed Fixture Quantity]]*ReviewCalcs[[#This Row],[Proposed Fixture Watts]]/1000*ReviewCalcs[[#This Row],[Proposed CF]]*ReviewCalcs[[#This Row],[IEFD]])</f>
        <v>0</v>
      </c>
      <c r="AT212" s="118">
        <f>IFERROR(ReviewCalcs[[#This Row],[Existing Fixture Quantity]]*ReviewCalcs[[#This Row],[Existing Fixture Watts]]/1000*ReviewCalcs[[#This Row],[Existing PAF]]*ReviewCalcs[[#This Row],[AOH]]*ReviewCalcs[[#This Row],[IEFE]], 0)</f>
        <v>0</v>
      </c>
      <c r="AU212" s="118">
        <f>IFERROR(ReviewCalcs[[#This Row],[Proposed Fixture Quantity]]*ReviewCalcs[[#This Row],[Proposed Fixture Watts]]/1000*ReviewCalcs[[#This Row],[Proposed PAF]]*ReviewCalcs[[#This Row],[AOH]]*ReviewCalcs[[#This Row],[IEFE]], 0)</f>
        <v>0</v>
      </c>
      <c r="AV212" s="118">
        <f>IFERROR(ReviewCalcs[[#This Row],[Proposed Fixture Quantity]]*ReviewCalcs[[#This Row],[Proposed Fixture Watts]]/1000*(ReviewCalcs[[#This Row],[Existing PAF]]-ReviewCalcs[[#This Row],[Proposed PAF]])*ReviewCalcs[[#This Row],[AOH]]*ReviewCalcs[[#This Row],[IEFE]], 0)</f>
        <v>0</v>
      </c>
      <c r="AW212" s="118">
        <f>ReviewCalcs[[#This Row],[Control Existing Energy (kWh)]]*kWh_Incentive_Rate</f>
        <v>0</v>
      </c>
      <c r="AX212" s="118">
        <f>ReviewCalcs[[#This Row],[Control Proposed Energy (kWh)]]*kWh_Incentive_Rate</f>
        <v>0</v>
      </c>
      <c r="AY212" s="70">
        <f>ReviewCalcs[[#This Row],[Control Energy Savings (kWh)]]*kWh_Incentive_Rate</f>
        <v>0</v>
      </c>
      <c r="AZ212" s="70" t="e">
        <f>ReviewCalcs[[#This Row],[Fixture Existing Demand (kW)]]+ReviewCalcs[[#This Row],[Control Existing Demand (kW)]]</f>
        <v>#VALUE!</v>
      </c>
      <c r="BA212" s="70" t="e">
        <f>ReviewCalcs[[#This Row],[Fixture Proposed Demand (kW)]]+ReviewCalcs[[#This Row],[Control Proposed Demand (kW)]]</f>
        <v>#VALUE!</v>
      </c>
      <c r="BB212" s="118">
        <f>ReviewCalcs[[#This Row],[Fixture Demand Savings (kW)]]+ReviewCalcs[[#This Row],[Control Demand Savings (kW)]]</f>
        <v>0</v>
      </c>
      <c r="BC212" s="118">
        <f>ReviewCalcs[[#This Row],[Fixture Existing Energy (kWh)]]+ReviewCalcs[[#This Row],[Control Existing Energy (kWh)]]</f>
        <v>0</v>
      </c>
      <c r="BD212" s="118">
        <f>ReviewCalcs[[#This Row],[Fixture Proposed Energy (kWh)]]+ReviewCalcs[[#This Row],[Control Proposed Energy (kWh)]]</f>
        <v>0</v>
      </c>
      <c r="BE212" s="118">
        <f>ReviewCalcs[[#This Row],[Fixture Energy Savings]]+ReviewCalcs[[#This Row],[Control Energy Savings (kWh)]]</f>
        <v>0</v>
      </c>
      <c r="BF212" s="118">
        <f>ReviewCalcs[[#This Row],[Fixture Existing Cost ($)]]+ReviewCalcs[[#This Row],[Control Existing Cost ($)]]</f>
        <v>0</v>
      </c>
      <c r="BG212" s="118">
        <f>ReviewCalcs[[#This Row],[Fixture Proposed Cost ($)]]+ReviewCalcs[[#This Row],[Controls Proposed Cost ($)]]</f>
        <v>0</v>
      </c>
      <c r="BH212" s="70">
        <f>ReviewCalcs[[#This Row],[Total Energy Savings (kWh)]]*Avg_KWh_Rate</f>
        <v>0</v>
      </c>
      <c r="BI21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2" s="70">
        <f>ReviewCalcs[[#This Row],[Retrofit Cost]]</f>
        <v>0</v>
      </c>
      <c r="BK212" s="70">
        <f>ReviewCalcs[[#This Row],[Retrofit Cost]]-ReviewCalcs[[#This Row],[Incentive ($)]]</f>
        <v>0</v>
      </c>
      <c r="BL212" s="118" t="e">
        <f>IFERROR(ReviewCalcs[[#This Row],[Net Project Cost ($)]]/ReviewCalcs[[#This Row],[Fixture Energy Cost Savings ($)]], #N/A)</f>
        <v>#N/A</v>
      </c>
      <c r="BM212" s="118" t="e">
        <f>IF(VLOOKUP(ReviewCalcs[[#This Row],[Existing Fixture Code]], Table7[[FIXTURE CODE]:[Baseline Fixture Code]], 8, FALSE)="N", VLOOKUP(ReviewCalcs[[#This Row],[Existing Fixture Code]], Table7[[FIXTURE CODE]:[Baseline Fixture Code]], 9, FALSE), ReviewCalcs[[#This Row],[Existing Fixture Code]])</f>
        <v>#N/A</v>
      </c>
      <c r="BN212" s="118" t="e">
        <f>INDEX(Table7[WATT/ FIXT], MATCH(ReviewCalcs[Baseline Fixture Code], Table7[FIXTURE CODE], 0))</f>
        <v>#N/A</v>
      </c>
      <c r="BO212" s="118">
        <f>IFERROR((ReviewCalcs[[#This Row],[Existing Fixture Quantity]]*ReviewCalcs[[#This Row],[Baseline Fixture Watts]]/1000-ReviewCalcs[[#This Row],[Proposed Fixture Quantity]]*ReviewCalcs[[#This Row],[Proposed Fixture Watts]]/1000)*ReviewCalcs[[#This Row],[Existing CF]]*ReviewCalcs[[#This Row],[IEFD]], 0)</f>
        <v>0</v>
      </c>
      <c r="BP21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2" s="118">
        <f>IF(ReviewCalcs[[#This Row],[Existing CF]]=ReviewCalcs[[#This Row],[Proposed CF]], 0, ReviewCalcs[[#This Row],[Proposed Fixture Quantity]]*ReviewCalcs[[#This Row],[Proposed Fixture Watts]]/1000*ReviewCalcs[[#This Row],[Proposed CF]]*ReviewCalcs[[#This Row],[IEFD]])</f>
        <v>0</v>
      </c>
      <c r="BR212" s="118">
        <f>IFERROR(ReviewCalcs[[#This Row],[Proposed Fixture Quantity]]*ReviewCalcs[[#This Row],[Proposed Fixture Watts]]/1000*(ReviewCalcs[[#This Row],[Existing PAF]]-ReviewCalcs[[#This Row],[Proposed PAF]])*ReviewCalcs[[#This Row],[AOH]]*ReviewCalcs[[#This Row],[IEFE]],0)</f>
        <v>0</v>
      </c>
      <c r="BS212" s="118">
        <f>ReviewCalcs[[#This Row],[Incentive Fixture Demand Savings (kW)]]+ReviewCalcs[[#This Row],[Incentive Control Demand Savings (kW)]]</f>
        <v>0</v>
      </c>
      <c r="BT212" s="118">
        <f>ReviewCalcs[[#This Row],[Incentive Fixture Energy Savings (kWh)]]+ReviewCalcs[[#This Row],[Incentive Control Energy Savings (kWh)]]</f>
        <v>0</v>
      </c>
      <c r="BU212" s="73"/>
    </row>
    <row r="213" spans="1:73" ht="30" customHeight="1">
      <c r="A213" s="68">
        <v>210</v>
      </c>
      <c r="B213" s="96">
        <f>VLOOKUP(ReviewCalcs[[#This Row],[Project Index]], ProjectInput[], D$1, FALSE)</f>
        <v>0</v>
      </c>
      <c r="C213" s="97">
        <f>VLOOKUP(ReviewCalcs[[#This Row],[Project Index]], ProjectInput[], E$1, FALSE)</f>
        <v>0</v>
      </c>
      <c r="D213" s="97">
        <f>VLOOKUP(ReviewCalcs[[#This Row],[Project Index]], ProjectInput[], F$1, FALSE)</f>
        <v>0</v>
      </c>
      <c r="E213" s="97">
        <f>VLOOKUP(ReviewCalcs[[#This Row],[Project Index]], ProjectInput[], G$1, FALSE)</f>
        <v>0</v>
      </c>
      <c r="F213" s="97">
        <f>VLOOKUP(ReviewCalcs[[#This Row],[Project Index]], ProjectInput[], H$1, FALSE)</f>
        <v>0</v>
      </c>
      <c r="G213" s="98" t="str">
        <f>VLOOKUP(ReviewCalcs[[#This Row],[Project Index]], ProjectInput[], I$1, FALSE)</f>
        <v/>
      </c>
      <c r="H213" s="96">
        <f>VLOOKUP(ReviewCalcs[[#This Row],[Project Index]], ProjectInput[], J$1, FALSE)</f>
        <v>0</v>
      </c>
      <c r="I213" s="97">
        <f>VLOOKUP(ReviewCalcs[[#This Row],[Project Index]], ProjectInput[], K$1, FALSE)</f>
        <v>0</v>
      </c>
      <c r="J213" s="97">
        <f>VLOOKUP(ReviewCalcs[[#This Row],[Project Index]], ProjectInput[], L$1, FALSE)</f>
        <v>0</v>
      </c>
      <c r="K213" s="97">
        <f>VLOOKUP(ReviewCalcs[[#This Row],[Project Index]], ProjectInput[], M$1, FALSE)</f>
        <v>0</v>
      </c>
      <c r="L213" s="97">
        <f>VLOOKUP(ReviewCalcs[[#This Row],[Project Index]], ProjectInput[], N$1, FALSE)</f>
        <v>0</v>
      </c>
      <c r="M213" s="98" t="str">
        <f>VLOOKUP(ReviewCalcs[[#This Row],[Project Index]], ProjectInput[], O$1, FALSE)</f>
        <v/>
      </c>
      <c r="N213" s="96">
        <f>VLOOKUP(ReviewCalcs[[#This Row],[Project Index]], ProjectInput[], P$1, FALSE)</f>
        <v>0</v>
      </c>
      <c r="O213" s="97">
        <f>VLOOKUP(ReviewCalcs[[#This Row],[Project Index]], ProjectInput[], Q$1, FALSE)</f>
        <v>0</v>
      </c>
      <c r="P213" s="97">
        <f>VLOOKUP(ReviewCalcs[[#This Row],[Project Index]], ProjectInput[], R$1, FALSE)</f>
        <v>0</v>
      </c>
      <c r="Q213" s="97">
        <f>VLOOKUP(ReviewCalcs[[#This Row],[Project Index]], ProjectInput[], S$1, FALSE)</f>
        <v>0</v>
      </c>
      <c r="R213" s="97">
        <f>VLOOKUP(ReviewCalcs[[#This Row],[Project Index]], ProjectInput[], T$1, FALSE)</f>
        <v>0</v>
      </c>
      <c r="S213" s="97">
        <f>VLOOKUP(ReviewCalcs[[#This Row],[Project Index]], ProjectInput[], U$1, FALSE)</f>
        <v>0</v>
      </c>
      <c r="T213" s="97">
        <f>VLOOKUP(ReviewCalcs[[#This Row],[Project Index]], ProjectInput[], V$1, FALSE)</f>
        <v>0</v>
      </c>
      <c r="U213" s="97">
        <f>VLOOKUP(ReviewCalcs[[#This Row],[Project Index]], ProjectInput[], W$1, FALSE)</f>
        <v>0</v>
      </c>
      <c r="V213" s="98" t="str">
        <f>VLOOKUP(ReviewCalcs[[#This Row],[Project Index]], ProjectInput[], X$1, FALSE)</f>
        <v/>
      </c>
      <c r="W21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3" s="75" t="e">
        <f>IF(VLOOKUP(ReviewCalcs[[#This Row],[Proposed Fixture Code]], Table7[[FIXTURE CODE]:[Baseline Fixture Code]], 8, FALSE)="N", "ERROR", "PASS")</f>
        <v>#N/A</v>
      </c>
      <c r="Y21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3" s="75" t="e">
        <f>IF(OR(ReviewCalcs[[#This Row],[Baseline Fixture Watts]]&gt;=ReviewCalcs[[#This Row],[Proposed Fixture Watts]],ReviewCalcs[[#This Row],[Existing Fixture Watts]]&gt;=ReviewCalcs[[#This Row],[Proposed Fixture Watts]] ), "PASS", "ERROR")</f>
        <v>#N/A</v>
      </c>
      <c r="AA213" s="69" t="e">
        <f>VLOOKUP(ReviewCalcs[[#This Row],[Space Conditions]], Table_365[], 5, FALSE)</f>
        <v>#N/A</v>
      </c>
      <c r="AB213" s="68" t="str">
        <f>ReviewCalcs[[#This Row],[Annual Hours]]</f>
        <v/>
      </c>
      <c r="AC213" s="68" t="e">
        <f>VLOOKUP(ReviewCalcs[[#This Row],[Space Conditions]], Table_365[], 6, FALSE)</f>
        <v>#N/A</v>
      </c>
      <c r="AD213" s="68">
        <f>IF(ReviewCalcs[[#This Row],[Existing Control(s)]]='Tables &amp; Ranges'!$A$25, VLOOKUP(ReviewCalcs[[#This Row],[Building/Space Type]], Table_364[], 3, FALSE), CF_Contols)</f>
        <v>0.26</v>
      </c>
      <c r="AE213" s="68" t="e">
        <f>VLOOKUP(ReviewCalcs[[#This Row],[Existing Control(s)]], Table_358[], 2, FALSE)</f>
        <v>#N/A</v>
      </c>
      <c r="AF213" s="68">
        <f>IF(ReviewCalcs[[#This Row],[Proposed Control(s)]]='Tables &amp; Ranges'!$A$25, VLOOKUP(ReviewCalcs[[#This Row],[Building/Space Type]], Table_364[], 3, FALSE), CF_Contols)</f>
        <v>0.26</v>
      </c>
      <c r="AG213" s="68" t="e">
        <f>VLOOKUP(ReviewCalcs[[#This Row],[Proposed Control(s)]], Table_358[], 2, FALSE)</f>
        <v>#N/A</v>
      </c>
      <c r="AH213" s="68">
        <f>IFERROR((ReviewCalcs[[#This Row],[Existing Fixture Quantity]]*ReviewCalcs[[#This Row],[Existing Fixture Watts]]/1000)*ReviewCalcs[[#This Row],[Existing CF]]*ReviewCalcs[[#This Row],[IEFD]], 0)</f>
        <v>0</v>
      </c>
      <c r="AI213" s="68">
        <f>IFERROR((ReviewCalcs[[#This Row],[Proposed Fixture Quantity]]*ReviewCalcs[[#This Row],[Proposed Fixture Watts]]/1000)*ReviewCalcs[[#This Row],[Existing CF]]*ReviewCalcs[[#This Row],[IEFD]], 0)</f>
        <v>0</v>
      </c>
      <c r="AJ213" s="118">
        <f>IFERROR((ReviewCalcs[[#This Row],[Existing Fixture Quantity]]*ReviewCalcs[[#This Row],[Existing Fixture Watts]]/1000-ReviewCalcs[[#This Row],[Proposed Fixture Quantity]]*ReviewCalcs[[#This Row],[Proposed Fixture Watts]]/1000)*ReviewCalcs[[#This Row],[Existing CF]]*ReviewCalcs[[#This Row],[IEFD]], 0)</f>
        <v>0</v>
      </c>
      <c r="AK213" s="118">
        <f>IFERROR((ReviewCalcs[[#This Row],[Existing Fixture Quantity]]*ReviewCalcs[[#This Row],[Existing Fixture Watts]]/1000)*ReviewCalcs[[#This Row],[AOH]]*ReviewCalcs[[#This Row],[IEFE]]*ReviewCalcs[[#This Row],[Existing PAF]], 0)</f>
        <v>0</v>
      </c>
      <c r="AL213" s="118">
        <f>IFERROR((ReviewCalcs[[#This Row],[Proposed Fixture Quantity]]*ReviewCalcs[[#This Row],[Proposed Fixture Watts]]/1000)*ReviewCalcs[[#This Row],[AOH]]*ReviewCalcs[[#This Row],[IEFE]]*ReviewCalcs[[#This Row],[Existing PAF]], 0)</f>
        <v>0</v>
      </c>
      <c r="AM21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3" s="118">
        <f>ReviewCalcs[[#This Row],[Fixture Existing Energy (kWh)]]*Avg_KWh_Rate</f>
        <v>0</v>
      </c>
      <c r="AO213" s="118">
        <f>ReviewCalcs[[#This Row],[Fixture Proposed Energy (kWh)]]*Avg_KWh_Rate</f>
        <v>0</v>
      </c>
      <c r="AP213" s="70">
        <f>ReviewCalcs[[#This Row],[Fixture Energy Savings]]*Avg_KWh_Rate</f>
        <v>0</v>
      </c>
      <c r="AQ213" s="129" t="e">
        <f>ReviewCalcs[[#This Row],[Existing Fixture Quantity]]*ReviewCalcs[[#This Row],[Existing Fixture Watts]]/1000*ReviewCalcs[[#This Row],[Existing CF]]*ReviewCalcs[[#This Row],[IEFD]]</f>
        <v>#VALUE!</v>
      </c>
      <c r="AR213" s="129" t="e">
        <f>ReviewCalcs[[#This Row],[Proposed Fixture Quantity]]*ReviewCalcs[[#This Row],[Proposed Fixture Watts]]/1000*ReviewCalcs[[#This Row],[Proposed CF]]*ReviewCalcs[[#This Row],[IEFD]]</f>
        <v>#VALUE!</v>
      </c>
      <c r="AS213" s="118">
        <f>IF(ReviewCalcs[[#This Row],[Existing CF]]=ReviewCalcs[[#This Row],[Proposed CF]], 0, ReviewCalcs[[#This Row],[Proposed Fixture Quantity]]*ReviewCalcs[[#This Row],[Proposed Fixture Watts]]/1000*ReviewCalcs[[#This Row],[Proposed CF]]*ReviewCalcs[[#This Row],[IEFD]])</f>
        <v>0</v>
      </c>
      <c r="AT213" s="118">
        <f>IFERROR(ReviewCalcs[[#This Row],[Existing Fixture Quantity]]*ReviewCalcs[[#This Row],[Existing Fixture Watts]]/1000*ReviewCalcs[[#This Row],[Existing PAF]]*ReviewCalcs[[#This Row],[AOH]]*ReviewCalcs[[#This Row],[IEFE]], 0)</f>
        <v>0</v>
      </c>
      <c r="AU213" s="118">
        <f>IFERROR(ReviewCalcs[[#This Row],[Proposed Fixture Quantity]]*ReviewCalcs[[#This Row],[Proposed Fixture Watts]]/1000*ReviewCalcs[[#This Row],[Proposed PAF]]*ReviewCalcs[[#This Row],[AOH]]*ReviewCalcs[[#This Row],[IEFE]], 0)</f>
        <v>0</v>
      </c>
      <c r="AV213" s="118">
        <f>IFERROR(ReviewCalcs[[#This Row],[Proposed Fixture Quantity]]*ReviewCalcs[[#This Row],[Proposed Fixture Watts]]/1000*(ReviewCalcs[[#This Row],[Existing PAF]]-ReviewCalcs[[#This Row],[Proposed PAF]])*ReviewCalcs[[#This Row],[AOH]]*ReviewCalcs[[#This Row],[IEFE]], 0)</f>
        <v>0</v>
      </c>
      <c r="AW213" s="118">
        <f>ReviewCalcs[[#This Row],[Control Existing Energy (kWh)]]*kWh_Incentive_Rate</f>
        <v>0</v>
      </c>
      <c r="AX213" s="118">
        <f>ReviewCalcs[[#This Row],[Control Proposed Energy (kWh)]]*kWh_Incentive_Rate</f>
        <v>0</v>
      </c>
      <c r="AY213" s="70">
        <f>ReviewCalcs[[#This Row],[Control Energy Savings (kWh)]]*kWh_Incentive_Rate</f>
        <v>0</v>
      </c>
      <c r="AZ213" s="70" t="e">
        <f>ReviewCalcs[[#This Row],[Fixture Existing Demand (kW)]]+ReviewCalcs[[#This Row],[Control Existing Demand (kW)]]</f>
        <v>#VALUE!</v>
      </c>
      <c r="BA213" s="70" t="e">
        <f>ReviewCalcs[[#This Row],[Fixture Proposed Demand (kW)]]+ReviewCalcs[[#This Row],[Control Proposed Demand (kW)]]</f>
        <v>#VALUE!</v>
      </c>
      <c r="BB213" s="118">
        <f>ReviewCalcs[[#This Row],[Fixture Demand Savings (kW)]]+ReviewCalcs[[#This Row],[Control Demand Savings (kW)]]</f>
        <v>0</v>
      </c>
      <c r="BC213" s="118">
        <f>ReviewCalcs[[#This Row],[Fixture Existing Energy (kWh)]]+ReviewCalcs[[#This Row],[Control Existing Energy (kWh)]]</f>
        <v>0</v>
      </c>
      <c r="BD213" s="118">
        <f>ReviewCalcs[[#This Row],[Fixture Proposed Energy (kWh)]]+ReviewCalcs[[#This Row],[Control Proposed Energy (kWh)]]</f>
        <v>0</v>
      </c>
      <c r="BE213" s="118">
        <f>ReviewCalcs[[#This Row],[Fixture Energy Savings]]+ReviewCalcs[[#This Row],[Control Energy Savings (kWh)]]</f>
        <v>0</v>
      </c>
      <c r="BF213" s="118">
        <f>ReviewCalcs[[#This Row],[Fixture Existing Cost ($)]]+ReviewCalcs[[#This Row],[Control Existing Cost ($)]]</f>
        <v>0</v>
      </c>
      <c r="BG213" s="118">
        <f>ReviewCalcs[[#This Row],[Fixture Proposed Cost ($)]]+ReviewCalcs[[#This Row],[Controls Proposed Cost ($)]]</f>
        <v>0</v>
      </c>
      <c r="BH213" s="70">
        <f>ReviewCalcs[[#This Row],[Total Energy Savings (kWh)]]*Avg_KWh_Rate</f>
        <v>0</v>
      </c>
      <c r="BI21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3" s="70">
        <f>ReviewCalcs[[#This Row],[Retrofit Cost]]</f>
        <v>0</v>
      </c>
      <c r="BK213" s="70">
        <f>ReviewCalcs[[#This Row],[Retrofit Cost]]-ReviewCalcs[[#This Row],[Incentive ($)]]</f>
        <v>0</v>
      </c>
      <c r="BL213" s="118" t="e">
        <f>IFERROR(ReviewCalcs[[#This Row],[Net Project Cost ($)]]/ReviewCalcs[[#This Row],[Fixture Energy Cost Savings ($)]], #N/A)</f>
        <v>#N/A</v>
      </c>
      <c r="BM213" s="118" t="e">
        <f>IF(VLOOKUP(ReviewCalcs[[#This Row],[Existing Fixture Code]], Table7[[FIXTURE CODE]:[Baseline Fixture Code]], 8, FALSE)="N", VLOOKUP(ReviewCalcs[[#This Row],[Existing Fixture Code]], Table7[[FIXTURE CODE]:[Baseline Fixture Code]], 9, FALSE), ReviewCalcs[[#This Row],[Existing Fixture Code]])</f>
        <v>#N/A</v>
      </c>
      <c r="BN213" s="118" t="e">
        <f>INDEX(Table7[WATT/ FIXT], MATCH(ReviewCalcs[Baseline Fixture Code], Table7[FIXTURE CODE], 0))</f>
        <v>#N/A</v>
      </c>
      <c r="BO213" s="118">
        <f>IFERROR((ReviewCalcs[[#This Row],[Existing Fixture Quantity]]*ReviewCalcs[[#This Row],[Baseline Fixture Watts]]/1000-ReviewCalcs[[#This Row],[Proposed Fixture Quantity]]*ReviewCalcs[[#This Row],[Proposed Fixture Watts]]/1000)*ReviewCalcs[[#This Row],[Existing CF]]*ReviewCalcs[[#This Row],[IEFD]], 0)</f>
        <v>0</v>
      </c>
      <c r="BP21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3" s="118">
        <f>IF(ReviewCalcs[[#This Row],[Existing CF]]=ReviewCalcs[[#This Row],[Proposed CF]], 0, ReviewCalcs[[#This Row],[Proposed Fixture Quantity]]*ReviewCalcs[[#This Row],[Proposed Fixture Watts]]/1000*ReviewCalcs[[#This Row],[Proposed CF]]*ReviewCalcs[[#This Row],[IEFD]])</f>
        <v>0</v>
      </c>
      <c r="BR213" s="118">
        <f>IFERROR(ReviewCalcs[[#This Row],[Proposed Fixture Quantity]]*ReviewCalcs[[#This Row],[Proposed Fixture Watts]]/1000*(ReviewCalcs[[#This Row],[Existing PAF]]-ReviewCalcs[[#This Row],[Proposed PAF]])*ReviewCalcs[[#This Row],[AOH]]*ReviewCalcs[[#This Row],[IEFE]],0)</f>
        <v>0</v>
      </c>
      <c r="BS213" s="118">
        <f>ReviewCalcs[[#This Row],[Incentive Fixture Demand Savings (kW)]]+ReviewCalcs[[#This Row],[Incentive Control Demand Savings (kW)]]</f>
        <v>0</v>
      </c>
      <c r="BT213" s="118">
        <f>ReviewCalcs[[#This Row],[Incentive Fixture Energy Savings (kWh)]]+ReviewCalcs[[#This Row],[Incentive Control Energy Savings (kWh)]]</f>
        <v>0</v>
      </c>
      <c r="BU213" s="73"/>
    </row>
    <row r="214" spans="1:73" ht="30" customHeight="1">
      <c r="A214" s="68">
        <v>211</v>
      </c>
      <c r="B214" s="96">
        <f>VLOOKUP(ReviewCalcs[[#This Row],[Project Index]], ProjectInput[], D$1, FALSE)</f>
        <v>0</v>
      </c>
      <c r="C214" s="97">
        <f>VLOOKUP(ReviewCalcs[[#This Row],[Project Index]], ProjectInput[], E$1, FALSE)</f>
        <v>0</v>
      </c>
      <c r="D214" s="97">
        <f>VLOOKUP(ReviewCalcs[[#This Row],[Project Index]], ProjectInput[], F$1, FALSE)</f>
        <v>0</v>
      </c>
      <c r="E214" s="97">
        <f>VLOOKUP(ReviewCalcs[[#This Row],[Project Index]], ProjectInput[], G$1, FALSE)</f>
        <v>0</v>
      </c>
      <c r="F214" s="97">
        <f>VLOOKUP(ReviewCalcs[[#This Row],[Project Index]], ProjectInput[], H$1, FALSE)</f>
        <v>0</v>
      </c>
      <c r="G214" s="98" t="str">
        <f>VLOOKUP(ReviewCalcs[[#This Row],[Project Index]], ProjectInput[], I$1, FALSE)</f>
        <v/>
      </c>
      <c r="H214" s="96">
        <f>VLOOKUP(ReviewCalcs[[#This Row],[Project Index]], ProjectInput[], J$1, FALSE)</f>
        <v>0</v>
      </c>
      <c r="I214" s="97">
        <f>VLOOKUP(ReviewCalcs[[#This Row],[Project Index]], ProjectInput[], K$1, FALSE)</f>
        <v>0</v>
      </c>
      <c r="J214" s="97">
        <f>VLOOKUP(ReviewCalcs[[#This Row],[Project Index]], ProjectInput[], L$1, FALSE)</f>
        <v>0</v>
      </c>
      <c r="K214" s="97">
        <f>VLOOKUP(ReviewCalcs[[#This Row],[Project Index]], ProjectInput[], M$1, FALSE)</f>
        <v>0</v>
      </c>
      <c r="L214" s="97">
        <f>VLOOKUP(ReviewCalcs[[#This Row],[Project Index]], ProjectInput[], N$1, FALSE)</f>
        <v>0</v>
      </c>
      <c r="M214" s="98" t="str">
        <f>VLOOKUP(ReviewCalcs[[#This Row],[Project Index]], ProjectInput[], O$1, FALSE)</f>
        <v/>
      </c>
      <c r="N214" s="96">
        <f>VLOOKUP(ReviewCalcs[[#This Row],[Project Index]], ProjectInput[], P$1, FALSE)</f>
        <v>0</v>
      </c>
      <c r="O214" s="97">
        <f>VLOOKUP(ReviewCalcs[[#This Row],[Project Index]], ProjectInput[], Q$1, FALSE)</f>
        <v>0</v>
      </c>
      <c r="P214" s="97">
        <f>VLOOKUP(ReviewCalcs[[#This Row],[Project Index]], ProjectInput[], R$1, FALSE)</f>
        <v>0</v>
      </c>
      <c r="Q214" s="97">
        <f>VLOOKUP(ReviewCalcs[[#This Row],[Project Index]], ProjectInput[], S$1, FALSE)</f>
        <v>0</v>
      </c>
      <c r="R214" s="97">
        <f>VLOOKUP(ReviewCalcs[[#This Row],[Project Index]], ProjectInput[], T$1, FALSE)</f>
        <v>0</v>
      </c>
      <c r="S214" s="97">
        <f>VLOOKUP(ReviewCalcs[[#This Row],[Project Index]], ProjectInput[], U$1, FALSE)</f>
        <v>0</v>
      </c>
      <c r="T214" s="97">
        <f>VLOOKUP(ReviewCalcs[[#This Row],[Project Index]], ProjectInput[], V$1, FALSE)</f>
        <v>0</v>
      </c>
      <c r="U214" s="97">
        <f>VLOOKUP(ReviewCalcs[[#This Row],[Project Index]], ProjectInput[], W$1, FALSE)</f>
        <v>0</v>
      </c>
      <c r="V214" s="98" t="str">
        <f>VLOOKUP(ReviewCalcs[[#This Row],[Project Index]], ProjectInput[], X$1, FALSE)</f>
        <v/>
      </c>
      <c r="W21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4" s="75" t="e">
        <f>IF(VLOOKUP(ReviewCalcs[[#This Row],[Proposed Fixture Code]], Table7[[FIXTURE CODE]:[Baseline Fixture Code]], 8, FALSE)="N", "ERROR", "PASS")</f>
        <v>#N/A</v>
      </c>
      <c r="Y21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4" s="75" t="e">
        <f>IF(OR(ReviewCalcs[[#This Row],[Baseline Fixture Watts]]&gt;=ReviewCalcs[[#This Row],[Proposed Fixture Watts]],ReviewCalcs[[#This Row],[Existing Fixture Watts]]&gt;=ReviewCalcs[[#This Row],[Proposed Fixture Watts]] ), "PASS", "ERROR")</f>
        <v>#N/A</v>
      </c>
      <c r="AA214" s="69" t="e">
        <f>VLOOKUP(ReviewCalcs[[#This Row],[Space Conditions]], Table_365[], 5, FALSE)</f>
        <v>#N/A</v>
      </c>
      <c r="AB214" s="68" t="str">
        <f>ReviewCalcs[[#This Row],[Annual Hours]]</f>
        <v/>
      </c>
      <c r="AC214" s="68" t="e">
        <f>VLOOKUP(ReviewCalcs[[#This Row],[Space Conditions]], Table_365[], 6, FALSE)</f>
        <v>#N/A</v>
      </c>
      <c r="AD214" s="68">
        <f>IF(ReviewCalcs[[#This Row],[Existing Control(s)]]='Tables &amp; Ranges'!$A$25, VLOOKUP(ReviewCalcs[[#This Row],[Building/Space Type]], Table_364[], 3, FALSE), CF_Contols)</f>
        <v>0.26</v>
      </c>
      <c r="AE214" s="68" t="e">
        <f>VLOOKUP(ReviewCalcs[[#This Row],[Existing Control(s)]], Table_358[], 2, FALSE)</f>
        <v>#N/A</v>
      </c>
      <c r="AF214" s="68">
        <f>IF(ReviewCalcs[[#This Row],[Proposed Control(s)]]='Tables &amp; Ranges'!$A$25, VLOOKUP(ReviewCalcs[[#This Row],[Building/Space Type]], Table_364[], 3, FALSE), CF_Contols)</f>
        <v>0.26</v>
      </c>
      <c r="AG214" s="68" t="e">
        <f>VLOOKUP(ReviewCalcs[[#This Row],[Proposed Control(s)]], Table_358[], 2, FALSE)</f>
        <v>#N/A</v>
      </c>
      <c r="AH214" s="68">
        <f>IFERROR((ReviewCalcs[[#This Row],[Existing Fixture Quantity]]*ReviewCalcs[[#This Row],[Existing Fixture Watts]]/1000)*ReviewCalcs[[#This Row],[Existing CF]]*ReviewCalcs[[#This Row],[IEFD]], 0)</f>
        <v>0</v>
      </c>
      <c r="AI214" s="68">
        <f>IFERROR((ReviewCalcs[[#This Row],[Proposed Fixture Quantity]]*ReviewCalcs[[#This Row],[Proposed Fixture Watts]]/1000)*ReviewCalcs[[#This Row],[Existing CF]]*ReviewCalcs[[#This Row],[IEFD]], 0)</f>
        <v>0</v>
      </c>
      <c r="AJ214" s="118">
        <f>IFERROR((ReviewCalcs[[#This Row],[Existing Fixture Quantity]]*ReviewCalcs[[#This Row],[Existing Fixture Watts]]/1000-ReviewCalcs[[#This Row],[Proposed Fixture Quantity]]*ReviewCalcs[[#This Row],[Proposed Fixture Watts]]/1000)*ReviewCalcs[[#This Row],[Existing CF]]*ReviewCalcs[[#This Row],[IEFD]], 0)</f>
        <v>0</v>
      </c>
      <c r="AK214" s="118">
        <f>IFERROR((ReviewCalcs[[#This Row],[Existing Fixture Quantity]]*ReviewCalcs[[#This Row],[Existing Fixture Watts]]/1000)*ReviewCalcs[[#This Row],[AOH]]*ReviewCalcs[[#This Row],[IEFE]]*ReviewCalcs[[#This Row],[Existing PAF]], 0)</f>
        <v>0</v>
      </c>
      <c r="AL214" s="118">
        <f>IFERROR((ReviewCalcs[[#This Row],[Proposed Fixture Quantity]]*ReviewCalcs[[#This Row],[Proposed Fixture Watts]]/1000)*ReviewCalcs[[#This Row],[AOH]]*ReviewCalcs[[#This Row],[IEFE]]*ReviewCalcs[[#This Row],[Existing PAF]], 0)</f>
        <v>0</v>
      </c>
      <c r="AM21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4" s="118">
        <f>ReviewCalcs[[#This Row],[Fixture Existing Energy (kWh)]]*Avg_KWh_Rate</f>
        <v>0</v>
      </c>
      <c r="AO214" s="118">
        <f>ReviewCalcs[[#This Row],[Fixture Proposed Energy (kWh)]]*Avg_KWh_Rate</f>
        <v>0</v>
      </c>
      <c r="AP214" s="70">
        <f>ReviewCalcs[[#This Row],[Fixture Energy Savings]]*Avg_KWh_Rate</f>
        <v>0</v>
      </c>
      <c r="AQ214" s="129" t="e">
        <f>ReviewCalcs[[#This Row],[Existing Fixture Quantity]]*ReviewCalcs[[#This Row],[Existing Fixture Watts]]/1000*ReviewCalcs[[#This Row],[Existing CF]]*ReviewCalcs[[#This Row],[IEFD]]</f>
        <v>#VALUE!</v>
      </c>
      <c r="AR214" s="129" t="e">
        <f>ReviewCalcs[[#This Row],[Proposed Fixture Quantity]]*ReviewCalcs[[#This Row],[Proposed Fixture Watts]]/1000*ReviewCalcs[[#This Row],[Proposed CF]]*ReviewCalcs[[#This Row],[IEFD]]</f>
        <v>#VALUE!</v>
      </c>
      <c r="AS214" s="118">
        <f>IF(ReviewCalcs[[#This Row],[Existing CF]]=ReviewCalcs[[#This Row],[Proposed CF]], 0, ReviewCalcs[[#This Row],[Proposed Fixture Quantity]]*ReviewCalcs[[#This Row],[Proposed Fixture Watts]]/1000*ReviewCalcs[[#This Row],[Proposed CF]]*ReviewCalcs[[#This Row],[IEFD]])</f>
        <v>0</v>
      </c>
      <c r="AT214" s="118">
        <f>IFERROR(ReviewCalcs[[#This Row],[Existing Fixture Quantity]]*ReviewCalcs[[#This Row],[Existing Fixture Watts]]/1000*ReviewCalcs[[#This Row],[Existing PAF]]*ReviewCalcs[[#This Row],[AOH]]*ReviewCalcs[[#This Row],[IEFE]], 0)</f>
        <v>0</v>
      </c>
      <c r="AU214" s="118">
        <f>IFERROR(ReviewCalcs[[#This Row],[Proposed Fixture Quantity]]*ReviewCalcs[[#This Row],[Proposed Fixture Watts]]/1000*ReviewCalcs[[#This Row],[Proposed PAF]]*ReviewCalcs[[#This Row],[AOH]]*ReviewCalcs[[#This Row],[IEFE]], 0)</f>
        <v>0</v>
      </c>
      <c r="AV214" s="118">
        <f>IFERROR(ReviewCalcs[[#This Row],[Proposed Fixture Quantity]]*ReviewCalcs[[#This Row],[Proposed Fixture Watts]]/1000*(ReviewCalcs[[#This Row],[Existing PAF]]-ReviewCalcs[[#This Row],[Proposed PAF]])*ReviewCalcs[[#This Row],[AOH]]*ReviewCalcs[[#This Row],[IEFE]], 0)</f>
        <v>0</v>
      </c>
      <c r="AW214" s="118">
        <f>ReviewCalcs[[#This Row],[Control Existing Energy (kWh)]]*kWh_Incentive_Rate</f>
        <v>0</v>
      </c>
      <c r="AX214" s="118">
        <f>ReviewCalcs[[#This Row],[Control Proposed Energy (kWh)]]*kWh_Incentive_Rate</f>
        <v>0</v>
      </c>
      <c r="AY214" s="70">
        <f>ReviewCalcs[[#This Row],[Control Energy Savings (kWh)]]*kWh_Incentive_Rate</f>
        <v>0</v>
      </c>
      <c r="AZ214" s="70" t="e">
        <f>ReviewCalcs[[#This Row],[Fixture Existing Demand (kW)]]+ReviewCalcs[[#This Row],[Control Existing Demand (kW)]]</f>
        <v>#VALUE!</v>
      </c>
      <c r="BA214" s="70" t="e">
        <f>ReviewCalcs[[#This Row],[Fixture Proposed Demand (kW)]]+ReviewCalcs[[#This Row],[Control Proposed Demand (kW)]]</f>
        <v>#VALUE!</v>
      </c>
      <c r="BB214" s="118">
        <f>ReviewCalcs[[#This Row],[Fixture Demand Savings (kW)]]+ReviewCalcs[[#This Row],[Control Demand Savings (kW)]]</f>
        <v>0</v>
      </c>
      <c r="BC214" s="118">
        <f>ReviewCalcs[[#This Row],[Fixture Existing Energy (kWh)]]+ReviewCalcs[[#This Row],[Control Existing Energy (kWh)]]</f>
        <v>0</v>
      </c>
      <c r="BD214" s="118">
        <f>ReviewCalcs[[#This Row],[Fixture Proposed Energy (kWh)]]+ReviewCalcs[[#This Row],[Control Proposed Energy (kWh)]]</f>
        <v>0</v>
      </c>
      <c r="BE214" s="118">
        <f>ReviewCalcs[[#This Row],[Fixture Energy Savings]]+ReviewCalcs[[#This Row],[Control Energy Savings (kWh)]]</f>
        <v>0</v>
      </c>
      <c r="BF214" s="118">
        <f>ReviewCalcs[[#This Row],[Fixture Existing Cost ($)]]+ReviewCalcs[[#This Row],[Control Existing Cost ($)]]</f>
        <v>0</v>
      </c>
      <c r="BG214" s="118">
        <f>ReviewCalcs[[#This Row],[Fixture Proposed Cost ($)]]+ReviewCalcs[[#This Row],[Controls Proposed Cost ($)]]</f>
        <v>0</v>
      </c>
      <c r="BH214" s="70">
        <f>ReviewCalcs[[#This Row],[Total Energy Savings (kWh)]]*Avg_KWh_Rate</f>
        <v>0</v>
      </c>
      <c r="BI21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4" s="70">
        <f>ReviewCalcs[[#This Row],[Retrofit Cost]]</f>
        <v>0</v>
      </c>
      <c r="BK214" s="70">
        <f>ReviewCalcs[[#This Row],[Retrofit Cost]]-ReviewCalcs[[#This Row],[Incentive ($)]]</f>
        <v>0</v>
      </c>
      <c r="BL214" s="118" t="e">
        <f>IFERROR(ReviewCalcs[[#This Row],[Net Project Cost ($)]]/ReviewCalcs[[#This Row],[Fixture Energy Cost Savings ($)]], #N/A)</f>
        <v>#N/A</v>
      </c>
      <c r="BM214" s="118" t="e">
        <f>IF(VLOOKUP(ReviewCalcs[[#This Row],[Existing Fixture Code]], Table7[[FIXTURE CODE]:[Baseline Fixture Code]], 8, FALSE)="N", VLOOKUP(ReviewCalcs[[#This Row],[Existing Fixture Code]], Table7[[FIXTURE CODE]:[Baseline Fixture Code]], 9, FALSE), ReviewCalcs[[#This Row],[Existing Fixture Code]])</f>
        <v>#N/A</v>
      </c>
      <c r="BN214" s="118" t="e">
        <f>INDEX(Table7[WATT/ FIXT], MATCH(ReviewCalcs[Baseline Fixture Code], Table7[FIXTURE CODE], 0))</f>
        <v>#N/A</v>
      </c>
      <c r="BO214" s="118">
        <f>IFERROR((ReviewCalcs[[#This Row],[Existing Fixture Quantity]]*ReviewCalcs[[#This Row],[Baseline Fixture Watts]]/1000-ReviewCalcs[[#This Row],[Proposed Fixture Quantity]]*ReviewCalcs[[#This Row],[Proposed Fixture Watts]]/1000)*ReviewCalcs[[#This Row],[Existing CF]]*ReviewCalcs[[#This Row],[IEFD]], 0)</f>
        <v>0</v>
      </c>
      <c r="BP21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4" s="118">
        <f>IF(ReviewCalcs[[#This Row],[Existing CF]]=ReviewCalcs[[#This Row],[Proposed CF]], 0, ReviewCalcs[[#This Row],[Proposed Fixture Quantity]]*ReviewCalcs[[#This Row],[Proposed Fixture Watts]]/1000*ReviewCalcs[[#This Row],[Proposed CF]]*ReviewCalcs[[#This Row],[IEFD]])</f>
        <v>0</v>
      </c>
      <c r="BR214" s="118">
        <f>IFERROR(ReviewCalcs[[#This Row],[Proposed Fixture Quantity]]*ReviewCalcs[[#This Row],[Proposed Fixture Watts]]/1000*(ReviewCalcs[[#This Row],[Existing PAF]]-ReviewCalcs[[#This Row],[Proposed PAF]])*ReviewCalcs[[#This Row],[AOH]]*ReviewCalcs[[#This Row],[IEFE]],0)</f>
        <v>0</v>
      </c>
      <c r="BS214" s="118">
        <f>ReviewCalcs[[#This Row],[Incentive Fixture Demand Savings (kW)]]+ReviewCalcs[[#This Row],[Incentive Control Demand Savings (kW)]]</f>
        <v>0</v>
      </c>
      <c r="BT214" s="118">
        <f>ReviewCalcs[[#This Row],[Incentive Fixture Energy Savings (kWh)]]+ReviewCalcs[[#This Row],[Incentive Control Energy Savings (kWh)]]</f>
        <v>0</v>
      </c>
      <c r="BU214" s="73"/>
    </row>
    <row r="215" spans="1:73" ht="30" customHeight="1">
      <c r="A215" s="68">
        <v>212</v>
      </c>
      <c r="B215" s="96">
        <f>VLOOKUP(ReviewCalcs[[#This Row],[Project Index]], ProjectInput[], D$1, FALSE)</f>
        <v>0</v>
      </c>
      <c r="C215" s="97">
        <f>VLOOKUP(ReviewCalcs[[#This Row],[Project Index]], ProjectInput[], E$1, FALSE)</f>
        <v>0</v>
      </c>
      <c r="D215" s="97">
        <f>VLOOKUP(ReviewCalcs[[#This Row],[Project Index]], ProjectInput[], F$1, FALSE)</f>
        <v>0</v>
      </c>
      <c r="E215" s="97">
        <f>VLOOKUP(ReviewCalcs[[#This Row],[Project Index]], ProjectInput[], G$1, FALSE)</f>
        <v>0</v>
      </c>
      <c r="F215" s="97">
        <f>VLOOKUP(ReviewCalcs[[#This Row],[Project Index]], ProjectInput[], H$1, FALSE)</f>
        <v>0</v>
      </c>
      <c r="G215" s="98" t="str">
        <f>VLOOKUP(ReviewCalcs[[#This Row],[Project Index]], ProjectInput[], I$1, FALSE)</f>
        <v/>
      </c>
      <c r="H215" s="96">
        <f>VLOOKUP(ReviewCalcs[[#This Row],[Project Index]], ProjectInput[], J$1, FALSE)</f>
        <v>0</v>
      </c>
      <c r="I215" s="97">
        <f>VLOOKUP(ReviewCalcs[[#This Row],[Project Index]], ProjectInput[], K$1, FALSE)</f>
        <v>0</v>
      </c>
      <c r="J215" s="97">
        <f>VLOOKUP(ReviewCalcs[[#This Row],[Project Index]], ProjectInput[], L$1, FALSE)</f>
        <v>0</v>
      </c>
      <c r="K215" s="97">
        <f>VLOOKUP(ReviewCalcs[[#This Row],[Project Index]], ProjectInput[], M$1, FALSE)</f>
        <v>0</v>
      </c>
      <c r="L215" s="97">
        <f>VLOOKUP(ReviewCalcs[[#This Row],[Project Index]], ProjectInput[], N$1, FALSE)</f>
        <v>0</v>
      </c>
      <c r="M215" s="98" t="str">
        <f>VLOOKUP(ReviewCalcs[[#This Row],[Project Index]], ProjectInput[], O$1, FALSE)</f>
        <v/>
      </c>
      <c r="N215" s="96">
        <f>VLOOKUP(ReviewCalcs[[#This Row],[Project Index]], ProjectInput[], P$1, FALSE)</f>
        <v>0</v>
      </c>
      <c r="O215" s="97">
        <f>VLOOKUP(ReviewCalcs[[#This Row],[Project Index]], ProjectInput[], Q$1, FALSE)</f>
        <v>0</v>
      </c>
      <c r="P215" s="97">
        <f>VLOOKUP(ReviewCalcs[[#This Row],[Project Index]], ProjectInput[], R$1, FALSE)</f>
        <v>0</v>
      </c>
      <c r="Q215" s="97">
        <f>VLOOKUP(ReviewCalcs[[#This Row],[Project Index]], ProjectInput[], S$1, FALSE)</f>
        <v>0</v>
      </c>
      <c r="R215" s="97">
        <f>VLOOKUP(ReviewCalcs[[#This Row],[Project Index]], ProjectInput[], T$1, FALSE)</f>
        <v>0</v>
      </c>
      <c r="S215" s="97">
        <f>VLOOKUP(ReviewCalcs[[#This Row],[Project Index]], ProjectInput[], U$1, FALSE)</f>
        <v>0</v>
      </c>
      <c r="T215" s="97">
        <f>VLOOKUP(ReviewCalcs[[#This Row],[Project Index]], ProjectInput[], V$1, FALSE)</f>
        <v>0</v>
      </c>
      <c r="U215" s="97">
        <f>VLOOKUP(ReviewCalcs[[#This Row],[Project Index]], ProjectInput[], W$1, FALSE)</f>
        <v>0</v>
      </c>
      <c r="V215" s="98" t="str">
        <f>VLOOKUP(ReviewCalcs[[#This Row],[Project Index]], ProjectInput[], X$1, FALSE)</f>
        <v/>
      </c>
      <c r="W21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5" s="75" t="e">
        <f>IF(VLOOKUP(ReviewCalcs[[#This Row],[Proposed Fixture Code]], Table7[[FIXTURE CODE]:[Baseline Fixture Code]], 8, FALSE)="N", "ERROR", "PASS")</f>
        <v>#N/A</v>
      </c>
      <c r="Y21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5" s="75" t="e">
        <f>IF(OR(ReviewCalcs[[#This Row],[Baseline Fixture Watts]]&gt;=ReviewCalcs[[#This Row],[Proposed Fixture Watts]],ReviewCalcs[[#This Row],[Existing Fixture Watts]]&gt;=ReviewCalcs[[#This Row],[Proposed Fixture Watts]] ), "PASS", "ERROR")</f>
        <v>#N/A</v>
      </c>
      <c r="AA215" s="69" t="e">
        <f>VLOOKUP(ReviewCalcs[[#This Row],[Space Conditions]], Table_365[], 5, FALSE)</f>
        <v>#N/A</v>
      </c>
      <c r="AB215" s="68" t="str">
        <f>ReviewCalcs[[#This Row],[Annual Hours]]</f>
        <v/>
      </c>
      <c r="AC215" s="68" t="e">
        <f>VLOOKUP(ReviewCalcs[[#This Row],[Space Conditions]], Table_365[], 6, FALSE)</f>
        <v>#N/A</v>
      </c>
      <c r="AD215" s="68">
        <f>IF(ReviewCalcs[[#This Row],[Existing Control(s)]]='Tables &amp; Ranges'!$A$25, VLOOKUP(ReviewCalcs[[#This Row],[Building/Space Type]], Table_364[], 3, FALSE), CF_Contols)</f>
        <v>0.26</v>
      </c>
      <c r="AE215" s="68" t="e">
        <f>VLOOKUP(ReviewCalcs[[#This Row],[Existing Control(s)]], Table_358[], 2, FALSE)</f>
        <v>#N/A</v>
      </c>
      <c r="AF215" s="68">
        <f>IF(ReviewCalcs[[#This Row],[Proposed Control(s)]]='Tables &amp; Ranges'!$A$25, VLOOKUP(ReviewCalcs[[#This Row],[Building/Space Type]], Table_364[], 3, FALSE), CF_Contols)</f>
        <v>0.26</v>
      </c>
      <c r="AG215" s="68" t="e">
        <f>VLOOKUP(ReviewCalcs[[#This Row],[Proposed Control(s)]], Table_358[], 2, FALSE)</f>
        <v>#N/A</v>
      </c>
      <c r="AH215" s="68">
        <f>IFERROR((ReviewCalcs[[#This Row],[Existing Fixture Quantity]]*ReviewCalcs[[#This Row],[Existing Fixture Watts]]/1000)*ReviewCalcs[[#This Row],[Existing CF]]*ReviewCalcs[[#This Row],[IEFD]], 0)</f>
        <v>0</v>
      </c>
      <c r="AI215" s="68">
        <f>IFERROR((ReviewCalcs[[#This Row],[Proposed Fixture Quantity]]*ReviewCalcs[[#This Row],[Proposed Fixture Watts]]/1000)*ReviewCalcs[[#This Row],[Existing CF]]*ReviewCalcs[[#This Row],[IEFD]], 0)</f>
        <v>0</v>
      </c>
      <c r="AJ215" s="118">
        <f>IFERROR((ReviewCalcs[[#This Row],[Existing Fixture Quantity]]*ReviewCalcs[[#This Row],[Existing Fixture Watts]]/1000-ReviewCalcs[[#This Row],[Proposed Fixture Quantity]]*ReviewCalcs[[#This Row],[Proposed Fixture Watts]]/1000)*ReviewCalcs[[#This Row],[Existing CF]]*ReviewCalcs[[#This Row],[IEFD]], 0)</f>
        <v>0</v>
      </c>
      <c r="AK215" s="118">
        <f>IFERROR((ReviewCalcs[[#This Row],[Existing Fixture Quantity]]*ReviewCalcs[[#This Row],[Existing Fixture Watts]]/1000)*ReviewCalcs[[#This Row],[AOH]]*ReviewCalcs[[#This Row],[IEFE]]*ReviewCalcs[[#This Row],[Existing PAF]], 0)</f>
        <v>0</v>
      </c>
      <c r="AL215" s="118">
        <f>IFERROR((ReviewCalcs[[#This Row],[Proposed Fixture Quantity]]*ReviewCalcs[[#This Row],[Proposed Fixture Watts]]/1000)*ReviewCalcs[[#This Row],[AOH]]*ReviewCalcs[[#This Row],[IEFE]]*ReviewCalcs[[#This Row],[Existing PAF]], 0)</f>
        <v>0</v>
      </c>
      <c r="AM21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5" s="118">
        <f>ReviewCalcs[[#This Row],[Fixture Existing Energy (kWh)]]*Avg_KWh_Rate</f>
        <v>0</v>
      </c>
      <c r="AO215" s="118">
        <f>ReviewCalcs[[#This Row],[Fixture Proposed Energy (kWh)]]*Avg_KWh_Rate</f>
        <v>0</v>
      </c>
      <c r="AP215" s="70">
        <f>ReviewCalcs[[#This Row],[Fixture Energy Savings]]*Avg_KWh_Rate</f>
        <v>0</v>
      </c>
      <c r="AQ215" s="129" t="e">
        <f>ReviewCalcs[[#This Row],[Existing Fixture Quantity]]*ReviewCalcs[[#This Row],[Existing Fixture Watts]]/1000*ReviewCalcs[[#This Row],[Existing CF]]*ReviewCalcs[[#This Row],[IEFD]]</f>
        <v>#VALUE!</v>
      </c>
      <c r="AR215" s="129" t="e">
        <f>ReviewCalcs[[#This Row],[Proposed Fixture Quantity]]*ReviewCalcs[[#This Row],[Proposed Fixture Watts]]/1000*ReviewCalcs[[#This Row],[Proposed CF]]*ReviewCalcs[[#This Row],[IEFD]]</f>
        <v>#VALUE!</v>
      </c>
      <c r="AS215" s="118">
        <f>IF(ReviewCalcs[[#This Row],[Existing CF]]=ReviewCalcs[[#This Row],[Proposed CF]], 0, ReviewCalcs[[#This Row],[Proposed Fixture Quantity]]*ReviewCalcs[[#This Row],[Proposed Fixture Watts]]/1000*ReviewCalcs[[#This Row],[Proposed CF]]*ReviewCalcs[[#This Row],[IEFD]])</f>
        <v>0</v>
      </c>
      <c r="AT215" s="118">
        <f>IFERROR(ReviewCalcs[[#This Row],[Existing Fixture Quantity]]*ReviewCalcs[[#This Row],[Existing Fixture Watts]]/1000*ReviewCalcs[[#This Row],[Existing PAF]]*ReviewCalcs[[#This Row],[AOH]]*ReviewCalcs[[#This Row],[IEFE]], 0)</f>
        <v>0</v>
      </c>
      <c r="AU215" s="118">
        <f>IFERROR(ReviewCalcs[[#This Row],[Proposed Fixture Quantity]]*ReviewCalcs[[#This Row],[Proposed Fixture Watts]]/1000*ReviewCalcs[[#This Row],[Proposed PAF]]*ReviewCalcs[[#This Row],[AOH]]*ReviewCalcs[[#This Row],[IEFE]], 0)</f>
        <v>0</v>
      </c>
      <c r="AV215" s="118">
        <f>IFERROR(ReviewCalcs[[#This Row],[Proposed Fixture Quantity]]*ReviewCalcs[[#This Row],[Proposed Fixture Watts]]/1000*(ReviewCalcs[[#This Row],[Existing PAF]]-ReviewCalcs[[#This Row],[Proposed PAF]])*ReviewCalcs[[#This Row],[AOH]]*ReviewCalcs[[#This Row],[IEFE]], 0)</f>
        <v>0</v>
      </c>
      <c r="AW215" s="118">
        <f>ReviewCalcs[[#This Row],[Control Existing Energy (kWh)]]*kWh_Incentive_Rate</f>
        <v>0</v>
      </c>
      <c r="AX215" s="118">
        <f>ReviewCalcs[[#This Row],[Control Proposed Energy (kWh)]]*kWh_Incentive_Rate</f>
        <v>0</v>
      </c>
      <c r="AY215" s="70">
        <f>ReviewCalcs[[#This Row],[Control Energy Savings (kWh)]]*kWh_Incentive_Rate</f>
        <v>0</v>
      </c>
      <c r="AZ215" s="70" t="e">
        <f>ReviewCalcs[[#This Row],[Fixture Existing Demand (kW)]]+ReviewCalcs[[#This Row],[Control Existing Demand (kW)]]</f>
        <v>#VALUE!</v>
      </c>
      <c r="BA215" s="70" t="e">
        <f>ReviewCalcs[[#This Row],[Fixture Proposed Demand (kW)]]+ReviewCalcs[[#This Row],[Control Proposed Demand (kW)]]</f>
        <v>#VALUE!</v>
      </c>
      <c r="BB215" s="118">
        <f>ReviewCalcs[[#This Row],[Fixture Demand Savings (kW)]]+ReviewCalcs[[#This Row],[Control Demand Savings (kW)]]</f>
        <v>0</v>
      </c>
      <c r="BC215" s="118">
        <f>ReviewCalcs[[#This Row],[Fixture Existing Energy (kWh)]]+ReviewCalcs[[#This Row],[Control Existing Energy (kWh)]]</f>
        <v>0</v>
      </c>
      <c r="BD215" s="118">
        <f>ReviewCalcs[[#This Row],[Fixture Proposed Energy (kWh)]]+ReviewCalcs[[#This Row],[Control Proposed Energy (kWh)]]</f>
        <v>0</v>
      </c>
      <c r="BE215" s="118">
        <f>ReviewCalcs[[#This Row],[Fixture Energy Savings]]+ReviewCalcs[[#This Row],[Control Energy Savings (kWh)]]</f>
        <v>0</v>
      </c>
      <c r="BF215" s="118">
        <f>ReviewCalcs[[#This Row],[Fixture Existing Cost ($)]]+ReviewCalcs[[#This Row],[Control Existing Cost ($)]]</f>
        <v>0</v>
      </c>
      <c r="BG215" s="118">
        <f>ReviewCalcs[[#This Row],[Fixture Proposed Cost ($)]]+ReviewCalcs[[#This Row],[Controls Proposed Cost ($)]]</f>
        <v>0</v>
      </c>
      <c r="BH215" s="70">
        <f>ReviewCalcs[[#This Row],[Total Energy Savings (kWh)]]*Avg_KWh_Rate</f>
        <v>0</v>
      </c>
      <c r="BI21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5" s="70">
        <f>ReviewCalcs[[#This Row],[Retrofit Cost]]</f>
        <v>0</v>
      </c>
      <c r="BK215" s="70">
        <f>ReviewCalcs[[#This Row],[Retrofit Cost]]-ReviewCalcs[[#This Row],[Incentive ($)]]</f>
        <v>0</v>
      </c>
      <c r="BL215" s="118" t="e">
        <f>IFERROR(ReviewCalcs[[#This Row],[Net Project Cost ($)]]/ReviewCalcs[[#This Row],[Fixture Energy Cost Savings ($)]], #N/A)</f>
        <v>#N/A</v>
      </c>
      <c r="BM215" s="118" t="e">
        <f>IF(VLOOKUP(ReviewCalcs[[#This Row],[Existing Fixture Code]], Table7[[FIXTURE CODE]:[Baseline Fixture Code]], 8, FALSE)="N", VLOOKUP(ReviewCalcs[[#This Row],[Existing Fixture Code]], Table7[[FIXTURE CODE]:[Baseline Fixture Code]], 9, FALSE), ReviewCalcs[[#This Row],[Existing Fixture Code]])</f>
        <v>#N/A</v>
      </c>
      <c r="BN215" s="118" t="e">
        <f>INDEX(Table7[WATT/ FIXT], MATCH(ReviewCalcs[Baseline Fixture Code], Table7[FIXTURE CODE], 0))</f>
        <v>#N/A</v>
      </c>
      <c r="BO215" s="118">
        <f>IFERROR((ReviewCalcs[[#This Row],[Existing Fixture Quantity]]*ReviewCalcs[[#This Row],[Baseline Fixture Watts]]/1000-ReviewCalcs[[#This Row],[Proposed Fixture Quantity]]*ReviewCalcs[[#This Row],[Proposed Fixture Watts]]/1000)*ReviewCalcs[[#This Row],[Existing CF]]*ReviewCalcs[[#This Row],[IEFD]], 0)</f>
        <v>0</v>
      </c>
      <c r="BP21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5" s="118">
        <f>IF(ReviewCalcs[[#This Row],[Existing CF]]=ReviewCalcs[[#This Row],[Proposed CF]], 0, ReviewCalcs[[#This Row],[Proposed Fixture Quantity]]*ReviewCalcs[[#This Row],[Proposed Fixture Watts]]/1000*ReviewCalcs[[#This Row],[Proposed CF]]*ReviewCalcs[[#This Row],[IEFD]])</f>
        <v>0</v>
      </c>
      <c r="BR215" s="118">
        <f>IFERROR(ReviewCalcs[[#This Row],[Proposed Fixture Quantity]]*ReviewCalcs[[#This Row],[Proposed Fixture Watts]]/1000*(ReviewCalcs[[#This Row],[Existing PAF]]-ReviewCalcs[[#This Row],[Proposed PAF]])*ReviewCalcs[[#This Row],[AOH]]*ReviewCalcs[[#This Row],[IEFE]],0)</f>
        <v>0</v>
      </c>
      <c r="BS215" s="118">
        <f>ReviewCalcs[[#This Row],[Incentive Fixture Demand Savings (kW)]]+ReviewCalcs[[#This Row],[Incentive Control Demand Savings (kW)]]</f>
        <v>0</v>
      </c>
      <c r="BT215" s="118">
        <f>ReviewCalcs[[#This Row],[Incentive Fixture Energy Savings (kWh)]]+ReviewCalcs[[#This Row],[Incentive Control Energy Savings (kWh)]]</f>
        <v>0</v>
      </c>
      <c r="BU215" s="73"/>
    </row>
    <row r="216" spans="1:73" ht="30" customHeight="1">
      <c r="A216" s="68">
        <v>213</v>
      </c>
      <c r="B216" s="96">
        <f>VLOOKUP(ReviewCalcs[[#This Row],[Project Index]], ProjectInput[], D$1, FALSE)</f>
        <v>0</v>
      </c>
      <c r="C216" s="97">
        <f>VLOOKUP(ReviewCalcs[[#This Row],[Project Index]], ProjectInput[], E$1, FALSE)</f>
        <v>0</v>
      </c>
      <c r="D216" s="97">
        <f>VLOOKUP(ReviewCalcs[[#This Row],[Project Index]], ProjectInput[], F$1, FALSE)</f>
        <v>0</v>
      </c>
      <c r="E216" s="97">
        <f>VLOOKUP(ReviewCalcs[[#This Row],[Project Index]], ProjectInput[], G$1, FALSE)</f>
        <v>0</v>
      </c>
      <c r="F216" s="97">
        <f>VLOOKUP(ReviewCalcs[[#This Row],[Project Index]], ProjectInput[], H$1, FALSE)</f>
        <v>0</v>
      </c>
      <c r="G216" s="98" t="str">
        <f>VLOOKUP(ReviewCalcs[[#This Row],[Project Index]], ProjectInput[], I$1, FALSE)</f>
        <v/>
      </c>
      <c r="H216" s="96">
        <f>VLOOKUP(ReviewCalcs[[#This Row],[Project Index]], ProjectInput[], J$1, FALSE)</f>
        <v>0</v>
      </c>
      <c r="I216" s="97">
        <f>VLOOKUP(ReviewCalcs[[#This Row],[Project Index]], ProjectInput[], K$1, FALSE)</f>
        <v>0</v>
      </c>
      <c r="J216" s="97">
        <f>VLOOKUP(ReviewCalcs[[#This Row],[Project Index]], ProjectInput[], L$1, FALSE)</f>
        <v>0</v>
      </c>
      <c r="K216" s="97">
        <f>VLOOKUP(ReviewCalcs[[#This Row],[Project Index]], ProjectInput[], M$1, FALSE)</f>
        <v>0</v>
      </c>
      <c r="L216" s="97">
        <f>VLOOKUP(ReviewCalcs[[#This Row],[Project Index]], ProjectInput[], N$1, FALSE)</f>
        <v>0</v>
      </c>
      <c r="M216" s="98" t="str">
        <f>VLOOKUP(ReviewCalcs[[#This Row],[Project Index]], ProjectInput[], O$1, FALSE)</f>
        <v/>
      </c>
      <c r="N216" s="96">
        <f>VLOOKUP(ReviewCalcs[[#This Row],[Project Index]], ProjectInput[], P$1, FALSE)</f>
        <v>0</v>
      </c>
      <c r="O216" s="97">
        <f>VLOOKUP(ReviewCalcs[[#This Row],[Project Index]], ProjectInput[], Q$1, FALSE)</f>
        <v>0</v>
      </c>
      <c r="P216" s="97">
        <f>VLOOKUP(ReviewCalcs[[#This Row],[Project Index]], ProjectInput[], R$1, FALSE)</f>
        <v>0</v>
      </c>
      <c r="Q216" s="97">
        <f>VLOOKUP(ReviewCalcs[[#This Row],[Project Index]], ProjectInput[], S$1, FALSE)</f>
        <v>0</v>
      </c>
      <c r="R216" s="97">
        <f>VLOOKUP(ReviewCalcs[[#This Row],[Project Index]], ProjectInput[], T$1, FALSE)</f>
        <v>0</v>
      </c>
      <c r="S216" s="97">
        <f>VLOOKUP(ReviewCalcs[[#This Row],[Project Index]], ProjectInput[], U$1, FALSE)</f>
        <v>0</v>
      </c>
      <c r="T216" s="97">
        <f>VLOOKUP(ReviewCalcs[[#This Row],[Project Index]], ProjectInput[], V$1, FALSE)</f>
        <v>0</v>
      </c>
      <c r="U216" s="97">
        <f>VLOOKUP(ReviewCalcs[[#This Row],[Project Index]], ProjectInput[], W$1, FALSE)</f>
        <v>0</v>
      </c>
      <c r="V216" s="98" t="str">
        <f>VLOOKUP(ReviewCalcs[[#This Row],[Project Index]], ProjectInput[], X$1, FALSE)</f>
        <v/>
      </c>
      <c r="W21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6" s="75" t="e">
        <f>IF(VLOOKUP(ReviewCalcs[[#This Row],[Proposed Fixture Code]], Table7[[FIXTURE CODE]:[Baseline Fixture Code]], 8, FALSE)="N", "ERROR", "PASS")</f>
        <v>#N/A</v>
      </c>
      <c r="Y21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6" s="75" t="e">
        <f>IF(OR(ReviewCalcs[[#This Row],[Baseline Fixture Watts]]&gt;=ReviewCalcs[[#This Row],[Proposed Fixture Watts]],ReviewCalcs[[#This Row],[Existing Fixture Watts]]&gt;=ReviewCalcs[[#This Row],[Proposed Fixture Watts]] ), "PASS", "ERROR")</f>
        <v>#N/A</v>
      </c>
      <c r="AA216" s="69" t="e">
        <f>VLOOKUP(ReviewCalcs[[#This Row],[Space Conditions]], Table_365[], 5, FALSE)</f>
        <v>#N/A</v>
      </c>
      <c r="AB216" s="68" t="str">
        <f>ReviewCalcs[[#This Row],[Annual Hours]]</f>
        <v/>
      </c>
      <c r="AC216" s="68" t="e">
        <f>VLOOKUP(ReviewCalcs[[#This Row],[Space Conditions]], Table_365[], 6, FALSE)</f>
        <v>#N/A</v>
      </c>
      <c r="AD216" s="68">
        <f>IF(ReviewCalcs[[#This Row],[Existing Control(s)]]='Tables &amp; Ranges'!$A$25, VLOOKUP(ReviewCalcs[[#This Row],[Building/Space Type]], Table_364[], 3, FALSE), CF_Contols)</f>
        <v>0.26</v>
      </c>
      <c r="AE216" s="68" t="e">
        <f>VLOOKUP(ReviewCalcs[[#This Row],[Existing Control(s)]], Table_358[], 2, FALSE)</f>
        <v>#N/A</v>
      </c>
      <c r="AF216" s="68">
        <f>IF(ReviewCalcs[[#This Row],[Proposed Control(s)]]='Tables &amp; Ranges'!$A$25, VLOOKUP(ReviewCalcs[[#This Row],[Building/Space Type]], Table_364[], 3, FALSE), CF_Contols)</f>
        <v>0.26</v>
      </c>
      <c r="AG216" s="68" t="e">
        <f>VLOOKUP(ReviewCalcs[[#This Row],[Proposed Control(s)]], Table_358[], 2, FALSE)</f>
        <v>#N/A</v>
      </c>
      <c r="AH216" s="68">
        <f>IFERROR((ReviewCalcs[[#This Row],[Existing Fixture Quantity]]*ReviewCalcs[[#This Row],[Existing Fixture Watts]]/1000)*ReviewCalcs[[#This Row],[Existing CF]]*ReviewCalcs[[#This Row],[IEFD]], 0)</f>
        <v>0</v>
      </c>
      <c r="AI216" s="68">
        <f>IFERROR((ReviewCalcs[[#This Row],[Proposed Fixture Quantity]]*ReviewCalcs[[#This Row],[Proposed Fixture Watts]]/1000)*ReviewCalcs[[#This Row],[Existing CF]]*ReviewCalcs[[#This Row],[IEFD]], 0)</f>
        <v>0</v>
      </c>
      <c r="AJ216" s="118">
        <f>IFERROR((ReviewCalcs[[#This Row],[Existing Fixture Quantity]]*ReviewCalcs[[#This Row],[Existing Fixture Watts]]/1000-ReviewCalcs[[#This Row],[Proposed Fixture Quantity]]*ReviewCalcs[[#This Row],[Proposed Fixture Watts]]/1000)*ReviewCalcs[[#This Row],[Existing CF]]*ReviewCalcs[[#This Row],[IEFD]], 0)</f>
        <v>0</v>
      </c>
      <c r="AK216" s="118">
        <f>IFERROR((ReviewCalcs[[#This Row],[Existing Fixture Quantity]]*ReviewCalcs[[#This Row],[Existing Fixture Watts]]/1000)*ReviewCalcs[[#This Row],[AOH]]*ReviewCalcs[[#This Row],[IEFE]]*ReviewCalcs[[#This Row],[Existing PAF]], 0)</f>
        <v>0</v>
      </c>
      <c r="AL216" s="118">
        <f>IFERROR((ReviewCalcs[[#This Row],[Proposed Fixture Quantity]]*ReviewCalcs[[#This Row],[Proposed Fixture Watts]]/1000)*ReviewCalcs[[#This Row],[AOH]]*ReviewCalcs[[#This Row],[IEFE]]*ReviewCalcs[[#This Row],[Existing PAF]], 0)</f>
        <v>0</v>
      </c>
      <c r="AM21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6" s="118">
        <f>ReviewCalcs[[#This Row],[Fixture Existing Energy (kWh)]]*Avg_KWh_Rate</f>
        <v>0</v>
      </c>
      <c r="AO216" s="118">
        <f>ReviewCalcs[[#This Row],[Fixture Proposed Energy (kWh)]]*Avg_KWh_Rate</f>
        <v>0</v>
      </c>
      <c r="AP216" s="70">
        <f>ReviewCalcs[[#This Row],[Fixture Energy Savings]]*Avg_KWh_Rate</f>
        <v>0</v>
      </c>
      <c r="AQ216" s="129" t="e">
        <f>ReviewCalcs[[#This Row],[Existing Fixture Quantity]]*ReviewCalcs[[#This Row],[Existing Fixture Watts]]/1000*ReviewCalcs[[#This Row],[Existing CF]]*ReviewCalcs[[#This Row],[IEFD]]</f>
        <v>#VALUE!</v>
      </c>
      <c r="AR216" s="129" t="e">
        <f>ReviewCalcs[[#This Row],[Proposed Fixture Quantity]]*ReviewCalcs[[#This Row],[Proposed Fixture Watts]]/1000*ReviewCalcs[[#This Row],[Proposed CF]]*ReviewCalcs[[#This Row],[IEFD]]</f>
        <v>#VALUE!</v>
      </c>
      <c r="AS216" s="118">
        <f>IF(ReviewCalcs[[#This Row],[Existing CF]]=ReviewCalcs[[#This Row],[Proposed CF]], 0, ReviewCalcs[[#This Row],[Proposed Fixture Quantity]]*ReviewCalcs[[#This Row],[Proposed Fixture Watts]]/1000*ReviewCalcs[[#This Row],[Proposed CF]]*ReviewCalcs[[#This Row],[IEFD]])</f>
        <v>0</v>
      </c>
      <c r="AT216" s="118">
        <f>IFERROR(ReviewCalcs[[#This Row],[Existing Fixture Quantity]]*ReviewCalcs[[#This Row],[Existing Fixture Watts]]/1000*ReviewCalcs[[#This Row],[Existing PAF]]*ReviewCalcs[[#This Row],[AOH]]*ReviewCalcs[[#This Row],[IEFE]], 0)</f>
        <v>0</v>
      </c>
      <c r="AU216" s="118">
        <f>IFERROR(ReviewCalcs[[#This Row],[Proposed Fixture Quantity]]*ReviewCalcs[[#This Row],[Proposed Fixture Watts]]/1000*ReviewCalcs[[#This Row],[Proposed PAF]]*ReviewCalcs[[#This Row],[AOH]]*ReviewCalcs[[#This Row],[IEFE]], 0)</f>
        <v>0</v>
      </c>
      <c r="AV216" s="118">
        <f>IFERROR(ReviewCalcs[[#This Row],[Proposed Fixture Quantity]]*ReviewCalcs[[#This Row],[Proposed Fixture Watts]]/1000*(ReviewCalcs[[#This Row],[Existing PAF]]-ReviewCalcs[[#This Row],[Proposed PAF]])*ReviewCalcs[[#This Row],[AOH]]*ReviewCalcs[[#This Row],[IEFE]], 0)</f>
        <v>0</v>
      </c>
      <c r="AW216" s="118">
        <f>ReviewCalcs[[#This Row],[Control Existing Energy (kWh)]]*kWh_Incentive_Rate</f>
        <v>0</v>
      </c>
      <c r="AX216" s="118">
        <f>ReviewCalcs[[#This Row],[Control Proposed Energy (kWh)]]*kWh_Incentive_Rate</f>
        <v>0</v>
      </c>
      <c r="AY216" s="70">
        <f>ReviewCalcs[[#This Row],[Control Energy Savings (kWh)]]*kWh_Incentive_Rate</f>
        <v>0</v>
      </c>
      <c r="AZ216" s="70" t="e">
        <f>ReviewCalcs[[#This Row],[Fixture Existing Demand (kW)]]+ReviewCalcs[[#This Row],[Control Existing Demand (kW)]]</f>
        <v>#VALUE!</v>
      </c>
      <c r="BA216" s="70" t="e">
        <f>ReviewCalcs[[#This Row],[Fixture Proposed Demand (kW)]]+ReviewCalcs[[#This Row],[Control Proposed Demand (kW)]]</f>
        <v>#VALUE!</v>
      </c>
      <c r="BB216" s="118">
        <f>ReviewCalcs[[#This Row],[Fixture Demand Savings (kW)]]+ReviewCalcs[[#This Row],[Control Demand Savings (kW)]]</f>
        <v>0</v>
      </c>
      <c r="BC216" s="118">
        <f>ReviewCalcs[[#This Row],[Fixture Existing Energy (kWh)]]+ReviewCalcs[[#This Row],[Control Existing Energy (kWh)]]</f>
        <v>0</v>
      </c>
      <c r="BD216" s="118">
        <f>ReviewCalcs[[#This Row],[Fixture Proposed Energy (kWh)]]+ReviewCalcs[[#This Row],[Control Proposed Energy (kWh)]]</f>
        <v>0</v>
      </c>
      <c r="BE216" s="118">
        <f>ReviewCalcs[[#This Row],[Fixture Energy Savings]]+ReviewCalcs[[#This Row],[Control Energy Savings (kWh)]]</f>
        <v>0</v>
      </c>
      <c r="BF216" s="118">
        <f>ReviewCalcs[[#This Row],[Fixture Existing Cost ($)]]+ReviewCalcs[[#This Row],[Control Existing Cost ($)]]</f>
        <v>0</v>
      </c>
      <c r="BG216" s="118">
        <f>ReviewCalcs[[#This Row],[Fixture Proposed Cost ($)]]+ReviewCalcs[[#This Row],[Controls Proposed Cost ($)]]</f>
        <v>0</v>
      </c>
      <c r="BH216" s="70">
        <f>ReviewCalcs[[#This Row],[Total Energy Savings (kWh)]]*Avg_KWh_Rate</f>
        <v>0</v>
      </c>
      <c r="BI21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6" s="70">
        <f>ReviewCalcs[[#This Row],[Retrofit Cost]]</f>
        <v>0</v>
      </c>
      <c r="BK216" s="70">
        <f>ReviewCalcs[[#This Row],[Retrofit Cost]]-ReviewCalcs[[#This Row],[Incentive ($)]]</f>
        <v>0</v>
      </c>
      <c r="BL216" s="118" t="e">
        <f>IFERROR(ReviewCalcs[[#This Row],[Net Project Cost ($)]]/ReviewCalcs[[#This Row],[Fixture Energy Cost Savings ($)]], #N/A)</f>
        <v>#N/A</v>
      </c>
      <c r="BM216" s="118" t="e">
        <f>IF(VLOOKUP(ReviewCalcs[[#This Row],[Existing Fixture Code]], Table7[[FIXTURE CODE]:[Baseline Fixture Code]], 8, FALSE)="N", VLOOKUP(ReviewCalcs[[#This Row],[Existing Fixture Code]], Table7[[FIXTURE CODE]:[Baseline Fixture Code]], 9, FALSE), ReviewCalcs[[#This Row],[Existing Fixture Code]])</f>
        <v>#N/A</v>
      </c>
      <c r="BN216" s="118" t="e">
        <f>INDEX(Table7[WATT/ FIXT], MATCH(ReviewCalcs[Baseline Fixture Code], Table7[FIXTURE CODE], 0))</f>
        <v>#N/A</v>
      </c>
      <c r="BO216" s="118">
        <f>IFERROR((ReviewCalcs[[#This Row],[Existing Fixture Quantity]]*ReviewCalcs[[#This Row],[Baseline Fixture Watts]]/1000-ReviewCalcs[[#This Row],[Proposed Fixture Quantity]]*ReviewCalcs[[#This Row],[Proposed Fixture Watts]]/1000)*ReviewCalcs[[#This Row],[Existing CF]]*ReviewCalcs[[#This Row],[IEFD]], 0)</f>
        <v>0</v>
      </c>
      <c r="BP21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6" s="118">
        <f>IF(ReviewCalcs[[#This Row],[Existing CF]]=ReviewCalcs[[#This Row],[Proposed CF]], 0, ReviewCalcs[[#This Row],[Proposed Fixture Quantity]]*ReviewCalcs[[#This Row],[Proposed Fixture Watts]]/1000*ReviewCalcs[[#This Row],[Proposed CF]]*ReviewCalcs[[#This Row],[IEFD]])</f>
        <v>0</v>
      </c>
      <c r="BR216" s="118">
        <f>IFERROR(ReviewCalcs[[#This Row],[Proposed Fixture Quantity]]*ReviewCalcs[[#This Row],[Proposed Fixture Watts]]/1000*(ReviewCalcs[[#This Row],[Existing PAF]]-ReviewCalcs[[#This Row],[Proposed PAF]])*ReviewCalcs[[#This Row],[AOH]]*ReviewCalcs[[#This Row],[IEFE]],0)</f>
        <v>0</v>
      </c>
      <c r="BS216" s="118">
        <f>ReviewCalcs[[#This Row],[Incentive Fixture Demand Savings (kW)]]+ReviewCalcs[[#This Row],[Incentive Control Demand Savings (kW)]]</f>
        <v>0</v>
      </c>
      <c r="BT216" s="118">
        <f>ReviewCalcs[[#This Row],[Incentive Fixture Energy Savings (kWh)]]+ReviewCalcs[[#This Row],[Incentive Control Energy Savings (kWh)]]</f>
        <v>0</v>
      </c>
      <c r="BU216" s="73"/>
    </row>
    <row r="217" spans="1:73" ht="30" customHeight="1">
      <c r="A217" s="68">
        <v>214</v>
      </c>
      <c r="B217" s="96">
        <f>VLOOKUP(ReviewCalcs[[#This Row],[Project Index]], ProjectInput[], D$1, FALSE)</f>
        <v>0</v>
      </c>
      <c r="C217" s="97">
        <f>VLOOKUP(ReviewCalcs[[#This Row],[Project Index]], ProjectInput[], E$1, FALSE)</f>
        <v>0</v>
      </c>
      <c r="D217" s="97">
        <f>VLOOKUP(ReviewCalcs[[#This Row],[Project Index]], ProjectInput[], F$1, FALSE)</f>
        <v>0</v>
      </c>
      <c r="E217" s="97">
        <f>VLOOKUP(ReviewCalcs[[#This Row],[Project Index]], ProjectInput[], G$1, FALSE)</f>
        <v>0</v>
      </c>
      <c r="F217" s="97">
        <f>VLOOKUP(ReviewCalcs[[#This Row],[Project Index]], ProjectInput[], H$1, FALSE)</f>
        <v>0</v>
      </c>
      <c r="G217" s="98" t="str">
        <f>VLOOKUP(ReviewCalcs[[#This Row],[Project Index]], ProjectInput[], I$1, FALSE)</f>
        <v/>
      </c>
      <c r="H217" s="96">
        <f>VLOOKUP(ReviewCalcs[[#This Row],[Project Index]], ProjectInput[], J$1, FALSE)</f>
        <v>0</v>
      </c>
      <c r="I217" s="97">
        <f>VLOOKUP(ReviewCalcs[[#This Row],[Project Index]], ProjectInput[], K$1, FALSE)</f>
        <v>0</v>
      </c>
      <c r="J217" s="97">
        <f>VLOOKUP(ReviewCalcs[[#This Row],[Project Index]], ProjectInput[], L$1, FALSE)</f>
        <v>0</v>
      </c>
      <c r="K217" s="97">
        <f>VLOOKUP(ReviewCalcs[[#This Row],[Project Index]], ProjectInput[], M$1, FALSE)</f>
        <v>0</v>
      </c>
      <c r="L217" s="97">
        <f>VLOOKUP(ReviewCalcs[[#This Row],[Project Index]], ProjectInput[], N$1, FALSE)</f>
        <v>0</v>
      </c>
      <c r="M217" s="98" t="str">
        <f>VLOOKUP(ReviewCalcs[[#This Row],[Project Index]], ProjectInput[], O$1, FALSE)</f>
        <v/>
      </c>
      <c r="N217" s="96">
        <f>VLOOKUP(ReviewCalcs[[#This Row],[Project Index]], ProjectInput[], P$1, FALSE)</f>
        <v>0</v>
      </c>
      <c r="O217" s="97">
        <f>VLOOKUP(ReviewCalcs[[#This Row],[Project Index]], ProjectInput[], Q$1, FALSE)</f>
        <v>0</v>
      </c>
      <c r="P217" s="97">
        <f>VLOOKUP(ReviewCalcs[[#This Row],[Project Index]], ProjectInput[], R$1, FALSE)</f>
        <v>0</v>
      </c>
      <c r="Q217" s="97">
        <f>VLOOKUP(ReviewCalcs[[#This Row],[Project Index]], ProjectInput[], S$1, FALSE)</f>
        <v>0</v>
      </c>
      <c r="R217" s="97">
        <f>VLOOKUP(ReviewCalcs[[#This Row],[Project Index]], ProjectInput[], T$1, FALSE)</f>
        <v>0</v>
      </c>
      <c r="S217" s="97">
        <f>VLOOKUP(ReviewCalcs[[#This Row],[Project Index]], ProjectInput[], U$1, FALSE)</f>
        <v>0</v>
      </c>
      <c r="T217" s="97">
        <f>VLOOKUP(ReviewCalcs[[#This Row],[Project Index]], ProjectInput[], V$1, FALSE)</f>
        <v>0</v>
      </c>
      <c r="U217" s="97">
        <f>VLOOKUP(ReviewCalcs[[#This Row],[Project Index]], ProjectInput[], W$1, FALSE)</f>
        <v>0</v>
      </c>
      <c r="V217" s="98" t="str">
        <f>VLOOKUP(ReviewCalcs[[#This Row],[Project Index]], ProjectInput[], X$1, FALSE)</f>
        <v/>
      </c>
      <c r="W21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7" s="75" t="e">
        <f>IF(VLOOKUP(ReviewCalcs[[#This Row],[Proposed Fixture Code]], Table7[[FIXTURE CODE]:[Baseline Fixture Code]], 8, FALSE)="N", "ERROR", "PASS")</f>
        <v>#N/A</v>
      </c>
      <c r="Y21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7" s="75" t="e">
        <f>IF(OR(ReviewCalcs[[#This Row],[Baseline Fixture Watts]]&gt;=ReviewCalcs[[#This Row],[Proposed Fixture Watts]],ReviewCalcs[[#This Row],[Existing Fixture Watts]]&gt;=ReviewCalcs[[#This Row],[Proposed Fixture Watts]] ), "PASS", "ERROR")</f>
        <v>#N/A</v>
      </c>
      <c r="AA217" s="69" t="e">
        <f>VLOOKUP(ReviewCalcs[[#This Row],[Space Conditions]], Table_365[], 5, FALSE)</f>
        <v>#N/A</v>
      </c>
      <c r="AB217" s="68" t="str">
        <f>ReviewCalcs[[#This Row],[Annual Hours]]</f>
        <v/>
      </c>
      <c r="AC217" s="68" t="e">
        <f>VLOOKUP(ReviewCalcs[[#This Row],[Space Conditions]], Table_365[], 6, FALSE)</f>
        <v>#N/A</v>
      </c>
      <c r="AD217" s="68">
        <f>IF(ReviewCalcs[[#This Row],[Existing Control(s)]]='Tables &amp; Ranges'!$A$25, VLOOKUP(ReviewCalcs[[#This Row],[Building/Space Type]], Table_364[], 3, FALSE), CF_Contols)</f>
        <v>0.26</v>
      </c>
      <c r="AE217" s="68" t="e">
        <f>VLOOKUP(ReviewCalcs[[#This Row],[Existing Control(s)]], Table_358[], 2, FALSE)</f>
        <v>#N/A</v>
      </c>
      <c r="AF217" s="68">
        <f>IF(ReviewCalcs[[#This Row],[Proposed Control(s)]]='Tables &amp; Ranges'!$A$25, VLOOKUP(ReviewCalcs[[#This Row],[Building/Space Type]], Table_364[], 3, FALSE), CF_Contols)</f>
        <v>0.26</v>
      </c>
      <c r="AG217" s="68" t="e">
        <f>VLOOKUP(ReviewCalcs[[#This Row],[Proposed Control(s)]], Table_358[], 2, FALSE)</f>
        <v>#N/A</v>
      </c>
      <c r="AH217" s="68">
        <f>IFERROR((ReviewCalcs[[#This Row],[Existing Fixture Quantity]]*ReviewCalcs[[#This Row],[Existing Fixture Watts]]/1000)*ReviewCalcs[[#This Row],[Existing CF]]*ReviewCalcs[[#This Row],[IEFD]], 0)</f>
        <v>0</v>
      </c>
      <c r="AI217" s="68">
        <f>IFERROR((ReviewCalcs[[#This Row],[Proposed Fixture Quantity]]*ReviewCalcs[[#This Row],[Proposed Fixture Watts]]/1000)*ReviewCalcs[[#This Row],[Existing CF]]*ReviewCalcs[[#This Row],[IEFD]], 0)</f>
        <v>0</v>
      </c>
      <c r="AJ217" s="118">
        <f>IFERROR((ReviewCalcs[[#This Row],[Existing Fixture Quantity]]*ReviewCalcs[[#This Row],[Existing Fixture Watts]]/1000-ReviewCalcs[[#This Row],[Proposed Fixture Quantity]]*ReviewCalcs[[#This Row],[Proposed Fixture Watts]]/1000)*ReviewCalcs[[#This Row],[Existing CF]]*ReviewCalcs[[#This Row],[IEFD]], 0)</f>
        <v>0</v>
      </c>
      <c r="AK217" s="118">
        <f>IFERROR((ReviewCalcs[[#This Row],[Existing Fixture Quantity]]*ReviewCalcs[[#This Row],[Existing Fixture Watts]]/1000)*ReviewCalcs[[#This Row],[AOH]]*ReviewCalcs[[#This Row],[IEFE]]*ReviewCalcs[[#This Row],[Existing PAF]], 0)</f>
        <v>0</v>
      </c>
      <c r="AL217" s="118">
        <f>IFERROR((ReviewCalcs[[#This Row],[Proposed Fixture Quantity]]*ReviewCalcs[[#This Row],[Proposed Fixture Watts]]/1000)*ReviewCalcs[[#This Row],[AOH]]*ReviewCalcs[[#This Row],[IEFE]]*ReviewCalcs[[#This Row],[Existing PAF]], 0)</f>
        <v>0</v>
      </c>
      <c r="AM21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7" s="118">
        <f>ReviewCalcs[[#This Row],[Fixture Existing Energy (kWh)]]*Avg_KWh_Rate</f>
        <v>0</v>
      </c>
      <c r="AO217" s="118">
        <f>ReviewCalcs[[#This Row],[Fixture Proposed Energy (kWh)]]*Avg_KWh_Rate</f>
        <v>0</v>
      </c>
      <c r="AP217" s="70">
        <f>ReviewCalcs[[#This Row],[Fixture Energy Savings]]*Avg_KWh_Rate</f>
        <v>0</v>
      </c>
      <c r="AQ217" s="129" t="e">
        <f>ReviewCalcs[[#This Row],[Existing Fixture Quantity]]*ReviewCalcs[[#This Row],[Existing Fixture Watts]]/1000*ReviewCalcs[[#This Row],[Existing CF]]*ReviewCalcs[[#This Row],[IEFD]]</f>
        <v>#VALUE!</v>
      </c>
      <c r="AR217" s="129" t="e">
        <f>ReviewCalcs[[#This Row],[Proposed Fixture Quantity]]*ReviewCalcs[[#This Row],[Proposed Fixture Watts]]/1000*ReviewCalcs[[#This Row],[Proposed CF]]*ReviewCalcs[[#This Row],[IEFD]]</f>
        <v>#VALUE!</v>
      </c>
      <c r="AS217" s="118">
        <f>IF(ReviewCalcs[[#This Row],[Existing CF]]=ReviewCalcs[[#This Row],[Proposed CF]], 0, ReviewCalcs[[#This Row],[Proposed Fixture Quantity]]*ReviewCalcs[[#This Row],[Proposed Fixture Watts]]/1000*ReviewCalcs[[#This Row],[Proposed CF]]*ReviewCalcs[[#This Row],[IEFD]])</f>
        <v>0</v>
      </c>
      <c r="AT217" s="118">
        <f>IFERROR(ReviewCalcs[[#This Row],[Existing Fixture Quantity]]*ReviewCalcs[[#This Row],[Existing Fixture Watts]]/1000*ReviewCalcs[[#This Row],[Existing PAF]]*ReviewCalcs[[#This Row],[AOH]]*ReviewCalcs[[#This Row],[IEFE]], 0)</f>
        <v>0</v>
      </c>
      <c r="AU217" s="118">
        <f>IFERROR(ReviewCalcs[[#This Row],[Proposed Fixture Quantity]]*ReviewCalcs[[#This Row],[Proposed Fixture Watts]]/1000*ReviewCalcs[[#This Row],[Proposed PAF]]*ReviewCalcs[[#This Row],[AOH]]*ReviewCalcs[[#This Row],[IEFE]], 0)</f>
        <v>0</v>
      </c>
      <c r="AV217" s="118">
        <f>IFERROR(ReviewCalcs[[#This Row],[Proposed Fixture Quantity]]*ReviewCalcs[[#This Row],[Proposed Fixture Watts]]/1000*(ReviewCalcs[[#This Row],[Existing PAF]]-ReviewCalcs[[#This Row],[Proposed PAF]])*ReviewCalcs[[#This Row],[AOH]]*ReviewCalcs[[#This Row],[IEFE]], 0)</f>
        <v>0</v>
      </c>
      <c r="AW217" s="118">
        <f>ReviewCalcs[[#This Row],[Control Existing Energy (kWh)]]*kWh_Incentive_Rate</f>
        <v>0</v>
      </c>
      <c r="AX217" s="118">
        <f>ReviewCalcs[[#This Row],[Control Proposed Energy (kWh)]]*kWh_Incentive_Rate</f>
        <v>0</v>
      </c>
      <c r="AY217" s="70">
        <f>ReviewCalcs[[#This Row],[Control Energy Savings (kWh)]]*kWh_Incentive_Rate</f>
        <v>0</v>
      </c>
      <c r="AZ217" s="70" t="e">
        <f>ReviewCalcs[[#This Row],[Fixture Existing Demand (kW)]]+ReviewCalcs[[#This Row],[Control Existing Demand (kW)]]</f>
        <v>#VALUE!</v>
      </c>
      <c r="BA217" s="70" t="e">
        <f>ReviewCalcs[[#This Row],[Fixture Proposed Demand (kW)]]+ReviewCalcs[[#This Row],[Control Proposed Demand (kW)]]</f>
        <v>#VALUE!</v>
      </c>
      <c r="BB217" s="118">
        <f>ReviewCalcs[[#This Row],[Fixture Demand Savings (kW)]]+ReviewCalcs[[#This Row],[Control Demand Savings (kW)]]</f>
        <v>0</v>
      </c>
      <c r="BC217" s="118">
        <f>ReviewCalcs[[#This Row],[Fixture Existing Energy (kWh)]]+ReviewCalcs[[#This Row],[Control Existing Energy (kWh)]]</f>
        <v>0</v>
      </c>
      <c r="BD217" s="118">
        <f>ReviewCalcs[[#This Row],[Fixture Proposed Energy (kWh)]]+ReviewCalcs[[#This Row],[Control Proposed Energy (kWh)]]</f>
        <v>0</v>
      </c>
      <c r="BE217" s="118">
        <f>ReviewCalcs[[#This Row],[Fixture Energy Savings]]+ReviewCalcs[[#This Row],[Control Energy Savings (kWh)]]</f>
        <v>0</v>
      </c>
      <c r="BF217" s="118">
        <f>ReviewCalcs[[#This Row],[Fixture Existing Cost ($)]]+ReviewCalcs[[#This Row],[Control Existing Cost ($)]]</f>
        <v>0</v>
      </c>
      <c r="BG217" s="118">
        <f>ReviewCalcs[[#This Row],[Fixture Proposed Cost ($)]]+ReviewCalcs[[#This Row],[Controls Proposed Cost ($)]]</f>
        <v>0</v>
      </c>
      <c r="BH217" s="70">
        <f>ReviewCalcs[[#This Row],[Total Energy Savings (kWh)]]*Avg_KWh_Rate</f>
        <v>0</v>
      </c>
      <c r="BI21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7" s="70">
        <f>ReviewCalcs[[#This Row],[Retrofit Cost]]</f>
        <v>0</v>
      </c>
      <c r="BK217" s="70">
        <f>ReviewCalcs[[#This Row],[Retrofit Cost]]-ReviewCalcs[[#This Row],[Incentive ($)]]</f>
        <v>0</v>
      </c>
      <c r="BL217" s="118" t="e">
        <f>IFERROR(ReviewCalcs[[#This Row],[Net Project Cost ($)]]/ReviewCalcs[[#This Row],[Fixture Energy Cost Savings ($)]], #N/A)</f>
        <v>#N/A</v>
      </c>
      <c r="BM217" s="118" t="e">
        <f>IF(VLOOKUP(ReviewCalcs[[#This Row],[Existing Fixture Code]], Table7[[FIXTURE CODE]:[Baseline Fixture Code]], 8, FALSE)="N", VLOOKUP(ReviewCalcs[[#This Row],[Existing Fixture Code]], Table7[[FIXTURE CODE]:[Baseline Fixture Code]], 9, FALSE), ReviewCalcs[[#This Row],[Existing Fixture Code]])</f>
        <v>#N/A</v>
      </c>
      <c r="BN217" s="118" t="e">
        <f>INDEX(Table7[WATT/ FIXT], MATCH(ReviewCalcs[Baseline Fixture Code], Table7[FIXTURE CODE], 0))</f>
        <v>#N/A</v>
      </c>
      <c r="BO217" s="118">
        <f>IFERROR((ReviewCalcs[[#This Row],[Existing Fixture Quantity]]*ReviewCalcs[[#This Row],[Baseline Fixture Watts]]/1000-ReviewCalcs[[#This Row],[Proposed Fixture Quantity]]*ReviewCalcs[[#This Row],[Proposed Fixture Watts]]/1000)*ReviewCalcs[[#This Row],[Existing CF]]*ReviewCalcs[[#This Row],[IEFD]], 0)</f>
        <v>0</v>
      </c>
      <c r="BP21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7" s="118">
        <f>IF(ReviewCalcs[[#This Row],[Existing CF]]=ReviewCalcs[[#This Row],[Proposed CF]], 0, ReviewCalcs[[#This Row],[Proposed Fixture Quantity]]*ReviewCalcs[[#This Row],[Proposed Fixture Watts]]/1000*ReviewCalcs[[#This Row],[Proposed CF]]*ReviewCalcs[[#This Row],[IEFD]])</f>
        <v>0</v>
      </c>
      <c r="BR217" s="118">
        <f>IFERROR(ReviewCalcs[[#This Row],[Proposed Fixture Quantity]]*ReviewCalcs[[#This Row],[Proposed Fixture Watts]]/1000*(ReviewCalcs[[#This Row],[Existing PAF]]-ReviewCalcs[[#This Row],[Proposed PAF]])*ReviewCalcs[[#This Row],[AOH]]*ReviewCalcs[[#This Row],[IEFE]],0)</f>
        <v>0</v>
      </c>
      <c r="BS217" s="118">
        <f>ReviewCalcs[[#This Row],[Incentive Fixture Demand Savings (kW)]]+ReviewCalcs[[#This Row],[Incentive Control Demand Savings (kW)]]</f>
        <v>0</v>
      </c>
      <c r="BT217" s="118">
        <f>ReviewCalcs[[#This Row],[Incentive Fixture Energy Savings (kWh)]]+ReviewCalcs[[#This Row],[Incentive Control Energy Savings (kWh)]]</f>
        <v>0</v>
      </c>
      <c r="BU217" s="73"/>
    </row>
    <row r="218" spans="1:73" ht="30" customHeight="1">
      <c r="A218" s="68">
        <v>215</v>
      </c>
      <c r="B218" s="96">
        <f>VLOOKUP(ReviewCalcs[[#This Row],[Project Index]], ProjectInput[], D$1, FALSE)</f>
        <v>0</v>
      </c>
      <c r="C218" s="97">
        <f>VLOOKUP(ReviewCalcs[[#This Row],[Project Index]], ProjectInput[], E$1, FALSE)</f>
        <v>0</v>
      </c>
      <c r="D218" s="97">
        <f>VLOOKUP(ReviewCalcs[[#This Row],[Project Index]], ProjectInput[], F$1, FALSE)</f>
        <v>0</v>
      </c>
      <c r="E218" s="97">
        <f>VLOOKUP(ReviewCalcs[[#This Row],[Project Index]], ProjectInput[], G$1, FALSE)</f>
        <v>0</v>
      </c>
      <c r="F218" s="97">
        <f>VLOOKUP(ReviewCalcs[[#This Row],[Project Index]], ProjectInput[], H$1, FALSE)</f>
        <v>0</v>
      </c>
      <c r="G218" s="98" t="str">
        <f>VLOOKUP(ReviewCalcs[[#This Row],[Project Index]], ProjectInput[], I$1, FALSE)</f>
        <v/>
      </c>
      <c r="H218" s="96">
        <f>VLOOKUP(ReviewCalcs[[#This Row],[Project Index]], ProjectInput[], J$1, FALSE)</f>
        <v>0</v>
      </c>
      <c r="I218" s="97">
        <f>VLOOKUP(ReviewCalcs[[#This Row],[Project Index]], ProjectInput[], K$1, FALSE)</f>
        <v>0</v>
      </c>
      <c r="J218" s="97">
        <f>VLOOKUP(ReviewCalcs[[#This Row],[Project Index]], ProjectInput[], L$1, FALSE)</f>
        <v>0</v>
      </c>
      <c r="K218" s="97">
        <f>VLOOKUP(ReviewCalcs[[#This Row],[Project Index]], ProjectInput[], M$1, FALSE)</f>
        <v>0</v>
      </c>
      <c r="L218" s="97">
        <f>VLOOKUP(ReviewCalcs[[#This Row],[Project Index]], ProjectInput[], N$1, FALSE)</f>
        <v>0</v>
      </c>
      <c r="M218" s="98" t="str">
        <f>VLOOKUP(ReviewCalcs[[#This Row],[Project Index]], ProjectInput[], O$1, FALSE)</f>
        <v/>
      </c>
      <c r="N218" s="96">
        <f>VLOOKUP(ReviewCalcs[[#This Row],[Project Index]], ProjectInput[], P$1, FALSE)</f>
        <v>0</v>
      </c>
      <c r="O218" s="97">
        <f>VLOOKUP(ReviewCalcs[[#This Row],[Project Index]], ProjectInput[], Q$1, FALSE)</f>
        <v>0</v>
      </c>
      <c r="P218" s="97">
        <f>VLOOKUP(ReviewCalcs[[#This Row],[Project Index]], ProjectInput[], R$1, FALSE)</f>
        <v>0</v>
      </c>
      <c r="Q218" s="97">
        <f>VLOOKUP(ReviewCalcs[[#This Row],[Project Index]], ProjectInput[], S$1, FALSE)</f>
        <v>0</v>
      </c>
      <c r="R218" s="97">
        <f>VLOOKUP(ReviewCalcs[[#This Row],[Project Index]], ProjectInput[], T$1, FALSE)</f>
        <v>0</v>
      </c>
      <c r="S218" s="97">
        <f>VLOOKUP(ReviewCalcs[[#This Row],[Project Index]], ProjectInput[], U$1, FALSE)</f>
        <v>0</v>
      </c>
      <c r="T218" s="97">
        <f>VLOOKUP(ReviewCalcs[[#This Row],[Project Index]], ProjectInput[], V$1, FALSE)</f>
        <v>0</v>
      </c>
      <c r="U218" s="97">
        <f>VLOOKUP(ReviewCalcs[[#This Row],[Project Index]], ProjectInput[], W$1, FALSE)</f>
        <v>0</v>
      </c>
      <c r="V218" s="98" t="str">
        <f>VLOOKUP(ReviewCalcs[[#This Row],[Project Index]], ProjectInput[], X$1, FALSE)</f>
        <v/>
      </c>
      <c r="W21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8" s="75" t="e">
        <f>IF(VLOOKUP(ReviewCalcs[[#This Row],[Proposed Fixture Code]], Table7[[FIXTURE CODE]:[Baseline Fixture Code]], 8, FALSE)="N", "ERROR", "PASS")</f>
        <v>#N/A</v>
      </c>
      <c r="Y21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8" s="75" t="e">
        <f>IF(OR(ReviewCalcs[[#This Row],[Baseline Fixture Watts]]&gt;=ReviewCalcs[[#This Row],[Proposed Fixture Watts]],ReviewCalcs[[#This Row],[Existing Fixture Watts]]&gt;=ReviewCalcs[[#This Row],[Proposed Fixture Watts]] ), "PASS", "ERROR")</f>
        <v>#N/A</v>
      </c>
      <c r="AA218" s="69" t="e">
        <f>VLOOKUP(ReviewCalcs[[#This Row],[Space Conditions]], Table_365[], 5, FALSE)</f>
        <v>#N/A</v>
      </c>
      <c r="AB218" s="68" t="str">
        <f>ReviewCalcs[[#This Row],[Annual Hours]]</f>
        <v/>
      </c>
      <c r="AC218" s="68" t="e">
        <f>VLOOKUP(ReviewCalcs[[#This Row],[Space Conditions]], Table_365[], 6, FALSE)</f>
        <v>#N/A</v>
      </c>
      <c r="AD218" s="68">
        <f>IF(ReviewCalcs[[#This Row],[Existing Control(s)]]='Tables &amp; Ranges'!$A$25, VLOOKUP(ReviewCalcs[[#This Row],[Building/Space Type]], Table_364[], 3, FALSE), CF_Contols)</f>
        <v>0.26</v>
      </c>
      <c r="AE218" s="68" t="e">
        <f>VLOOKUP(ReviewCalcs[[#This Row],[Existing Control(s)]], Table_358[], 2, FALSE)</f>
        <v>#N/A</v>
      </c>
      <c r="AF218" s="68">
        <f>IF(ReviewCalcs[[#This Row],[Proposed Control(s)]]='Tables &amp; Ranges'!$A$25, VLOOKUP(ReviewCalcs[[#This Row],[Building/Space Type]], Table_364[], 3, FALSE), CF_Contols)</f>
        <v>0.26</v>
      </c>
      <c r="AG218" s="68" t="e">
        <f>VLOOKUP(ReviewCalcs[[#This Row],[Proposed Control(s)]], Table_358[], 2, FALSE)</f>
        <v>#N/A</v>
      </c>
      <c r="AH218" s="68">
        <f>IFERROR((ReviewCalcs[[#This Row],[Existing Fixture Quantity]]*ReviewCalcs[[#This Row],[Existing Fixture Watts]]/1000)*ReviewCalcs[[#This Row],[Existing CF]]*ReviewCalcs[[#This Row],[IEFD]], 0)</f>
        <v>0</v>
      </c>
      <c r="AI218" s="68">
        <f>IFERROR((ReviewCalcs[[#This Row],[Proposed Fixture Quantity]]*ReviewCalcs[[#This Row],[Proposed Fixture Watts]]/1000)*ReviewCalcs[[#This Row],[Existing CF]]*ReviewCalcs[[#This Row],[IEFD]], 0)</f>
        <v>0</v>
      </c>
      <c r="AJ218" s="118">
        <f>IFERROR((ReviewCalcs[[#This Row],[Existing Fixture Quantity]]*ReviewCalcs[[#This Row],[Existing Fixture Watts]]/1000-ReviewCalcs[[#This Row],[Proposed Fixture Quantity]]*ReviewCalcs[[#This Row],[Proposed Fixture Watts]]/1000)*ReviewCalcs[[#This Row],[Existing CF]]*ReviewCalcs[[#This Row],[IEFD]], 0)</f>
        <v>0</v>
      </c>
      <c r="AK218" s="118">
        <f>IFERROR((ReviewCalcs[[#This Row],[Existing Fixture Quantity]]*ReviewCalcs[[#This Row],[Existing Fixture Watts]]/1000)*ReviewCalcs[[#This Row],[AOH]]*ReviewCalcs[[#This Row],[IEFE]]*ReviewCalcs[[#This Row],[Existing PAF]], 0)</f>
        <v>0</v>
      </c>
      <c r="AL218" s="118">
        <f>IFERROR((ReviewCalcs[[#This Row],[Proposed Fixture Quantity]]*ReviewCalcs[[#This Row],[Proposed Fixture Watts]]/1000)*ReviewCalcs[[#This Row],[AOH]]*ReviewCalcs[[#This Row],[IEFE]]*ReviewCalcs[[#This Row],[Existing PAF]], 0)</f>
        <v>0</v>
      </c>
      <c r="AM21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8" s="118">
        <f>ReviewCalcs[[#This Row],[Fixture Existing Energy (kWh)]]*Avg_KWh_Rate</f>
        <v>0</v>
      </c>
      <c r="AO218" s="118">
        <f>ReviewCalcs[[#This Row],[Fixture Proposed Energy (kWh)]]*Avg_KWh_Rate</f>
        <v>0</v>
      </c>
      <c r="AP218" s="70">
        <f>ReviewCalcs[[#This Row],[Fixture Energy Savings]]*Avg_KWh_Rate</f>
        <v>0</v>
      </c>
      <c r="AQ218" s="129" t="e">
        <f>ReviewCalcs[[#This Row],[Existing Fixture Quantity]]*ReviewCalcs[[#This Row],[Existing Fixture Watts]]/1000*ReviewCalcs[[#This Row],[Existing CF]]*ReviewCalcs[[#This Row],[IEFD]]</f>
        <v>#VALUE!</v>
      </c>
      <c r="AR218" s="129" t="e">
        <f>ReviewCalcs[[#This Row],[Proposed Fixture Quantity]]*ReviewCalcs[[#This Row],[Proposed Fixture Watts]]/1000*ReviewCalcs[[#This Row],[Proposed CF]]*ReviewCalcs[[#This Row],[IEFD]]</f>
        <v>#VALUE!</v>
      </c>
      <c r="AS218" s="118">
        <f>IF(ReviewCalcs[[#This Row],[Existing CF]]=ReviewCalcs[[#This Row],[Proposed CF]], 0, ReviewCalcs[[#This Row],[Proposed Fixture Quantity]]*ReviewCalcs[[#This Row],[Proposed Fixture Watts]]/1000*ReviewCalcs[[#This Row],[Proposed CF]]*ReviewCalcs[[#This Row],[IEFD]])</f>
        <v>0</v>
      </c>
      <c r="AT218" s="118">
        <f>IFERROR(ReviewCalcs[[#This Row],[Existing Fixture Quantity]]*ReviewCalcs[[#This Row],[Existing Fixture Watts]]/1000*ReviewCalcs[[#This Row],[Existing PAF]]*ReviewCalcs[[#This Row],[AOH]]*ReviewCalcs[[#This Row],[IEFE]], 0)</f>
        <v>0</v>
      </c>
      <c r="AU218" s="118">
        <f>IFERROR(ReviewCalcs[[#This Row],[Proposed Fixture Quantity]]*ReviewCalcs[[#This Row],[Proposed Fixture Watts]]/1000*ReviewCalcs[[#This Row],[Proposed PAF]]*ReviewCalcs[[#This Row],[AOH]]*ReviewCalcs[[#This Row],[IEFE]], 0)</f>
        <v>0</v>
      </c>
      <c r="AV218" s="118">
        <f>IFERROR(ReviewCalcs[[#This Row],[Proposed Fixture Quantity]]*ReviewCalcs[[#This Row],[Proposed Fixture Watts]]/1000*(ReviewCalcs[[#This Row],[Existing PAF]]-ReviewCalcs[[#This Row],[Proposed PAF]])*ReviewCalcs[[#This Row],[AOH]]*ReviewCalcs[[#This Row],[IEFE]], 0)</f>
        <v>0</v>
      </c>
      <c r="AW218" s="118">
        <f>ReviewCalcs[[#This Row],[Control Existing Energy (kWh)]]*kWh_Incentive_Rate</f>
        <v>0</v>
      </c>
      <c r="AX218" s="118">
        <f>ReviewCalcs[[#This Row],[Control Proposed Energy (kWh)]]*kWh_Incentive_Rate</f>
        <v>0</v>
      </c>
      <c r="AY218" s="70">
        <f>ReviewCalcs[[#This Row],[Control Energy Savings (kWh)]]*kWh_Incentive_Rate</f>
        <v>0</v>
      </c>
      <c r="AZ218" s="70" t="e">
        <f>ReviewCalcs[[#This Row],[Fixture Existing Demand (kW)]]+ReviewCalcs[[#This Row],[Control Existing Demand (kW)]]</f>
        <v>#VALUE!</v>
      </c>
      <c r="BA218" s="70" t="e">
        <f>ReviewCalcs[[#This Row],[Fixture Proposed Demand (kW)]]+ReviewCalcs[[#This Row],[Control Proposed Demand (kW)]]</f>
        <v>#VALUE!</v>
      </c>
      <c r="BB218" s="118">
        <f>ReviewCalcs[[#This Row],[Fixture Demand Savings (kW)]]+ReviewCalcs[[#This Row],[Control Demand Savings (kW)]]</f>
        <v>0</v>
      </c>
      <c r="BC218" s="118">
        <f>ReviewCalcs[[#This Row],[Fixture Existing Energy (kWh)]]+ReviewCalcs[[#This Row],[Control Existing Energy (kWh)]]</f>
        <v>0</v>
      </c>
      <c r="BD218" s="118">
        <f>ReviewCalcs[[#This Row],[Fixture Proposed Energy (kWh)]]+ReviewCalcs[[#This Row],[Control Proposed Energy (kWh)]]</f>
        <v>0</v>
      </c>
      <c r="BE218" s="118">
        <f>ReviewCalcs[[#This Row],[Fixture Energy Savings]]+ReviewCalcs[[#This Row],[Control Energy Savings (kWh)]]</f>
        <v>0</v>
      </c>
      <c r="BF218" s="118">
        <f>ReviewCalcs[[#This Row],[Fixture Existing Cost ($)]]+ReviewCalcs[[#This Row],[Control Existing Cost ($)]]</f>
        <v>0</v>
      </c>
      <c r="BG218" s="118">
        <f>ReviewCalcs[[#This Row],[Fixture Proposed Cost ($)]]+ReviewCalcs[[#This Row],[Controls Proposed Cost ($)]]</f>
        <v>0</v>
      </c>
      <c r="BH218" s="70">
        <f>ReviewCalcs[[#This Row],[Total Energy Savings (kWh)]]*Avg_KWh_Rate</f>
        <v>0</v>
      </c>
      <c r="BI21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8" s="70">
        <f>ReviewCalcs[[#This Row],[Retrofit Cost]]</f>
        <v>0</v>
      </c>
      <c r="BK218" s="70">
        <f>ReviewCalcs[[#This Row],[Retrofit Cost]]-ReviewCalcs[[#This Row],[Incentive ($)]]</f>
        <v>0</v>
      </c>
      <c r="BL218" s="118" t="e">
        <f>IFERROR(ReviewCalcs[[#This Row],[Net Project Cost ($)]]/ReviewCalcs[[#This Row],[Fixture Energy Cost Savings ($)]], #N/A)</f>
        <v>#N/A</v>
      </c>
      <c r="BM218" s="118" t="e">
        <f>IF(VLOOKUP(ReviewCalcs[[#This Row],[Existing Fixture Code]], Table7[[FIXTURE CODE]:[Baseline Fixture Code]], 8, FALSE)="N", VLOOKUP(ReviewCalcs[[#This Row],[Existing Fixture Code]], Table7[[FIXTURE CODE]:[Baseline Fixture Code]], 9, FALSE), ReviewCalcs[[#This Row],[Existing Fixture Code]])</f>
        <v>#N/A</v>
      </c>
      <c r="BN218" s="118" t="e">
        <f>INDEX(Table7[WATT/ FIXT], MATCH(ReviewCalcs[Baseline Fixture Code], Table7[FIXTURE CODE], 0))</f>
        <v>#N/A</v>
      </c>
      <c r="BO218" s="118">
        <f>IFERROR((ReviewCalcs[[#This Row],[Existing Fixture Quantity]]*ReviewCalcs[[#This Row],[Baseline Fixture Watts]]/1000-ReviewCalcs[[#This Row],[Proposed Fixture Quantity]]*ReviewCalcs[[#This Row],[Proposed Fixture Watts]]/1000)*ReviewCalcs[[#This Row],[Existing CF]]*ReviewCalcs[[#This Row],[IEFD]], 0)</f>
        <v>0</v>
      </c>
      <c r="BP21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8" s="118">
        <f>IF(ReviewCalcs[[#This Row],[Existing CF]]=ReviewCalcs[[#This Row],[Proposed CF]], 0, ReviewCalcs[[#This Row],[Proposed Fixture Quantity]]*ReviewCalcs[[#This Row],[Proposed Fixture Watts]]/1000*ReviewCalcs[[#This Row],[Proposed CF]]*ReviewCalcs[[#This Row],[IEFD]])</f>
        <v>0</v>
      </c>
      <c r="BR218" s="118">
        <f>IFERROR(ReviewCalcs[[#This Row],[Proposed Fixture Quantity]]*ReviewCalcs[[#This Row],[Proposed Fixture Watts]]/1000*(ReviewCalcs[[#This Row],[Existing PAF]]-ReviewCalcs[[#This Row],[Proposed PAF]])*ReviewCalcs[[#This Row],[AOH]]*ReviewCalcs[[#This Row],[IEFE]],0)</f>
        <v>0</v>
      </c>
      <c r="BS218" s="118">
        <f>ReviewCalcs[[#This Row],[Incentive Fixture Demand Savings (kW)]]+ReviewCalcs[[#This Row],[Incentive Control Demand Savings (kW)]]</f>
        <v>0</v>
      </c>
      <c r="BT218" s="118">
        <f>ReviewCalcs[[#This Row],[Incentive Fixture Energy Savings (kWh)]]+ReviewCalcs[[#This Row],[Incentive Control Energy Savings (kWh)]]</f>
        <v>0</v>
      </c>
      <c r="BU218" s="73"/>
    </row>
    <row r="219" spans="1:73" ht="30" customHeight="1">
      <c r="A219" s="68">
        <v>216</v>
      </c>
      <c r="B219" s="96">
        <f>VLOOKUP(ReviewCalcs[[#This Row],[Project Index]], ProjectInput[], D$1, FALSE)</f>
        <v>0</v>
      </c>
      <c r="C219" s="97">
        <f>VLOOKUP(ReviewCalcs[[#This Row],[Project Index]], ProjectInput[], E$1, FALSE)</f>
        <v>0</v>
      </c>
      <c r="D219" s="97">
        <f>VLOOKUP(ReviewCalcs[[#This Row],[Project Index]], ProjectInput[], F$1, FALSE)</f>
        <v>0</v>
      </c>
      <c r="E219" s="97">
        <f>VLOOKUP(ReviewCalcs[[#This Row],[Project Index]], ProjectInput[], G$1, FALSE)</f>
        <v>0</v>
      </c>
      <c r="F219" s="97">
        <f>VLOOKUP(ReviewCalcs[[#This Row],[Project Index]], ProjectInput[], H$1, FALSE)</f>
        <v>0</v>
      </c>
      <c r="G219" s="98" t="str">
        <f>VLOOKUP(ReviewCalcs[[#This Row],[Project Index]], ProjectInput[], I$1, FALSE)</f>
        <v/>
      </c>
      <c r="H219" s="96">
        <f>VLOOKUP(ReviewCalcs[[#This Row],[Project Index]], ProjectInput[], J$1, FALSE)</f>
        <v>0</v>
      </c>
      <c r="I219" s="97">
        <f>VLOOKUP(ReviewCalcs[[#This Row],[Project Index]], ProjectInput[], K$1, FALSE)</f>
        <v>0</v>
      </c>
      <c r="J219" s="97">
        <f>VLOOKUP(ReviewCalcs[[#This Row],[Project Index]], ProjectInput[], L$1, FALSE)</f>
        <v>0</v>
      </c>
      <c r="K219" s="97">
        <f>VLOOKUP(ReviewCalcs[[#This Row],[Project Index]], ProjectInput[], M$1, FALSE)</f>
        <v>0</v>
      </c>
      <c r="L219" s="97">
        <f>VLOOKUP(ReviewCalcs[[#This Row],[Project Index]], ProjectInput[], N$1, FALSE)</f>
        <v>0</v>
      </c>
      <c r="M219" s="98" t="str">
        <f>VLOOKUP(ReviewCalcs[[#This Row],[Project Index]], ProjectInput[], O$1, FALSE)</f>
        <v/>
      </c>
      <c r="N219" s="96">
        <f>VLOOKUP(ReviewCalcs[[#This Row],[Project Index]], ProjectInput[], P$1, FALSE)</f>
        <v>0</v>
      </c>
      <c r="O219" s="97">
        <f>VLOOKUP(ReviewCalcs[[#This Row],[Project Index]], ProjectInput[], Q$1, FALSE)</f>
        <v>0</v>
      </c>
      <c r="P219" s="97">
        <f>VLOOKUP(ReviewCalcs[[#This Row],[Project Index]], ProjectInput[], R$1, FALSE)</f>
        <v>0</v>
      </c>
      <c r="Q219" s="97">
        <f>VLOOKUP(ReviewCalcs[[#This Row],[Project Index]], ProjectInput[], S$1, FALSE)</f>
        <v>0</v>
      </c>
      <c r="R219" s="97">
        <f>VLOOKUP(ReviewCalcs[[#This Row],[Project Index]], ProjectInput[], T$1, FALSE)</f>
        <v>0</v>
      </c>
      <c r="S219" s="97">
        <f>VLOOKUP(ReviewCalcs[[#This Row],[Project Index]], ProjectInput[], U$1, FALSE)</f>
        <v>0</v>
      </c>
      <c r="T219" s="97">
        <f>VLOOKUP(ReviewCalcs[[#This Row],[Project Index]], ProjectInput[], V$1, FALSE)</f>
        <v>0</v>
      </c>
      <c r="U219" s="97">
        <f>VLOOKUP(ReviewCalcs[[#This Row],[Project Index]], ProjectInput[], W$1, FALSE)</f>
        <v>0</v>
      </c>
      <c r="V219" s="98" t="str">
        <f>VLOOKUP(ReviewCalcs[[#This Row],[Project Index]], ProjectInput[], X$1, FALSE)</f>
        <v/>
      </c>
      <c r="W21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19" s="75" t="e">
        <f>IF(VLOOKUP(ReviewCalcs[[#This Row],[Proposed Fixture Code]], Table7[[FIXTURE CODE]:[Baseline Fixture Code]], 8, FALSE)="N", "ERROR", "PASS")</f>
        <v>#N/A</v>
      </c>
      <c r="Y21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19" s="75" t="e">
        <f>IF(OR(ReviewCalcs[[#This Row],[Baseline Fixture Watts]]&gt;=ReviewCalcs[[#This Row],[Proposed Fixture Watts]],ReviewCalcs[[#This Row],[Existing Fixture Watts]]&gt;=ReviewCalcs[[#This Row],[Proposed Fixture Watts]] ), "PASS", "ERROR")</f>
        <v>#N/A</v>
      </c>
      <c r="AA219" s="69" t="e">
        <f>VLOOKUP(ReviewCalcs[[#This Row],[Space Conditions]], Table_365[], 5, FALSE)</f>
        <v>#N/A</v>
      </c>
      <c r="AB219" s="68" t="str">
        <f>ReviewCalcs[[#This Row],[Annual Hours]]</f>
        <v/>
      </c>
      <c r="AC219" s="68" t="e">
        <f>VLOOKUP(ReviewCalcs[[#This Row],[Space Conditions]], Table_365[], 6, FALSE)</f>
        <v>#N/A</v>
      </c>
      <c r="AD219" s="68">
        <f>IF(ReviewCalcs[[#This Row],[Existing Control(s)]]='Tables &amp; Ranges'!$A$25, VLOOKUP(ReviewCalcs[[#This Row],[Building/Space Type]], Table_364[], 3, FALSE), CF_Contols)</f>
        <v>0.26</v>
      </c>
      <c r="AE219" s="68" t="e">
        <f>VLOOKUP(ReviewCalcs[[#This Row],[Existing Control(s)]], Table_358[], 2, FALSE)</f>
        <v>#N/A</v>
      </c>
      <c r="AF219" s="68">
        <f>IF(ReviewCalcs[[#This Row],[Proposed Control(s)]]='Tables &amp; Ranges'!$A$25, VLOOKUP(ReviewCalcs[[#This Row],[Building/Space Type]], Table_364[], 3, FALSE), CF_Contols)</f>
        <v>0.26</v>
      </c>
      <c r="AG219" s="68" t="e">
        <f>VLOOKUP(ReviewCalcs[[#This Row],[Proposed Control(s)]], Table_358[], 2, FALSE)</f>
        <v>#N/A</v>
      </c>
      <c r="AH219" s="68">
        <f>IFERROR((ReviewCalcs[[#This Row],[Existing Fixture Quantity]]*ReviewCalcs[[#This Row],[Existing Fixture Watts]]/1000)*ReviewCalcs[[#This Row],[Existing CF]]*ReviewCalcs[[#This Row],[IEFD]], 0)</f>
        <v>0</v>
      </c>
      <c r="AI219" s="68">
        <f>IFERROR((ReviewCalcs[[#This Row],[Proposed Fixture Quantity]]*ReviewCalcs[[#This Row],[Proposed Fixture Watts]]/1000)*ReviewCalcs[[#This Row],[Existing CF]]*ReviewCalcs[[#This Row],[IEFD]], 0)</f>
        <v>0</v>
      </c>
      <c r="AJ219" s="118">
        <f>IFERROR((ReviewCalcs[[#This Row],[Existing Fixture Quantity]]*ReviewCalcs[[#This Row],[Existing Fixture Watts]]/1000-ReviewCalcs[[#This Row],[Proposed Fixture Quantity]]*ReviewCalcs[[#This Row],[Proposed Fixture Watts]]/1000)*ReviewCalcs[[#This Row],[Existing CF]]*ReviewCalcs[[#This Row],[IEFD]], 0)</f>
        <v>0</v>
      </c>
      <c r="AK219" s="118">
        <f>IFERROR((ReviewCalcs[[#This Row],[Existing Fixture Quantity]]*ReviewCalcs[[#This Row],[Existing Fixture Watts]]/1000)*ReviewCalcs[[#This Row],[AOH]]*ReviewCalcs[[#This Row],[IEFE]]*ReviewCalcs[[#This Row],[Existing PAF]], 0)</f>
        <v>0</v>
      </c>
      <c r="AL219" s="118">
        <f>IFERROR((ReviewCalcs[[#This Row],[Proposed Fixture Quantity]]*ReviewCalcs[[#This Row],[Proposed Fixture Watts]]/1000)*ReviewCalcs[[#This Row],[AOH]]*ReviewCalcs[[#This Row],[IEFE]]*ReviewCalcs[[#This Row],[Existing PAF]], 0)</f>
        <v>0</v>
      </c>
      <c r="AM21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19" s="118">
        <f>ReviewCalcs[[#This Row],[Fixture Existing Energy (kWh)]]*Avg_KWh_Rate</f>
        <v>0</v>
      </c>
      <c r="AO219" s="118">
        <f>ReviewCalcs[[#This Row],[Fixture Proposed Energy (kWh)]]*Avg_KWh_Rate</f>
        <v>0</v>
      </c>
      <c r="AP219" s="70">
        <f>ReviewCalcs[[#This Row],[Fixture Energy Savings]]*Avg_KWh_Rate</f>
        <v>0</v>
      </c>
      <c r="AQ219" s="129" t="e">
        <f>ReviewCalcs[[#This Row],[Existing Fixture Quantity]]*ReviewCalcs[[#This Row],[Existing Fixture Watts]]/1000*ReviewCalcs[[#This Row],[Existing CF]]*ReviewCalcs[[#This Row],[IEFD]]</f>
        <v>#VALUE!</v>
      </c>
      <c r="AR219" s="129" t="e">
        <f>ReviewCalcs[[#This Row],[Proposed Fixture Quantity]]*ReviewCalcs[[#This Row],[Proposed Fixture Watts]]/1000*ReviewCalcs[[#This Row],[Proposed CF]]*ReviewCalcs[[#This Row],[IEFD]]</f>
        <v>#VALUE!</v>
      </c>
      <c r="AS219" s="118">
        <f>IF(ReviewCalcs[[#This Row],[Existing CF]]=ReviewCalcs[[#This Row],[Proposed CF]], 0, ReviewCalcs[[#This Row],[Proposed Fixture Quantity]]*ReviewCalcs[[#This Row],[Proposed Fixture Watts]]/1000*ReviewCalcs[[#This Row],[Proposed CF]]*ReviewCalcs[[#This Row],[IEFD]])</f>
        <v>0</v>
      </c>
      <c r="AT219" s="118">
        <f>IFERROR(ReviewCalcs[[#This Row],[Existing Fixture Quantity]]*ReviewCalcs[[#This Row],[Existing Fixture Watts]]/1000*ReviewCalcs[[#This Row],[Existing PAF]]*ReviewCalcs[[#This Row],[AOH]]*ReviewCalcs[[#This Row],[IEFE]], 0)</f>
        <v>0</v>
      </c>
      <c r="AU219" s="118">
        <f>IFERROR(ReviewCalcs[[#This Row],[Proposed Fixture Quantity]]*ReviewCalcs[[#This Row],[Proposed Fixture Watts]]/1000*ReviewCalcs[[#This Row],[Proposed PAF]]*ReviewCalcs[[#This Row],[AOH]]*ReviewCalcs[[#This Row],[IEFE]], 0)</f>
        <v>0</v>
      </c>
      <c r="AV219" s="118">
        <f>IFERROR(ReviewCalcs[[#This Row],[Proposed Fixture Quantity]]*ReviewCalcs[[#This Row],[Proposed Fixture Watts]]/1000*(ReviewCalcs[[#This Row],[Existing PAF]]-ReviewCalcs[[#This Row],[Proposed PAF]])*ReviewCalcs[[#This Row],[AOH]]*ReviewCalcs[[#This Row],[IEFE]], 0)</f>
        <v>0</v>
      </c>
      <c r="AW219" s="118">
        <f>ReviewCalcs[[#This Row],[Control Existing Energy (kWh)]]*kWh_Incentive_Rate</f>
        <v>0</v>
      </c>
      <c r="AX219" s="118">
        <f>ReviewCalcs[[#This Row],[Control Proposed Energy (kWh)]]*kWh_Incentive_Rate</f>
        <v>0</v>
      </c>
      <c r="AY219" s="70">
        <f>ReviewCalcs[[#This Row],[Control Energy Savings (kWh)]]*kWh_Incentive_Rate</f>
        <v>0</v>
      </c>
      <c r="AZ219" s="70" t="e">
        <f>ReviewCalcs[[#This Row],[Fixture Existing Demand (kW)]]+ReviewCalcs[[#This Row],[Control Existing Demand (kW)]]</f>
        <v>#VALUE!</v>
      </c>
      <c r="BA219" s="70" t="e">
        <f>ReviewCalcs[[#This Row],[Fixture Proposed Demand (kW)]]+ReviewCalcs[[#This Row],[Control Proposed Demand (kW)]]</f>
        <v>#VALUE!</v>
      </c>
      <c r="BB219" s="118">
        <f>ReviewCalcs[[#This Row],[Fixture Demand Savings (kW)]]+ReviewCalcs[[#This Row],[Control Demand Savings (kW)]]</f>
        <v>0</v>
      </c>
      <c r="BC219" s="118">
        <f>ReviewCalcs[[#This Row],[Fixture Existing Energy (kWh)]]+ReviewCalcs[[#This Row],[Control Existing Energy (kWh)]]</f>
        <v>0</v>
      </c>
      <c r="BD219" s="118">
        <f>ReviewCalcs[[#This Row],[Fixture Proposed Energy (kWh)]]+ReviewCalcs[[#This Row],[Control Proposed Energy (kWh)]]</f>
        <v>0</v>
      </c>
      <c r="BE219" s="118">
        <f>ReviewCalcs[[#This Row],[Fixture Energy Savings]]+ReviewCalcs[[#This Row],[Control Energy Savings (kWh)]]</f>
        <v>0</v>
      </c>
      <c r="BF219" s="118">
        <f>ReviewCalcs[[#This Row],[Fixture Existing Cost ($)]]+ReviewCalcs[[#This Row],[Control Existing Cost ($)]]</f>
        <v>0</v>
      </c>
      <c r="BG219" s="118">
        <f>ReviewCalcs[[#This Row],[Fixture Proposed Cost ($)]]+ReviewCalcs[[#This Row],[Controls Proposed Cost ($)]]</f>
        <v>0</v>
      </c>
      <c r="BH219" s="70">
        <f>ReviewCalcs[[#This Row],[Total Energy Savings (kWh)]]*Avg_KWh_Rate</f>
        <v>0</v>
      </c>
      <c r="BI21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19" s="70">
        <f>ReviewCalcs[[#This Row],[Retrofit Cost]]</f>
        <v>0</v>
      </c>
      <c r="BK219" s="70">
        <f>ReviewCalcs[[#This Row],[Retrofit Cost]]-ReviewCalcs[[#This Row],[Incentive ($)]]</f>
        <v>0</v>
      </c>
      <c r="BL219" s="118" t="e">
        <f>IFERROR(ReviewCalcs[[#This Row],[Net Project Cost ($)]]/ReviewCalcs[[#This Row],[Fixture Energy Cost Savings ($)]], #N/A)</f>
        <v>#N/A</v>
      </c>
      <c r="BM219" s="118" t="e">
        <f>IF(VLOOKUP(ReviewCalcs[[#This Row],[Existing Fixture Code]], Table7[[FIXTURE CODE]:[Baseline Fixture Code]], 8, FALSE)="N", VLOOKUP(ReviewCalcs[[#This Row],[Existing Fixture Code]], Table7[[FIXTURE CODE]:[Baseline Fixture Code]], 9, FALSE), ReviewCalcs[[#This Row],[Existing Fixture Code]])</f>
        <v>#N/A</v>
      </c>
      <c r="BN219" s="118" t="e">
        <f>INDEX(Table7[WATT/ FIXT], MATCH(ReviewCalcs[Baseline Fixture Code], Table7[FIXTURE CODE], 0))</f>
        <v>#N/A</v>
      </c>
      <c r="BO219" s="118">
        <f>IFERROR((ReviewCalcs[[#This Row],[Existing Fixture Quantity]]*ReviewCalcs[[#This Row],[Baseline Fixture Watts]]/1000-ReviewCalcs[[#This Row],[Proposed Fixture Quantity]]*ReviewCalcs[[#This Row],[Proposed Fixture Watts]]/1000)*ReviewCalcs[[#This Row],[Existing CF]]*ReviewCalcs[[#This Row],[IEFD]], 0)</f>
        <v>0</v>
      </c>
      <c r="BP21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19" s="118">
        <f>IF(ReviewCalcs[[#This Row],[Existing CF]]=ReviewCalcs[[#This Row],[Proposed CF]], 0, ReviewCalcs[[#This Row],[Proposed Fixture Quantity]]*ReviewCalcs[[#This Row],[Proposed Fixture Watts]]/1000*ReviewCalcs[[#This Row],[Proposed CF]]*ReviewCalcs[[#This Row],[IEFD]])</f>
        <v>0</v>
      </c>
      <c r="BR219" s="118">
        <f>IFERROR(ReviewCalcs[[#This Row],[Proposed Fixture Quantity]]*ReviewCalcs[[#This Row],[Proposed Fixture Watts]]/1000*(ReviewCalcs[[#This Row],[Existing PAF]]-ReviewCalcs[[#This Row],[Proposed PAF]])*ReviewCalcs[[#This Row],[AOH]]*ReviewCalcs[[#This Row],[IEFE]],0)</f>
        <v>0</v>
      </c>
      <c r="BS219" s="118">
        <f>ReviewCalcs[[#This Row],[Incentive Fixture Demand Savings (kW)]]+ReviewCalcs[[#This Row],[Incentive Control Demand Savings (kW)]]</f>
        <v>0</v>
      </c>
      <c r="BT219" s="118">
        <f>ReviewCalcs[[#This Row],[Incentive Fixture Energy Savings (kWh)]]+ReviewCalcs[[#This Row],[Incentive Control Energy Savings (kWh)]]</f>
        <v>0</v>
      </c>
      <c r="BU219" s="73"/>
    </row>
    <row r="220" spans="1:73" ht="30" customHeight="1">
      <c r="A220" s="68">
        <v>217</v>
      </c>
      <c r="B220" s="96">
        <f>VLOOKUP(ReviewCalcs[[#This Row],[Project Index]], ProjectInput[], D$1, FALSE)</f>
        <v>0</v>
      </c>
      <c r="C220" s="97">
        <f>VLOOKUP(ReviewCalcs[[#This Row],[Project Index]], ProjectInput[], E$1, FALSE)</f>
        <v>0</v>
      </c>
      <c r="D220" s="97">
        <f>VLOOKUP(ReviewCalcs[[#This Row],[Project Index]], ProjectInput[], F$1, FALSE)</f>
        <v>0</v>
      </c>
      <c r="E220" s="97">
        <f>VLOOKUP(ReviewCalcs[[#This Row],[Project Index]], ProjectInput[], G$1, FALSE)</f>
        <v>0</v>
      </c>
      <c r="F220" s="97">
        <f>VLOOKUP(ReviewCalcs[[#This Row],[Project Index]], ProjectInput[], H$1, FALSE)</f>
        <v>0</v>
      </c>
      <c r="G220" s="98" t="str">
        <f>VLOOKUP(ReviewCalcs[[#This Row],[Project Index]], ProjectInput[], I$1, FALSE)</f>
        <v/>
      </c>
      <c r="H220" s="96">
        <f>VLOOKUP(ReviewCalcs[[#This Row],[Project Index]], ProjectInput[], J$1, FALSE)</f>
        <v>0</v>
      </c>
      <c r="I220" s="97">
        <f>VLOOKUP(ReviewCalcs[[#This Row],[Project Index]], ProjectInput[], K$1, FALSE)</f>
        <v>0</v>
      </c>
      <c r="J220" s="97">
        <f>VLOOKUP(ReviewCalcs[[#This Row],[Project Index]], ProjectInput[], L$1, FALSE)</f>
        <v>0</v>
      </c>
      <c r="K220" s="97">
        <f>VLOOKUP(ReviewCalcs[[#This Row],[Project Index]], ProjectInput[], M$1, FALSE)</f>
        <v>0</v>
      </c>
      <c r="L220" s="97">
        <f>VLOOKUP(ReviewCalcs[[#This Row],[Project Index]], ProjectInput[], N$1, FALSE)</f>
        <v>0</v>
      </c>
      <c r="M220" s="98" t="str">
        <f>VLOOKUP(ReviewCalcs[[#This Row],[Project Index]], ProjectInput[], O$1, FALSE)</f>
        <v/>
      </c>
      <c r="N220" s="96">
        <f>VLOOKUP(ReviewCalcs[[#This Row],[Project Index]], ProjectInput[], P$1, FALSE)</f>
        <v>0</v>
      </c>
      <c r="O220" s="97">
        <f>VLOOKUP(ReviewCalcs[[#This Row],[Project Index]], ProjectInput[], Q$1, FALSE)</f>
        <v>0</v>
      </c>
      <c r="P220" s="97">
        <f>VLOOKUP(ReviewCalcs[[#This Row],[Project Index]], ProjectInput[], R$1, FALSE)</f>
        <v>0</v>
      </c>
      <c r="Q220" s="97">
        <f>VLOOKUP(ReviewCalcs[[#This Row],[Project Index]], ProjectInput[], S$1, FALSE)</f>
        <v>0</v>
      </c>
      <c r="R220" s="97">
        <f>VLOOKUP(ReviewCalcs[[#This Row],[Project Index]], ProjectInput[], T$1, FALSE)</f>
        <v>0</v>
      </c>
      <c r="S220" s="97">
        <f>VLOOKUP(ReviewCalcs[[#This Row],[Project Index]], ProjectInput[], U$1, FALSE)</f>
        <v>0</v>
      </c>
      <c r="T220" s="97">
        <f>VLOOKUP(ReviewCalcs[[#This Row],[Project Index]], ProjectInput[], V$1, FALSE)</f>
        <v>0</v>
      </c>
      <c r="U220" s="97">
        <f>VLOOKUP(ReviewCalcs[[#This Row],[Project Index]], ProjectInput[], W$1, FALSE)</f>
        <v>0</v>
      </c>
      <c r="V220" s="98" t="str">
        <f>VLOOKUP(ReviewCalcs[[#This Row],[Project Index]], ProjectInput[], X$1, FALSE)</f>
        <v/>
      </c>
      <c r="W22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0" s="75" t="e">
        <f>IF(VLOOKUP(ReviewCalcs[[#This Row],[Proposed Fixture Code]], Table7[[FIXTURE CODE]:[Baseline Fixture Code]], 8, FALSE)="N", "ERROR", "PASS")</f>
        <v>#N/A</v>
      </c>
      <c r="Y22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0" s="75" t="e">
        <f>IF(OR(ReviewCalcs[[#This Row],[Baseline Fixture Watts]]&gt;=ReviewCalcs[[#This Row],[Proposed Fixture Watts]],ReviewCalcs[[#This Row],[Existing Fixture Watts]]&gt;=ReviewCalcs[[#This Row],[Proposed Fixture Watts]] ), "PASS", "ERROR")</f>
        <v>#N/A</v>
      </c>
      <c r="AA220" s="69" t="e">
        <f>VLOOKUP(ReviewCalcs[[#This Row],[Space Conditions]], Table_365[], 5, FALSE)</f>
        <v>#N/A</v>
      </c>
      <c r="AB220" s="68" t="str">
        <f>ReviewCalcs[[#This Row],[Annual Hours]]</f>
        <v/>
      </c>
      <c r="AC220" s="68" t="e">
        <f>VLOOKUP(ReviewCalcs[[#This Row],[Space Conditions]], Table_365[], 6, FALSE)</f>
        <v>#N/A</v>
      </c>
      <c r="AD220" s="68">
        <f>IF(ReviewCalcs[[#This Row],[Existing Control(s)]]='Tables &amp; Ranges'!$A$25, VLOOKUP(ReviewCalcs[[#This Row],[Building/Space Type]], Table_364[], 3, FALSE), CF_Contols)</f>
        <v>0.26</v>
      </c>
      <c r="AE220" s="68" t="e">
        <f>VLOOKUP(ReviewCalcs[[#This Row],[Existing Control(s)]], Table_358[], 2, FALSE)</f>
        <v>#N/A</v>
      </c>
      <c r="AF220" s="68">
        <f>IF(ReviewCalcs[[#This Row],[Proposed Control(s)]]='Tables &amp; Ranges'!$A$25, VLOOKUP(ReviewCalcs[[#This Row],[Building/Space Type]], Table_364[], 3, FALSE), CF_Contols)</f>
        <v>0.26</v>
      </c>
      <c r="AG220" s="68" t="e">
        <f>VLOOKUP(ReviewCalcs[[#This Row],[Proposed Control(s)]], Table_358[], 2, FALSE)</f>
        <v>#N/A</v>
      </c>
      <c r="AH220" s="68">
        <f>IFERROR((ReviewCalcs[[#This Row],[Existing Fixture Quantity]]*ReviewCalcs[[#This Row],[Existing Fixture Watts]]/1000)*ReviewCalcs[[#This Row],[Existing CF]]*ReviewCalcs[[#This Row],[IEFD]], 0)</f>
        <v>0</v>
      </c>
      <c r="AI220" s="68">
        <f>IFERROR((ReviewCalcs[[#This Row],[Proposed Fixture Quantity]]*ReviewCalcs[[#This Row],[Proposed Fixture Watts]]/1000)*ReviewCalcs[[#This Row],[Existing CF]]*ReviewCalcs[[#This Row],[IEFD]], 0)</f>
        <v>0</v>
      </c>
      <c r="AJ220" s="118">
        <f>IFERROR((ReviewCalcs[[#This Row],[Existing Fixture Quantity]]*ReviewCalcs[[#This Row],[Existing Fixture Watts]]/1000-ReviewCalcs[[#This Row],[Proposed Fixture Quantity]]*ReviewCalcs[[#This Row],[Proposed Fixture Watts]]/1000)*ReviewCalcs[[#This Row],[Existing CF]]*ReviewCalcs[[#This Row],[IEFD]], 0)</f>
        <v>0</v>
      </c>
      <c r="AK220" s="118">
        <f>IFERROR((ReviewCalcs[[#This Row],[Existing Fixture Quantity]]*ReviewCalcs[[#This Row],[Existing Fixture Watts]]/1000)*ReviewCalcs[[#This Row],[AOH]]*ReviewCalcs[[#This Row],[IEFE]]*ReviewCalcs[[#This Row],[Existing PAF]], 0)</f>
        <v>0</v>
      </c>
      <c r="AL220" s="118">
        <f>IFERROR((ReviewCalcs[[#This Row],[Proposed Fixture Quantity]]*ReviewCalcs[[#This Row],[Proposed Fixture Watts]]/1000)*ReviewCalcs[[#This Row],[AOH]]*ReviewCalcs[[#This Row],[IEFE]]*ReviewCalcs[[#This Row],[Existing PAF]], 0)</f>
        <v>0</v>
      </c>
      <c r="AM22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0" s="118">
        <f>ReviewCalcs[[#This Row],[Fixture Existing Energy (kWh)]]*Avg_KWh_Rate</f>
        <v>0</v>
      </c>
      <c r="AO220" s="118">
        <f>ReviewCalcs[[#This Row],[Fixture Proposed Energy (kWh)]]*Avg_KWh_Rate</f>
        <v>0</v>
      </c>
      <c r="AP220" s="70">
        <f>ReviewCalcs[[#This Row],[Fixture Energy Savings]]*Avg_KWh_Rate</f>
        <v>0</v>
      </c>
      <c r="AQ220" s="129" t="e">
        <f>ReviewCalcs[[#This Row],[Existing Fixture Quantity]]*ReviewCalcs[[#This Row],[Existing Fixture Watts]]/1000*ReviewCalcs[[#This Row],[Existing CF]]*ReviewCalcs[[#This Row],[IEFD]]</f>
        <v>#VALUE!</v>
      </c>
      <c r="AR220" s="129" t="e">
        <f>ReviewCalcs[[#This Row],[Proposed Fixture Quantity]]*ReviewCalcs[[#This Row],[Proposed Fixture Watts]]/1000*ReviewCalcs[[#This Row],[Proposed CF]]*ReviewCalcs[[#This Row],[IEFD]]</f>
        <v>#VALUE!</v>
      </c>
      <c r="AS220" s="118">
        <f>IF(ReviewCalcs[[#This Row],[Existing CF]]=ReviewCalcs[[#This Row],[Proposed CF]], 0, ReviewCalcs[[#This Row],[Proposed Fixture Quantity]]*ReviewCalcs[[#This Row],[Proposed Fixture Watts]]/1000*ReviewCalcs[[#This Row],[Proposed CF]]*ReviewCalcs[[#This Row],[IEFD]])</f>
        <v>0</v>
      </c>
      <c r="AT220" s="118">
        <f>IFERROR(ReviewCalcs[[#This Row],[Existing Fixture Quantity]]*ReviewCalcs[[#This Row],[Existing Fixture Watts]]/1000*ReviewCalcs[[#This Row],[Existing PAF]]*ReviewCalcs[[#This Row],[AOH]]*ReviewCalcs[[#This Row],[IEFE]], 0)</f>
        <v>0</v>
      </c>
      <c r="AU220" s="118">
        <f>IFERROR(ReviewCalcs[[#This Row],[Proposed Fixture Quantity]]*ReviewCalcs[[#This Row],[Proposed Fixture Watts]]/1000*ReviewCalcs[[#This Row],[Proposed PAF]]*ReviewCalcs[[#This Row],[AOH]]*ReviewCalcs[[#This Row],[IEFE]], 0)</f>
        <v>0</v>
      </c>
      <c r="AV220" s="118">
        <f>IFERROR(ReviewCalcs[[#This Row],[Proposed Fixture Quantity]]*ReviewCalcs[[#This Row],[Proposed Fixture Watts]]/1000*(ReviewCalcs[[#This Row],[Existing PAF]]-ReviewCalcs[[#This Row],[Proposed PAF]])*ReviewCalcs[[#This Row],[AOH]]*ReviewCalcs[[#This Row],[IEFE]], 0)</f>
        <v>0</v>
      </c>
      <c r="AW220" s="118">
        <f>ReviewCalcs[[#This Row],[Control Existing Energy (kWh)]]*kWh_Incentive_Rate</f>
        <v>0</v>
      </c>
      <c r="AX220" s="118">
        <f>ReviewCalcs[[#This Row],[Control Proposed Energy (kWh)]]*kWh_Incentive_Rate</f>
        <v>0</v>
      </c>
      <c r="AY220" s="70">
        <f>ReviewCalcs[[#This Row],[Control Energy Savings (kWh)]]*kWh_Incentive_Rate</f>
        <v>0</v>
      </c>
      <c r="AZ220" s="70" t="e">
        <f>ReviewCalcs[[#This Row],[Fixture Existing Demand (kW)]]+ReviewCalcs[[#This Row],[Control Existing Demand (kW)]]</f>
        <v>#VALUE!</v>
      </c>
      <c r="BA220" s="70" t="e">
        <f>ReviewCalcs[[#This Row],[Fixture Proposed Demand (kW)]]+ReviewCalcs[[#This Row],[Control Proposed Demand (kW)]]</f>
        <v>#VALUE!</v>
      </c>
      <c r="BB220" s="118">
        <f>ReviewCalcs[[#This Row],[Fixture Demand Savings (kW)]]+ReviewCalcs[[#This Row],[Control Demand Savings (kW)]]</f>
        <v>0</v>
      </c>
      <c r="BC220" s="118">
        <f>ReviewCalcs[[#This Row],[Fixture Existing Energy (kWh)]]+ReviewCalcs[[#This Row],[Control Existing Energy (kWh)]]</f>
        <v>0</v>
      </c>
      <c r="BD220" s="118">
        <f>ReviewCalcs[[#This Row],[Fixture Proposed Energy (kWh)]]+ReviewCalcs[[#This Row],[Control Proposed Energy (kWh)]]</f>
        <v>0</v>
      </c>
      <c r="BE220" s="118">
        <f>ReviewCalcs[[#This Row],[Fixture Energy Savings]]+ReviewCalcs[[#This Row],[Control Energy Savings (kWh)]]</f>
        <v>0</v>
      </c>
      <c r="BF220" s="118">
        <f>ReviewCalcs[[#This Row],[Fixture Existing Cost ($)]]+ReviewCalcs[[#This Row],[Control Existing Cost ($)]]</f>
        <v>0</v>
      </c>
      <c r="BG220" s="118">
        <f>ReviewCalcs[[#This Row],[Fixture Proposed Cost ($)]]+ReviewCalcs[[#This Row],[Controls Proposed Cost ($)]]</f>
        <v>0</v>
      </c>
      <c r="BH220" s="70">
        <f>ReviewCalcs[[#This Row],[Total Energy Savings (kWh)]]*Avg_KWh_Rate</f>
        <v>0</v>
      </c>
      <c r="BI22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0" s="70">
        <f>ReviewCalcs[[#This Row],[Retrofit Cost]]</f>
        <v>0</v>
      </c>
      <c r="BK220" s="70">
        <f>ReviewCalcs[[#This Row],[Retrofit Cost]]-ReviewCalcs[[#This Row],[Incentive ($)]]</f>
        <v>0</v>
      </c>
      <c r="BL220" s="118" t="e">
        <f>IFERROR(ReviewCalcs[[#This Row],[Net Project Cost ($)]]/ReviewCalcs[[#This Row],[Fixture Energy Cost Savings ($)]], #N/A)</f>
        <v>#N/A</v>
      </c>
      <c r="BM220" s="118" t="e">
        <f>IF(VLOOKUP(ReviewCalcs[[#This Row],[Existing Fixture Code]], Table7[[FIXTURE CODE]:[Baseline Fixture Code]], 8, FALSE)="N", VLOOKUP(ReviewCalcs[[#This Row],[Existing Fixture Code]], Table7[[FIXTURE CODE]:[Baseline Fixture Code]], 9, FALSE), ReviewCalcs[[#This Row],[Existing Fixture Code]])</f>
        <v>#N/A</v>
      </c>
      <c r="BN220" s="118" t="e">
        <f>INDEX(Table7[WATT/ FIXT], MATCH(ReviewCalcs[Baseline Fixture Code], Table7[FIXTURE CODE], 0))</f>
        <v>#N/A</v>
      </c>
      <c r="BO220" s="118">
        <f>IFERROR((ReviewCalcs[[#This Row],[Existing Fixture Quantity]]*ReviewCalcs[[#This Row],[Baseline Fixture Watts]]/1000-ReviewCalcs[[#This Row],[Proposed Fixture Quantity]]*ReviewCalcs[[#This Row],[Proposed Fixture Watts]]/1000)*ReviewCalcs[[#This Row],[Existing CF]]*ReviewCalcs[[#This Row],[IEFD]], 0)</f>
        <v>0</v>
      </c>
      <c r="BP22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0" s="118">
        <f>IF(ReviewCalcs[[#This Row],[Existing CF]]=ReviewCalcs[[#This Row],[Proposed CF]], 0, ReviewCalcs[[#This Row],[Proposed Fixture Quantity]]*ReviewCalcs[[#This Row],[Proposed Fixture Watts]]/1000*ReviewCalcs[[#This Row],[Proposed CF]]*ReviewCalcs[[#This Row],[IEFD]])</f>
        <v>0</v>
      </c>
      <c r="BR220" s="118">
        <f>IFERROR(ReviewCalcs[[#This Row],[Proposed Fixture Quantity]]*ReviewCalcs[[#This Row],[Proposed Fixture Watts]]/1000*(ReviewCalcs[[#This Row],[Existing PAF]]-ReviewCalcs[[#This Row],[Proposed PAF]])*ReviewCalcs[[#This Row],[AOH]]*ReviewCalcs[[#This Row],[IEFE]],0)</f>
        <v>0</v>
      </c>
      <c r="BS220" s="118">
        <f>ReviewCalcs[[#This Row],[Incentive Fixture Demand Savings (kW)]]+ReviewCalcs[[#This Row],[Incentive Control Demand Savings (kW)]]</f>
        <v>0</v>
      </c>
      <c r="BT220" s="118">
        <f>ReviewCalcs[[#This Row],[Incentive Fixture Energy Savings (kWh)]]+ReviewCalcs[[#This Row],[Incentive Control Energy Savings (kWh)]]</f>
        <v>0</v>
      </c>
      <c r="BU220" s="73"/>
    </row>
    <row r="221" spans="1:73" ht="30" customHeight="1">
      <c r="A221" s="68">
        <v>218</v>
      </c>
      <c r="B221" s="96">
        <f>VLOOKUP(ReviewCalcs[[#This Row],[Project Index]], ProjectInput[], D$1, FALSE)</f>
        <v>0</v>
      </c>
      <c r="C221" s="97">
        <f>VLOOKUP(ReviewCalcs[[#This Row],[Project Index]], ProjectInput[], E$1, FALSE)</f>
        <v>0</v>
      </c>
      <c r="D221" s="97">
        <f>VLOOKUP(ReviewCalcs[[#This Row],[Project Index]], ProjectInput[], F$1, FALSE)</f>
        <v>0</v>
      </c>
      <c r="E221" s="97">
        <f>VLOOKUP(ReviewCalcs[[#This Row],[Project Index]], ProjectInput[], G$1, FALSE)</f>
        <v>0</v>
      </c>
      <c r="F221" s="97">
        <f>VLOOKUP(ReviewCalcs[[#This Row],[Project Index]], ProjectInput[], H$1, FALSE)</f>
        <v>0</v>
      </c>
      <c r="G221" s="98" t="str">
        <f>VLOOKUP(ReviewCalcs[[#This Row],[Project Index]], ProjectInput[], I$1, FALSE)</f>
        <v/>
      </c>
      <c r="H221" s="96">
        <f>VLOOKUP(ReviewCalcs[[#This Row],[Project Index]], ProjectInput[], J$1, FALSE)</f>
        <v>0</v>
      </c>
      <c r="I221" s="97">
        <f>VLOOKUP(ReviewCalcs[[#This Row],[Project Index]], ProjectInput[], K$1, FALSE)</f>
        <v>0</v>
      </c>
      <c r="J221" s="97">
        <f>VLOOKUP(ReviewCalcs[[#This Row],[Project Index]], ProjectInput[], L$1, FALSE)</f>
        <v>0</v>
      </c>
      <c r="K221" s="97">
        <f>VLOOKUP(ReviewCalcs[[#This Row],[Project Index]], ProjectInput[], M$1, FALSE)</f>
        <v>0</v>
      </c>
      <c r="L221" s="97">
        <f>VLOOKUP(ReviewCalcs[[#This Row],[Project Index]], ProjectInput[], N$1, FALSE)</f>
        <v>0</v>
      </c>
      <c r="M221" s="98" t="str">
        <f>VLOOKUP(ReviewCalcs[[#This Row],[Project Index]], ProjectInput[], O$1, FALSE)</f>
        <v/>
      </c>
      <c r="N221" s="96">
        <f>VLOOKUP(ReviewCalcs[[#This Row],[Project Index]], ProjectInput[], P$1, FALSE)</f>
        <v>0</v>
      </c>
      <c r="O221" s="97">
        <f>VLOOKUP(ReviewCalcs[[#This Row],[Project Index]], ProjectInput[], Q$1, FALSE)</f>
        <v>0</v>
      </c>
      <c r="P221" s="97">
        <f>VLOOKUP(ReviewCalcs[[#This Row],[Project Index]], ProjectInput[], R$1, FALSE)</f>
        <v>0</v>
      </c>
      <c r="Q221" s="97">
        <f>VLOOKUP(ReviewCalcs[[#This Row],[Project Index]], ProjectInput[], S$1, FALSE)</f>
        <v>0</v>
      </c>
      <c r="R221" s="97">
        <f>VLOOKUP(ReviewCalcs[[#This Row],[Project Index]], ProjectInput[], T$1, FALSE)</f>
        <v>0</v>
      </c>
      <c r="S221" s="97">
        <f>VLOOKUP(ReviewCalcs[[#This Row],[Project Index]], ProjectInput[], U$1, FALSE)</f>
        <v>0</v>
      </c>
      <c r="T221" s="97">
        <f>VLOOKUP(ReviewCalcs[[#This Row],[Project Index]], ProjectInput[], V$1, FALSE)</f>
        <v>0</v>
      </c>
      <c r="U221" s="97">
        <f>VLOOKUP(ReviewCalcs[[#This Row],[Project Index]], ProjectInput[], W$1, FALSE)</f>
        <v>0</v>
      </c>
      <c r="V221" s="98" t="str">
        <f>VLOOKUP(ReviewCalcs[[#This Row],[Project Index]], ProjectInput[], X$1, FALSE)</f>
        <v/>
      </c>
      <c r="W22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1" s="75" t="e">
        <f>IF(VLOOKUP(ReviewCalcs[[#This Row],[Proposed Fixture Code]], Table7[[FIXTURE CODE]:[Baseline Fixture Code]], 8, FALSE)="N", "ERROR", "PASS")</f>
        <v>#N/A</v>
      </c>
      <c r="Y22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1" s="75" t="e">
        <f>IF(OR(ReviewCalcs[[#This Row],[Baseline Fixture Watts]]&gt;=ReviewCalcs[[#This Row],[Proposed Fixture Watts]],ReviewCalcs[[#This Row],[Existing Fixture Watts]]&gt;=ReviewCalcs[[#This Row],[Proposed Fixture Watts]] ), "PASS", "ERROR")</f>
        <v>#N/A</v>
      </c>
      <c r="AA221" s="69" t="e">
        <f>VLOOKUP(ReviewCalcs[[#This Row],[Space Conditions]], Table_365[], 5, FALSE)</f>
        <v>#N/A</v>
      </c>
      <c r="AB221" s="68" t="str">
        <f>ReviewCalcs[[#This Row],[Annual Hours]]</f>
        <v/>
      </c>
      <c r="AC221" s="68" t="e">
        <f>VLOOKUP(ReviewCalcs[[#This Row],[Space Conditions]], Table_365[], 6, FALSE)</f>
        <v>#N/A</v>
      </c>
      <c r="AD221" s="68">
        <f>IF(ReviewCalcs[[#This Row],[Existing Control(s)]]='Tables &amp; Ranges'!$A$25, VLOOKUP(ReviewCalcs[[#This Row],[Building/Space Type]], Table_364[], 3, FALSE), CF_Contols)</f>
        <v>0.26</v>
      </c>
      <c r="AE221" s="68" t="e">
        <f>VLOOKUP(ReviewCalcs[[#This Row],[Existing Control(s)]], Table_358[], 2, FALSE)</f>
        <v>#N/A</v>
      </c>
      <c r="AF221" s="68">
        <f>IF(ReviewCalcs[[#This Row],[Proposed Control(s)]]='Tables &amp; Ranges'!$A$25, VLOOKUP(ReviewCalcs[[#This Row],[Building/Space Type]], Table_364[], 3, FALSE), CF_Contols)</f>
        <v>0.26</v>
      </c>
      <c r="AG221" s="68" t="e">
        <f>VLOOKUP(ReviewCalcs[[#This Row],[Proposed Control(s)]], Table_358[], 2, FALSE)</f>
        <v>#N/A</v>
      </c>
      <c r="AH221" s="68">
        <f>IFERROR((ReviewCalcs[[#This Row],[Existing Fixture Quantity]]*ReviewCalcs[[#This Row],[Existing Fixture Watts]]/1000)*ReviewCalcs[[#This Row],[Existing CF]]*ReviewCalcs[[#This Row],[IEFD]], 0)</f>
        <v>0</v>
      </c>
      <c r="AI221" s="68">
        <f>IFERROR((ReviewCalcs[[#This Row],[Proposed Fixture Quantity]]*ReviewCalcs[[#This Row],[Proposed Fixture Watts]]/1000)*ReviewCalcs[[#This Row],[Existing CF]]*ReviewCalcs[[#This Row],[IEFD]], 0)</f>
        <v>0</v>
      </c>
      <c r="AJ221" s="118">
        <f>IFERROR((ReviewCalcs[[#This Row],[Existing Fixture Quantity]]*ReviewCalcs[[#This Row],[Existing Fixture Watts]]/1000-ReviewCalcs[[#This Row],[Proposed Fixture Quantity]]*ReviewCalcs[[#This Row],[Proposed Fixture Watts]]/1000)*ReviewCalcs[[#This Row],[Existing CF]]*ReviewCalcs[[#This Row],[IEFD]], 0)</f>
        <v>0</v>
      </c>
      <c r="AK221" s="118">
        <f>IFERROR((ReviewCalcs[[#This Row],[Existing Fixture Quantity]]*ReviewCalcs[[#This Row],[Existing Fixture Watts]]/1000)*ReviewCalcs[[#This Row],[AOH]]*ReviewCalcs[[#This Row],[IEFE]]*ReviewCalcs[[#This Row],[Existing PAF]], 0)</f>
        <v>0</v>
      </c>
      <c r="AL221" s="118">
        <f>IFERROR((ReviewCalcs[[#This Row],[Proposed Fixture Quantity]]*ReviewCalcs[[#This Row],[Proposed Fixture Watts]]/1000)*ReviewCalcs[[#This Row],[AOH]]*ReviewCalcs[[#This Row],[IEFE]]*ReviewCalcs[[#This Row],[Existing PAF]], 0)</f>
        <v>0</v>
      </c>
      <c r="AM22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1" s="118">
        <f>ReviewCalcs[[#This Row],[Fixture Existing Energy (kWh)]]*Avg_KWh_Rate</f>
        <v>0</v>
      </c>
      <c r="AO221" s="118">
        <f>ReviewCalcs[[#This Row],[Fixture Proposed Energy (kWh)]]*Avg_KWh_Rate</f>
        <v>0</v>
      </c>
      <c r="AP221" s="70">
        <f>ReviewCalcs[[#This Row],[Fixture Energy Savings]]*Avg_KWh_Rate</f>
        <v>0</v>
      </c>
      <c r="AQ221" s="129" t="e">
        <f>ReviewCalcs[[#This Row],[Existing Fixture Quantity]]*ReviewCalcs[[#This Row],[Existing Fixture Watts]]/1000*ReviewCalcs[[#This Row],[Existing CF]]*ReviewCalcs[[#This Row],[IEFD]]</f>
        <v>#VALUE!</v>
      </c>
      <c r="AR221" s="129" t="e">
        <f>ReviewCalcs[[#This Row],[Proposed Fixture Quantity]]*ReviewCalcs[[#This Row],[Proposed Fixture Watts]]/1000*ReviewCalcs[[#This Row],[Proposed CF]]*ReviewCalcs[[#This Row],[IEFD]]</f>
        <v>#VALUE!</v>
      </c>
      <c r="AS221" s="118">
        <f>IF(ReviewCalcs[[#This Row],[Existing CF]]=ReviewCalcs[[#This Row],[Proposed CF]], 0, ReviewCalcs[[#This Row],[Proposed Fixture Quantity]]*ReviewCalcs[[#This Row],[Proposed Fixture Watts]]/1000*ReviewCalcs[[#This Row],[Proposed CF]]*ReviewCalcs[[#This Row],[IEFD]])</f>
        <v>0</v>
      </c>
      <c r="AT221" s="118">
        <f>IFERROR(ReviewCalcs[[#This Row],[Existing Fixture Quantity]]*ReviewCalcs[[#This Row],[Existing Fixture Watts]]/1000*ReviewCalcs[[#This Row],[Existing PAF]]*ReviewCalcs[[#This Row],[AOH]]*ReviewCalcs[[#This Row],[IEFE]], 0)</f>
        <v>0</v>
      </c>
      <c r="AU221" s="118">
        <f>IFERROR(ReviewCalcs[[#This Row],[Proposed Fixture Quantity]]*ReviewCalcs[[#This Row],[Proposed Fixture Watts]]/1000*ReviewCalcs[[#This Row],[Proposed PAF]]*ReviewCalcs[[#This Row],[AOH]]*ReviewCalcs[[#This Row],[IEFE]], 0)</f>
        <v>0</v>
      </c>
      <c r="AV221" s="118">
        <f>IFERROR(ReviewCalcs[[#This Row],[Proposed Fixture Quantity]]*ReviewCalcs[[#This Row],[Proposed Fixture Watts]]/1000*(ReviewCalcs[[#This Row],[Existing PAF]]-ReviewCalcs[[#This Row],[Proposed PAF]])*ReviewCalcs[[#This Row],[AOH]]*ReviewCalcs[[#This Row],[IEFE]], 0)</f>
        <v>0</v>
      </c>
      <c r="AW221" s="118">
        <f>ReviewCalcs[[#This Row],[Control Existing Energy (kWh)]]*kWh_Incentive_Rate</f>
        <v>0</v>
      </c>
      <c r="AX221" s="118">
        <f>ReviewCalcs[[#This Row],[Control Proposed Energy (kWh)]]*kWh_Incentive_Rate</f>
        <v>0</v>
      </c>
      <c r="AY221" s="70">
        <f>ReviewCalcs[[#This Row],[Control Energy Savings (kWh)]]*kWh_Incentive_Rate</f>
        <v>0</v>
      </c>
      <c r="AZ221" s="70" t="e">
        <f>ReviewCalcs[[#This Row],[Fixture Existing Demand (kW)]]+ReviewCalcs[[#This Row],[Control Existing Demand (kW)]]</f>
        <v>#VALUE!</v>
      </c>
      <c r="BA221" s="70" t="e">
        <f>ReviewCalcs[[#This Row],[Fixture Proposed Demand (kW)]]+ReviewCalcs[[#This Row],[Control Proposed Demand (kW)]]</f>
        <v>#VALUE!</v>
      </c>
      <c r="BB221" s="118">
        <f>ReviewCalcs[[#This Row],[Fixture Demand Savings (kW)]]+ReviewCalcs[[#This Row],[Control Demand Savings (kW)]]</f>
        <v>0</v>
      </c>
      <c r="BC221" s="118">
        <f>ReviewCalcs[[#This Row],[Fixture Existing Energy (kWh)]]+ReviewCalcs[[#This Row],[Control Existing Energy (kWh)]]</f>
        <v>0</v>
      </c>
      <c r="BD221" s="118">
        <f>ReviewCalcs[[#This Row],[Fixture Proposed Energy (kWh)]]+ReviewCalcs[[#This Row],[Control Proposed Energy (kWh)]]</f>
        <v>0</v>
      </c>
      <c r="BE221" s="118">
        <f>ReviewCalcs[[#This Row],[Fixture Energy Savings]]+ReviewCalcs[[#This Row],[Control Energy Savings (kWh)]]</f>
        <v>0</v>
      </c>
      <c r="BF221" s="118">
        <f>ReviewCalcs[[#This Row],[Fixture Existing Cost ($)]]+ReviewCalcs[[#This Row],[Control Existing Cost ($)]]</f>
        <v>0</v>
      </c>
      <c r="BG221" s="118">
        <f>ReviewCalcs[[#This Row],[Fixture Proposed Cost ($)]]+ReviewCalcs[[#This Row],[Controls Proposed Cost ($)]]</f>
        <v>0</v>
      </c>
      <c r="BH221" s="70">
        <f>ReviewCalcs[[#This Row],[Total Energy Savings (kWh)]]*Avg_KWh_Rate</f>
        <v>0</v>
      </c>
      <c r="BI22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1" s="70">
        <f>ReviewCalcs[[#This Row],[Retrofit Cost]]</f>
        <v>0</v>
      </c>
      <c r="BK221" s="70">
        <f>ReviewCalcs[[#This Row],[Retrofit Cost]]-ReviewCalcs[[#This Row],[Incentive ($)]]</f>
        <v>0</v>
      </c>
      <c r="BL221" s="118" t="e">
        <f>IFERROR(ReviewCalcs[[#This Row],[Net Project Cost ($)]]/ReviewCalcs[[#This Row],[Fixture Energy Cost Savings ($)]], #N/A)</f>
        <v>#N/A</v>
      </c>
      <c r="BM221" s="118" t="e">
        <f>IF(VLOOKUP(ReviewCalcs[[#This Row],[Existing Fixture Code]], Table7[[FIXTURE CODE]:[Baseline Fixture Code]], 8, FALSE)="N", VLOOKUP(ReviewCalcs[[#This Row],[Existing Fixture Code]], Table7[[FIXTURE CODE]:[Baseline Fixture Code]], 9, FALSE), ReviewCalcs[[#This Row],[Existing Fixture Code]])</f>
        <v>#N/A</v>
      </c>
      <c r="BN221" s="118" t="e">
        <f>INDEX(Table7[WATT/ FIXT], MATCH(ReviewCalcs[Baseline Fixture Code], Table7[FIXTURE CODE], 0))</f>
        <v>#N/A</v>
      </c>
      <c r="BO221" s="118">
        <f>IFERROR((ReviewCalcs[[#This Row],[Existing Fixture Quantity]]*ReviewCalcs[[#This Row],[Baseline Fixture Watts]]/1000-ReviewCalcs[[#This Row],[Proposed Fixture Quantity]]*ReviewCalcs[[#This Row],[Proposed Fixture Watts]]/1000)*ReviewCalcs[[#This Row],[Existing CF]]*ReviewCalcs[[#This Row],[IEFD]], 0)</f>
        <v>0</v>
      </c>
      <c r="BP22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1" s="118">
        <f>IF(ReviewCalcs[[#This Row],[Existing CF]]=ReviewCalcs[[#This Row],[Proposed CF]], 0, ReviewCalcs[[#This Row],[Proposed Fixture Quantity]]*ReviewCalcs[[#This Row],[Proposed Fixture Watts]]/1000*ReviewCalcs[[#This Row],[Proposed CF]]*ReviewCalcs[[#This Row],[IEFD]])</f>
        <v>0</v>
      </c>
      <c r="BR221" s="118">
        <f>IFERROR(ReviewCalcs[[#This Row],[Proposed Fixture Quantity]]*ReviewCalcs[[#This Row],[Proposed Fixture Watts]]/1000*(ReviewCalcs[[#This Row],[Existing PAF]]-ReviewCalcs[[#This Row],[Proposed PAF]])*ReviewCalcs[[#This Row],[AOH]]*ReviewCalcs[[#This Row],[IEFE]],0)</f>
        <v>0</v>
      </c>
      <c r="BS221" s="118">
        <f>ReviewCalcs[[#This Row],[Incentive Fixture Demand Savings (kW)]]+ReviewCalcs[[#This Row],[Incentive Control Demand Savings (kW)]]</f>
        <v>0</v>
      </c>
      <c r="BT221" s="118">
        <f>ReviewCalcs[[#This Row],[Incentive Fixture Energy Savings (kWh)]]+ReviewCalcs[[#This Row],[Incentive Control Energy Savings (kWh)]]</f>
        <v>0</v>
      </c>
      <c r="BU221" s="73"/>
    </row>
    <row r="222" spans="1:73" ht="30" customHeight="1">
      <c r="A222" s="68">
        <v>219</v>
      </c>
      <c r="B222" s="96">
        <f>VLOOKUP(ReviewCalcs[[#This Row],[Project Index]], ProjectInput[], D$1, FALSE)</f>
        <v>0</v>
      </c>
      <c r="C222" s="97">
        <f>VLOOKUP(ReviewCalcs[[#This Row],[Project Index]], ProjectInput[], E$1, FALSE)</f>
        <v>0</v>
      </c>
      <c r="D222" s="97">
        <f>VLOOKUP(ReviewCalcs[[#This Row],[Project Index]], ProjectInput[], F$1, FALSE)</f>
        <v>0</v>
      </c>
      <c r="E222" s="97">
        <f>VLOOKUP(ReviewCalcs[[#This Row],[Project Index]], ProjectInput[], G$1, FALSE)</f>
        <v>0</v>
      </c>
      <c r="F222" s="97">
        <f>VLOOKUP(ReviewCalcs[[#This Row],[Project Index]], ProjectInput[], H$1, FALSE)</f>
        <v>0</v>
      </c>
      <c r="G222" s="98" t="str">
        <f>VLOOKUP(ReviewCalcs[[#This Row],[Project Index]], ProjectInput[], I$1, FALSE)</f>
        <v/>
      </c>
      <c r="H222" s="96">
        <f>VLOOKUP(ReviewCalcs[[#This Row],[Project Index]], ProjectInput[], J$1, FALSE)</f>
        <v>0</v>
      </c>
      <c r="I222" s="97">
        <f>VLOOKUP(ReviewCalcs[[#This Row],[Project Index]], ProjectInput[], K$1, FALSE)</f>
        <v>0</v>
      </c>
      <c r="J222" s="97">
        <f>VLOOKUP(ReviewCalcs[[#This Row],[Project Index]], ProjectInput[], L$1, FALSE)</f>
        <v>0</v>
      </c>
      <c r="K222" s="97">
        <f>VLOOKUP(ReviewCalcs[[#This Row],[Project Index]], ProjectInput[], M$1, FALSE)</f>
        <v>0</v>
      </c>
      <c r="L222" s="97">
        <f>VLOOKUP(ReviewCalcs[[#This Row],[Project Index]], ProjectInput[], N$1, FALSE)</f>
        <v>0</v>
      </c>
      <c r="M222" s="98" t="str">
        <f>VLOOKUP(ReviewCalcs[[#This Row],[Project Index]], ProjectInput[], O$1, FALSE)</f>
        <v/>
      </c>
      <c r="N222" s="96">
        <f>VLOOKUP(ReviewCalcs[[#This Row],[Project Index]], ProjectInput[], P$1, FALSE)</f>
        <v>0</v>
      </c>
      <c r="O222" s="97">
        <f>VLOOKUP(ReviewCalcs[[#This Row],[Project Index]], ProjectInput[], Q$1, FALSE)</f>
        <v>0</v>
      </c>
      <c r="P222" s="97">
        <f>VLOOKUP(ReviewCalcs[[#This Row],[Project Index]], ProjectInput[], R$1, FALSE)</f>
        <v>0</v>
      </c>
      <c r="Q222" s="97">
        <f>VLOOKUP(ReviewCalcs[[#This Row],[Project Index]], ProjectInput[], S$1, FALSE)</f>
        <v>0</v>
      </c>
      <c r="R222" s="97">
        <f>VLOOKUP(ReviewCalcs[[#This Row],[Project Index]], ProjectInput[], T$1, FALSE)</f>
        <v>0</v>
      </c>
      <c r="S222" s="97">
        <f>VLOOKUP(ReviewCalcs[[#This Row],[Project Index]], ProjectInput[], U$1, FALSE)</f>
        <v>0</v>
      </c>
      <c r="T222" s="97">
        <f>VLOOKUP(ReviewCalcs[[#This Row],[Project Index]], ProjectInput[], V$1, FALSE)</f>
        <v>0</v>
      </c>
      <c r="U222" s="97">
        <f>VLOOKUP(ReviewCalcs[[#This Row],[Project Index]], ProjectInput[], W$1, FALSE)</f>
        <v>0</v>
      </c>
      <c r="V222" s="98" t="str">
        <f>VLOOKUP(ReviewCalcs[[#This Row],[Project Index]], ProjectInput[], X$1, FALSE)</f>
        <v/>
      </c>
      <c r="W22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2" s="75" t="e">
        <f>IF(VLOOKUP(ReviewCalcs[[#This Row],[Proposed Fixture Code]], Table7[[FIXTURE CODE]:[Baseline Fixture Code]], 8, FALSE)="N", "ERROR", "PASS")</f>
        <v>#N/A</v>
      </c>
      <c r="Y22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2" s="75" t="e">
        <f>IF(OR(ReviewCalcs[[#This Row],[Baseline Fixture Watts]]&gt;=ReviewCalcs[[#This Row],[Proposed Fixture Watts]],ReviewCalcs[[#This Row],[Existing Fixture Watts]]&gt;=ReviewCalcs[[#This Row],[Proposed Fixture Watts]] ), "PASS", "ERROR")</f>
        <v>#N/A</v>
      </c>
      <c r="AA222" s="69" t="e">
        <f>VLOOKUP(ReviewCalcs[[#This Row],[Space Conditions]], Table_365[], 5, FALSE)</f>
        <v>#N/A</v>
      </c>
      <c r="AB222" s="68" t="str">
        <f>ReviewCalcs[[#This Row],[Annual Hours]]</f>
        <v/>
      </c>
      <c r="AC222" s="68" t="e">
        <f>VLOOKUP(ReviewCalcs[[#This Row],[Space Conditions]], Table_365[], 6, FALSE)</f>
        <v>#N/A</v>
      </c>
      <c r="AD222" s="68">
        <f>IF(ReviewCalcs[[#This Row],[Existing Control(s)]]='Tables &amp; Ranges'!$A$25, VLOOKUP(ReviewCalcs[[#This Row],[Building/Space Type]], Table_364[], 3, FALSE), CF_Contols)</f>
        <v>0.26</v>
      </c>
      <c r="AE222" s="68" t="e">
        <f>VLOOKUP(ReviewCalcs[[#This Row],[Existing Control(s)]], Table_358[], 2, FALSE)</f>
        <v>#N/A</v>
      </c>
      <c r="AF222" s="68">
        <f>IF(ReviewCalcs[[#This Row],[Proposed Control(s)]]='Tables &amp; Ranges'!$A$25, VLOOKUP(ReviewCalcs[[#This Row],[Building/Space Type]], Table_364[], 3, FALSE), CF_Contols)</f>
        <v>0.26</v>
      </c>
      <c r="AG222" s="68" t="e">
        <f>VLOOKUP(ReviewCalcs[[#This Row],[Proposed Control(s)]], Table_358[], 2, FALSE)</f>
        <v>#N/A</v>
      </c>
      <c r="AH222" s="68">
        <f>IFERROR((ReviewCalcs[[#This Row],[Existing Fixture Quantity]]*ReviewCalcs[[#This Row],[Existing Fixture Watts]]/1000)*ReviewCalcs[[#This Row],[Existing CF]]*ReviewCalcs[[#This Row],[IEFD]], 0)</f>
        <v>0</v>
      </c>
      <c r="AI222" s="68">
        <f>IFERROR((ReviewCalcs[[#This Row],[Proposed Fixture Quantity]]*ReviewCalcs[[#This Row],[Proposed Fixture Watts]]/1000)*ReviewCalcs[[#This Row],[Existing CF]]*ReviewCalcs[[#This Row],[IEFD]], 0)</f>
        <v>0</v>
      </c>
      <c r="AJ222" s="118">
        <f>IFERROR((ReviewCalcs[[#This Row],[Existing Fixture Quantity]]*ReviewCalcs[[#This Row],[Existing Fixture Watts]]/1000-ReviewCalcs[[#This Row],[Proposed Fixture Quantity]]*ReviewCalcs[[#This Row],[Proposed Fixture Watts]]/1000)*ReviewCalcs[[#This Row],[Existing CF]]*ReviewCalcs[[#This Row],[IEFD]], 0)</f>
        <v>0</v>
      </c>
      <c r="AK222" s="118">
        <f>IFERROR((ReviewCalcs[[#This Row],[Existing Fixture Quantity]]*ReviewCalcs[[#This Row],[Existing Fixture Watts]]/1000)*ReviewCalcs[[#This Row],[AOH]]*ReviewCalcs[[#This Row],[IEFE]]*ReviewCalcs[[#This Row],[Existing PAF]], 0)</f>
        <v>0</v>
      </c>
      <c r="AL222" s="118">
        <f>IFERROR((ReviewCalcs[[#This Row],[Proposed Fixture Quantity]]*ReviewCalcs[[#This Row],[Proposed Fixture Watts]]/1000)*ReviewCalcs[[#This Row],[AOH]]*ReviewCalcs[[#This Row],[IEFE]]*ReviewCalcs[[#This Row],[Existing PAF]], 0)</f>
        <v>0</v>
      </c>
      <c r="AM22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2" s="118">
        <f>ReviewCalcs[[#This Row],[Fixture Existing Energy (kWh)]]*Avg_KWh_Rate</f>
        <v>0</v>
      </c>
      <c r="AO222" s="118">
        <f>ReviewCalcs[[#This Row],[Fixture Proposed Energy (kWh)]]*Avg_KWh_Rate</f>
        <v>0</v>
      </c>
      <c r="AP222" s="70">
        <f>ReviewCalcs[[#This Row],[Fixture Energy Savings]]*Avg_KWh_Rate</f>
        <v>0</v>
      </c>
      <c r="AQ222" s="129" t="e">
        <f>ReviewCalcs[[#This Row],[Existing Fixture Quantity]]*ReviewCalcs[[#This Row],[Existing Fixture Watts]]/1000*ReviewCalcs[[#This Row],[Existing CF]]*ReviewCalcs[[#This Row],[IEFD]]</f>
        <v>#VALUE!</v>
      </c>
      <c r="AR222" s="129" t="e">
        <f>ReviewCalcs[[#This Row],[Proposed Fixture Quantity]]*ReviewCalcs[[#This Row],[Proposed Fixture Watts]]/1000*ReviewCalcs[[#This Row],[Proposed CF]]*ReviewCalcs[[#This Row],[IEFD]]</f>
        <v>#VALUE!</v>
      </c>
      <c r="AS222" s="118">
        <f>IF(ReviewCalcs[[#This Row],[Existing CF]]=ReviewCalcs[[#This Row],[Proposed CF]], 0, ReviewCalcs[[#This Row],[Proposed Fixture Quantity]]*ReviewCalcs[[#This Row],[Proposed Fixture Watts]]/1000*ReviewCalcs[[#This Row],[Proposed CF]]*ReviewCalcs[[#This Row],[IEFD]])</f>
        <v>0</v>
      </c>
      <c r="AT222" s="118">
        <f>IFERROR(ReviewCalcs[[#This Row],[Existing Fixture Quantity]]*ReviewCalcs[[#This Row],[Existing Fixture Watts]]/1000*ReviewCalcs[[#This Row],[Existing PAF]]*ReviewCalcs[[#This Row],[AOH]]*ReviewCalcs[[#This Row],[IEFE]], 0)</f>
        <v>0</v>
      </c>
      <c r="AU222" s="118">
        <f>IFERROR(ReviewCalcs[[#This Row],[Proposed Fixture Quantity]]*ReviewCalcs[[#This Row],[Proposed Fixture Watts]]/1000*ReviewCalcs[[#This Row],[Proposed PAF]]*ReviewCalcs[[#This Row],[AOH]]*ReviewCalcs[[#This Row],[IEFE]], 0)</f>
        <v>0</v>
      </c>
      <c r="AV222" s="118">
        <f>IFERROR(ReviewCalcs[[#This Row],[Proposed Fixture Quantity]]*ReviewCalcs[[#This Row],[Proposed Fixture Watts]]/1000*(ReviewCalcs[[#This Row],[Existing PAF]]-ReviewCalcs[[#This Row],[Proposed PAF]])*ReviewCalcs[[#This Row],[AOH]]*ReviewCalcs[[#This Row],[IEFE]], 0)</f>
        <v>0</v>
      </c>
      <c r="AW222" s="118">
        <f>ReviewCalcs[[#This Row],[Control Existing Energy (kWh)]]*kWh_Incentive_Rate</f>
        <v>0</v>
      </c>
      <c r="AX222" s="118">
        <f>ReviewCalcs[[#This Row],[Control Proposed Energy (kWh)]]*kWh_Incentive_Rate</f>
        <v>0</v>
      </c>
      <c r="AY222" s="70">
        <f>ReviewCalcs[[#This Row],[Control Energy Savings (kWh)]]*kWh_Incentive_Rate</f>
        <v>0</v>
      </c>
      <c r="AZ222" s="70" t="e">
        <f>ReviewCalcs[[#This Row],[Fixture Existing Demand (kW)]]+ReviewCalcs[[#This Row],[Control Existing Demand (kW)]]</f>
        <v>#VALUE!</v>
      </c>
      <c r="BA222" s="70" t="e">
        <f>ReviewCalcs[[#This Row],[Fixture Proposed Demand (kW)]]+ReviewCalcs[[#This Row],[Control Proposed Demand (kW)]]</f>
        <v>#VALUE!</v>
      </c>
      <c r="BB222" s="118">
        <f>ReviewCalcs[[#This Row],[Fixture Demand Savings (kW)]]+ReviewCalcs[[#This Row],[Control Demand Savings (kW)]]</f>
        <v>0</v>
      </c>
      <c r="BC222" s="118">
        <f>ReviewCalcs[[#This Row],[Fixture Existing Energy (kWh)]]+ReviewCalcs[[#This Row],[Control Existing Energy (kWh)]]</f>
        <v>0</v>
      </c>
      <c r="BD222" s="118">
        <f>ReviewCalcs[[#This Row],[Fixture Proposed Energy (kWh)]]+ReviewCalcs[[#This Row],[Control Proposed Energy (kWh)]]</f>
        <v>0</v>
      </c>
      <c r="BE222" s="118">
        <f>ReviewCalcs[[#This Row],[Fixture Energy Savings]]+ReviewCalcs[[#This Row],[Control Energy Savings (kWh)]]</f>
        <v>0</v>
      </c>
      <c r="BF222" s="118">
        <f>ReviewCalcs[[#This Row],[Fixture Existing Cost ($)]]+ReviewCalcs[[#This Row],[Control Existing Cost ($)]]</f>
        <v>0</v>
      </c>
      <c r="BG222" s="118">
        <f>ReviewCalcs[[#This Row],[Fixture Proposed Cost ($)]]+ReviewCalcs[[#This Row],[Controls Proposed Cost ($)]]</f>
        <v>0</v>
      </c>
      <c r="BH222" s="70">
        <f>ReviewCalcs[[#This Row],[Total Energy Savings (kWh)]]*Avg_KWh_Rate</f>
        <v>0</v>
      </c>
      <c r="BI22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2" s="70">
        <f>ReviewCalcs[[#This Row],[Retrofit Cost]]</f>
        <v>0</v>
      </c>
      <c r="BK222" s="70">
        <f>ReviewCalcs[[#This Row],[Retrofit Cost]]-ReviewCalcs[[#This Row],[Incentive ($)]]</f>
        <v>0</v>
      </c>
      <c r="BL222" s="118" t="e">
        <f>IFERROR(ReviewCalcs[[#This Row],[Net Project Cost ($)]]/ReviewCalcs[[#This Row],[Fixture Energy Cost Savings ($)]], #N/A)</f>
        <v>#N/A</v>
      </c>
      <c r="BM222" s="118" t="e">
        <f>IF(VLOOKUP(ReviewCalcs[[#This Row],[Existing Fixture Code]], Table7[[FIXTURE CODE]:[Baseline Fixture Code]], 8, FALSE)="N", VLOOKUP(ReviewCalcs[[#This Row],[Existing Fixture Code]], Table7[[FIXTURE CODE]:[Baseline Fixture Code]], 9, FALSE), ReviewCalcs[[#This Row],[Existing Fixture Code]])</f>
        <v>#N/A</v>
      </c>
      <c r="BN222" s="118" t="e">
        <f>INDEX(Table7[WATT/ FIXT], MATCH(ReviewCalcs[Baseline Fixture Code], Table7[FIXTURE CODE], 0))</f>
        <v>#N/A</v>
      </c>
      <c r="BO222" s="118">
        <f>IFERROR((ReviewCalcs[[#This Row],[Existing Fixture Quantity]]*ReviewCalcs[[#This Row],[Baseline Fixture Watts]]/1000-ReviewCalcs[[#This Row],[Proposed Fixture Quantity]]*ReviewCalcs[[#This Row],[Proposed Fixture Watts]]/1000)*ReviewCalcs[[#This Row],[Existing CF]]*ReviewCalcs[[#This Row],[IEFD]], 0)</f>
        <v>0</v>
      </c>
      <c r="BP22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2" s="118">
        <f>IF(ReviewCalcs[[#This Row],[Existing CF]]=ReviewCalcs[[#This Row],[Proposed CF]], 0, ReviewCalcs[[#This Row],[Proposed Fixture Quantity]]*ReviewCalcs[[#This Row],[Proposed Fixture Watts]]/1000*ReviewCalcs[[#This Row],[Proposed CF]]*ReviewCalcs[[#This Row],[IEFD]])</f>
        <v>0</v>
      </c>
      <c r="BR222" s="118">
        <f>IFERROR(ReviewCalcs[[#This Row],[Proposed Fixture Quantity]]*ReviewCalcs[[#This Row],[Proposed Fixture Watts]]/1000*(ReviewCalcs[[#This Row],[Existing PAF]]-ReviewCalcs[[#This Row],[Proposed PAF]])*ReviewCalcs[[#This Row],[AOH]]*ReviewCalcs[[#This Row],[IEFE]],0)</f>
        <v>0</v>
      </c>
      <c r="BS222" s="118">
        <f>ReviewCalcs[[#This Row],[Incentive Fixture Demand Savings (kW)]]+ReviewCalcs[[#This Row],[Incentive Control Demand Savings (kW)]]</f>
        <v>0</v>
      </c>
      <c r="BT222" s="118">
        <f>ReviewCalcs[[#This Row],[Incentive Fixture Energy Savings (kWh)]]+ReviewCalcs[[#This Row],[Incentive Control Energy Savings (kWh)]]</f>
        <v>0</v>
      </c>
      <c r="BU222" s="73"/>
    </row>
    <row r="223" spans="1:73" ht="30" customHeight="1">
      <c r="A223" s="68">
        <v>220</v>
      </c>
      <c r="B223" s="96">
        <f>VLOOKUP(ReviewCalcs[[#This Row],[Project Index]], ProjectInput[], D$1, FALSE)</f>
        <v>0</v>
      </c>
      <c r="C223" s="97">
        <f>VLOOKUP(ReviewCalcs[[#This Row],[Project Index]], ProjectInput[], E$1, FALSE)</f>
        <v>0</v>
      </c>
      <c r="D223" s="97">
        <f>VLOOKUP(ReviewCalcs[[#This Row],[Project Index]], ProjectInput[], F$1, FALSE)</f>
        <v>0</v>
      </c>
      <c r="E223" s="97">
        <f>VLOOKUP(ReviewCalcs[[#This Row],[Project Index]], ProjectInput[], G$1, FALSE)</f>
        <v>0</v>
      </c>
      <c r="F223" s="97">
        <f>VLOOKUP(ReviewCalcs[[#This Row],[Project Index]], ProjectInput[], H$1, FALSE)</f>
        <v>0</v>
      </c>
      <c r="G223" s="98" t="str">
        <f>VLOOKUP(ReviewCalcs[[#This Row],[Project Index]], ProjectInput[], I$1, FALSE)</f>
        <v/>
      </c>
      <c r="H223" s="96">
        <f>VLOOKUP(ReviewCalcs[[#This Row],[Project Index]], ProjectInput[], J$1, FALSE)</f>
        <v>0</v>
      </c>
      <c r="I223" s="97">
        <f>VLOOKUP(ReviewCalcs[[#This Row],[Project Index]], ProjectInput[], K$1, FALSE)</f>
        <v>0</v>
      </c>
      <c r="J223" s="97">
        <f>VLOOKUP(ReviewCalcs[[#This Row],[Project Index]], ProjectInput[], L$1, FALSE)</f>
        <v>0</v>
      </c>
      <c r="K223" s="97">
        <f>VLOOKUP(ReviewCalcs[[#This Row],[Project Index]], ProjectInput[], M$1, FALSE)</f>
        <v>0</v>
      </c>
      <c r="L223" s="97">
        <f>VLOOKUP(ReviewCalcs[[#This Row],[Project Index]], ProjectInput[], N$1, FALSE)</f>
        <v>0</v>
      </c>
      <c r="M223" s="98" t="str">
        <f>VLOOKUP(ReviewCalcs[[#This Row],[Project Index]], ProjectInput[], O$1, FALSE)</f>
        <v/>
      </c>
      <c r="N223" s="96">
        <f>VLOOKUP(ReviewCalcs[[#This Row],[Project Index]], ProjectInput[], P$1, FALSE)</f>
        <v>0</v>
      </c>
      <c r="O223" s="97">
        <f>VLOOKUP(ReviewCalcs[[#This Row],[Project Index]], ProjectInput[], Q$1, FALSE)</f>
        <v>0</v>
      </c>
      <c r="P223" s="97">
        <f>VLOOKUP(ReviewCalcs[[#This Row],[Project Index]], ProjectInput[], R$1, FALSE)</f>
        <v>0</v>
      </c>
      <c r="Q223" s="97">
        <f>VLOOKUP(ReviewCalcs[[#This Row],[Project Index]], ProjectInput[], S$1, FALSE)</f>
        <v>0</v>
      </c>
      <c r="R223" s="97">
        <f>VLOOKUP(ReviewCalcs[[#This Row],[Project Index]], ProjectInput[], T$1, FALSE)</f>
        <v>0</v>
      </c>
      <c r="S223" s="97">
        <f>VLOOKUP(ReviewCalcs[[#This Row],[Project Index]], ProjectInput[], U$1, FALSE)</f>
        <v>0</v>
      </c>
      <c r="T223" s="97">
        <f>VLOOKUP(ReviewCalcs[[#This Row],[Project Index]], ProjectInput[], V$1, FALSE)</f>
        <v>0</v>
      </c>
      <c r="U223" s="97">
        <f>VLOOKUP(ReviewCalcs[[#This Row],[Project Index]], ProjectInput[], W$1, FALSE)</f>
        <v>0</v>
      </c>
      <c r="V223" s="98" t="str">
        <f>VLOOKUP(ReviewCalcs[[#This Row],[Project Index]], ProjectInput[], X$1, FALSE)</f>
        <v/>
      </c>
      <c r="W22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3" s="75" t="e">
        <f>IF(VLOOKUP(ReviewCalcs[[#This Row],[Proposed Fixture Code]], Table7[[FIXTURE CODE]:[Baseline Fixture Code]], 8, FALSE)="N", "ERROR", "PASS")</f>
        <v>#N/A</v>
      </c>
      <c r="Y22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3" s="75" t="e">
        <f>IF(OR(ReviewCalcs[[#This Row],[Baseline Fixture Watts]]&gt;=ReviewCalcs[[#This Row],[Proposed Fixture Watts]],ReviewCalcs[[#This Row],[Existing Fixture Watts]]&gt;=ReviewCalcs[[#This Row],[Proposed Fixture Watts]] ), "PASS", "ERROR")</f>
        <v>#N/A</v>
      </c>
      <c r="AA223" s="69" t="e">
        <f>VLOOKUP(ReviewCalcs[[#This Row],[Space Conditions]], Table_365[], 5, FALSE)</f>
        <v>#N/A</v>
      </c>
      <c r="AB223" s="68" t="str">
        <f>ReviewCalcs[[#This Row],[Annual Hours]]</f>
        <v/>
      </c>
      <c r="AC223" s="68" t="e">
        <f>VLOOKUP(ReviewCalcs[[#This Row],[Space Conditions]], Table_365[], 6, FALSE)</f>
        <v>#N/A</v>
      </c>
      <c r="AD223" s="68">
        <f>IF(ReviewCalcs[[#This Row],[Existing Control(s)]]='Tables &amp; Ranges'!$A$25, VLOOKUP(ReviewCalcs[[#This Row],[Building/Space Type]], Table_364[], 3, FALSE), CF_Contols)</f>
        <v>0.26</v>
      </c>
      <c r="AE223" s="68" t="e">
        <f>VLOOKUP(ReviewCalcs[[#This Row],[Existing Control(s)]], Table_358[], 2, FALSE)</f>
        <v>#N/A</v>
      </c>
      <c r="AF223" s="68">
        <f>IF(ReviewCalcs[[#This Row],[Proposed Control(s)]]='Tables &amp; Ranges'!$A$25, VLOOKUP(ReviewCalcs[[#This Row],[Building/Space Type]], Table_364[], 3, FALSE), CF_Contols)</f>
        <v>0.26</v>
      </c>
      <c r="AG223" s="68" t="e">
        <f>VLOOKUP(ReviewCalcs[[#This Row],[Proposed Control(s)]], Table_358[], 2, FALSE)</f>
        <v>#N/A</v>
      </c>
      <c r="AH223" s="68">
        <f>IFERROR((ReviewCalcs[[#This Row],[Existing Fixture Quantity]]*ReviewCalcs[[#This Row],[Existing Fixture Watts]]/1000)*ReviewCalcs[[#This Row],[Existing CF]]*ReviewCalcs[[#This Row],[IEFD]], 0)</f>
        <v>0</v>
      </c>
      <c r="AI223" s="68">
        <f>IFERROR((ReviewCalcs[[#This Row],[Proposed Fixture Quantity]]*ReviewCalcs[[#This Row],[Proposed Fixture Watts]]/1000)*ReviewCalcs[[#This Row],[Existing CF]]*ReviewCalcs[[#This Row],[IEFD]], 0)</f>
        <v>0</v>
      </c>
      <c r="AJ223" s="118">
        <f>IFERROR((ReviewCalcs[[#This Row],[Existing Fixture Quantity]]*ReviewCalcs[[#This Row],[Existing Fixture Watts]]/1000-ReviewCalcs[[#This Row],[Proposed Fixture Quantity]]*ReviewCalcs[[#This Row],[Proposed Fixture Watts]]/1000)*ReviewCalcs[[#This Row],[Existing CF]]*ReviewCalcs[[#This Row],[IEFD]], 0)</f>
        <v>0</v>
      </c>
      <c r="AK223" s="118">
        <f>IFERROR((ReviewCalcs[[#This Row],[Existing Fixture Quantity]]*ReviewCalcs[[#This Row],[Existing Fixture Watts]]/1000)*ReviewCalcs[[#This Row],[AOH]]*ReviewCalcs[[#This Row],[IEFE]]*ReviewCalcs[[#This Row],[Existing PAF]], 0)</f>
        <v>0</v>
      </c>
      <c r="AL223" s="118">
        <f>IFERROR((ReviewCalcs[[#This Row],[Proposed Fixture Quantity]]*ReviewCalcs[[#This Row],[Proposed Fixture Watts]]/1000)*ReviewCalcs[[#This Row],[AOH]]*ReviewCalcs[[#This Row],[IEFE]]*ReviewCalcs[[#This Row],[Existing PAF]], 0)</f>
        <v>0</v>
      </c>
      <c r="AM22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3" s="118">
        <f>ReviewCalcs[[#This Row],[Fixture Existing Energy (kWh)]]*Avg_KWh_Rate</f>
        <v>0</v>
      </c>
      <c r="AO223" s="118">
        <f>ReviewCalcs[[#This Row],[Fixture Proposed Energy (kWh)]]*Avg_KWh_Rate</f>
        <v>0</v>
      </c>
      <c r="AP223" s="70">
        <f>ReviewCalcs[[#This Row],[Fixture Energy Savings]]*Avg_KWh_Rate</f>
        <v>0</v>
      </c>
      <c r="AQ223" s="129" t="e">
        <f>ReviewCalcs[[#This Row],[Existing Fixture Quantity]]*ReviewCalcs[[#This Row],[Existing Fixture Watts]]/1000*ReviewCalcs[[#This Row],[Existing CF]]*ReviewCalcs[[#This Row],[IEFD]]</f>
        <v>#VALUE!</v>
      </c>
      <c r="AR223" s="129" t="e">
        <f>ReviewCalcs[[#This Row],[Proposed Fixture Quantity]]*ReviewCalcs[[#This Row],[Proposed Fixture Watts]]/1000*ReviewCalcs[[#This Row],[Proposed CF]]*ReviewCalcs[[#This Row],[IEFD]]</f>
        <v>#VALUE!</v>
      </c>
      <c r="AS223" s="118">
        <f>IF(ReviewCalcs[[#This Row],[Existing CF]]=ReviewCalcs[[#This Row],[Proposed CF]], 0, ReviewCalcs[[#This Row],[Proposed Fixture Quantity]]*ReviewCalcs[[#This Row],[Proposed Fixture Watts]]/1000*ReviewCalcs[[#This Row],[Proposed CF]]*ReviewCalcs[[#This Row],[IEFD]])</f>
        <v>0</v>
      </c>
      <c r="AT223" s="118">
        <f>IFERROR(ReviewCalcs[[#This Row],[Existing Fixture Quantity]]*ReviewCalcs[[#This Row],[Existing Fixture Watts]]/1000*ReviewCalcs[[#This Row],[Existing PAF]]*ReviewCalcs[[#This Row],[AOH]]*ReviewCalcs[[#This Row],[IEFE]], 0)</f>
        <v>0</v>
      </c>
      <c r="AU223" s="118">
        <f>IFERROR(ReviewCalcs[[#This Row],[Proposed Fixture Quantity]]*ReviewCalcs[[#This Row],[Proposed Fixture Watts]]/1000*ReviewCalcs[[#This Row],[Proposed PAF]]*ReviewCalcs[[#This Row],[AOH]]*ReviewCalcs[[#This Row],[IEFE]], 0)</f>
        <v>0</v>
      </c>
      <c r="AV223" s="118">
        <f>IFERROR(ReviewCalcs[[#This Row],[Proposed Fixture Quantity]]*ReviewCalcs[[#This Row],[Proposed Fixture Watts]]/1000*(ReviewCalcs[[#This Row],[Existing PAF]]-ReviewCalcs[[#This Row],[Proposed PAF]])*ReviewCalcs[[#This Row],[AOH]]*ReviewCalcs[[#This Row],[IEFE]], 0)</f>
        <v>0</v>
      </c>
      <c r="AW223" s="118">
        <f>ReviewCalcs[[#This Row],[Control Existing Energy (kWh)]]*kWh_Incentive_Rate</f>
        <v>0</v>
      </c>
      <c r="AX223" s="118">
        <f>ReviewCalcs[[#This Row],[Control Proposed Energy (kWh)]]*kWh_Incentive_Rate</f>
        <v>0</v>
      </c>
      <c r="AY223" s="70">
        <f>ReviewCalcs[[#This Row],[Control Energy Savings (kWh)]]*kWh_Incentive_Rate</f>
        <v>0</v>
      </c>
      <c r="AZ223" s="70" t="e">
        <f>ReviewCalcs[[#This Row],[Fixture Existing Demand (kW)]]+ReviewCalcs[[#This Row],[Control Existing Demand (kW)]]</f>
        <v>#VALUE!</v>
      </c>
      <c r="BA223" s="70" t="e">
        <f>ReviewCalcs[[#This Row],[Fixture Proposed Demand (kW)]]+ReviewCalcs[[#This Row],[Control Proposed Demand (kW)]]</f>
        <v>#VALUE!</v>
      </c>
      <c r="BB223" s="118">
        <f>ReviewCalcs[[#This Row],[Fixture Demand Savings (kW)]]+ReviewCalcs[[#This Row],[Control Demand Savings (kW)]]</f>
        <v>0</v>
      </c>
      <c r="BC223" s="118">
        <f>ReviewCalcs[[#This Row],[Fixture Existing Energy (kWh)]]+ReviewCalcs[[#This Row],[Control Existing Energy (kWh)]]</f>
        <v>0</v>
      </c>
      <c r="BD223" s="118">
        <f>ReviewCalcs[[#This Row],[Fixture Proposed Energy (kWh)]]+ReviewCalcs[[#This Row],[Control Proposed Energy (kWh)]]</f>
        <v>0</v>
      </c>
      <c r="BE223" s="118">
        <f>ReviewCalcs[[#This Row],[Fixture Energy Savings]]+ReviewCalcs[[#This Row],[Control Energy Savings (kWh)]]</f>
        <v>0</v>
      </c>
      <c r="BF223" s="118">
        <f>ReviewCalcs[[#This Row],[Fixture Existing Cost ($)]]+ReviewCalcs[[#This Row],[Control Existing Cost ($)]]</f>
        <v>0</v>
      </c>
      <c r="BG223" s="118">
        <f>ReviewCalcs[[#This Row],[Fixture Proposed Cost ($)]]+ReviewCalcs[[#This Row],[Controls Proposed Cost ($)]]</f>
        <v>0</v>
      </c>
      <c r="BH223" s="70">
        <f>ReviewCalcs[[#This Row],[Total Energy Savings (kWh)]]*Avg_KWh_Rate</f>
        <v>0</v>
      </c>
      <c r="BI22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3" s="70">
        <f>ReviewCalcs[[#This Row],[Retrofit Cost]]</f>
        <v>0</v>
      </c>
      <c r="BK223" s="70">
        <f>ReviewCalcs[[#This Row],[Retrofit Cost]]-ReviewCalcs[[#This Row],[Incentive ($)]]</f>
        <v>0</v>
      </c>
      <c r="BL223" s="118" t="e">
        <f>IFERROR(ReviewCalcs[[#This Row],[Net Project Cost ($)]]/ReviewCalcs[[#This Row],[Fixture Energy Cost Savings ($)]], #N/A)</f>
        <v>#N/A</v>
      </c>
      <c r="BM223" s="118" t="e">
        <f>IF(VLOOKUP(ReviewCalcs[[#This Row],[Existing Fixture Code]], Table7[[FIXTURE CODE]:[Baseline Fixture Code]], 8, FALSE)="N", VLOOKUP(ReviewCalcs[[#This Row],[Existing Fixture Code]], Table7[[FIXTURE CODE]:[Baseline Fixture Code]], 9, FALSE), ReviewCalcs[[#This Row],[Existing Fixture Code]])</f>
        <v>#N/A</v>
      </c>
      <c r="BN223" s="118" t="e">
        <f>INDEX(Table7[WATT/ FIXT], MATCH(ReviewCalcs[Baseline Fixture Code], Table7[FIXTURE CODE], 0))</f>
        <v>#N/A</v>
      </c>
      <c r="BO223" s="118">
        <f>IFERROR((ReviewCalcs[[#This Row],[Existing Fixture Quantity]]*ReviewCalcs[[#This Row],[Baseline Fixture Watts]]/1000-ReviewCalcs[[#This Row],[Proposed Fixture Quantity]]*ReviewCalcs[[#This Row],[Proposed Fixture Watts]]/1000)*ReviewCalcs[[#This Row],[Existing CF]]*ReviewCalcs[[#This Row],[IEFD]], 0)</f>
        <v>0</v>
      </c>
      <c r="BP22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3" s="118">
        <f>IF(ReviewCalcs[[#This Row],[Existing CF]]=ReviewCalcs[[#This Row],[Proposed CF]], 0, ReviewCalcs[[#This Row],[Proposed Fixture Quantity]]*ReviewCalcs[[#This Row],[Proposed Fixture Watts]]/1000*ReviewCalcs[[#This Row],[Proposed CF]]*ReviewCalcs[[#This Row],[IEFD]])</f>
        <v>0</v>
      </c>
      <c r="BR223" s="118">
        <f>IFERROR(ReviewCalcs[[#This Row],[Proposed Fixture Quantity]]*ReviewCalcs[[#This Row],[Proposed Fixture Watts]]/1000*(ReviewCalcs[[#This Row],[Existing PAF]]-ReviewCalcs[[#This Row],[Proposed PAF]])*ReviewCalcs[[#This Row],[AOH]]*ReviewCalcs[[#This Row],[IEFE]],0)</f>
        <v>0</v>
      </c>
      <c r="BS223" s="118">
        <f>ReviewCalcs[[#This Row],[Incentive Fixture Demand Savings (kW)]]+ReviewCalcs[[#This Row],[Incentive Control Demand Savings (kW)]]</f>
        <v>0</v>
      </c>
      <c r="BT223" s="118">
        <f>ReviewCalcs[[#This Row],[Incentive Fixture Energy Savings (kWh)]]+ReviewCalcs[[#This Row],[Incentive Control Energy Savings (kWh)]]</f>
        <v>0</v>
      </c>
      <c r="BU223" s="73"/>
    </row>
    <row r="224" spans="1:73" ht="30" customHeight="1">
      <c r="A224" s="68">
        <v>221</v>
      </c>
      <c r="B224" s="96">
        <f>VLOOKUP(ReviewCalcs[[#This Row],[Project Index]], ProjectInput[], D$1, FALSE)</f>
        <v>0</v>
      </c>
      <c r="C224" s="97">
        <f>VLOOKUP(ReviewCalcs[[#This Row],[Project Index]], ProjectInput[], E$1, FALSE)</f>
        <v>0</v>
      </c>
      <c r="D224" s="97">
        <f>VLOOKUP(ReviewCalcs[[#This Row],[Project Index]], ProjectInput[], F$1, FALSE)</f>
        <v>0</v>
      </c>
      <c r="E224" s="97">
        <f>VLOOKUP(ReviewCalcs[[#This Row],[Project Index]], ProjectInput[], G$1, FALSE)</f>
        <v>0</v>
      </c>
      <c r="F224" s="97">
        <f>VLOOKUP(ReviewCalcs[[#This Row],[Project Index]], ProjectInput[], H$1, FALSE)</f>
        <v>0</v>
      </c>
      <c r="G224" s="98" t="str">
        <f>VLOOKUP(ReviewCalcs[[#This Row],[Project Index]], ProjectInput[], I$1, FALSE)</f>
        <v/>
      </c>
      <c r="H224" s="96">
        <f>VLOOKUP(ReviewCalcs[[#This Row],[Project Index]], ProjectInput[], J$1, FALSE)</f>
        <v>0</v>
      </c>
      <c r="I224" s="97">
        <f>VLOOKUP(ReviewCalcs[[#This Row],[Project Index]], ProjectInput[], K$1, FALSE)</f>
        <v>0</v>
      </c>
      <c r="J224" s="97">
        <f>VLOOKUP(ReviewCalcs[[#This Row],[Project Index]], ProjectInput[], L$1, FALSE)</f>
        <v>0</v>
      </c>
      <c r="K224" s="97">
        <f>VLOOKUP(ReviewCalcs[[#This Row],[Project Index]], ProjectInput[], M$1, FALSE)</f>
        <v>0</v>
      </c>
      <c r="L224" s="97">
        <f>VLOOKUP(ReviewCalcs[[#This Row],[Project Index]], ProjectInput[], N$1, FALSE)</f>
        <v>0</v>
      </c>
      <c r="M224" s="98" t="str">
        <f>VLOOKUP(ReviewCalcs[[#This Row],[Project Index]], ProjectInput[], O$1, FALSE)</f>
        <v/>
      </c>
      <c r="N224" s="96">
        <f>VLOOKUP(ReviewCalcs[[#This Row],[Project Index]], ProjectInput[], P$1, FALSE)</f>
        <v>0</v>
      </c>
      <c r="O224" s="97">
        <f>VLOOKUP(ReviewCalcs[[#This Row],[Project Index]], ProjectInput[], Q$1, FALSE)</f>
        <v>0</v>
      </c>
      <c r="P224" s="97">
        <f>VLOOKUP(ReviewCalcs[[#This Row],[Project Index]], ProjectInput[], R$1, FALSE)</f>
        <v>0</v>
      </c>
      <c r="Q224" s="97">
        <f>VLOOKUP(ReviewCalcs[[#This Row],[Project Index]], ProjectInput[], S$1, FALSE)</f>
        <v>0</v>
      </c>
      <c r="R224" s="97">
        <f>VLOOKUP(ReviewCalcs[[#This Row],[Project Index]], ProjectInput[], T$1, FALSE)</f>
        <v>0</v>
      </c>
      <c r="S224" s="97">
        <f>VLOOKUP(ReviewCalcs[[#This Row],[Project Index]], ProjectInput[], U$1, FALSE)</f>
        <v>0</v>
      </c>
      <c r="T224" s="97">
        <f>VLOOKUP(ReviewCalcs[[#This Row],[Project Index]], ProjectInput[], V$1, FALSE)</f>
        <v>0</v>
      </c>
      <c r="U224" s="97">
        <f>VLOOKUP(ReviewCalcs[[#This Row],[Project Index]], ProjectInput[], W$1, FALSE)</f>
        <v>0</v>
      </c>
      <c r="V224" s="98" t="str">
        <f>VLOOKUP(ReviewCalcs[[#This Row],[Project Index]], ProjectInput[], X$1, FALSE)</f>
        <v/>
      </c>
      <c r="W22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4" s="75" t="e">
        <f>IF(VLOOKUP(ReviewCalcs[[#This Row],[Proposed Fixture Code]], Table7[[FIXTURE CODE]:[Baseline Fixture Code]], 8, FALSE)="N", "ERROR", "PASS")</f>
        <v>#N/A</v>
      </c>
      <c r="Y22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4" s="75" t="e">
        <f>IF(OR(ReviewCalcs[[#This Row],[Baseline Fixture Watts]]&gt;=ReviewCalcs[[#This Row],[Proposed Fixture Watts]],ReviewCalcs[[#This Row],[Existing Fixture Watts]]&gt;=ReviewCalcs[[#This Row],[Proposed Fixture Watts]] ), "PASS", "ERROR")</f>
        <v>#N/A</v>
      </c>
      <c r="AA224" s="69" t="e">
        <f>VLOOKUP(ReviewCalcs[[#This Row],[Space Conditions]], Table_365[], 5, FALSE)</f>
        <v>#N/A</v>
      </c>
      <c r="AB224" s="68" t="str">
        <f>ReviewCalcs[[#This Row],[Annual Hours]]</f>
        <v/>
      </c>
      <c r="AC224" s="68" t="e">
        <f>VLOOKUP(ReviewCalcs[[#This Row],[Space Conditions]], Table_365[], 6, FALSE)</f>
        <v>#N/A</v>
      </c>
      <c r="AD224" s="68">
        <f>IF(ReviewCalcs[[#This Row],[Existing Control(s)]]='Tables &amp; Ranges'!$A$25, VLOOKUP(ReviewCalcs[[#This Row],[Building/Space Type]], Table_364[], 3, FALSE), CF_Contols)</f>
        <v>0.26</v>
      </c>
      <c r="AE224" s="68" t="e">
        <f>VLOOKUP(ReviewCalcs[[#This Row],[Existing Control(s)]], Table_358[], 2, FALSE)</f>
        <v>#N/A</v>
      </c>
      <c r="AF224" s="68">
        <f>IF(ReviewCalcs[[#This Row],[Proposed Control(s)]]='Tables &amp; Ranges'!$A$25, VLOOKUP(ReviewCalcs[[#This Row],[Building/Space Type]], Table_364[], 3, FALSE), CF_Contols)</f>
        <v>0.26</v>
      </c>
      <c r="AG224" s="68" t="e">
        <f>VLOOKUP(ReviewCalcs[[#This Row],[Proposed Control(s)]], Table_358[], 2, FALSE)</f>
        <v>#N/A</v>
      </c>
      <c r="AH224" s="68">
        <f>IFERROR((ReviewCalcs[[#This Row],[Existing Fixture Quantity]]*ReviewCalcs[[#This Row],[Existing Fixture Watts]]/1000)*ReviewCalcs[[#This Row],[Existing CF]]*ReviewCalcs[[#This Row],[IEFD]], 0)</f>
        <v>0</v>
      </c>
      <c r="AI224" s="68">
        <f>IFERROR((ReviewCalcs[[#This Row],[Proposed Fixture Quantity]]*ReviewCalcs[[#This Row],[Proposed Fixture Watts]]/1000)*ReviewCalcs[[#This Row],[Existing CF]]*ReviewCalcs[[#This Row],[IEFD]], 0)</f>
        <v>0</v>
      </c>
      <c r="AJ224" s="118">
        <f>IFERROR((ReviewCalcs[[#This Row],[Existing Fixture Quantity]]*ReviewCalcs[[#This Row],[Existing Fixture Watts]]/1000-ReviewCalcs[[#This Row],[Proposed Fixture Quantity]]*ReviewCalcs[[#This Row],[Proposed Fixture Watts]]/1000)*ReviewCalcs[[#This Row],[Existing CF]]*ReviewCalcs[[#This Row],[IEFD]], 0)</f>
        <v>0</v>
      </c>
      <c r="AK224" s="118">
        <f>IFERROR((ReviewCalcs[[#This Row],[Existing Fixture Quantity]]*ReviewCalcs[[#This Row],[Existing Fixture Watts]]/1000)*ReviewCalcs[[#This Row],[AOH]]*ReviewCalcs[[#This Row],[IEFE]]*ReviewCalcs[[#This Row],[Existing PAF]], 0)</f>
        <v>0</v>
      </c>
      <c r="AL224" s="118">
        <f>IFERROR((ReviewCalcs[[#This Row],[Proposed Fixture Quantity]]*ReviewCalcs[[#This Row],[Proposed Fixture Watts]]/1000)*ReviewCalcs[[#This Row],[AOH]]*ReviewCalcs[[#This Row],[IEFE]]*ReviewCalcs[[#This Row],[Existing PAF]], 0)</f>
        <v>0</v>
      </c>
      <c r="AM22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4" s="118">
        <f>ReviewCalcs[[#This Row],[Fixture Existing Energy (kWh)]]*Avg_KWh_Rate</f>
        <v>0</v>
      </c>
      <c r="AO224" s="118">
        <f>ReviewCalcs[[#This Row],[Fixture Proposed Energy (kWh)]]*Avg_KWh_Rate</f>
        <v>0</v>
      </c>
      <c r="AP224" s="70">
        <f>ReviewCalcs[[#This Row],[Fixture Energy Savings]]*Avg_KWh_Rate</f>
        <v>0</v>
      </c>
      <c r="AQ224" s="129" t="e">
        <f>ReviewCalcs[[#This Row],[Existing Fixture Quantity]]*ReviewCalcs[[#This Row],[Existing Fixture Watts]]/1000*ReviewCalcs[[#This Row],[Existing CF]]*ReviewCalcs[[#This Row],[IEFD]]</f>
        <v>#VALUE!</v>
      </c>
      <c r="AR224" s="129" t="e">
        <f>ReviewCalcs[[#This Row],[Proposed Fixture Quantity]]*ReviewCalcs[[#This Row],[Proposed Fixture Watts]]/1000*ReviewCalcs[[#This Row],[Proposed CF]]*ReviewCalcs[[#This Row],[IEFD]]</f>
        <v>#VALUE!</v>
      </c>
      <c r="AS224" s="118">
        <f>IF(ReviewCalcs[[#This Row],[Existing CF]]=ReviewCalcs[[#This Row],[Proposed CF]], 0, ReviewCalcs[[#This Row],[Proposed Fixture Quantity]]*ReviewCalcs[[#This Row],[Proposed Fixture Watts]]/1000*ReviewCalcs[[#This Row],[Proposed CF]]*ReviewCalcs[[#This Row],[IEFD]])</f>
        <v>0</v>
      </c>
      <c r="AT224" s="118">
        <f>IFERROR(ReviewCalcs[[#This Row],[Existing Fixture Quantity]]*ReviewCalcs[[#This Row],[Existing Fixture Watts]]/1000*ReviewCalcs[[#This Row],[Existing PAF]]*ReviewCalcs[[#This Row],[AOH]]*ReviewCalcs[[#This Row],[IEFE]], 0)</f>
        <v>0</v>
      </c>
      <c r="AU224" s="118">
        <f>IFERROR(ReviewCalcs[[#This Row],[Proposed Fixture Quantity]]*ReviewCalcs[[#This Row],[Proposed Fixture Watts]]/1000*ReviewCalcs[[#This Row],[Proposed PAF]]*ReviewCalcs[[#This Row],[AOH]]*ReviewCalcs[[#This Row],[IEFE]], 0)</f>
        <v>0</v>
      </c>
      <c r="AV224" s="118">
        <f>IFERROR(ReviewCalcs[[#This Row],[Proposed Fixture Quantity]]*ReviewCalcs[[#This Row],[Proposed Fixture Watts]]/1000*(ReviewCalcs[[#This Row],[Existing PAF]]-ReviewCalcs[[#This Row],[Proposed PAF]])*ReviewCalcs[[#This Row],[AOH]]*ReviewCalcs[[#This Row],[IEFE]], 0)</f>
        <v>0</v>
      </c>
      <c r="AW224" s="118">
        <f>ReviewCalcs[[#This Row],[Control Existing Energy (kWh)]]*kWh_Incentive_Rate</f>
        <v>0</v>
      </c>
      <c r="AX224" s="118">
        <f>ReviewCalcs[[#This Row],[Control Proposed Energy (kWh)]]*kWh_Incentive_Rate</f>
        <v>0</v>
      </c>
      <c r="AY224" s="70">
        <f>ReviewCalcs[[#This Row],[Control Energy Savings (kWh)]]*kWh_Incentive_Rate</f>
        <v>0</v>
      </c>
      <c r="AZ224" s="70" t="e">
        <f>ReviewCalcs[[#This Row],[Fixture Existing Demand (kW)]]+ReviewCalcs[[#This Row],[Control Existing Demand (kW)]]</f>
        <v>#VALUE!</v>
      </c>
      <c r="BA224" s="70" t="e">
        <f>ReviewCalcs[[#This Row],[Fixture Proposed Demand (kW)]]+ReviewCalcs[[#This Row],[Control Proposed Demand (kW)]]</f>
        <v>#VALUE!</v>
      </c>
      <c r="BB224" s="118">
        <f>ReviewCalcs[[#This Row],[Fixture Demand Savings (kW)]]+ReviewCalcs[[#This Row],[Control Demand Savings (kW)]]</f>
        <v>0</v>
      </c>
      <c r="BC224" s="118">
        <f>ReviewCalcs[[#This Row],[Fixture Existing Energy (kWh)]]+ReviewCalcs[[#This Row],[Control Existing Energy (kWh)]]</f>
        <v>0</v>
      </c>
      <c r="BD224" s="118">
        <f>ReviewCalcs[[#This Row],[Fixture Proposed Energy (kWh)]]+ReviewCalcs[[#This Row],[Control Proposed Energy (kWh)]]</f>
        <v>0</v>
      </c>
      <c r="BE224" s="118">
        <f>ReviewCalcs[[#This Row],[Fixture Energy Savings]]+ReviewCalcs[[#This Row],[Control Energy Savings (kWh)]]</f>
        <v>0</v>
      </c>
      <c r="BF224" s="118">
        <f>ReviewCalcs[[#This Row],[Fixture Existing Cost ($)]]+ReviewCalcs[[#This Row],[Control Existing Cost ($)]]</f>
        <v>0</v>
      </c>
      <c r="BG224" s="118">
        <f>ReviewCalcs[[#This Row],[Fixture Proposed Cost ($)]]+ReviewCalcs[[#This Row],[Controls Proposed Cost ($)]]</f>
        <v>0</v>
      </c>
      <c r="BH224" s="70">
        <f>ReviewCalcs[[#This Row],[Total Energy Savings (kWh)]]*Avg_KWh_Rate</f>
        <v>0</v>
      </c>
      <c r="BI22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4" s="70">
        <f>ReviewCalcs[[#This Row],[Retrofit Cost]]</f>
        <v>0</v>
      </c>
      <c r="BK224" s="70">
        <f>ReviewCalcs[[#This Row],[Retrofit Cost]]-ReviewCalcs[[#This Row],[Incentive ($)]]</f>
        <v>0</v>
      </c>
      <c r="BL224" s="118" t="e">
        <f>IFERROR(ReviewCalcs[[#This Row],[Net Project Cost ($)]]/ReviewCalcs[[#This Row],[Fixture Energy Cost Savings ($)]], #N/A)</f>
        <v>#N/A</v>
      </c>
      <c r="BM224" s="118" t="e">
        <f>IF(VLOOKUP(ReviewCalcs[[#This Row],[Existing Fixture Code]], Table7[[FIXTURE CODE]:[Baseline Fixture Code]], 8, FALSE)="N", VLOOKUP(ReviewCalcs[[#This Row],[Existing Fixture Code]], Table7[[FIXTURE CODE]:[Baseline Fixture Code]], 9, FALSE), ReviewCalcs[[#This Row],[Existing Fixture Code]])</f>
        <v>#N/A</v>
      </c>
      <c r="BN224" s="118" t="e">
        <f>INDEX(Table7[WATT/ FIXT], MATCH(ReviewCalcs[Baseline Fixture Code], Table7[FIXTURE CODE], 0))</f>
        <v>#N/A</v>
      </c>
      <c r="BO224" s="118">
        <f>IFERROR((ReviewCalcs[[#This Row],[Existing Fixture Quantity]]*ReviewCalcs[[#This Row],[Baseline Fixture Watts]]/1000-ReviewCalcs[[#This Row],[Proposed Fixture Quantity]]*ReviewCalcs[[#This Row],[Proposed Fixture Watts]]/1000)*ReviewCalcs[[#This Row],[Existing CF]]*ReviewCalcs[[#This Row],[IEFD]], 0)</f>
        <v>0</v>
      </c>
      <c r="BP22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4" s="118">
        <f>IF(ReviewCalcs[[#This Row],[Existing CF]]=ReviewCalcs[[#This Row],[Proposed CF]], 0, ReviewCalcs[[#This Row],[Proposed Fixture Quantity]]*ReviewCalcs[[#This Row],[Proposed Fixture Watts]]/1000*ReviewCalcs[[#This Row],[Proposed CF]]*ReviewCalcs[[#This Row],[IEFD]])</f>
        <v>0</v>
      </c>
      <c r="BR224" s="118">
        <f>IFERROR(ReviewCalcs[[#This Row],[Proposed Fixture Quantity]]*ReviewCalcs[[#This Row],[Proposed Fixture Watts]]/1000*(ReviewCalcs[[#This Row],[Existing PAF]]-ReviewCalcs[[#This Row],[Proposed PAF]])*ReviewCalcs[[#This Row],[AOH]]*ReviewCalcs[[#This Row],[IEFE]],0)</f>
        <v>0</v>
      </c>
      <c r="BS224" s="118">
        <f>ReviewCalcs[[#This Row],[Incentive Fixture Demand Savings (kW)]]+ReviewCalcs[[#This Row],[Incentive Control Demand Savings (kW)]]</f>
        <v>0</v>
      </c>
      <c r="BT224" s="118">
        <f>ReviewCalcs[[#This Row],[Incentive Fixture Energy Savings (kWh)]]+ReviewCalcs[[#This Row],[Incentive Control Energy Savings (kWh)]]</f>
        <v>0</v>
      </c>
      <c r="BU224" s="73"/>
    </row>
    <row r="225" spans="1:73" ht="30" customHeight="1">
      <c r="A225" s="68">
        <v>222</v>
      </c>
      <c r="B225" s="96">
        <f>VLOOKUP(ReviewCalcs[[#This Row],[Project Index]], ProjectInput[], D$1, FALSE)</f>
        <v>0</v>
      </c>
      <c r="C225" s="97">
        <f>VLOOKUP(ReviewCalcs[[#This Row],[Project Index]], ProjectInput[], E$1, FALSE)</f>
        <v>0</v>
      </c>
      <c r="D225" s="97">
        <f>VLOOKUP(ReviewCalcs[[#This Row],[Project Index]], ProjectInput[], F$1, FALSE)</f>
        <v>0</v>
      </c>
      <c r="E225" s="97">
        <f>VLOOKUP(ReviewCalcs[[#This Row],[Project Index]], ProjectInput[], G$1, FALSE)</f>
        <v>0</v>
      </c>
      <c r="F225" s="97">
        <f>VLOOKUP(ReviewCalcs[[#This Row],[Project Index]], ProjectInput[], H$1, FALSE)</f>
        <v>0</v>
      </c>
      <c r="G225" s="98" t="str">
        <f>VLOOKUP(ReviewCalcs[[#This Row],[Project Index]], ProjectInput[], I$1, FALSE)</f>
        <v/>
      </c>
      <c r="H225" s="96">
        <f>VLOOKUP(ReviewCalcs[[#This Row],[Project Index]], ProjectInput[], J$1, FALSE)</f>
        <v>0</v>
      </c>
      <c r="I225" s="97">
        <f>VLOOKUP(ReviewCalcs[[#This Row],[Project Index]], ProjectInput[], K$1, FALSE)</f>
        <v>0</v>
      </c>
      <c r="J225" s="97">
        <f>VLOOKUP(ReviewCalcs[[#This Row],[Project Index]], ProjectInput[], L$1, FALSE)</f>
        <v>0</v>
      </c>
      <c r="K225" s="97">
        <f>VLOOKUP(ReviewCalcs[[#This Row],[Project Index]], ProjectInput[], M$1, FALSE)</f>
        <v>0</v>
      </c>
      <c r="L225" s="97">
        <f>VLOOKUP(ReviewCalcs[[#This Row],[Project Index]], ProjectInput[], N$1, FALSE)</f>
        <v>0</v>
      </c>
      <c r="M225" s="98" t="str">
        <f>VLOOKUP(ReviewCalcs[[#This Row],[Project Index]], ProjectInput[], O$1, FALSE)</f>
        <v/>
      </c>
      <c r="N225" s="96">
        <f>VLOOKUP(ReviewCalcs[[#This Row],[Project Index]], ProjectInput[], P$1, FALSE)</f>
        <v>0</v>
      </c>
      <c r="O225" s="97">
        <f>VLOOKUP(ReviewCalcs[[#This Row],[Project Index]], ProjectInput[], Q$1, FALSE)</f>
        <v>0</v>
      </c>
      <c r="P225" s="97">
        <f>VLOOKUP(ReviewCalcs[[#This Row],[Project Index]], ProjectInput[], R$1, FALSE)</f>
        <v>0</v>
      </c>
      <c r="Q225" s="97">
        <f>VLOOKUP(ReviewCalcs[[#This Row],[Project Index]], ProjectInput[], S$1, FALSE)</f>
        <v>0</v>
      </c>
      <c r="R225" s="97">
        <f>VLOOKUP(ReviewCalcs[[#This Row],[Project Index]], ProjectInput[], T$1, FALSE)</f>
        <v>0</v>
      </c>
      <c r="S225" s="97">
        <f>VLOOKUP(ReviewCalcs[[#This Row],[Project Index]], ProjectInput[], U$1, FALSE)</f>
        <v>0</v>
      </c>
      <c r="T225" s="97">
        <f>VLOOKUP(ReviewCalcs[[#This Row],[Project Index]], ProjectInput[], V$1, FALSE)</f>
        <v>0</v>
      </c>
      <c r="U225" s="97">
        <f>VLOOKUP(ReviewCalcs[[#This Row],[Project Index]], ProjectInput[], W$1, FALSE)</f>
        <v>0</v>
      </c>
      <c r="V225" s="98" t="str">
        <f>VLOOKUP(ReviewCalcs[[#This Row],[Project Index]], ProjectInput[], X$1, FALSE)</f>
        <v/>
      </c>
      <c r="W22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5" s="75" t="e">
        <f>IF(VLOOKUP(ReviewCalcs[[#This Row],[Proposed Fixture Code]], Table7[[FIXTURE CODE]:[Baseline Fixture Code]], 8, FALSE)="N", "ERROR", "PASS")</f>
        <v>#N/A</v>
      </c>
      <c r="Y22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5" s="75" t="e">
        <f>IF(OR(ReviewCalcs[[#This Row],[Baseline Fixture Watts]]&gt;=ReviewCalcs[[#This Row],[Proposed Fixture Watts]],ReviewCalcs[[#This Row],[Existing Fixture Watts]]&gt;=ReviewCalcs[[#This Row],[Proposed Fixture Watts]] ), "PASS", "ERROR")</f>
        <v>#N/A</v>
      </c>
      <c r="AA225" s="69" t="e">
        <f>VLOOKUP(ReviewCalcs[[#This Row],[Space Conditions]], Table_365[], 5, FALSE)</f>
        <v>#N/A</v>
      </c>
      <c r="AB225" s="68" t="str">
        <f>ReviewCalcs[[#This Row],[Annual Hours]]</f>
        <v/>
      </c>
      <c r="AC225" s="68" t="e">
        <f>VLOOKUP(ReviewCalcs[[#This Row],[Space Conditions]], Table_365[], 6, FALSE)</f>
        <v>#N/A</v>
      </c>
      <c r="AD225" s="68">
        <f>IF(ReviewCalcs[[#This Row],[Existing Control(s)]]='Tables &amp; Ranges'!$A$25, VLOOKUP(ReviewCalcs[[#This Row],[Building/Space Type]], Table_364[], 3, FALSE), CF_Contols)</f>
        <v>0.26</v>
      </c>
      <c r="AE225" s="68" t="e">
        <f>VLOOKUP(ReviewCalcs[[#This Row],[Existing Control(s)]], Table_358[], 2, FALSE)</f>
        <v>#N/A</v>
      </c>
      <c r="AF225" s="68">
        <f>IF(ReviewCalcs[[#This Row],[Proposed Control(s)]]='Tables &amp; Ranges'!$A$25, VLOOKUP(ReviewCalcs[[#This Row],[Building/Space Type]], Table_364[], 3, FALSE), CF_Contols)</f>
        <v>0.26</v>
      </c>
      <c r="AG225" s="68" t="e">
        <f>VLOOKUP(ReviewCalcs[[#This Row],[Proposed Control(s)]], Table_358[], 2, FALSE)</f>
        <v>#N/A</v>
      </c>
      <c r="AH225" s="68">
        <f>IFERROR((ReviewCalcs[[#This Row],[Existing Fixture Quantity]]*ReviewCalcs[[#This Row],[Existing Fixture Watts]]/1000)*ReviewCalcs[[#This Row],[Existing CF]]*ReviewCalcs[[#This Row],[IEFD]], 0)</f>
        <v>0</v>
      </c>
      <c r="AI225" s="68">
        <f>IFERROR((ReviewCalcs[[#This Row],[Proposed Fixture Quantity]]*ReviewCalcs[[#This Row],[Proposed Fixture Watts]]/1000)*ReviewCalcs[[#This Row],[Existing CF]]*ReviewCalcs[[#This Row],[IEFD]], 0)</f>
        <v>0</v>
      </c>
      <c r="AJ225" s="118">
        <f>IFERROR((ReviewCalcs[[#This Row],[Existing Fixture Quantity]]*ReviewCalcs[[#This Row],[Existing Fixture Watts]]/1000-ReviewCalcs[[#This Row],[Proposed Fixture Quantity]]*ReviewCalcs[[#This Row],[Proposed Fixture Watts]]/1000)*ReviewCalcs[[#This Row],[Existing CF]]*ReviewCalcs[[#This Row],[IEFD]], 0)</f>
        <v>0</v>
      </c>
      <c r="AK225" s="118">
        <f>IFERROR((ReviewCalcs[[#This Row],[Existing Fixture Quantity]]*ReviewCalcs[[#This Row],[Existing Fixture Watts]]/1000)*ReviewCalcs[[#This Row],[AOH]]*ReviewCalcs[[#This Row],[IEFE]]*ReviewCalcs[[#This Row],[Existing PAF]], 0)</f>
        <v>0</v>
      </c>
      <c r="AL225" s="118">
        <f>IFERROR((ReviewCalcs[[#This Row],[Proposed Fixture Quantity]]*ReviewCalcs[[#This Row],[Proposed Fixture Watts]]/1000)*ReviewCalcs[[#This Row],[AOH]]*ReviewCalcs[[#This Row],[IEFE]]*ReviewCalcs[[#This Row],[Existing PAF]], 0)</f>
        <v>0</v>
      </c>
      <c r="AM22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5" s="118">
        <f>ReviewCalcs[[#This Row],[Fixture Existing Energy (kWh)]]*Avg_KWh_Rate</f>
        <v>0</v>
      </c>
      <c r="AO225" s="118">
        <f>ReviewCalcs[[#This Row],[Fixture Proposed Energy (kWh)]]*Avg_KWh_Rate</f>
        <v>0</v>
      </c>
      <c r="AP225" s="70">
        <f>ReviewCalcs[[#This Row],[Fixture Energy Savings]]*Avg_KWh_Rate</f>
        <v>0</v>
      </c>
      <c r="AQ225" s="129" t="e">
        <f>ReviewCalcs[[#This Row],[Existing Fixture Quantity]]*ReviewCalcs[[#This Row],[Existing Fixture Watts]]/1000*ReviewCalcs[[#This Row],[Existing CF]]*ReviewCalcs[[#This Row],[IEFD]]</f>
        <v>#VALUE!</v>
      </c>
      <c r="AR225" s="129" t="e">
        <f>ReviewCalcs[[#This Row],[Proposed Fixture Quantity]]*ReviewCalcs[[#This Row],[Proposed Fixture Watts]]/1000*ReviewCalcs[[#This Row],[Proposed CF]]*ReviewCalcs[[#This Row],[IEFD]]</f>
        <v>#VALUE!</v>
      </c>
      <c r="AS225" s="118">
        <f>IF(ReviewCalcs[[#This Row],[Existing CF]]=ReviewCalcs[[#This Row],[Proposed CF]], 0, ReviewCalcs[[#This Row],[Proposed Fixture Quantity]]*ReviewCalcs[[#This Row],[Proposed Fixture Watts]]/1000*ReviewCalcs[[#This Row],[Proposed CF]]*ReviewCalcs[[#This Row],[IEFD]])</f>
        <v>0</v>
      </c>
      <c r="AT225" s="118">
        <f>IFERROR(ReviewCalcs[[#This Row],[Existing Fixture Quantity]]*ReviewCalcs[[#This Row],[Existing Fixture Watts]]/1000*ReviewCalcs[[#This Row],[Existing PAF]]*ReviewCalcs[[#This Row],[AOH]]*ReviewCalcs[[#This Row],[IEFE]], 0)</f>
        <v>0</v>
      </c>
      <c r="AU225" s="118">
        <f>IFERROR(ReviewCalcs[[#This Row],[Proposed Fixture Quantity]]*ReviewCalcs[[#This Row],[Proposed Fixture Watts]]/1000*ReviewCalcs[[#This Row],[Proposed PAF]]*ReviewCalcs[[#This Row],[AOH]]*ReviewCalcs[[#This Row],[IEFE]], 0)</f>
        <v>0</v>
      </c>
      <c r="AV225" s="118">
        <f>IFERROR(ReviewCalcs[[#This Row],[Proposed Fixture Quantity]]*ReviewCalcs[[#This Row],[Proposed Fixture Watts]]/1000*(ReviewCalcs[[#This Row],[Existing PAF]]-ReviewCalcs[[#This Row],[Proposed PAF]])*ReviewCalcs[[#This Row],[AOH]]*ReviewCalcs[[#This Row],[IEFE]], 0)</f>
        <v>0</v>
      </c>
      <c r="AW225" s="118">
        <f>ReviewCalcs[[#This Row],[Control Existing Energy (kWh)]]*kWh_Incentive_Rate</f>
        <v>0</v>
      </c>
      <c r="AX225" s="118">
        <f>ReviewCalcs[[#This Row],[Control Proposed Energy (kWh)]]*kWh_Incentive_Rate</f>
        <v>0</v>
      </c>
      <c r="AY225" s="70">
        <f>ReviewCalcs[[#This Row],[Control Energy Savings (kWh)]]*kWh_Incentive_Rate</f>
        <v>0</v>
      </c>
      <c r="AZ225" s="70" t="e">
        <f>ReviewCalcs[[#This Row],[Fixture Existing Demand (kW)]]+ReviewCalcs[[#This Row],[Control Existing Demand (kW)]]</f>
        <v>#VALUE!</v>
      </c>
      <c r="BA225" s="70" t="e">
        <f>ReviewCalcs[[#This Row],[Fixture Proposed Demand (kW)]]+ReviewCalcs[[#This Row],[Control Proposed Demand (kW)]]</f>
        <v>#VALUE!</v>
      </c>
      <c r="BB225" s="118">
        <f>ReviewCalcs[[#This Row],[Fixture Demand Savings (kW)]]+ReviewCalcs[[#This Row],[Control Demand Savings (kW)]]</f>
        <v>0</v>
      </c>
      <c r="BC225" s="118">
        <f>ReviewCalcs[[#This Row],[Fixture Existing Energy (kWh)]]+ReviewCalcs[[#This Row],[Control Existing Energy (kWh)]]</f>
        <v>0</v>
      </c>
      <c r="BD225" s="118">
        <f>ReviewCalcs[[#This Row],[Fixture Proposed Energy (kWh)]]+ReviewCalcs[[#This Row],[Control Proposed Energy (kWh)]]</f>
        <v>0</v>
      </c>
      <c r="BE225" s="118">
        <f>ReviewCalcs[[#This Row],[Fixture Energy Savings]]+ReviewCalcs[[#This Row],[Control Energy Savings (kWh)]]</f>
        <v>0</v>
      </c>
      <c r="BF225" s="118">
        <f>ReviewCalcs[[#This Row],[Fixture Existing Cost ($)]]+ReviewCalcs[[#This Row],[Control Existing Cost ($)]]</f>
        <v>0</v>
      </c>
      <c r="BG225" s="118">
        <f>ReviewCalcs[[#This Row],[Fixture Proposed Cost ($)]]+ReviewCalcs[[#This Row],[Controls Proposed Cost ($)]]</f>
        <v>0</v>
      </c>
      <c r="BH225" s="70">
        <f>ReviewCalcs[[#This Row],[Total Energy Savings (kWh)]]*Avg_KWh_Rate</f>
        <v>0</v>
      </c>
      <c r="BI22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5" s="70">
        <f>ReviewCalcs[[#This Row],[Retrofit Cost]]</f>
        <v>0</v>
      </c>
      <c r="BK225" s="70">
        <f>ReviewCalcs[[#This Row],[Retrofit Cost]]-ReviewCalcs[[#This Row],[Incentive ($)]]</f>
        <v>0</v>
      </c>
      <c r="BL225" s="118" t="e">
        <f>IFERROR(ReviewCalcs[[#This Row],[Net Project Cost ($)]]/ReviewCalcs[[#This Row],[Fixture Energy Cost Savings ($)]], #N/A)</f>
        <v>#N/A</v>
      </c>
      <c r="BM225" s="118" t="e">
        <f>IF(VLOOKUP(ReviewCalcs[[#This Row],[Existing Fixture Code]], Table7[[FIXTURE CODE]:[Baseline Fixture Code]], 8, FALSE)="N", VLOOKUP(ReviewCalcs[[#This Row],[Existing Fixture Code]], Table7[[FIXTURE CODE]:[Baseline Fixture Code]], 9, FALSE), ReviewCalcs[[#This Row],[Existing Fixture Code]])</f>
        <v>#N/A</v>
      </c>
      <c r="BN225" s="118" t="e">
        <f>INDEX(Table7[WATT/ FIXT], MATCH(ReviewCalcs[Baseline Fixture Code], Table7[FIXTURE CODE], 0))</f>
        <v>#N/A</v>
      </c>
      <c r="BO225" s="118">
        <f>IFERROR((ReviewCalcs[[#This Row],[Existing Fixture Quantity]]*ReviewCalcs[[#This Row],[Baseline Fixture Watts]]/1000-ReviewCalcs[[#This Row],[Proposed Fixture Quantity]]*ReviewCalcs[[#This Row],[Proposed Fixture Watts]]/1000)*ReviewCalcs[[#This Row],[Existing CF]]*ReviewCalcs[[#This Row],[IEFD]], 0)</f>
        <v>0</v>
      </c>
      <c r="BP22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5" s="118">
        <f>IF(ReviewCalcs[[#This Row],[Existing CF]]=ReviewCalcs[[#This Row],[Proposed CF]], 0, ReviewCalcs[[#This Row],[Proposed Fixture Quantity]]*ReviewCalcs[[#This Row],[Proposed Fixture Watts]]/1000*ReviewCalcs[[#This Row],[Proposed CF]]*ReviewCalcs[[#This Row],[IEFD]])</f>
        <v>0</v>
      </c>
      <c r="BR225" s="118">
        <f>IFERROR(ReviewCalcs[[#This Row],[Proposed Fixture Quantity]]*ReviewCalcs[[#This Row],[Proposed Fixture Watts]]/1000*(ReviewCalcs[[#This Row],[Existing PAF]]-ReviewCalcs[[#This Row],[Proposed PAF]])*ReviewCalcs[[#This Row],[AOH]]*ReviewCalcs[[#This Row],[IEFE]],0)</f>
        <v>0</v>
      </c>
      <c r="BS225" s="118">
        <f>ReviewCalcs[[#This Row],[Incentive Fixture Demand Savings (kW)]]+ReviewCalcs[[#This Row],[Incentive Control Demand Savings (kW)]]</f>
        <v>0</v>
      </c>
      <c r="BT225" s="118">
        <f>ReviewCalcs[[#This Row],[Incentive Fixture Energy Savings (kWh)]]+ReviewCalcs[[#This Row],[Incentive Control Energy Savings (kWh)]]</f>
        <v>0</v>
      </c>
      <c r="BU225" s="73"/>
    </row>
    <row r="226" spans="1:73" ht="30" customHeight="1">
      <c r="A226" s="68">
        <v>223</v>
      </c>
      <c r="B226" s="96">
        <f>VLOOKUP(ReviewCalcs[[#This Row],[Project Index]], ProjectInput[], D$1, FALSE)</f>
        <v>0</v>
      </c>
      <c r="C226" s="97">
        <f>VLOOKUP(ReviewCalcs[[#This Row],[Project Index]], ProjectInput[], E$1, FALSE)</f>
        <v>0</v>
      </c>
      <c r="D226" s="97">
        <f>VLOOKUP(ReviewCalcs[[#This Row],[Project Index]], ProjectInput[], F$1, FALSE)</f>
        <v>0</v>
      </c>
      <c r="E226" s="97">
        <f>VLOOKUP(ReviewCalcs[[#This Row],[Project Index]], ProjectInput[], G$1, FALSE)</f>
        <v>0</v>
      </c>
      <c r="F226" s="97">
        <f>VLOOKUP(ReviewCalcs[[#This Row],[Project Index]], ProjectInput[], H$1, FALSE)</f>
        <v>0</v>
      </c>
      <c r="G226" s="98" t="str">
        <f>VLOOKUP(ReviewCalcs[[#This Row],[Project Index]], ProjectInput[], I$1, FALSE)</f>
        <v/>
      </c>
      <c r="H226" s="96">
        <f>VLOOKUP(ReviewCalcs[[#This Row],[Project Index]], ProjectInput[], J$1, FALSE)</f>
        <v>0</v>
      </c>
      <c r="I226" s="97">
        <f>VLOOKUP(ReviewCalcs[[#This Row],[Project Index]], ProjectInput[], K$1, FALSE)</f>
        <v>0</v>
      </c>
      <c r="J226" s="97">
        <f>VLOOKUP(ReviewCalcs[[#This Row],[Project Index]], ProjectInput[], L$1, FALSE)</f>
        <v>0</v>
      </c>
      <c r="K226" s="97">
        <f>VLOOKUP(ReviewCalcs[[#This Row],[Project Index]], ProjectInput[], M$1, FALSE)</f>
        <v>0</v>
      </c>
      <c r="L226" s="97">
        <f>VLOOKUP(ReviewCalcs[[#This Row],[Project Index]], ProjectInput[], N$1, FALSE)</f>
        <v>0</v>
      </c>
      <c r="M226" s="98" t="str">
        <f>VLOOKUP(ReviewCalcs[[#This Row],[Project Index]], ProjectInput[], O$1, FALSE)</f>
        <v/>
      </c>
      <c r="N226" s="96">
        <f>VLOOKUP(ReviewCalcs[[#This Row],[Project Index]], ProjectInput[], P$1, FALSE)</f>
        <v>0</v>
      </c>
      <c r="O226" s="97">
        <f>VLOOKUP(ReviewCalcs[[#This Row],[Project Index]], ProjectInput[], Q$1, FALSE)</f>
        <v>0</v>
      </c>
      <c r="P226" s="97">
        <f>VLOOKUP(ReviewCalcs[[#This Row],[Project Index]], ProjectInput[], R$1, FALSE)</f>
        <v>0</v>
      </c>
      <c r="Q226" s="97">
        <f>VLOOKUP(ReviewCalcs[[#This Row],[Project Index]], ProjectInput[], S$1, FALSE)</f>
        <v>0</v>
      </c>
      <c r="R226" s="97">
        <f>VLOOKUP(ReviewCalcs[[#This Row],[Project Index]], ProjectInput[], T$1, FALSE)</f>
        <v>0</v>
      </c>
      <c r="S226" s="97">
        <f>VLOOKUP(ReviewCalcs[[#This Row],[Project Index]], ProjectInput[], U$1, FALSE)</f>
        <v>0</v>
      </c>
      <c r="T226" s="97">
        <f>VLOOKUP(ReviewCalcs[[#This Row],[Project Index]], ProjectInput[], V$1, FALSE)</f>
        <v>0</v>
      </c>
      <c r="U226" s="97">
        <f>VLOOKUP(ReviewCalcs[[#This Row],[Project Index]], ProjectInput[], W$1, FALSE)</f>
        <v>0</v>
      </c>
      <c r="V226" s="98" t="str">
        <f>VLOOKUP(ReviewCalcs[[#This Row],[Project Index]], ProjectInput[], X$1, FALSE)</f>
        <v/>
      </c>
      <c r="W22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6" s="75" t="e">
        <f>IF(VLOOKUP(ReviewCalcs[[#This Row],[Proposed Fixture Code]], Table7[[FIXTURE CODE]:[Baseline Fixture Code]], 8, FALSE)="N", "ERROR", "PASS")</f>
        <v>#N/A</v>
      </c>
      <c r="Y22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6" s="75" t="e">
        <f>IF(OR(ReviewCalcs[[#This Row],[Baseline Fixture Watts]]&gt;=ReviewCalcs[[#This Row],[Proposed Fixture Watts]],ReviewCalcs[[#This Row],[Existing Fixture Watts]]&gt;=ReviewCalcs[[#This Row],[Proposed Fixture Watts]] ), "PASS", "ERROR")</f>
        <v>#N/A</v>
      </c>
      <c r="AA226" s="69" t="e">
        <f>VLOOKUP(ReviewCalcs[[#This Row],[Space Conditions]], Table_365[], 5, FALSE)</f>
        <v>#N/A</v>
      </c>
      <c r="AB226" s="68" t="str">
        <f>ReviewCalcs[[#This Row],[Annual Hours]]</f>
        <v/>
      </c>
      <c r="AC226" s="68" t="e">
        <f>VLOOKUP(ReviewCalcs[[#This Row],[Space Conditions]], Table_365[], 6, FALSE)</f>
        <v>#N/A</v>
      </c>
      <c r="AD226" s="68">
        <f>IF(ReviewCalcs[[#This Row],[Existing Control(s)]]='Tables &amp; Ranges'!$A$25, VLOOKUP(ReviewCalcs[[#This Row],[Building/Space Type]], Table_364[], 3, FALSE), CF_Contols)</f>
        <v>0.26</v>
      </c>
      <c r="AE226" s="68" t="e">
        <f>VLOOKUP(ReviewCalcs[[#This Row],[Existing Control(s)]], Table_358[], 2, FALSE)</f>
        <v>#N/A</v>
      </c>
      <c r="AF226" s="68">
        <f>IF(ReviewCalcs[[#This Row],[Proposed Control(s)]]='Tables &amp; Ranges'!$A$25, VLOOKUP(ReviewCalcs[[#This Row],[Building/Space Type]], Table_364[], 3, FALSE), CF_Contols)</f>
        <v>0.26</v>
      </c>
      <c r="AG226" s="68" t="e">
        <f>VLOOKUP(ReviewCalcs[[#This Row],[Proposed Control(s)]], Table_358[], 2, FALSE)</f>
        <v>#N/A</v>
      </c>
      <c r="AH226" s="68">
        <f>IFERROR((ReviewCalcs[[#This Row],[Existing Fixture Quantity]]*ReviewCalcs[[#This Row],[Existing Fixture Watts]]/1000)*ReviewCalcs[[#This Row],[Existing CF]]*ReviewCalcs[[#This Row],[IEFD]], 0)</f>
        <v>0</v>
      </c>
      <c r="AI226" s="68">
        <f>IFERROR((ReviewCalcs[[#This Row],[Proposed Fixture Quantity]]*ReviewCalcs[[#This Row],[Proposed Fixture Watts]]/1000)*ReviewCalcs[[#This Row],[Existing CF]]*ReviewCalcs[[#This Row],[IEFD]], 0)</f>
        <v>0</v>
      </c>
      <c r="AJ226" s="118">
        <f>IFERROR((ReviewCalcs[[#This Row],[Existing Fixture Quantity]]*ReviewCalcs[[#This Row],[Existing Fixture Watts]]/1000-ReviewCalcs[[#This Row],[Proposed Fixture Quantity]]*ReviewCalcs[[#This Row],[Proposed Fixture Watts]]/1000)*ReviewCalcs[[#This Row],[Existing CF]]*ReviewCalcs[[#This Row],[IEFD]], 0)</f>
        <v>0</v>
      </c>
      <c r="AK226" s="118">
        <f>IFERROR((ReviewCalcs[[#This Row],[Existing Fixture Quantity]]*ReviewCalcs[[#This Row],[Existing Fixture Watts]]/1000)*ReviewCalcs[[#This Row],[AOH]]*ReviewCalcs[[#This Row],[IEFE]]*ReviewCalcs[[#This Row],[Existing PAF]], 0)</f>
        <v>0</v>
      </c>
      <c r="AL226" s="118">
        <f>IFERROR((ReviewCalcs[[#This Row],[Proposed Fixture Quantity]]*ReviewCalcs[[#This Row],[Proposed Fixture Watts]]/1000)*ReviewCalcs[[#This Row],[AOH]]*ReviewCalcs[[#This Row],[IEFE]]*ReviewCalcs[[#This Row],[Existing PAF]], 0)</f>
        <v>0</v>
      </c>
      <c r="AM22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6" s="118">
        <f>ReviewCalcs[[#This Row],[Fixture Existing Energy (kWh)]]*Avg_KWh_Rate</f>
        <v>0</v>
      </c>
      <c r="AO226" s="118">
        <f>ReviewCalcs[[#This Row],[Fixture Proposed Energy (kWh)]]*Avg_KWh_Rate</f>
        <v>0</v>
      </c>
      <c r="AP226" s="70">
        <f>ReviewCalcs[[#This Row],[Fixture Energy Savings]]*Avg_KWh_Rate</f>
        <v>0</v>
      </c>
      <c r="AQ226" s="129" t="e">
        <f>ReviewCalcs[[#This Row],[Existing Fixture Quantity]]*ReviewCalcs[[#This Row],[Existing Fixture Watts]]/1000*ReviewCalcs[[#This Row],[Existing CF]]*ReviewCalcs[[#This Row],[IEFD]]</f>
        <v>#VALUE!</v>
      </c>
      <c r="AR226" s="129" t="e">
        <f>ReviewCalcs[[#This Row],[Proposed Fixture Quantity]]*ReviewCalcs[[#This Row],[Proposed Fixture Watts]]/1000*ReviewCalcs[[#This Row],[Proposed CF]]*ReviewCalcs[[#This Row],[IEFD]]</f>
        <v>#VALUE!</v>
      </c>
      <c r="AS226" s="118">
        <f>IF(ReviewCalcs[[#This Row],[Existing CF]]=ReviewCalcs[[#This Row],[Proposed CF]], 0, ReviewCalcs[[#This Row],[Proposed Fixture Quantity]]*ReviewCalcs[[#This Row],[Proposed Fixture Watts]]/1000*ReviewCalcs[[#This Row],[Proposed CF]]*ReviewCalcs[[#This Row],[IEFD]])</f>
        <v>0</v>
      </c>
      <c r="AT226" s="118">
        <f>IFERROR(ReviewCalcs[[#This Row],[Existing Fixture Quantity]]*ReviewCalcs[[#This Row],[Existing Fixture Watts]]/1000*ReviewCalcs[[#This Row],[Existing PAF]]*ReviewCalcs[[#This Row],[AOH]]*ReviewCalcs[[#This Row],[IEFE]], 0)</f>
        <v>0</v>
      </c>
      <c r="AU226" s="118">
        <f>IFERROR(ReviewCalcs[[#This Row],[Proposed Fixture Quantity]]*ReviewCalcs[[#This Row],[Proposed Fixture Watts]]/1000*ReviewCalcs[[#This Row],[Proposed PAF]]*ReviewCalcs[[#This Row],[AOH]]*ReviewCalcs[[#This Row],[IEFE]], 0)</f>
        <v>0</v>
      </c>
      <c r="AV226" s="118">
        <f>IFERROR(ReviewCalcs[[#This Row],[Proposed Fixture Quantity]]*ReviewCalcs[[#This Row],[Proposed Fixture Watts]]/1000*(ReviewCalcs[[#This Row],[Existing PAF]]-ReviewCalcs[[#This Row],[Proposed PAF]])*ReviewCalcs[[#This Row],[AOH]]*ReviewCalcs[[#This Row],[IEFE]], 0)</f>
        <v>0</v>
      </c>
      <c r="AW226" s="118">
        <f>ReviewCalcs[[#This Row],[Control Existing Energy (kWh)]]*kWh_Incentive_Rate</f>
        <v>0</v>
      </c>
      <c r="AX226" s="118">
        <f>ReviewCalcs[[#This Row],[Control Proposed Energy (kWh)]]*kWh_Incentive_Rate</f>
        <v>0</v>
      </c>
      <c r="AY226" s="70">
        <f>ReviewCalcs[[#This Row],[Control Energy Savings (kWh)]]*kWh_Incentive_Rate</f>
        <v>0</v>
      </c>
      <c r="AZ226" s="70" t="e">
        <f>ReviewCalcs[[#This Row],[Fixture Existing Demand (kW)]]+ReviewCalcs[[#This Row],[Control Existing Demand (kW)]]</f>
        <v>#VALUE!</v>
      </c>
      <c r="BA226" s="70" t="e">
        <f>ReviewCalcs[[#This Row],[Fixture Proposed Demand (kW)]]+ReviewCalcs[[#This Row],[Control Proposed Demand (kW)]]</f>
        <v>#VALUE!</v>
      </c>
      <c r="BB226" s="118">
        <f>ReviewCalcs[[#This Row],[Fixture Demand Savings (kW)]]+ReviewCalcs[[#This Row],[Control Demand Savings (kW)]]</f>
        <v>0</v>
      </c>
      <c r="BC226" s="118">
        <f>ReviewCalcs[[#This Row],[Fixture Existing Energy (kWh)]]+ReviewCalcs[[#This Row],[Control Existing Energy (kWh)]]</f>
        <v>0</v>
      </c>
      <c r="BD226" s="118">
        <f>ReviewCalcs[[#This Row],[Fixture Proposed Energy (kWh)]]+ReviewCalcs[[#This Row],[Control Proposed Energy (kWh)]]</f>
        <v>0</v>
      </c>
      <c r="BE226" s="118">
        <f>ReviewCalcs[[#This Row],[Fixture Energy Savings]]+ReviewCalcs[[#This Row],[Control Energy Savings (kWh)]]</f>
        <v>0</v>
      </c>
      <c r="BF226" s="118">
        <f>ReviewCalcs[[#This Row],[Fixture Existing Cost ($)]]+ReviewCalcs[[#This Row],[Control Existing Cost ($)]]</f>
        <v>0</v>
      </c>
      <c r="BG226" s="118">
        <f>ReviewCalcs[[#This Row],[Fixture Proposed Cost ($)]]+ReviewCalcs[[#This Row],[Controls Proposed Cost ($)]]</f>
        <v>0</v>
      </c>
      <c r="BH226" s="70">
        <f>ReviewCalcs[[#This Row],[Total Energy Savings (kWh)]]*Avg_KWh_Rate</f>
        <v>0</v>
      </c>
      <c r="BI22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6" s="70">
        <f>ReviewCalcs[[#This Row],[Retrofit Cost]]</f>
        <v>0</v>
      </c>
      <c r="BK226" s="70">
        <f>ReviewCalcs[[#This Row],[Retrofit Cost]]-ReviewCalcs[[#This Row],[Incentive ($)]]</f>
        <v>0</v>
      </c>
      <c r="BL226" s="118" t="e">
        <f>IFERROR(ReviewCalcs[[#This Row],[Net Project Cost ($)]]/ReviewCalcs[[#This Row],[Fixture Energy Cost Savings ($)]], #N/A)</f>
        <v>#N/A</v>
      </c>
      <c r="BM226" s="118" t="e">
        <f>IF(VLOOKUP(ReviewCalcs[[#This Row],[Existing Fixture Code]], Table7[[FIXTURE CODE]:[Baseline Fixture Code]], 8, FALSE)="N", VLOOKUP(ReviewCalcs[[#This Row],[Existing Fixture Code]], Table7[[FIXTURE CODE]:[Baseline Fixture Code]], 9, FALSE), ReviewCalcs[[#This Row],[Existing Fixture Code]])</f>
        <v>#N/A</v>
      </c>
      <c r="BN226" s="118" t="e">
        <f>INDEX(Table7[WATT/ FIXT], MATCH(ReviewCalcs[Baseline Fixture Code], Table7[FIXTURE CODE], 0))</f>
        <v>#N/A</v>
      </c>
      <c r="BO226" s="118">
        <f>IFERROR((ReviewCalcs[[#This Row],[Existing Fixture Quantity]]*ReviewCalcs[[#This Row],[Baseline Fixture Watts]]/1000-ReviewCalcs[[#This Row],[Proposed Fixture Quantity]]*ReviewCalcs[[#This Row],[Proposed Fixture Watts]]/1000)*ReviewCalcs[[#This Row],[Existing CF]]*ReviewCalcs[[#This Row],[IEFD]], 0)</f>
        <v>0</v>
      </c>
      <c r="BP22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6" s="118">
        <f>IF(ReviewCalcs[[#This Row],[Existing CF]]=ReviewCalcs[[#This Row],[Proposed CF]], 0, ReviewCalcs[[#This Row],[Proposed Fixture Quantity]]*ReviewCalcs[[#This Row],[Proposed Fixture Watts]]/1000*ReviewCalcs[[#This Row],[Proposed CF]]*ReviewCalcs[[#This Row],[IEFD]])</f>
        <v>0</v>
      </c>
      <c r="BR226" s="118">
        <f>IFERROR(ReviewCalcs[[#This Row],[Proposed Fixture Quantity]]*ReviewCalcs[[#This Row],[Proposed Fixture Watts]]/1000*(ReviewCalcs[[#This Row],[Existing PAF]]-ReviewCalcs[[#This Row],[Proposed PAF]])*ReviewCalcs[[#This Row],[AOH]]*ReviewCalcs[[#This Row],[IEFE]],0)</f>
        <v>0</v>
      </c>
      <c r="BS226" s="118">
        <f>ReviewCalcs[[#This Row],[Incentive Fixture Demand Savings (kW)]]+ReviewCalcs[[#This Row],[Incentive Control Demand Savings (kW)]]</f>
        <v>0</v>
      </c>
      <c r="BT226" s="118">
        <f>ReviewCalcs[[#This Row],[Incentive Fixture Energy Savings (kWh)]]+ReviewCalcs[[#This Row],[Incentive Control Energy Savings (kWh)]]</f>
        <v>0</v>
      </c>
      <c r="BU226" s="73"/>
    </row>
    <row r="227" spans="1:73" ht="30" customHeight="1">
      <c r="A227" s="68">
        <v>224</v>
      </c>
      <c r="B227" s="96">
        <f>VLOOKUP(ReviewCalcs[[#This Row],[Project Index]], ProjectInput[], D$1, FALSE)</f>
        <v>0</v>
      </c>
      <c r="C227" s="97">
        <f>VLOOKUP(ReviewCalcs[[#This Row],[Project Index]], ProjectInput[], E$1, FALSE)</f>
        <v>0</v>
      </c>
      <c r="D227" s="97">
        <f>VLOOKUP(ReviewCalcs[[#This Row],[Project Index]], ProjectInput[], F$1, FALSE)</f>
        <v>0</v>
      </c>
      <c r="E227" s="97">
        <f>VLOOKUP(ReviewCalcs[[#This Row],[Project Index]], ProjectInput[], G$1, FALSE)</f>
        <v>0</v>
      </c>
      <c r="F227" s="97">
        <f>VLOOKUP(ReviewCalcs[[#This Row],[Project Index]], ProjectInput[], H$1, FALSE)</f>
        <v>0</v>
      </c>
      <c r="G227" s="98" t="str">
        <f>VLOOKUP(ReviewCalcs[[#This Row],[Project Index]], ProjectInput[], I$1, FALSE)</f>
        <v/>
      </c>
      <c r="H227" s="96">
        <f>VLOOKUP(ReviewCalcs[[#This Row],[Project Index]], ProjectInput[], J$1, FALSE)</f>
        <v>0</v>
      </c>
      <c r="I227" s="97">
        <f>VLOOKUP(ReviewCalcs[[#This Row],[Project Index]], ProjectInput[], K$1, FALSE)</f>
        <v>0</v>
      </c>
      <c r="J227" s="97">
        <f>VLOOKUP(ReviewCalcs[[#This Row],[Project Index]], ProjectInput[], L$1, FALSE)</f>
        <v>0</v>
      </c>
      <c r="K227" s="97">
        <f>VLOOKUP(ReviewCalcs[[#This Row],[Project Index]], ProjectInput[], M$1, FALSE)</f>
        <v>0</v>
      </c>
      <c r="L227" s="97">
        <f>VLOOKUP(ReviewCalcs[[#This Row],[Project Index]], ProjectInput[], N$1, FALSE)</f>
        <v>0</v>
      </c>
      <c r="M227" s="98" t="str">
        <f>VLOOKUP(ReviewCalcs[[#This Row],[Project Index]], ProjectInput[], O$1, FALSE)</f>
        <v/>
      </c>
      <c r="N227" s="96">
        <f>VLOOKUP(ReviewCalcs[[#This Row],[Project Index]], ProjectInput[], P$1, FALSE)</f>
        <v>0</v>
      </c>
      <c r="O227" s="97">
        <f>VLOOKUP(ReviewCalcs[[#This Row],[Project Index]], ProjectInput[], Q$1, FALSE)</f>
        <v>0</v>
      </c>
      <c r="P227" s="97">
        <f>VLOOKUP(ReviewCalcs[[#This Row],[Project Index]], ProjectInput[], R$1, FALSE)</f>
        <v>0</v>
      </c>
      <c r="Q227" s="97">
        <f>VLOOKUP(ReviewCalcs[[#This Row],[Project Index]], ProjectInput[], S$1, FALSE)</f>
        <v>0</v>
      </c>
      <c r="R227" s="97">
        <f>VLOOKUP(ReviewCalcs[[#This Row],[Project Index]], ProjectInput[], T$1, FALSE)</f>
        <v>0</v>
      </c>
      <c r="S227" s="97">
        <f>VLOOKUP(ReviewCalcs[[#This Row],[Project Index]], ProjectInput[], U$1, FALSE)</f>
        <v>0</v>
      </c>
      <c r="T227" s="97">
        <f>VLOOKUP(ReviewCalcs[[#This Row],[Project Index]], ProjectInput[], V$1, FALSE)</f>
        <v>0</v>
      </c>
      <c r="U227" s="97">
        <f>VLOOKUP(ReviewCalcs[[#This Row],[Project Index]], ProjectInput[], W$1, FALSE)</f>
        <v>0</v>
      </c>
      <c r="V227" s="98" t="str">
        <f>VLOOKUP(ReviewCalcs[[#This Row],[Project Index]], ProjectInput[], X$1, FALSE)</f>
        <v/>
      </c>
      <c r="W22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7" s="75" t="e">
        <f>IF(VLOOKUP(ReviewCalcs[[#This Row],[Proposed Fixture Code]], Table7[[FIXTURE CODE]:[Baseline Fixture Code]], 8, FALSE)="N", "ERROR", "PASS")</f>
        <v>#N/A</v>
      </c>
      <c r="Y22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7" s="75" t="e">
        <f>IF(OR(ReviewCalcs[[#This Row],[Baseline Fixture Watts]]&gt;=ReviewCalcs[[#This Row],[Proposed Fixture Watts]],ReviewCalcs[[#This Row],[Existing Fixture Watts]]&gt;=ReviewCalcs[[#This Row],[Proposed Fixture Watts]] ), "PASS", "ERROR")</f>
        <v>#N/A</v>
      </c>
      <c r="AA227" s="69" t="e">
        <f>VLOOKUP(ReviewCalcs[[#This Row],[Space Conditions]], Table_365[], 5, FALSE)</f>
        <v>#N/A</v>
      </c>
      <c r="AB227" s="68" t="str">
        <f>ReviewCalcs[[#This Row],[Annual Hours]]</f>
        <v/>
      </c>
      <c r="AC227" s="68" t="e">
        <f>VLOOKUP(ReviewCalcs[[#This Row],[Space Conditions]], Table_365[], 6, FALSE)</f>
        <v>#N/A</v>
      </c>
      <c r="AD227" s="68">
        <f>IF(ReviewCalcs[[#This Row],[Existing Control(s)]]='Tables &amp; Ranges'!$A$25, VLOOKUP(ReviewCalcs[[#This Row],[Building/Space Type]], Table_364[], 3, FALSE), CF_Contols)</f>
        <v>0.26</v>
      </c>
      <c r="AE227" s="68" t="e">
        <f>VLOOKUP(ReviewCalcs[[#This Row],[Existing Control(s)]], Table_358[], 2, FALSE)</f>
        <v>#N/A</v>
      </c>
      <c r="AF227" s="68">
        <f>IF(ReviewCalcs[[#This Row],[Proposed Control(s)]]='Tables &amp; Ranges'!$A$25, VLOOKUP(ReviewCalcs[[#This Row],[Building/Space Type]], Table_364[], 3, FALSE), CF_Contols)</f>
        <v>0.26</v>
      </c>
      <c r="AG227" s="68" t="e">
        <f>VLOOKUP(ReviewCalcs[[#This Row],[Proposed Control(s)]], Table_358[], 2, FALSE)</f>
        <v>#N/A</v>
      </c>
      <c r="AH227" s="68">
        <f>IFERROR((ReviewCalcs[[#This Row],[Existing Fixture Quantity]]*ReviewCalcs[[#This Row],[Existing Fixture Watts]]/1000)*ReviewCalcs[[#This Row],[Existing CF]]*ReviewCalcs[[#This Row],[IEFD]], 0)</f>
        <v>0</v>
      </c>
      <c r="AI227" s="68">
        <f>IFERROR((ReviewCalcs[[#This Row],[Proposed Fixture Quantity]]*ReviewCalcs[[#This Row],[Proposed Fixture Watts]]/1000)*ReviewCalcs[[#This Row],[Existing CF]]*ReviewCalcs[[#This Row],[IEFD]], 0)</f>
        <v>0</v>
      </c>
      <c r="AJ227" s="118">
        <f>IFERROR((ReviewCalcs[[#This Row],[Existing Fixture Quantity]]*ReviewCalcs[[#This Row],[Existing Fixture Watts]]/1000-ReviewCalcs[[#This Row],[Proposed Fixture Quantity]]*ReviewCalcs[[#This Row],[Proposed Fixture Watts]]/1000)*ReviewCalcs[[#This Row],[Existing CF]]*ReviewCalcs[[#This Row],[IEFD]], 0)</f>
        <v>0</v>
      </c>
      <c r="AK227" s="118">
        <f>IFERROR((ReviewCalcs[[#This Row],[Existing Fixture Quantity]]*ReviewCalcs[[#This Row],[Existing Fixture Watts]]/1000)*ReviewCalcs[[#This Row],[AOH]]*ReviewCalcs[[#This Row],[IEFE]]*ReviewCalcs[[#This Row],[Existing PAF]], 0)</f>
        <v>0</v>
      </c>
      <c r="AL227" s="118">
        <f>IFERROR((ReviewCalcs[[#This Row],[Proposed Fixture Quantity]]*ReviewCalcs[[#This Row],[Proposed Fixture Watts]]/1000)*ReviewCalcs[[#This Row],[AOH]]*ReviewCalcs[[#This Row],[IEFE]]*ReviewCalcs[[#This Row],[Existing PAF]], 0)</f>
        <v>0</v>
      </c>
      <c r="AM22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7" s="118">
        <f>ReviewCalcs[[#This Row],[Fixture Existing Energy (kWh)]]*Avg_KWh_Rate</f>
        <v>0</v>
      </c>
      <c r="AO227" s="118">
        <f>ReviewCalcs[[#This Row],[Fixture Proposed Energy (kWh)]]*Avg_KWh_Rate</f>
        <v>0</v>
      </c>
      <c r="AP227" s="70">
        <f>ReviewCalcs[[#This Row],[Fixture Energy Savings]]*Avg_KWh_Rate</f>
        <v>0</v>
      </c>
      <c r="AQ227" s="129" t="e">
        <f>ReviewCalcs[[#This Row],[Existing Fixture Quantity]]*ReviewCalcs[[#This Row],[Existing Fixture Watts]]/1000*ReviewCalcs[[#This Row],[Existing CF]]*ReviewCalcs[[#This Row],[IEFD]]</f>
        <v>#VALUE!</v>
      </c>
      <c r="AR227" s="129" t="e">
        <f>ReviewCalcs[[#This Row],[Proposed Fixture Quantity]]*ReviewCalcs[[#This Row],[Proposed Fixture Watts]]/1000*ReviewCalcs[[#This Row],[Proposed CF]]*ReviewCalcs[[#This Row],[IEFD]]</f>
        <v>#VALUE!</v>
      </c>
      <c r="AS227" s="118">
        <f>IF(ReviewCalcs[[#This Row],[Existing CF]]=ReviewCalcs[[#This Row],[Proposed CF]], 0, ReviewCalcs[[#This Row],[Proposed Fixture Quantity]]*ReviewCalcs[[#This Row],[Proposed Fixture Watts]]/1000*ReviewCalcs[[#This Row],[Proposed CF]]*ReviewCalcs[[#This Row],[IEFD]])</f>
        <v>0</v>
      </c>
      <c r="AT227" s="118">
        <f>IFERROR(ReviewCalcs[[#This Row],[Existing Fixture Quantity]]*ReviewCalcs[[#This Row],[Existing Fixture Watts]]/1000*ReviewCalcs[[#This Row],[Existing PAF]]*ReviewCalcs[[#This Row],[AOH]]*ReviewCalcs[[#This Row],[IEFE]], 0)</f>
        <v>0</v>
      </c>
      <c r="AU227" s="118">
        <f>IFERROR(ReviewCalcs[[#This Row],[Proposed Fixture Quantity]]*ReviewCalcs[[#This Row],[Proposed Fixture Watts]]/1000*ReviewCalcs[[#This Row],[Proposed PAF]]*ReviewCalcs[[#This Row],[AOH]]*ReviewCalcs[[#This Row],[IEFE]], 0)</f>
        <v>0</v>
      </c>
      <c r="AV227" s="118">
        <f>IFERROR(ReviewCalcs[[#This Row],[Proposed Fixture Quantity]]*ReviewCalcs[[#This Row],[Proposed Fixture Watts]]/1000*(ReviewCalcs[[#This Row],[Existing PAF]]-ReviewCalcs[[#This Row],[Proposed PAF]])*ReviewCalcs[[#This Row],[AOH]]*ReviewCalcs[[#This Row],[IEFE]], 0)</f>
        <v>0</v>
      </c>
      <c r="AW227" s="118">
        <f>ReviewCalcs[[#This Row],[Control Existing Energy (kWh)]]*kWh_Incentive_Rate</f>
        <v>0</v>
      </c>
      <c r="AX227" s="118">
        <f>ReviewCalcs[[#This Row],[Control Proposed Energy (kWh)]]*kWh_Incentive_Rate</f>
        <v>0</v>
      </c>
      <c r="AY227" s="70">
        <f>ReviewCalcs[[#This Row],[Control Energy Savings (kWh)]]*kWh_Incentive_Rate</f>
        <v>0</v>
      </c>
      <c r="AZ227" s="70" t="e">
        <f>ReviewCalcs[[#This Row],[Fixture Existing Demand (kW)]]+ReviewCalcs[[#This Row],[Control Existing Demand (kW)]]</f>
        <v>#VALUE!</v>
      </c>
      <c r="BA227" s="70" t="e">
        <f>ReviewCalcs[[#This Row],[Fixture Proposed Demand (kW)]]+ReviewCalcs[[#This Row],[Control Proposed Demand (kW)]]</f>
        <v>#VALUE!</v>
      </c>
      <c r="BB227" s="118">
        <f>ReviewCalcs[[#This Row],[Fixture Demand Savings (kW)]]+ReviewCalcs[[#This Row],[Control Demand Savings (kW)]]</f>
        <v>0</v>
      </c>
      <c r="BC227" s="118">
        <f>ReviewCalcs[[#This Row],[Fixture Existing Energy (kWh)]]+ReviewCalcs[[#This Row],[Control Existing Energy (kWh)]]</f>
        <v>0</v>
      </c>
      <c r="BD227" s="118">
        <f>ReviewCalcs[[#This Row],[Fixture Proposed Energy (kWh)]]+ReviewCalcs[[#This Row],[Control Proposed Energy (kWh)]]</f>
        <v>0</v>
      </c>
      <c r="BE227" s="118">
        <f>ReviewCalcs[[#This Row],[Fixture Energy Savings]]+ReviewCalcs[[#This Row],[Control Energy Savings (kWh)]]</f>
        <v>0</v>
      </c>
      <c r="BF227" s="118">
        <f>ReviewCalcs[[#This Row],[Fixture Existing Cost ($)]]+ReviewCalcs[[#This Row],[Control Existing Cost ($)]]</f>
        <v>0</v>
      </c>
      <c r="BG227" s="118">
        <f>ReviewCalcs[[#This Row],[Fixture Proposed Cost ($)]]+ReviewCalcs[[#This Row],[Controls Proposed Cost ($)]]</f>
        <v>0</v>
      </c>
      <c r="BH227" s="70">
        <f>ReviewCalcs[[#This Row],[Total Energy Savings (kWh)]]*Avg_KWh_Rate</f>
        <v>0</v>
      </c>
      <c r="BI22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7" s="70">
        <f>ReviewCalcs[[#This Row],[Retrofit Cost]]</f>
        <v>0</v>
      </c>
      <c r="BK227" s="70">
        <f>ReviewCalcs[[#This Row],[Retrofit Cost]]-ReviewCalcs[[#This Row],[Incentive ($)]]</f>
        <v>0</v>
      </c>
      <c r="BL227" s="118" t="e">
        <f>IFERROR(ReviewCalcs[[#This Row],[Net Project Cost ($)]]/ReviewCalcs[[#This Row],[Fixture Energy Cost Savings ($)]], #N/A)</f>
        <v>#N/A</v>
      </c>
      <c r="BM227" s="118" t="e">
        <f>IF(VLOOKUP(ReviewCalcs[[#This Row],[Existing Fixture Code]], Table7[[FIXTURE CODE]:[Baseline Fixture Code]], 8, FALSE)="N", VLOOKUP(ReviewCalcs[[#This Row],[Existing Fixture Code]], Table7[[FIXTURE CODE]:[Baseline Fixture Code]], 9, FALSE), ReviewCalcs[[#This Row],[Existing Fixture Code]])</f>
        <v>#N/A</v>
      </c>
      <c r="BN227" s="118" t="e">
        <f>INDEX(Table7[WATT/ FIXT], MATCH(ReviewCalcs[Baseline Fixture Code], Table7[FIXTURE CODE], 0))</f>
        <v>#N/A</v>
      </c>
      <c r="BO227" s="118">
        <f>IFERROR((ReviewCalcs[[#This Row],[Existing Fixture Quantity]]*ReviewCalcs[[#This Row],[Baseline Fixture Watts]]/1000-ReviewCalcs[[#This Row],[Proposed Fixture Quantity]]*ReviewCalcs[[#This Row],[Proposed Fixture Watts]]/1000)*ReviewCalcs[[#This Row],[Existing CF]]*ReviewCalcs[[#This Row],[IEFD]], 0)</f>
        <v>0</v>
      </c>
      <c r="BP22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7" s="118">
        <f>IF(ReviewCalcs[[#This Row],[Existing CF]]=ReviewCalcs[[#This Row],[Proposed CF]], 0, ReviewCalcs[[#This Row],[Proposed Fixture Quantity]]*ReviewCalcs[[#This Row],[Proposed Fixture Watts]]/1000*ReviewCalcs[[#This Row],[Proposed CF]]*ReviewCalcs[[#This Row],[IEFD]])</f>
        <v>0</v>
      </c>
      <c r="BR227" s="118">
        <f>IFERROR(ReviewCalcs[[#This Row],[Proposed Fixture Quantity]]*ReviewCalcs[[#This Row],[Proposed Fixture Watts]]/1000*(ReviewCalcs[[#This Row],[Existing PAF]]-ReviewCalcs[[#This Row],[Proposed PAF]])*ReviewCalcs[[#This Row],[AOH]]*ReviewCalcs[[#This Row],[IEFE]],0)</f>
        <v>0</v>
      </c>
      <c r="BS227" s="118">
        <f>ReviewCalcs[[#This Row],[Incentive Fixture Demand Savings (kW)]]+ReviewCalcs[[#This Row],[Incentive Control Demand Savings (kW)]]</f>
        <v>0</v>
      </c>
      <c r="BT227" s="118">
        <f>ReviewCalcs[[#This Row],[Incentive Fixture Energy Savings (kWh)]]+ReviewCalcs[[#This Row],[Incentive Control Energy Savings (kWh)]]</f>
        <v>0</v>
      </c>
      <c r="BU227" s="73"/>
    </row>
    <row r="228" spans="1:73" ht="30" customHeight="1">
      <c r="A228" s="68">
        <v>225</v>
      </c>
      <c r="B228" s="96">
        <f>VLOOKUP(ReviewCalcs[[#This Row],[Project Index]], ProjectInput[], D$1, FALSE)</f>
        <v>0</v>
      </c>
      <c r="C228" s="97">
        <f>VLOOKUP(ReviewCalcs[[#This Row],[Project Index]], ProjectInput[], E$1, FALSE)</f>
        <v>0</v>
      </c>
      <c r="D228" s="97">
        <f>VLOOKUP(ReviewCalcs[[#This Row],[Project Index]], ProjectInput[], F$1, FALSE)</f>
        <v>0</v>
      </c>
      <c r="E228" s="97">
        <f>VLOOKUP(ReviewCalcs[[#This Row],[Project Index]], ProjectInput[], G$1, FALSE)</f>
        <v>0</v>
      </c>
      <c r="F228" s="97">
        <f>VLOOKUP(ReviewCalcs[[#This Row],[Project Index]], ProjectInput[], H$1, FALSE)</f>
        <v>0</v>
      </c>
      <c r="G228" s="98" t="str">
        <f>VLOOKUP(ReviewCalcs[[#This Row],[Project Index]], ProjectInput[], I$1, FALSE)</f>
        <v/>
      </c>
      <c r="H228" s="96">
        <f>VLOOKUP(ReviewCalcs[[#This Row],[Project Index]], ProjectInput[], J$1, FALSE)</f>
        <v>0</v>
      </c>
      <c r="I228" s="97">
        <f>VLOOKUP(ReviewCalcs[[#This Row],[Project Index]], ProjectInput[], K$1, FALSE)</f>
        <v>0</v>
      </c>
      <c r="J228" s="97">
        <f>VLOOKUP(ReviewCalcs[[#This Row],[Project Index]], ProjectInput[], L$1, FALSE)</f>
        <v>0</v>
      </c>
      <c r="K228" s="97">
        <f>VLOOKUP(ReviewCalcs[[#This Row],[Project Index]], ProjectInput[], M$1, FALSE)</f>
        <v>0</v>
      </c>
      <c r="L228" s="97">
        <f>VLOOKUP(ReviewCalcs[[#This Row],[Project Index]], ProjectInput[], N$1, FALSE)</f>
        <v>0</v>
      </c>
      <c r="M228" s="98" t="str">
        <f>VLOOKUP(ReviewCalcs[[#This Row],[Project Index]], ProjectInput[], O$1, FALSE)</f>
        <v/>
      </c>
      <c r="N228" s="96">
        <f>VLOOKUP(ReviewCalcs[[#This Row],[Project Index]], ProjectInput[], P$1, FALSE)</f>
        <v>0</v>
      </c>
      <c r="O228" s="97">
        <f>VLOOKUP(ReviewCalcs[[#This Row],[Project Index]], ProjectInput[], Q$1, FALSE)</f>
        <v>0</v>
      </c>
      <c r="P228" s="97">
        <f>VLOOKUP(ReviewCalcs[[#This Row],[Project Index]], ProjectInput[], R$1, FALSE)</f>
        <v>0</v>
      </c>
      <c r="Q228" s="97">
        <f>VLOOKUP(ReviewCalcs[[#This Row],[Project Index]], ProjectInput[], S$1, FALSE)</f>
        <v>0</v>
      </c>
      <c r="R228" s="97">
        <f>VLOOKUP(ReviewCalcs[[#This Row],[Project Index]], ProjectInput[], T$1, FALSE)</f>
        <v>0</v>
      </c>
      <c r="S228" s="97">
        <f>VLOOKUP(ReviewCalcs[[#This Row],[Project Index]], ProjectInput[], U$1, FALSE)</f>
        <v>0</v>
      </c>
      <c r="T228" s="97">
        <f>VLOOKUP(ReviewCalcs[[#This Row],[Project Index]], ProjectInput[], V$1, FALSE)</f>
        <v>0</v>
      </c>
      <c r="U228" s="97">
        <f>VLOOKUP(ReviewCalcs[[#This Row],[Project Index]], ProjectInput[], W$1, FALSE)</f>
        <v>0</v>
      </c>
      <c r="V228" s="98" t="str">
        <f>VLOOKUP(ReviewCalcs[[#This Row],[Project Index]], ProjectInput[], X$1, FALSE)</f>
        <v/>
      </c>
      <c r="W22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8" s="75" t="e">
        <f>IF(VLOOKUP(ReviewCalcs[[#This Row],[Proposed Fixture Code]], Table7[[FIXTURE CODE]:[Baseline Fixture Code]], 8, FALSE)="N", "ERROR", "PASS")</f>
        <v>#N/A</v>
      </c>
      <c r="Y22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8" s="75" t="e">
        <f>IF(OR(ReviewCalcs[[#This Row],[Baseline Fixture Watts]]&gt;=ReviewCalcs[[#This Row],[Proposed Fixture Watts]],ReviewCalcs[[#This Row],[Existing Fixture Watts]]&gt;=ReviewCalcs[[#This Row],[Proposed Fixture Watts]] ), "PASS", "ERROR")</f>
        <v>#N/A</v>
      </c>
      <c r="AA228" s="69" t="e">
        <f>VLOOKUP(ReviewCalcs[[#This Row],[Space Conditions]], Table_365[], 5, FALSE)</f>
        <v>#N/A</v>
      </c>
      <c r="AB228" s="68" t="str">
        <f>ReviewCalcs[[#This Row],[Annual Hours]]</f>
        <v/>
      </c>
      <c r="AC228" s="68" t="e">
        <f>VLOOKUP(ReviewCalcs[[#This Row],[Space Conditions]], Table_365[], 6, FALSE)</f>
        <v>#N/A</v>
      </c>
      <c r="AD228" s="68">
        <f>IF(ReviewCalcs[[#This Row],[Existing Control(s)]]='Tables &amp; Ranges'!$A$25, VLOOKUP(ReviewCalcs[[#This Row],[Building/Space Type]], Table_364[], 3, FALSE), CF_Contols)</f>
        <v>0.26</v>
      </c>
      <c r="AE228" s="68" t="e">
        <f>VLOOKUP(ReviewCalcs[[#This Row],[Existing Control(s)]], Table_358[], 2, FALSE)</f>
        <v>#N/A</v>
      </c>
      <c r="AF228" s="68">
        <f>IF(ReviewCalcs[[#This Row],[Proposed Control(s)]]='Tables &amp; Ranges'!$A$25, VLOOKUP(ReviewCalcs[[#This Row],[Building/Space Type]], Table_364[], 3, FALSE), CF_Contols)</f>
        <v>0.26</v>
      </c>
      <c r="AG228" s="68" t="e">
        <f>VLOOKUP(ReviewCalcs[[#This Row],[Proposed Control(s)]], Table_358[], 2, FALSE)</f>
        <v>#N/A</v>
      </c>
      <c r="AH228" s="68">
        <f>IFERROR((ReviewCalcs[[#This Row],[Existing Fixture Quantity]]*ReviewCalcs[[#This Row],[Existing Fixture Watts]]/1000)*ReviewCalcs[[#This Row],[Existing CF]]*ReviewCalcs[[#This Row],[IEFD]], 0)</f>
        <v>0</v>
      </c>
      <c r="AI228" s="68">
        <f>IFERROR((ReviewCalcs[[#This Row],[Proposed Fixture Quantity]]*ReviewCalcs[[#This Row],[Proposed Fixture Watts]]/1000)*ReviewCalcs[[#This Row],[Existing CF]]*ReviewCalcs[[#This Row],[IEFD]], 0)</f>
        <v>0</v>
      </c>
      <c r="AJ228" s="118">
        <f>IFERROR((ReviewCalcs[[#This Row],[Existing Fixture Quantity]]*ReviewCalcs[[#This Row],[Existing Fixture Watts]]/1000-ReviewCalcs[[#This Row],[Proposed Fixture Quantity]]*ReviewCalcs[[#This Row],[Proposed Fixture Watts]]/1000)*ReviewCalcs[[#This Row],[Existing CF]]*ReviewCalcs[[#This Row],[IEFD]], 0)</f>
        <v>0</v>
      </c>
      <c r="AK228" s="118">
        <f>IFERROR((ReviewCalcs[[#This Row],[Existing Fixture Quantity]]*ReviewCalcs[[#This Row],[Existing Fixture Watts]]/1000)*ReviewCalcs[[#This Row],[AOH]]*ReviewCalcs[[#This Row],[IEFE]]*ReviewCalcs[[#This Row],[Existing PAF]], 0)</f>
        <v>0</v>
      </c>
      <c r="AL228" s="118">
        <f>IFERROR((ReviewCalcs[[#This Row],[Proposed Fixture Quantity]]*ReviewCalcs[[#This Row],[Proposed Fixture Watts]]/1000)*ReviewCalcs[[#This Row],[AOH]]*ReviewCalcs[[#This Row],[IEFE]]*ReviewCalcs[[#This Row],[Existing PAF]], 0)</f>
        <v>0</v>
      </c>
      <c r="AM22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8" s="118">
        <f>ReviewCalcs[[#This Row],[Fixture Existing Energy (kWh)]]*Avg_KWh_Rate</f>
        <v>0</v>
      </c>
      <c r="AO228" s="118">
        <f>ReviewCalcs[[#This Row],[Fixture Proposed Energy (kWh)]]*Avg_KWh_Rate</f>
        <v>0</v>
      </c>
      <c r="AP228" s="70">
        <f>ReviewCalcs[[#This Row],[Fixture Energy Savings]]*Avg_KWh_Rate</f>
        <v>0</v>
      </c>
      <c r="AQ228" s="129" t="e">
        <f>ReviewCalcs[[#This Row],[Existing Fixture Quantity]]*ReviewCalcs[[#This Row],[Existing Fixture Watts]]/1000*ReviewCalcs[[#This Row],[Existing CF]]*ReviewCalcs[[#This Row],[IEFD]]</f>
        <v>#VALUE!</v>
      </c>
      <c r="AR228" s="129" t="e">
        <f>ReviewCalcs[[#This Row],[Proposed Fixture Quantity]]*ReviewCalcs[[#This Row],[Proposed Fixture Watts]]/1000*ReviewCalcs[[#This Row],[Proposed CF]]*ReviewCalcs[[#This Row],[IEFD]]</f>
        <v>#VALUE!</v>
      </c>
      <c r="AS228" s="118">
        <f>IF(ReviewCalcs[[#This Row],[Existing CF]]=ReviewCalcs[[#This Row],[Proposed CF]], 0, ReviewCalcs[[#This Row],[Proposed Fixture Quantity]]*ReviewCalcs[[#This Row],[Proposed Fixture Watts]]/1000*ReviewCalcs[[#This Row],[Proposed CF]]*ReviewCalcs[[#This Row],[IEFD]])</f>
        <v>0</v>
      </c>
      <c r="AT228" s="118">
        <f>IFERROR(ReviewCalcs[[#This Row],[Existing Fixture Quantity]]*ReviewCalcs[[#This Row],[Existing Fixture Watts]]/1000*ReviewCalcs[[#This Row],[Existing PAF]]*ReviewCalcs[[#This Row],[AOH]]*ReviewCalcs[[#This Row],[IEFE]], 0)</f>
        <v>0</v>
      </c>
      <c r="AU228" s="118">
        <f>IFERROR(ReviewCalcs[[#This Row],[Proposed Fixture Quantity]]*ReviewCalcs[[#This Row],[Proposed Fixture Watts]]/1000*ReviewCalcs[[#This Row],[Proposed PAF]]*ReviewCalcs[[#This Row],[AOH]]*ReviewCalcs[[#This Row],[IEFE]], 0)</f>
        <v>0</v>
      </c>
      <c r="AV228" s="118">
        <f>IFERROR(ReviewCalcs[[#This Row],[Proposed Fixture Quantity]]*ReviewCalcs[[#This Row],[Proposed Fixture Watts]]/1000*(ReviewCalcs[[#This Row],[Existing PAF]]-ReviewCalcs[[#This Row],[Proposed PAF]])*ReviewCalcs[[#This Row],[AOH]]*ReviewCalcs[[#This Row],[IEFE]], 0)</f>
        <v>0</v>
      </c>
      <c r="AW228" s="118">
        <f>ReviewCalcs[[#This Row],[Control Existing Energy (kWh)]]*kWh_Incentive_Rate</f>
        <v>0</v>
      </c>
      <c r="AX228" s="118">
        <f>ReviewCalcs[[#This Row],[Control Proposed Energy (kWh)]]*kWh_Incentive_Rate</f>
        <v>0</v>
      </c>
      <c r="AY228" s="70">
        <f>ReviewCalcs[[#This Row],[Control Energy Savings (kWh)]]*kWh_Incentive_Rate</f>
        <v>0</v>
      </c>
      <c r="AZ228" s="70" t="e">
        <f>ReviewCalcs[[#This Row],[Fixture Existing Demand (kW)]]+ReviewCalcs[[#This Row],[Control Existing Demand (kW)]]</f>
        <v>#VALUE!</v>
      </c>
      <c r="BA228" s="70" t="e">
        <f>ReviewCalcs[[#This Row],[Fixture Proposed Demand (kW)]]+ReviewCalcs[[#This Row],[Control Proposed Demand (kW)]]</f>
        <v>#VALUE!</v>
      </c>
      <c r="BB228" s="118">
        <f>ReviewCalcs[[#This Row],[Fixture Demand Savings (kW)]]+ReviewCalcs[[#This Row],[Control Demand Savings (kW)]]</f>
        <v>0</v>
      </c>
      <c r="BC228" s="118">
        <f>ReviewCalcs[[#This Row],[Fixture Existing Energy (kWh)]]+ReviewCalcs[[#This Row],[Control Existing Energy (kWh)]]</f>
        <v>0</v>
      </c>
      <c r="BD228" s="118">
        <f>ReviewCalcs[[#This Row],[Fixture Proposed Energy (kWh)]]+ReviewCalcs[[#This Row],[Control Proposed Energy (kWh)]]</f>
        <v>0</v>
      </c>
      <c r="BE228" s="118">
        <f>ReviewCalcs[[#This Row],[Fixture Energy Savings]]+ReviewCalcs[[#This Row],[Control Energy Savings (kWh)]]</f>
        <v>0</v>
      </c>
      <c r="BF228" s="118">
        <f>ReviewCalcs[[#This Row],[Fixture Existing Cost ($)]]+ReviewCalcs[[#This Row],[Control Existing Cost ($)]]</f>
        <v>0</v>
      </c>
      <c r="BG228" s="118">
        <f>ReviewCalcs[[#This Row],[Fixture Proposed Cost ($)]]+ReviewCalcs[[#This Row],[Controls Proposed Cost ($)]]</f>
        <v>0</v>
      </c>
      <c r="BH228" s="70">
        <f>ReviewCalcs[[#This Row],[Total Energy Savings (kWh)]]*Avg_KWh_Rate</f>
        <v>0</v>
      </c>
      <c r="BI22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8" s="70">
        <f>ReviewCalcs[[#This Row],[Retrofit Cost]]</f>
        <v>0</v>
      </c>
      <c r="BK228" s="70">
        <f>ReviewCalcs[[#This Row],[Retrofit Cost]]-ReviewCalcs[[#This Row],[Incentive ($)]]</f>
        <v>0</v>
      </c>
      <c r="BL228" s="118" t="e">
        <f>IFERROR(ReviewCalcs[[#This Row],[Net Project Cost ($)]]/ReviewCalcs[[#This Row],[Fixture Energy Cost Savings ($)]], #N/A)</f>
        <v>#N/A</v>
      </c>
      <c r="BM228" s="118" t="e">
        <f>IF(VLOOKUP(ReviewCalcs[[#This Row],[Existing Fixture Code]], Table7[[FIXTURE CODE]:[Baseline Fixture Code]], 8, FALSE)="N", VLOOKUP(ReviewCalcs[[#This Row],[Existing Fixture Code]], Table7[[FIXTURE CODE]:[Baseline Fixture Code]], 9, FALSE), ReviewCalcs[[#This Row],[Existing Fixture Code]])</f>
        <v>#N/A</v>
      </c>
      <c r="BN228" s="118" t="e">
        <f>INDEX(Table7[WATT/ FIXT], MATCH(ReviewCalcs[Baseline Fixture Code], Table7[FIXTURE CODE], 0))</f>
        <v>#N/A</v>
      </c>
      <c r="BO228" s="118">
        <f>IFERROR((ReviewCalcs[[#This Row],[Existing Fixture Quantity]]*ReviewCalcs[[#This Row],[Baseline Fixture Watts]]/1000-ReviewCalcs[[#This Row],[Proposed Fixture Quantity]]*ReviewCalcs[[#This Row],[Proposed Fixture Watts]]/1000)*ReviewCalcs[[#This Row],[Existing CF]]*ReviewCalcs[[#This Row],[IEFD]], 0)</f>
        <v>0</v>
      </c>
      <c r="BP22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8" s="118">
        <f>IF(ReviewCalcs[[#This Row],[Existing CF]]=ReviewCalcs[[#This Row],[Proposed CF]], 0, ReviewCalcs[[#This Row],[Proposed Fixture Quantity]]*ReviewCalcs[[#This Row],[Proposed Fixture Watts]]/1000*ReviewCalcs[[#This Row],[Proposed CF]]*ReviewCalcs[[#This Row],[IEFD]])</f>
        <v>0</v>
      </c>
      <c r="BR228" s="118">
        <f>IFERROR(ReviewCalcs[[#This Row],[Proposed Fixture Quantity]]*ReviewCalcs[[#This Row],[Proposed Fixture Watts]]/1000*(ReviewCalcs[[#This Row],[Existing PAF]]-ReviewCalcs[[#This Row],[Proposed PAF]])*ReviewCalcs[[#This Row],[AOH]]*ReviewCalcs[[#This Row],[IEFE]],0)</f>
        <v>0</v>
      </c>
      <c r="BS228" s="118">
        <f>ReviewCalcs[[#This Row],[Incentive Fixture Demand Savings (kW)]]+ReviewCalcs[[#This Row],[Incentive Control Demand Savings (kW)]]</f>
        <v>0</v>
      </c>
      <c r="BT228" s="118">
        <f>ReviewCalcs[[#This Row],[Incentive Fixture Energy Savings (kWh)]]+ReviewCalcs[[#This Row],[Incentive Control Energy Savings (kWh)]]</f>
        <v>0</v>
      </c>
      <c r="BU228" s="73"/>
    </row>
    <row r="229" spans="1:73" ht="30" customHeight="1">
      <c r="A229" s="68">
        <v>226</v>
      </c>
      <c r="B229" s="96">
        <f>VLOOKUP(ReviewCalcs[[#This Row],[Project Index]], ProjectInput[], D$1, FALSE)</f>
        <v>0</v>
      </c>
      <c r="C229" s="97">
        <f>VLOOKUP(ReviewCalcs[[#This Row],[Project Index]], ProjectInput[], E$1, FALSE)</f>
        <v>0</v>
      </c>
      <c r="D229" s="97">
        <f>VLOOKUP(ReviewCalcs[[#This Row],[Project Index]], ProjectInput[], F$1, FALSE)</f>
        <v>0</v>
      </c>
      <c r="E229" s="97">
        <f>VLOOKUP(ReviewCalcs[[#This Row],[Project Index]], ProjectInput[], G$1, FALSE)</f>
        <v>0</v>
      </c>
      <c r="F229" s="97">
        <f>VLOOKUP(ReviewCalcs[[#This Row],[Project Index]], ProjectInput[], H$1, FALSE)</f>
        <v>0</v>
      </c>
      <c r="G229" s="98" t="str">
        <f>VLOOKUP(ReviewCalcs[[#This Row],[Project Index]], ProjectInput[], I$1, FALSE)</f>
        <v/>
      </c>
      <c r="H229" s="96">
        <f>VLOOKUP(ReviewCalcs[[#This Row],[Project Index]], ProjectInput[], J$1, FALSE)</f>
        <v>0</v>
      </c>
      <c r="I229" s="97">
        <f>VLOOKUP(ReviewCalcs[[#This Row],[Project Index]], ProjectInput[], K$1, FALSE)</f>
        <v>0</v>
      </c>
      <c r="J229" s="97">
        <f>VLOOKUP(ReviewCalcs[[#This Row],[Project Index]], ProjectInput[], L$1, FALSE)</f>
        <v>0</v>
      </c>
      <c r="K229" s="97">
        <f>VLOOKUP(ReviewCalcs[[#This Row],[Project Index]], ProjectInput[], M$1, FALSE)</f>
        <v>0</v>
      </c>
      <c r="L229" s="97">
        <f>VLOOKUP(ReviewCalcs[[#This Row],[Project Index]], ProjectInput[], N$1, FALSE)</f>
        <v>0</v>
      </c>
      <c r="M229" s="98" t="str">
        <f>VLOOKUP(ReviewCalcs[[#This Row],[Project Index]], ProjectInput[], O$1, FALSE)</f>
        <v/>
      </c>
      <c r="N229" s="96">
        <f>VLOOKUP(ReviewCalcs[[#This Row],[Project Index]], ProjectInput[], P$1, FALSE)</f>
        <v>0</v>
      </c>
      <c r="O229" s="97">
        <f>VLOOKUP(ReviewCalcs[[#This Row],[Project Index]], ProjectInput[], Q$1, FALSE)</f>
        <v>0</v>
      </c>
      <c r="P229" s="97">
        <f>VLOOKUP(ReviewCalcs[[#This Row],[Project Index]], ProjectInput[], R$1, FALSE)</f>
        <v>0</v>
      </c>
      <c r="Q229" s="97">
        <f>VLOOKUP(ReviewCalcs[[#This Row],[Project Index]], ProjectInput[], S$1, FALSE)</f>
        <v>0</v>
      </c>
      <c r="R229" s="97">
        <f>VLOOKUP(ReviewCalcs[[#This Row],[Project Index]], ProjectInput[], T$1, FALSE)</f>
        <v>0</v>
      </c>
      <c r="S229" s="97">
        <f>VLOOKUP(ReviewCalcs[[#This Row],[Project Index]], ProjectInput[], U$1, FALSE)</f>
        <v>0</v>
      </c>
      <c r="T229" s="97">
        <f>VLOOKUP(ReviewCalcs[[#This Row],[Project Index]], ProjectInput[], V$1, FALSE)</f>
        <v>0</v>
      </c>
      <c r="U229" s="97">
        <f>VLOOKUP(ReviewCalcs[[#This Row],[Project Index]], ProjectInput[], W$1, FALSE)</f>
        <v>0</v>
      </c>
      <c r="V229" s="98" t="str">
        <f>VLOOKUP(ReviewCalcs[[#This Row],[Project Index]], ProjectInput[], X$1, FALSE)</f>
        <v/>
      </c>
      <c r="W22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29" s="75" t="e">
        <f>IF(VLOOKUP(ReviewCalcs[[#This Row],[Proposed Fixture Code]], Table7[[FIXTURE CODE]:[Baseline Fixture Code]], 8, FALSE)="N", "ERROR", "PASS")</f>
        <v>#N/A</v>
      </c>
      <c r="Y22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29" s="75" t="e">
        <f>IF(OR(ReviewCalcs[[#This Row],[Baseline Fixture Watts]]&gt;=ReviewCalcs[[#This Row],[Proposed Fixture Watts]],ReviewCalcs[[#This Row],[Existing Fixture Watts]]&gt;=ReviewCalcs[[#This Row],[Proposed Fixture Watts]] ), "PASS", "ERROR")</f>
        <v>#N/A</v>
      </c>
      <c r="AA229" s="69" t="e">
        <f>VLOOKUP(ReviewCalcs[[#This Row],[Space Conditions]], Table_365[], 5, FALSE)</f>
        <v>#N/A</v>
      </c>
      <c r="AB229" s="68" t="str">
        <f>ReviewCalcs[[#This Row],[Annual Hours]]</f>
        <v/>
      </c>
      <c r="AC229" s="68" t="e">
        <f>VLOOKUP(ReviewCalcs[[#This Row],[Space Conditions]], Table_365[], 6, FALSE)</f>
        <v>#N/A</v>
      </c>
      <c r="AD229" s="68">
        <f>IF(ReviewCalcs[[#This Row],[Existing Control(s)]]='Tables &amp; Ranges'!$A$25, VLOOKUP(ReviewCalcs[[#This Row],[Building/Space Type]], Table_364[], 3, FALSE), CF_Contols)</f>
        <v>0.26</v>
      </c>
      <c r="AE229" s="68" t="e">
        <f>VLOOKUP(ReviewCalcs[[#This Row],[Existing Control(s)]], Table_358[], 2, FALSE)</f>
        <v>#N/A</v>
      </c>
      <c r="AF229" s="68">
        <f>IF(ReviewCalcs[[#This Row],[Proposed Control(s)]]='Tables &amp; Ranges'!$A$25, VLOOKUP(ReviewCalcs[[#This Row],[Building/Space Type]], Table_364[], 3, FALSE), CF_Contols)</f>
        <v>0.26</v>
      </c>
      <c r="AG229" s="68" t="e">
        <f>VLOOKUP(ReviewCalcs[[#This Row],[Proposed Control(s)]], Table_358[], 2, FALSE)</f>
        <v>#N/A</v>
      </c>
      <c r="AH229" s="68">
        <f>IFERROR((ReviewCalcs[[#This Row],[Existing Fixture Quantity]]*ReviewCalcs[[#This Row],[Existing Fixture Watts]]/1000)*ReviewCalcs[[#This Row],[Existing CF]]*ReviewCalcs[[#This Row],[IEFD]], 0)</f>
        <v>0</v>
      </c>
      <c r="AI229" s="68">
        <f>IFERROR((ReviewCalcs[[#This Row],[Proposed Fixture Quantity]]*ReviewCalcs[[#This Row],[Proposed Fixture Watts]]/1000)*ReviewCalcs[[#This Row],[Existing CF]]*ReviewCalcs[[#This Row],[IEFD]], 0)</f>
        <v>0</v>
      </c>
      <c r="AJ229" s="118">
        <f>IFERROR((ReviewCalcs[[#This Row],[Existing Fixture Quantity]]*ReviewCalcs[[#This Row],[Existing Fixture Watts]]/1000-ReviewCalcs[[#This Row],[Proposed Fixture Quantity]]*ReviewCalcs[[#This Row],[Proposed Fixture Watts]]/1000)*ReviewCalcs[[#This Row],[Existing CF]]*ReviewCalcs[[#This Row],[IEFD]], 0)</f>
        <v>0</v>
      </c>
      <c r="AK229" s="118">
        <f>IFERROR((ReviewCalcs[[#This Row],[Existing Fixture Quantity]]*ReviewCalcs[[#This Row],[Existing Fixture Watts]]/1000)*ReviewCalcs[[#This Row],[AOH]]*ReviewCalcs[[#This Row],[IEFE]]*ReviewCalcs[[#This Row],[Existing PAF]], 0)</f>
        <v>0</v>
      </c>
      <c r="AL229" s="118">
        <f>IFERROR((ReviewCalcs[[#This Row],[Proposed Fixture Quantity]]*ReviewCalcs[[#This Row],[Proposed Fixture Watts]]/1000)*ReviewCalcs[[#This Row],[AOH]]*ReviewCalcs[[#This Row],[IEFE]]*ReviewCalcs[[#This Row],[Existing PAF]], 0)</f>
        <v>0</v>
      </c>
      <c r="AM22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29" s="118">
        <f>ReviewCalcs[[#This Row],[Fixture Existing Energy (kWh)]]*Avg_KWh_Rate</f>
        <v>0</v>
      </c>
      <c r="AO229" s="118">
        <f>ReviewCalcs[[#This Row],[Fixture Proposed Energy (kWh)]]*Avg_KWh_Rate</f>
        <v>0</v>
      </c>
      <c r="AP229" s="70">
        <f>ReviewCalcs[[#This Row],[Fixture Energy Savings]]*Avg_KWh_Rate</f>
        <v>0</v>
      </c>
      <c r="AQ229" s="129" t="e">
        <f>ReviewCalcs[[#This Row],[Existing Fixture Quantity]]*ReviewCalcs[[#This Row],[Existing Fixture Watts]]/1000*ReviewCalcs[[#This Row],[Existing CF]]*ReviewCalcs[[#This Row],[IEFD]]</f>
        <v>#VALUE!</v>
      </c>
      <c r="AR229" s="129" t="e">
        <f>ReviewCalcs[[#This Row],[Proposed Fixture Quantity]]*ReviewCalcs[[#This Row],[Proposed Fixture Watts]]/1000*ReviewCalcs[[#This Row],[Proposed CF]]*ReviewCalcs[[#This Row],[IEFD]]</f>
        <v>#VALUE!</v>
      </c>
      <c r="AS229" s="118">
        <f>IF(ReviewCalcs[[#This Row],[Existing CF]]=ReviewCalcs[[#This Row],[Proposed CF]], 0, ReviewCalcs[[#This Row],[Proposed Fixture Quantity]]*ReviewCalcs[[#This Row],[Proposed Fixture Watts]]/1000*ReviewCalcs[[#This Row],[Proposed CF]]*ReviewCalcs[[#This Row],[IEFD]])</f>
        <v>0</v>
      </c>
      <c r="AT229" s="118">
        <f>IFERROR(ReviewCalcs[[#This Row],[Existing Fixture Quantity]]*ReviewCalcs[[#This Row],[Existing Fixture Watts]]/1000*ReviewCalcs[[#This Row],[Existing PAF]]*ReviewCalcs[[#This Row],[AOH]]*ReviewCalcs[[#This Row],[IEFE]], 0)</f>
        <v>0</v>
      </c>
      <c r="AU229" s="118">
        <f>IFERROR(ReviewCalcs[[#This Row],[Proposed Fixture Quantity]]*ReviewCalcs[[#This Row],[Proposed Fixture Watts]]/1000*ReviewCalcs[[#This Row],[Proposed PAF]]*ReviewCalcs[[#This Row],[AOH]]*ReviewCalcs[[#This Row],[IEFE]], 0)</f>
        <v>0</v>
      </c>
      <c r="AV229" s="118">
        <f>IFERROR(ReviewCalcs[[#This Row],[Proposed Fixture Quantity]]*ReviewCalcs[[#This Row],[Proposed Fixture Watts]]/1000*(ReviewCalcs[[#This Row],[Existing PAF]]-ReviewCalcs[[#This Row],[Proposed PAF]])*ReviewCalcs[[#This Row],[AOH]]*ReviewCalcs[[#This Row],[IEFE]], 0)</f>
        <v>0</v>
      </c>
      <c r="AW229" s="118">
        <f>ReviewCalcs[[#This Row],[Control Existing Energy (kWh)]]*kWh_Incentive_Rate</f>
        <v>0</v>
      </c>
      <c r="AX229" s="118">
        <f>ReviewCalcs[[#This Row],[Control Proposed Energy (kWh)]]*kWh_Incentive_Rate</f>
        <v>0</v>
      </c>
      <c r="AY229" s="70">
        <f>ReviewCalcs[[#This Row],[Control Energy Savings (kWh)]]*kWh_Incentive_Rate</f>
        <v>0</v>
      </c>
      <c r="AZ229" s="70" t="e">
        <f>ReviewCalcs[[#This Row],[Fixture Existing Demand (kW)]]+ReviewCalcs[[#This Row],[Control Existing Demand (kW)]]</f>
        <v>#VALUE!</v>
      </c>
      <c r="BA229" s="70" t="e">
        <f>ReviewCalcs[[#This Row],[Fixture Proposed Demand (kW)]]+ReviewCalcs[[#This Row],[Control Proposed Demand (kW)]]</f>
        <v>#VALUE!</v>
      </c>
      <c r="BB229" s="118">
        <f>ReviewCalcs[[#This Row],[Fixture Demand Savings (kW)]]+ReviewCalcs[[#This Row],[Control Demand Savings (kW)]]</f>
        <v>0</v>
      </c>
      <c r="BC229" s="118">
        <f>ReviewCalcs[[#This Row],[Fixture Existing Energy (kWh)]]+ReviewCalcs[[#This Row],[Control Existing Energy (kWh)]]</f>
        <v>0</v>
      </c>
      <c r="BD229" s="118">
        <f>ReviewCalcs[[#This Row],[Fixture Proposed Energy (kWh)]]+ReviewCalcs[[#This Row],[Control Proposed Energy (kWh)]]</f>
        <v>0</v>
      </c>
      <c r="BE229" s="118">
        <f>ReviewCalcs[[#This Row],[Fixture Energy Savings]]+ReviewCalcs[[#This Row],[Control Energy Savings (kWh)]]</f>
        <v>0</v>
      </c>
      <c r="BF229" s="118">
        <f>ReviewCalcs[[#This Row],[Fixture Existing Cost ($)]]+ReviewCalcs[[#This Row],[Control Existing Cost ($)]]</f>
        <v>0</v>
      </c>
      <c r="BG229" s="118">
        <f>ReviewCalcs[[#This Row],[Fixture Proposed Cost ($)]]+ReviewCalcs[[#This Row],[Controls Proposed Cost ($)]]</f>
        <v>0</v>
      </c>
      <c r="BH229" s="70">
        <f>ReviewCalcs[[#This Row],[Total Energy Savings (kWh)]]*Avg_KWh_Rate</f>
        <v>0</v>
      </c>
      <c r="BI22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29" s="70">
        <f>ReviewCalcs[[#This Row],[Retrofit Cost]]</f>
        <v>0</v>
      </c>
      <c r="BK229" s="70">
        <f>ReviewCalcs[[#This Row],[Retrofit Cost]]-ReviewCalcs[[#This Row],[Incentive ($)]]</f>
        <v>0</v>
      </c>
      <c r="BL229" s="118" t="e">
        <f>IFERROR(ReviewCalcs[[#This Row],[Net Project Cost ($)]]/ReviewCalcs[[#This Row],[Fixture Energy Cost Savings ($)]], #N/A)</f>
        <v>#N/A</v>
      </c>
      <c r="BM229" s="118" t="e">
        <f>IF(VLOOKUP(ReviewCalcs[[#This Row],[Existing Fixture Code]], Table7[[FIXTURE CODE]:[Baseline Fixture Code]], 8, FALSE)="N", VLOOKUP(ReviewCalcs[[#This Row],[Existing Fixture Code]], Table7[[FIXTURE CODE]:[Baseline Fixture Code]], 9, FALSE), ReviewCalcs[[#This Row],[Existing Fixture Code]])</f>
        <v>#N/A</v>
      </c>
      <c r="BN229" s="118" t="e">
        <f>INDEX(Table7[WATT/ FIXT], MATCH(ReviewCalcs[Baseline Fixture Code], Table7[FIXTURE CODE], 0))</f>
        <v>#N/A</v>
      </c>
      <c r="BO229" s="118">
        <f>IFERROR((ReviewCalcs[[#This Row],[Existing Fixture Quantity]]*ReviewCalcs[[#This Row],[Baseline Fixture Watts]]/1000-ReviewCalcs[[#This Row],[Proposed Fixture Quantity]]*ReviewCalcs[[#This Row],[Proposed Fixture Watts]]/1000)*ReviewCalcs[[#This Row],[Existing CF]]*ReviewCalcs[[#This Row],[IEFD]], 0)</f>
        <v>0</v>
      </c>
      <c r="BP22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29" s="118">
        <f>IF(ReviewCalcs[[#This Row],[Existing CF]]=ReviewCalcs[[#This Row],[Proposed CF]], 0, ReviewCalcs[[#This Row],[Proposed Fixture Quantity]]*ReviewCalcs[[#This Row],[Proposed Fixture Watts]]/1000*ReviewCalcs[[#This Row],[Proposed CF]]*ReviewCalcs[[#This Row],[IEFD]])</f>
        <v>0</v>
      </c>
      <c r="BR229" s="118">
        <f>IFERROR(ReviewCalcs[[#This Row],[Proposed Fixture Quantity]]*ReviewCalcs[[#This Row],[Proposed Fixture Watts]]/1000*(ReviewCalcs[[#This Row],[Existing PAF]]-ReviewCalcs[[#This Row],[Proposed PAF]])*ReviewCalcs[[#This Row],[AOH]]*ReviewCalcs[[#This Row],[IEFE]],0)</f>
        <v>0</v>
      </c>
      <c r="BS229" s="118">
        <f>ReviewCalcs[[#This Row],[Incentive Fixture Demand Savings (kW)]]+ReviewCalcs[[#This Row],[Incentive Control Demand Savings (kW)]]</f>
        <v>0</v>
      </c>
      <c r="BT229" s="118">
        <f>ReviewCalcs[[#This Row],[Incentive Fixture Energy Savings (kWh)]]+ReviewCalcs[[#This Row],[Incentive Control Energy Savings (kWh)]]</f>
        <v>0</v>
      </c>
      <c r="BU229" s="73"/>
    </row>
    <row r="230" spans="1:73" ht="30" customHeight="1">
      <c r="A230" s="68">
        <v>227</v>
      </c>
      <c r="B230" s="96">
        <f>VLOOKUP(ReviewCalcs[[#This Row],[Project Index]], ProjectInput[], D$1, FALSE)</f>
        <v>0</v>
      </c>
      <c r="C230" s="97">
        <f>VLOOKUP(ReviewCalcs[[#This Row],[Project Index]], ProjectInput[], E$1, FALSE)</f>
        <v>0</v>
      </c>
      <c r="D230" s="97">
        <f>VLOOKUP(ReviewCalcs[[#This Row],[Project Index]], ProjectInput[], F$1, FALSE)</f>
        <v>0</v>
      </c>
      <c r="E230" s="97">
        <f>VLOOKUP(ReviewCalcs[[#This Row],[Project Index]], ProjectInput[], G$1, FALSE)</f>
        <v>0</v>
      </c>
      <c r="F230" s="97">
        <f>VLOOKUP(ReviewCalcs[[#This Row],[Project Index]], ProjectInput[], H$1, FALSE)</f>
        <v>0</v>
      </c>
      <c r="G230" s="98" t="str">
        <f>VLOOKUP(ReviewCalcs[[#This Row],[Project Index]], ProjectInput[], I$1, FALSE)</f>
        <v/>
      </c>
      <c r="H230" s="96">
        <f>VLOOKUP(ReviewCalcs[[#This Row],[Project Index]], ProjectInput[], J$1, FALSE)</f>
        <v>0</v>
      </c>
      <c r="I230" s="97">
        <f>VLOOKUP(ReviewCalcs[[#This Row],[Project Index]], ProjectInput[], K$1, FALSE)</f>
        <v>0</v>
      </c>
      <c r="J230" s="97">
        <f>VLOOKUP(ReviewCalcs[[#This Row],[Project Index]], ProjectInput[], L$1, FALSE)</f>
        <v>0</v>
      </c>
      <c r="K230" s="97">
        <f>VLOOKUP(ReviewCalcs[[#This Row],[Project Index]], ProjectInput[], M$1, FALSE)</f>
        <v>0</v>
      </c>
      <c r="L230" s="97">
        <f>VLOOKUP(ReviewCalcs[[#This Row],[Project Index]], ProjectInput[], N$1, FALSE)</f>
        <v>0</v>
      </c>
      <c r="M230" s="98" t="str">
        <f>VLOOKUP(ReviewCalcs[[#This Row],[Project Index]], ProjectInput[], O$1, FALSE)</f>
        <v/>
      </c>
      <c r="N230" s="96">
        <f>VLOOKUP(ReviewCalcs[[#This Row],[Project Index]], ProjectInput[], P$1, FALSE)</f>
        <v>0</v>
      </c>
      <c r="O230" s="97">
        <f>VLOOKUP(ReviewCalcs[[#This Row],[Project Index]], ProjectInput[], Q$1, FALSE)</f>
        <v>0</v>
      </c>
      <c r="P230" s="97">
        <f>VLOOKUP(ReviewCalcs[[#This Row],[Project Index]], ProjectInput[], R$1, FALSE)</f>
        <v>0</v>
      </c>
      <c r="Q230" s="97">
        <f>VLOOKUP(ReviewCalcs[[#This Row],[Project Index]], ProjectInput[], S$1, FALSE)</f>
        <v>0</v>
      </c>
      <c r="R230" s="97">
        <f>VLOOKUP(ReviewCalcs[[#This Row],[Project Index]], ProjectInput[], T$1, FALSE)</f>
        <v>0</v>
      </c>
      <c r="S230" s="97">
        <f>VLOOKUP(ReviewCalcs[[#This Row],[Project Index]], ProjectInput[], U$1, FALSE)</f>
        <v>0</v>
      </c>
      <c r="T230" s="97">
        <f>VLOOKUP(ReviewCalcs[[#This Row],[Project Index]], ProjectInput[], V$1, FALSE)</f>
        <v>0</v>
      </c>
      <c r="U230" s="97">
        <f>VLOOKUP(ReviewCalcs[[#This Row],[Project Index]], ProjectInput[], W$1, FALSE)</f>
        <v>0</v>
      </c>
      <c r="V230" s="98" t="str">
        <f>VLOOKUP(ReviewCalcs[[#This Row],[Project Index]], ProjectInput[], X$1, FALSE)</f>
        <v/>
      </c>
      <c r="W23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0" s="75" t="e">
        <f>IF(VLOOKUP(ReviewCalcs[[#This Row],[Proposed Fixture Code]], Table7[[FIXTURE CODE]:[Baseline Fixture Code]], 8, FALSE)="N", "ERROR", "PASS")</f>
        <v>#N/A</v>
      </c>
      <c r="Y23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0" s="75" t="e">
        <f>IF(OR(ReviewCalcs[[#This Row],[Baseline Fixture Watts]]&gt;=ReviewCalcs[[#This Row],[Proposed Fixture Watts]],ReviewCalcs[[#This Row],[Existing Fixture Watts]]&gt;=ReviewCalcs[[#This Row],[Proposed Fixture Watts]] ), "PASS", "ERROR")</f>
        <v>#N/A</v>
      </c>
      <c r="AA230" s="69" t="e">
        <f>VLOOKUP(ReviewCalcs[[#This Row],[Space Conditions]], Table_365[], 5, FALSE)</f>
        <v>#N/A</v>
      </c>
      <c r="AB230" s="68" t="str">
        <f>ReviewCalcs[[#This Row],[Annual Hours]]</f>
        <v/>
      </c>
      <c r="AC230" s="68" t="e">
        <f>VLOOKUP(ReviewCalcs[[#This Row],[Space Conditions]], Table_365[], 6, FALSE)</f>
        <v>#N/A</v>
      </c>
      <c r="AD230" s="68">
        <f>IF(ReviewCalcs[[#This Row],[Existing Control(s)]]='Tables &amp; Ranges'!$A$25, VLOOKUP(ReviewCalcs[[#This Row],[Building/Space Type]], Table_364[], 3, FALSE), CF_Contols)</f>
        <v>0.26</v>
      </c>
      <c r="AE230" s="68" t="e">
        <f>VLOOKUP(ReviewCalcs[[#This Row],[Existing Control(s)]], Table_358[], 2, FALSE)</f>
        <v>#N/A</v>
      </c>
      <c r="AF230" s="68">
        <f>IF(ReviewCalcs[[#This Row],[Proposed Control(s)]]='Tables &amp; Ranges'!$A$25, VLOOKUP(ReviewCalcs[[#This Row],[Building/Space Type]], Table_364[], 3, FALSE), CF_Contols)</f>
        <v>0.26</v>
      </c>
      <c r="AG230" s="68" t="e">
        <f>VLOOKUP(ReviewCalcs[[#This Row],[Proposed Control(s)]], Table_358[], 2, FALSE)</f>
        <v>#N/A</v>
      </c>
      <c r="AH230" s="68">
        <f>IFERROR((ReviewCalcs[[#This Row],[Existing Fixture Quantity]]*ReviewCalcs[[#This Row],[Existing Fixture Watts]]/1000)*ReviewCalcs[[#This Row],[Existing CF]]*ReviewCalcs[[#This Row],[IEFD]], 0)</f>
        <v>0</v>
      </c>
      <c r="AI230" s="68">
        <f>IFERROR((ReviewCalcs[[#This Row],[Proposed Fixture Quantity]]*ReviewCalcs[[#This Row],[Proposed Fixture Watts]]/1000)*ReviewCalcs[[#This Row],[Existing CF]]*ReviewCalcs[[#This Row],[IEFD]], 0)</f>
        <v>0</v>
      </c>
      <c r="AJ230" s="118">
        <f>IFERROR((ReviewCalcs[[#This Row],[Existing Fixture Quantity]]*ReviewCalcs[[#This Row],[Existing Fixture Watts]]/1000-ReviewCalcs[[#This Row],[Proposed Fixture Quantity]]*ReviewCalcs[[#This Row],[Proposed Fixture Watts]]/1000)*ReviewCalcs[[#This Row],[Existing CF]]*ReviewCalcs[[#This Row],[IEFD]], 0)</f>
        <v>0</v>
      </c>
      <c r="AK230" s="118">
        <f>IFERROR((ReviewCalcs[[#This Row],[Existing Fixture Quantity]]*ReviewCalcs[[#This Row],[Existing Fixture Watts]]/1000)*ReviewCalcs[[#This Row],[AOH]]*ReviewCalcs[[#This Row],[IEFE]]*ReviewCalcs[[#This Row],[Existing PAF]], 0)</f>
        <v>0</v>
      </c>
      <c r="AL230" s="118">
        <f>IFERROR((ReviewCalcs[[#This Row],[Proposed Fixture Quantity]]*ReviewCalcs[[#This Row],[Proposed Fixture Watts]]/1000)*ReviewCalcs[[#This Row],[AOH]]*ReviewCalcs[[#This Row],[IEFE]]*ReviewCalcs[[#This Row],[Existing PAF]], 0)</f>
        <v>0</v>
      </c>
      <c r="AM23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0" s="118">
        <f>ReviewCalcs[[#This Row],[Fixture Existing Energy (kWh)]]*Avg_KWh_Rate</f>
        <v>0</v>
      </c>
      <c r="AO230" s="118">
        <f>ReviewCalcs[[#This Row],[Fixture Proposed Energy (kWh)]]*Avg_KWh_Rate</f>
        <v>0</v>
      </c>
      <c r="AP230" s="70">
        <f>ReviewCalcs[[#This Row],[Fixture Energy Savings]]*Avg_KWh_Rate</f>
        <v>0</v>
      </c>
      <c r="AQ230" s="129" t="e">
        <f>ReviewCalcs[[#This Row],[Existing Fixture Quantity]]*ReviewCalcs[[#This Row],[Existing Fixture Watts]]/1000*ReviewCalcs[[#This Row],[Existing CF]]*ReviewCalcs[[#This Row],[IEFD]]</f>
        <v>#VALUE!</v>
      </c>
      <c r="AR230" s="129" t="e">
        <f>ReviewCalcs[[#This Row],[Proposed Fixture Quantity]]*ReviewCalcs[[#This Row],[Proposed Fixture Watts]]/1000*ReviewCalcs[[#This Row],[Proposed CF]]*ReviewCalcs[[#This Row],[IEFD]]</f>
        <v>#VALUE!</v>
      </c>
      <c r="AS230" s="118">
        <f>IF(ReviewCalcs[[#This Row],[Existing CF]]=ReviewCalcs[[#This Row],[Proposed CF]], 0, ReviewCalcs[[#This Row],[Proposed Fixture Quantity]]*ReviewCalcs[[#This Row],[Proposed Fixture Watts]]/1000*ReviewCalcs[[#This Row],[Proposed CF]]*ReviewCalcs[[#This Row],[IEFD]])</f>
        <v>0</v>
      </c>
      <c r="AT230" s="118">
        <f>IFERROR(ReviewCalcs[[#This Row],[Existing Fixture Quantity]]*ReviewCalcs[[#This Row],[Existing Fixture Watts]]/1000*ReviewCalcs[[#This Row],[Existing PAF]]*ReviewCalcs[[#This Row],[AOH]]*ReviewCalcs[[#This Row],[IEFE]], 0)</f>
        <v>0</v>
      </c>
      <c r="AU230" s="118">
        <f>IFERROR(ReviewCalcs[[#This Row],[Proposed Fixture Quantity]]*ReviewCalcs[[#This Row],[Proposed Fixture Watts]]/1000*ReviewCalcs[[#This Row],[Proposed PAF]]*ReviewCalcs[[#This Row],[AOH]]*ReviewCalcs[[#This Row],[IEFE]], 0)</f>
        <v>0</v>
      </c>
      <c r="AV230" s="118">
        <f>IFERROR(ReviewCalcs[[#This Row],[Proposed Fixture Quantity]]*ReviewCalcs[[#This Row],[Proposed Fixture Watts]]/1000*(ReviewCalcs[[#This Row],[Existing PAF]]-ReviewCalcs[[#This Row],[Proposed PAF]])*ReviewCalcs[[#This Row],[AOH]]*ReviewCalcs[[#This Row],[IEFE]], 0)</f>
        <v>0</v>
      </c>
      <c r="AW230" s="118">
        <f>ReviewCalcs[[#This Row],[Control Existing Energy (kWh)]]*kWh_Incentive_Rate</f>
        <v>0</v>
      </c>
      <c r="AX230" s="118">
        <f>ReviewCalcs[[#This Row],[Control Proposed Energy (kWh)]]*kWh_Incentive_Rate</f>
        <v>0</v>
      </c>
      <c r="AY230" s="70">
        <f>ReviewCalcs[[#This Row],[Control Energy Savings (kWh)]]*kWh_Incentive_Rate</f>
        <v>0</v>
      </c>
      <c r="AZ230" s="70" t="e">
        <f>ReviewCalcs[[#This Row],[Fixture Existing Demand (kW)]]+ReviewCalcs[[#This Row],[Control Existing Demand (kW)]]</f>
        <v>#VALUE!</v>
      </c>
      <c r="BA230" s="70" t="e">
        <f>ReviewCalcs[[#This Row],[Fixture Proposed Demand (kW)]]+ReviewCalcs[[#This Row],[Control Proposed Demand (kW)]]</f>
        <v>#VALUE!</v>
      </c>
      <c r="BB230" s="118">
        <f>ReviewCalcs[[#This Row],[Fixture Demand Savings (kW)]]+ReviewCalcs[[#This Row],[Control Demand Savings (kW)]]</f>
        <v>0</v>
      </c>
      <c r="BC230" s="118">
        <f>ReviewCalcs[[#This Row],[Fixture Existing Energy (kWh)]]+ReviewCalcs[[#This Row],[Control Existing Energy (kWh)]]</f>
        <v>0</v>
      </c>
      <c r="BD230" s="118">
        <f>ReviewCalcs[[#This Row],[Fixture Proposed Energy (kWh)]]+ReviewCalcs[[#This Row],[Control Proposed Energy (kWh)]]</f>
        <v>0</v>
      </c>
      <c r="BE230" s="118">
        <f>ReviewCalcs[[#This Row],[Fixture Energy Savings]]+ReviewCalcs[[#This Row],[Control Energy Savings (kWh)]]</f>
        <v>0</v>
      </c>
      <c r="BF230" s="118">
        <f>ReviewCalcs[[#This Row],[Fixture Existing Cost ($)]]+ReviewCalcs[[#This Row],[Control Existing Cost ($)]]</f>
        <v>0</v>
      </c>
      <c r="BG230" s="118">
        <f>ReviewCalcs[[#This Row],[Fixture Proposed Cost ($)]]+ReviewCalcs[[#This Row],[Controls Proposed Cost ($)]]</f>
        <v>0</v>
      </c>
      <c r="BH230" s="70">
        <f>ReviewCalcs[[#This Row],[Total Energy Savings (kWh)]]*Avg_KWh_Rate</f>
        <v>0</v>
      </c>
      <c r="BI23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0" s="70">
        <f>ReviewCalcs[[#This Row],[Retrofit Cost]]</f>
        <v>0</v>
      </c>
      <c r="BK230" s="70">
        <f>ReviewCalcs[[#This Row],[Retrofit Cost]]-ReviewCalcs[[#This Row],[Incentive ($)]]</f>
        <v>0</v>
      </c>
      <c r="BL230" s="118" t="e">
        <f>IFERROR(ReviewCalcs[[#This Row],[Net Project Cost ($)]]/ReviewCalcs[[#This Row],[Fixture Energy Cost Savings ($)]], #N/A)</f>
        <v>#N/A</v>
      </c>
      <c r="BM230" s="118" t="e">
        <f>IF(VLOOKUP(ReviewCalcs[[#This Row],[Existing Fixture Code]], Table7[[FIXTURE CODE]:[Baseline Fixture Code]], 8, FALSE)="N", VLOOKUP(ReviewCalcs[[#This Row],[Existing Fixture Code]], Table7[[FIXTURE CODE]:[Baseline Fixture Code]], 9, FALSE), ReviewCalcs[[#This Row],[Existing Fixture Code]])</f>
        <v>#N/A</v>
      </c>
      <c r="BN230" s="118" t="e">
        <f>INDEX(Table7[WATT/ FIXT], MATCH(ReviewCalcs[Baseline Fixture Code], Table7[FIXTURE CODE], 0))</f>
        <v>#N/A</v>
      </c>
      <c r="BO230" s="118">
        <f>IFERROR((ReviewCalcs[[#This Row],[Existing Fixture Quantity]]*ReviewCalcs[[#This Row],[Baseline Fixture Watts]]/1000-ReviewCalcs[[#This Row],[Proposed Fixture Quantity]]*ReviewCalcs[[#This Row],[Proposed Fixture Watts]]/1000)*ReviewCalcs[[#This Row],[Existing CF]]*ReviewCalcs[[#This Row],[IEFD]], 0)</f>
        <v>0</v>
      </c>
      <c r="BP23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0" s="118">
        <f>IF(ReviewCalcs[[#This Row],[Existing CF]]=ReviewCalcs[[#This Row],[Proposed CF]], 0, ReviewCalcs[[#This Row],[Proposed Fixture Quantity]]*ReviewCalcs[[#This Row],[Proposed Fixture Watts]]/1000*ReviewCalcs[[#This Row],[Proposed CF]]*ReviewCalcs[[#This Row],[IEFD]])</f>
        <v>0</v>
      </c>
      <c r="BR230" s="118">
        <f>IFERROR(ReviewCalcs[[#This Row],[Proposed Fixture Quantity]]*ReviewCalcs[[#This Row],[Proposed Fixture Watts]]/1000*(ReviewCalcs[[#This Row],[Existing PAF]]-ReviewCalcs[[#This Row],[Proposed PAF]])*ReviewCalcs[[#This Row],[AOH]]*ReviewCalcs[[#This Row],[IEFE]],0)</f>
        <v>0</v>
      </c>
      <c r="BS230" s="118">
        <f>ReviewCalcs[[#This Row],[Incentive Fixture Demand Savings (kW)]]+ReviewCalcs[[#This Row],[Incentive Control Demand Savings (kW)]]</f>
        <v>0</v>
      </c>
      <c r="BT230" s="118">
        <f>ReviewCalcs[[#This Row],[Incentive Fixture Energy Savings (kWh)]]+ReviewCalcs[[#This Row],[Incentive Control Energy Savings (kWh)]]</f>
        <v>0</v>
      </c>
      <c r="BU230" s="73"/>
    </row>
    <row r="231" spans="1:73" ht="30" customHeight="1">
      <c r="A231" s="68">
        <v>228</v>
      </c>
      <c r="B231" s="96">
        <f>VLOOKUP(ReviewCalcs[[#This Row],[Project Index]], ProjectInput[], D$1, FALSE)</f>
        <v>0</v>
      </c>
      <c r="C231" s="97">
        <f>VLOOKUP(ReviewCalcs[[#This Row],[Project Index]], ProjectInput[], E$1, FALSE)</f>
        <v>0</v>
      </c>
      <c r="D231" s="97">
        <f>VLOOKUP(ReviewCalcs[[#This Row],[Project Index]], ProjectInput[], F$1, FALSE)</f>
        <v>0</v>
      </c>
      <c r="E231" s="97">
        <f>VLOOKUP(ReviewCalcs[[#This Row],[Project Index]], ProjectInput[], G$1, FALSE)</f>
        <v>0</v>
      </c>
      <c r="F231" s="97">
        <f>VLOOKUP(ReviewCalcs[[#This Row],[Project Index]], ProjectInput[], H$1, FALSE)</f>
        <v>0</v>
      </c>
      <c r="G231" s="98" t="str">
        <f>VLOOKUP(ReviewCalcs[[#This Row],[Project Index]], ProjectInput[], I$1, FALSE)</f>
        <v/>
      </c>
      <c r="H231" s="96">
        <f>VLOOKUP(ReviewCalcs[[#This Row],[Project Index]], ProjectInput[], J$1, FALSE)</f>
        <v>0</v>
      </c>
      <c r="I231" s="97">
        <f>VLOOKUP(ReviewCalcs[[#This Row],[Project Index]], ProjectInput[], K$1, FALSE)</f>
        <v>0</v>
      </c>
      <c r="J231" s="97">
        <f>VLOOKUP(ReviewCalcs[[#This Row],[Project Index]], ProjectInput[], L$1, FALSE)</f>
        <v>0</v>
      </c>
      <c r="K231" s="97">
        <f>VLOOKUP(ReviewCalcs[[#This Row],[Project Index]], ProjectInput[], M$1, FALSE)</f>
        <v>0</v>
      </c>
      <c r="L231" s="97">
        <f>VLOOKUP(ReviewCalcs[[#This Row],[Project Index]], ProjectInput[], N$1, FALSE)</f>
        <v>0</v>
      </c>
      <c r="M231" s="98" t="str">
        <f>VLOOKUP(ReviewCalcs[[#This Row],[Project Index]], ProjectInput[], O$1, FALSE)</f>
        <v/>
      </c>
      <c r="N231" s="96">
        <f>VLOOKUP(ReviewCalcs[[#This Row],[Project Index]], ProjectInput[], P$1, FALSE)</f>
        <v>0</v>
      </c>
      <c r="O231" s="97">
        <f>VLOOKUP(ReviewCalcs[[#This Row],[Project Index]], ProjectInput[], Q$1, FALSE)</f>
        <v>0</v>
      </c>
      <c r="P231" s="97">
        <f>VLOOKUP(ReviewCalcs[[#This Row],[Project Index]], ProjectInput[], R$1, FALSE)</f>
        <v>0</v>
      </c>
      <c r="Q231" s="97">
        <f>VLOOKUP(ReviewCalcs[[#This Row],[Project Index]], ProjectInput[], S$1, FALSE)</f>
        <v>0</v>
      </c>
      <c r="R231" s="97">
        <f>VLOOKUP(ReviewCalcs[[#This Row],[Project Index]], ProjectInput[], T$1, FALSE)</f>
        <v>0</v>
      </c>
      <c r="S231" s="97">
        <f>VLOOKUP(ReviewCalcs[[#This Row],[Project Index]], ProjectInput[], U$1, FALSE)</f>
        <v>0</v>
      </c>
      <c r="T231" s="97">
        <f>VLOOKUP(ReviewCalcs[[#This Row],[Project Index]], ProjectInput[], V$1, FALSE)</f>
        <v>0</v>
      </c>
      <c r="U231" s="97">
        <f>VLOOKUP(ReviewCalcs[[#This Row],[Project Index]], ProjectInput[], W$1, FALSE)</f>
        <v>0</v>
      </c>
      <c r="V231" s="98" t="str">
        <f>VLOOKUP(ReviewCalcs[[#This Row],[Project Index]], ProjectInput[], X$1, FALSE)</f>
        <v/>
      </c>
      <c r="W23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1" s="75" t="e">
        <f>IF(VLOOKUP(ReviewCalcs[[#This Row],[Proposed Fixture Code]], Table7[[FIXTURE CODE]:[Baseline Fixture Code]], 8, FALSE)="N", "ERROR", "PASS")</f>
        <v>#N/A</v>
      </c>
      <c r="Y23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1" s="75" t="e">
        <f>IF(OR(ReviewCalcs[[#This Row],[Baseline Fixture Watts]]&gt;=ReviewCalcs[[#This Row],[Proposed Fixture Watts]],ReviewCalcs[[#This Row],[Existing Fixture Watts]]&gt;=ReviewCalcs[[#This Row],[Proposed Fixture Watts]] ), "PASS", "ERROR")</f>
        <v>#N/A</v>
      </c>
      <c r="AA231" s="69" t="e">
        <f>VLOOKUP(ReviewCalcs[[#This Row],[Space Conditions]], Table_365[], 5, FALSE)</f>
        <v>#N/A</v>
      </c>
      <c r="AB231" s="68" t="str">
        <f>ReviewCalcs[[#This Row],[Annual Hours]]</f>
        <v/>
      </c>
      <c r="AC231" s="68" t="e">
        <f>VLOOKUP(ReviewCalcs[[#This Row],[Space Conditions]], Table_365[], 6, FALSE)</f>
        <v>#N/A</v>
      </c>
      <c r="AD231" s="68">
        <f>IF(ReviewCalcs[[#This Row],[Existing Control(s)]]='Tables &amp; Ranges'!$A$25, VLOOKUP(ReviewCalcs[[#This Row],[Building/Space Type]], Table_364[], 3, FALSE), CF_Contols)</f>
        <v>0.26</v>
      </c>
      <c r="AE231" s="68" t="e">
        <f>VLOOKUP(ReviewCalcs[[#This Row],[Existing Control(s)]], Table_358[], 2, FALSE)</f>
        <v>#N/A</v>
      </c>
      <c r="AF231" s="68">
        <f>IF(ReviewCalcs[[#This Row],[Proposed Control(s)]]='Tables &amp; Ranges'!$A$25, VLOOKUP(ReviewCalcs[[#This Row],[Building/Space Type]], Table_364[], 3, FALSE), CF_Contols)</f>
        <v>0.26</v>
      </c>
      <c r="AG231" s="68" t="e">
        <f>VLOOKUP(ReviewCalcs[[#This Row],[Proposed Control(s)]], Table_358[], 2, FALSE)</f>
        <v>#N/A</v>
      </c>
      <c r="AH231" s="68">
        <f>IFERROR((ReviewCalcs[[#This Row],[Existing Fixture Quantity]]*ReviewCalcs[[#This Row],[Existing Fixture Watts]]/1000)*ReviewCalcs[[#This Row],[Existing CF]]*ReviewCalcs[[#This Row],[IEFD]], 0)</f>
        <v>0</v>
      </c>
      <c r="AI231" s="68">
        <f>IFERROR((ReviewCalcs[[#This Row],[Proposed Fixture Quantity]]*ReviewCalcs[[#This Row],[Proposed Fixture Watts]]/1000)*ReviewCalcs[[#This Row],[Existing CF]]*ReviewCalcs[[#This Row],[IEFD]], 0)</f>
        <v>0</v>
      </c>
      <c r="AJ231" s="118">
        <f>IFERROR((ReviewCalcs[[#This Row],[Existing Fixture Quantity]]*ReviewCalcs[[#This Row],[Existing Fixture Watts]]/1000-ReviewCalcs[[#This Row],[Proposed Fixture Quantity]]*ReviewCalcs[[#This Row],[Proposed Fixture Watts]]/1000)*ReviewCalcs[[#This Row],[Existing CF]]*ReviewCalcs[[#This Row],[IEFD]], 0)</f>
        <v>0</v>
      </c>
      <c r="AK231" s="118">
        <f>IFERROR((ReviewCalcs[[#This Row],[Existing Fixture Quantity]]*ReviewCalcs[[#This Row],[Existing Fixture Watts]]/1000)*ReviewCalcs[[#This Row],[AOH]]*ReviewCalcs[[#This Row],[IEFE]]*ReviewCalcs[[#This Row],[Existing PAF]], 0)</f>
        <v>0</v>
      </c>
      <c r="AL231" s="118">
        <f>IFERROR((ReviewCalcs[[#This Row],[Proposed Fixture Quantity]]*ReviewCalcs[[#This Row],[Proposed Fixture Watts]]/1000)*ReviewCalcs[[#This Row],[AOH]]*ReviewCalcs[[#This Row],[IEFE]]*ReviewCalcs[[#This Row],[Existing PAF]], 0)</f>
        <v>0</v>
      </c>
      <c r="AM23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1" s="118">
        <f>ReviewCalcs[[#This Row],[Fixture Existing Energy (kWh)]]*Avg_KWh_Rate</f>
        <v>0</v>
      </c>
      <c r="AO231" s="118">
        <f>ReviewCalcs[[#This Row],[Fixture Proposed Energy (kWh)]]*Avg_KWh_Rate</f>
        <v>0</v>
      </c>
      <c r="AP231" s="70">
        <f>ReviewCalcs[[#This Row],[Fixture Energy Savings]]*Avg_KWh_Rate</f>
        <v>0</v>
      </c>
      <c r="AQ231" s="129" t="e">
        <f>ReviewCalcs[[#This Row],[Existing Fixture Quantity]]*ReviewCalcs[[#This Row],[Existing Fixture Watts]]/1000*ReviewCalcs[[#This Row],[Existing CF]]*ReviewCalcs[[#This Row],[IEFD]]</f>
        <v>#VALUE!</v>
      </c>
      <c r="AR231" s="129" t="e">
        <f>ReviewCalcs[[#This Row],[Proposed Fixture Quantity]]*ReviewCalcs[[#This Row],[Proposed Fixture Watts]]/1000*ReviewCalcs[[#This Row],[Proposed CF]]*ReviewCalcs[[#This Row],[IEFD]]</f>
        <v>#VALUE!</v>
      </c>
      <c r="AS231" s="118">
        <f>IF(ReviewCalcs[[#This Row],[Existing CF]]=ReviewCalcs[[#This Row],[Proposed CF]], 0, ReviewCalcs[[#This Row],[Proposed Fixture Quantity]]*ReviewCalcs[[#This Row],[Proposed Fixture Watts]]/1000*ReviewCalcs[[#This Row],[Proposed CF]]*ReviewCalcs[[#This Row],[IEFD]])</f>
        <v>0</v>
      </c>
      <c r="AT231" s="118">
        <f>IFERROR(ReviewCalcs[[#This Row],[Existing Fixture Quantity]]*ReviewCalcs[[#This Row],[Existing Fixture Watts]]/1000*ReviewCalcs[[#This Row],[Existing PAF]]*ReviewCalcs[[#This Row],[AOH]]*ReviewCalcs[[#This Row],[IEFE]], 0)</f>
        <v>0</v>
      </c>
      <c r="AU231" s="118">
        <f>IFERROR(ReviewCalcs[[#This Row],[Proposed Fixture Quantity]]*ReviewCalcs[[#This Row],[Proposed Fixture Watts]]/1000*ReviewCalcs[[#This Row],[Proposed PAF]]*ReviewCalcs[[#This Row],[AOH]]*ReviewCalcs[[#This Row],[IEFE]], 0)</f>
        <v>0</v>
      </c>
      <c r="AV231" s="118">
        <f>IFERROR(ReviewCalcs[[#This Row],[Proposed Fixture Quantity]]*ReviewCalcs[[#This Row],[Proposed Fixture Watts]]/1000*(ReviewCalcs[[#This Row],[Existing PAF]]-ReviewCalcs[[#This Row],[Proposed PAF]])*ReviewCalcs[[#This Row],[AOH]]*ReviewCalcs[[#This Row],[IEFE]], 0)</f>
        <v>0</v>
      </c>
      <c r="AW231" s="118">
        <f>ReviewCalcs[[#This Row],[Control Existing Energy (kWh)]]*kWh_Incentive_Rate</f>
        <v>0</v>
      </c>
      <c r="AX231" s="118">
        <f>ReviewCalcs[[#This Row],[Control Proposed Energy (kWh)]]*kWh_Incentive_Rate</f>
        <v>0</v>
      </c>
      <c r="AY231" s="70">
        <f>ReviewCalcs[[#This Row],[Control Energy Savings (kWh)]]*kWh_Incentive_Rate</f>
        <v>0</v>
      </c>
      <c r="AZ231" s="70" t="e">
        <f>ReviewCalcs[[#This Row],[Fixture Existing Demand (kW)]]+ReviewCalcs[[#This Row],[Control Existing Demand (kW)]]</f>
        <v>#VALUE!</v>
      </c>
      <c r="BA231" s="70" t="e">
        <f>ReviewCalcs[[#This Row],[Fixture Proposed Demand (kW)]]+ReviewCalcs[[#This Row],[Control Proposed Demand (kW)]]</f>
        <v>#VALUE!</v>
      </c>
      <c r="BB231" s="118">
        <f>ReviewCalcs[[#This Row],[Fixture Demand Savings (kW)]]+ReviewCalcs[[#This Row],[Control Demand Savings (kW)]]</f>
        <v>0</v>
      </c>
      <c r="BC231" s="118">
        <f>ReviewCalcs[[#This Row],[Fixture Existing Energy (kWh)]]+ReviewCalcs[[#This Row],[Control Existing Energy (kWh)]]</f>
        <v>0</v>
      </c>
      <c r="BD231" s="118">
        <f>ReviewCalcs[[#This Row],[Fixture Proposed Energy (kWh)]]+ReviewCalcs[[#This Row],[Control Proposed Energy (kWh)]]</f>
        <v>0</v>
      </c>
      <c r="BE231" s="118">
        <f>ReviewCalcs[[#This Row],[Fixture Energy Savings]]+ReviewCalcs[[#This Row],[Control Energy Savings (kWh)]]</f>
        <v>0</v>
      </c>
      <c r="BF231" s="118">
        <f>ReviewCalcs[[#This Row],[Fixture Existing Cost ($)]]+ReviewCalcs[[#This Row],[Control Existing Cost ($)]]</f>
        <v>0</v>
      </c>
      <c r="BG231" s="118">
        <f>ReviewCalcs[[#This Row],[Fixture Proposed Cost ($)]]+ReviewCalcs[[#This Row],[Controls Proposed Cost ($)]]</f>
        <v>0</v>
      </c>
      <c r="BH231" s="70">
        <f>ReviewCalcs[[#This Row],[Total Energy Savings (kWh)]]*Avg_KWh_Rate</f>
        <v>0</v>
      </c>
      <c r="BI23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1" s="70">
        <f>ReviewCalcs[[#This Row],[Retrofit Cost]]</f>
        <v>0</v>
      </c>
      <c r="BK231" s="70">
        <f>ReviewCalcs[[#This Row],[Retrofit Cost]]-ReviewCalcs[[#This Row],[Incentive ($)]]</f>
        <v>0</v>
      </c>
      <c r="BL231" s="118" t="e">
        <f>IFERROR(ReviewCalcs[[#This Row],[Net Project Cost ($)]]/ReviewCalcs[[#This Row],[Fixture Energy Cost Savings ($)]], #N/A)</f>
        <v>#N/A</v>
      </c>
      <c r="BM231" s="118" t="e">
        <f>IF(VLOOKUP(ReviewCalcs[[#This Row],[Existing Fixture Code]], Table7[[FIXTURE CODE]:[Baseline Fixture Code]], 8, FALSE)="N", VLOOKUP(ReviewCalcs[[#This Row],[Existing Fixture Code]], Table7[[FIXTURE CODE]:[Baseline Fixture Code]], 9, FALSE), ReviewCalcs[[#This Row],[Existing Fixture Code]])</f>
        <v>#N/A</v>
      </c>
      <c r="BN231" s="118" t="e">
        <f>INDEX(Table7[WATT/ FIXT], MATCH(ReviewCalcs[Baseline Fixture Code], Table7[FIXTURE CODE], 0))</f>
        <v>#N/A</v>
      </c>
      <c r="BO231" s="118">
        <f>IFERROR((ReviewCalcs[[#This Row],[Existing Fixture Quantity]]*ReviewCalcs[[#This Row],[Baseline Fixture Watts]]/1000-ReviewCalcs[[#This Row],[Proposed Fixture Quantity]]*ReviewCalcs[[#This Row],[Proposed Fixture Watts]]/1000)*ReviewCalcs[[#This Row],[Existing CF]]*ReviewCalcs[[#This Row],[IEFD]], 0)</f>
        <v>0</v>
      </c>
      <c r="BP23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1" s="118">
        <f>IF(ReviewCalcs[[#This Row],[Existing CF]]=ReviewCalcs[[#This Row],[Proposed CF]], 0, ReviewCalcs[[#This Row],[Proposed Fixture Quantity]]*ReviewCalcs[[#This Row],[Proposed Fixture Watts]]/1000*ReviewCalcs[[#This Row],[Proposed CF]]*ReviewCalcs[[#This Row],[IEFD]])</f>
        <v>0</v>
      </c>
      <c r="BR231" s="118">
        <f>IFERROR(ReviewCalcs[[#This Row],[Proposed Fixture Quantity]]*ReviewCalcs[[#This Row],[Proposed Fixture Watts]]/1000*(ReviewCalcs[[#This Row],[Existing PAF]]-ReviewCalcs[[#This Row],[Proposed PAF]])*ReviewCalcs[[#This Row],[AOH]]*ReviewCalcs[[#This Row],[IEFE]],0)</f>
        <v>0</v>
      </c>
      <c r="BS231" s="118">
        <f>ReviewCalcs[[#This Row],[Incentive Fixture Demand Savings (kW)]]+ReviewCalcs[[#This Row],[Incentive Control Demand Savings (kW)]]</f>
        <v>0</v>
      </c>
      <c r="BT231" s="118">
        <f>ReviewCalcs[[#This Row],[Incentive Fixture Energy Savings (kWh)]]+ReviewCalcs[[#This Row],[Incentive Control Energy Savings (kWh)]]</f>
        <v>0</v>
      </c>
      <c r="BU231" s="73"/>
    </row>
    <row r="232" spans="1:73" ht="30" customHeight="1">
      <c r="A232" s="68">
        <v>229</v>
      </c>
      <c r="B232" s="96">
        <f>VLOOKUP(ReviewCalcs[[#This Row],[Project Index]], ProjectInput[], D$1, FALSE)</f>
        <v>0</v>
      </c>
      <c r="C232" s="97">
        <f>VLOOKUP(ReviewCalcs[[#This Row],[Project Index]], ProjectInput[], E$1, FALSE)</f>
        <v>0</v>
      </c>
      <c r="D232" s="97">
        <f>VLOOKUP(ReviewCalcs[[#This Row],[Project Index]], ProjectInput[], F$1, FALSE)</f>
        <v>0</v>
      </c>
      <c r="E232" s="97">
        <f>VLOOKUP(ReviewCalcs[[#This Row],[Project Index]], ProjectInput[], G$1, FALSE)</f>
        <v>0</v>
      </c>
      <c r="F232" s="97">
        <f>VLOOKUP(ReviewCalcs[[#This Row],[Project Index]], ProjectInput[], H$1, FALSE)</f>
        <v>0</v>
      </c>
      <c r="G232" s="98" t="str">
        <f>VLOOKUP(ReviewCalcs[[#This Row],[Project Index]], ProjectInput[], I$1, FALSE)</f>
        <v/>
      </c>
      <c r="H232" s="96">
        <f>VLOOKUP(ReviewCalcs[[#This Row],[Project Index]], ProjectInput[], J$1, FALSE)</f>
        <v>0</v>
      </c>
      <c r="I232" s="97">
        <f>VLOOKUP(ReviewCalcs[[#This Row],[Project Index]], ProjectInput[], K$1, FALSE)</f>
        <v>0</v>
      </c>
      <c r="J232" s="97">
        <f>VLOOKUP(ReviewCalcs[[#This Row],[Project Index]], ProjectInput[], L$1, FALSE)</f>
        <v>0</v>
      </c>
      <c r="K232" s="97">
        <f>VLOOKUP(ReviewCalcs[[#This Row],[Project Index]], ProjectInput[], M$1, FALSE)</f>
        <v>0</v>
      </c>
      <c r="L232" s="97">
        <f>VLOOKUP(ReviewCalcs[[#This Row],[Project Index]], ProjectInput[], N$1, FALSE)</f>
        <v>0</v>
      </c>
      <c r="M232" s="98" t="str">
        <f>VLOOKUP(ReviewCalcs[[#This Row],[Project Index]], ProjectInput[], O$1, FALSE)</f>
        <v/>
      </c>
      <c r="N232" s="96">
        <f>VLOOKUP(ReviewCalcs[[#This Row],[Project Index]], ProjectInput[], P$1, FALSE)</f>
        <v>0</v>
      </c>
      <c r="O232" s="97">
        <f>VLOOKUP(ReviewCalcs[[#This Row],[Project Index]], ProjectInput[], Q$1, FALSE)</f>
        <v>0</v>
      </c>
      <c r="P232" s="97">
        <f>VLOOKUP(ReviewCalcs[[#This Row],[Project Index]], ProjectInput[], R$1, FALSE)</f>
        <v>0</v>
      </c>
      <c r="Q232" s="97">
        <f>VLOOKUP(ReviewCalcs[[#This Row],[Project Index]], ProjectInput[], S$1, FALSE)</f>
        <v>0</v>
      </c>
      <c r="R232" s="97">
        <f>VLOOKUP(ReviewCalcs[[#This Row],[Project Index]], ProjectInput[], T$1, FALSE)</f>
        <v>0</v>
      </c>
      <c r="S232" s="97">
        <f>VLOOKUP(ReviewCalcs[[#This Row],[Project Index]], ProjectInput[], U$1, FALSE)</f>
        <v>0</v>
      </c>
      <c r="T232" s="97">
        <f>VLOOKUP(ReviewCalcs[[#This Row],[Project Index]], ProjectInput[], V$1, FALSE)</f>
        <v>0</v>
      </c>
      <c r="U232" s="97">
        <f>VLOOKUP(ReviewCalcs[[#This Row],[Project Index]], ProjectInput[], W$1, FALSE)</f>
        <v>0</v>
      </c>
      <c r="V232" s="98" t="str">
        <f>VLOOKUP(ReviewCalcs[[#This Row],[Project Index]], ProjectInput[], X$1, FALSE)</f>
        <v/>
      </c>
      <c r="W23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2" s="75" t="e">
        <f>IF(VLOOKUP(ReviewCalcs[[#This Row],[Proposed Fixture Code]], Table7[[FIXTURE CODE]:[Baseline Fixture Code]], 8, FALSE)="N", "ERROR", "PASS")</f>
        <v>#N/A</v>
      </c>
      <c r="Y23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2" s="75" t="e">
        <f>IF(OR(ReviewCalcs[[#This Row],[Baseline Fixture Watts]]&gt;=ReviewCalcs[[#This Row],[Proposed Fixture Watts]],ReviewCalcs[[#This Row],[Existing Fixture Watts]]&gt;=ReviewCalcs[[#This Row],[Proposed Fixture Watts]] ), "PASS", "ERROR")</f>
        <v>#N/A</v>
      </c>
      <c r="AA232" s="69" t="e">
        <f>VLOOKUP(ReviewCalcs[[#This Row],[Space Conditions]], Table_365[], 5, FALSE)</f>
        <v>#N/A</v>
      </c>
      <c r="AB232" s="68" t="str">
        <f>ReviewCalcs[[#This Row],[Annual Hours]]</f>
        <v/>
      </c>
      <c r="AC232" s="68" t="e">
        <f>VLOOKUP(ReviewCalcs[[#This Row],[Space Conditions]], Table_365[], 6, FALSE)</f>
        <v>#N/A</v>
      </c>
      <c r="AD232" s="68">
        <f>IF(ReviewCalcs[[#This Row],[Existing Control(s)]]='Tables &amp; Ranges'!$A$25, VLOOKUP(ReviewCalcs[[#This Row],[Building/Space Type]], Table_364[], 3, FALSE), CF_Contols)</f>
        <v>0.26</v>
      </c>
      <c r="AE232" s="68" t="e">
        <f>VLOOKUP(ReviewCalcs[[#This Row],[Existing Control(s)]], Table_358[], 2, FALSE)</f>
        <v>#N/A</v>
      </c>
      <c r="AF232" s="68">
        <f>IF(ReviewCalcs[[#This Row],[Proposed Control(s)]]='Tables &amp; Ranges'!$A$25, VLOOKUP(ReviewCalcs[[#This Row],[Building/Space Type]], Table_364[], 3, FALSE), CF_Contols)</f>
        <v>0.26</v>
      </c>
      <c r="AG232" s="68" t="e">
        <f>VLOOKUP(ReviewCalcs[[#This Row],[Proposed Control(s)]], Table_358[], 2, FALSE)</f>
        <v>#N/A</v>
      </c>
      <c r="AH232" s="68">
        <f>IFERROR((ReviewCalcs[[#This Row],[Existing Fixture Quantity]]*ReviewCalcs[[#This Row],[Existing Fixture Watts]]/1000)*ReviewCalcs[[#This Row],[Existing CF]]*ReviewCalcs[[#This Row],[IEFD]], 0)</f>
        <v>0</v>
      </c>
      <c r="AI232" s="68">
        <f>IFERROR((ReviewCalcs[[#This Row],[Proposed Fixture Quantity]]*ReviewCalcs[[#This Row],[Proposed Fixture Watts]]/1000)*ReviewCalcs[[#This Row],[Existing CF]]*ReviewCalcs[[#This Row],[IEFD]], 0)</f>
        <v>0</v>
      </c>
      <c r="AJ232" s="118">
        <f>IFERROR((ReviewCalcs[[#This Row],[Existing Fixture Quantity]]*ReviewCalcs[[#This Row],[Existing Fixture Watts]]/1000-ReviewCalcs[[#This Row],[Proposed Fixture Quantity]]*ReviewCalcs[[#This Row],[Proposed Fixture Watts]]/1000)*ReviewCalcs[[#This Row],[Existing CF]]*ReviewCalcs[[#This Row],[IEFD]], 0)</f>
        <v>0</v>
      </c>
      <c r="AK232" s="118">
        <f>IFERROR((ReviewCalcs[[#This Row],[Existing Fixture Quantity]]*ReviewCalcs[[#This Row],[Existing Fixture Watts]]/1000)*ReviewCalcs[[#This Row],[AOH]]*ReviewCalcs[[#This Row],[IEFE]]*ReviewCalcs[[#This Row],[Existing PAF]], 0)</f>
        <v>0</v>
      </c>
      <c r="AL232" s="118">
        <f>IFERROR((ReviewCalcs[[#This Row],[Proposed Fixture Quantity]]*ReviewCalcs[[#This Row],[Proposed Fixture Watts]]/1000)*ReviewCalcs[[#This Row],[AOH]]*ReviewCalcs[[#This Row],[IEFE]]*ReviewCalcs[[#This Row],[Existing PAF]], 0)</f>
        <v>0</v>
      </c>
      <c r="AM23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2" s="118">
        <f>ReviewCalcs[[#This Row],[Fixture Existing Energy (kWh)]]*Avg_KWh_Rate</f>
        <v>0</v>
      </c>
      <c r="AO232" s="118">
        <f>ReviewCalcs[[#This Row],[Fixture Proposed Energy (kWh)]]*Avg_KWh_Rate</f>
        <v>0</v>
      </c>
      <c r="AP232" s="70">
        <f>ReviewCalcs[[#This Row],[Fixture Energy Savings]]*Avg_KWh_Rate</f>
        <v>0</v>
      </c>
      <c r="AQ232" s="129" t="e">
        <f>ReviewCalcs[[#This Row],[Existing Fixture Quantity]]*ReviewCalcs[[#This Row],[Existing Fixture Watts]]/1000*ReviewCalcs[[#This Row],[Existing CF]]*ReviewCalcs[[#This Row],[IEFD]]</f>
        <v>#VALUE!</v>
      </c>
      <c r="AR232" s="129" t="e">
        <f>ReviewCalcs[[#This Row],[Proposed Fixture Quantity]]*ReviewCalcs[[#This Row],[Proposed Fixture Watts]]/1000*ReviewCalcs[[#This Row],[Proposed CF]]*ReviewCalcs[[#This Row],[IEFD]]</f>
        <v>#VALUE!</v>
      </c>
      <c r="AS232" s="118">
        <f>IF(ReviewCalcs[[#This Row],[Existing CF]]=ReviewCalcs[[#This Row],[Proposed CF]], 0, ReviewCalcs[[#This Row],[Proposed Fixture Quantity]]*ReviewCalcs[[#This Row],[Proposed Fixture Watts]]/1000*ReviewCalcs[[#This Row],[Proposed CF]]*ReviewCalcs[[#This Row],[IEFD]])</f>
        <v>0</v>
      </c>
      <c r="AT232" s="118">
        <f>IFERROR(ReviewCalcs[[#This Row],[Existing Fixture Quantity]]*ReviewCalcs[[#This Row],[Existing Fixture Watts]]/1000*ReviewCalcs[[#This Row],[Existing PAF]]*ReviewCalcs[[#This Row],[AOH]]*ReviewCalcs[[#This Row],[IEFE]], 0)</f>
        <v>0</v>
      </c>
      <c r="AU232" s="118">
        <f>IFERROR(ReviewCalcs[[#This Row],[Proposed Fixture Quantity]]*ReviewCalcs[[#This Row],[Proposed Fixture Watts]]/1000*ReviewCalcs[[#This Row],[Proposed PAF]]*ReviewCalcs[[#This Row],[AOH]]*ReviewCalcs[[#This Row],[IEFE]], 0)</f>
        <v>0</v>
      </c>
      <c r="AV232" s="118">
        <f>IFERROR(ReviewCalcs[[#This Row],[Proposed Fixture Quantity]]*ReviewCalcs[[#This Row],[Proposed Fixture Watts]]/1000*(ReviewCalcs[[#This Row],[Existing PAF]]-ReviewCalcs[[#This Row],[Proposed PAF]])*ReviewCalcs[[#This Row],[AOH]]*ReviewCalcs[[#This Row],[IEFE]], 0)</f>
        <v>0</v>
      </c>
      <c r="AW232" s="118">
        <f>ReviewCalcs[[#This Row],[Control Existing Energy (kWh)]]*kWh_Incentive_Rate</f>
        <v>0</v>
      </c>
      <c r="AX232" s="118">
        <f>ReviewCalcs[[#This Row],[Control Proposed Energy (kWh)]]*kWh_Incentive_Rate</f>
        <v>0</v>
      </c>
      <c r="AY232" s="70">
        <f>ReviewCalcs[[#This Row],[Control Energy Savings (kWh)]]*kWh_Incentive_Rate</f>
        <v>0</v>
      </c>
      <c r="AZ232" s="70" t="e">
        <f>ReviewCalcs[[#This Row],[Fixture Existing Demand (kW)]]+ReviewCalcs[[#This Row],[Control Existing Demand (kW)]]</f>
        <v>#VALUE!</v>
      </c>
      <c r="BA232" s="70" t="e">
        <f>ReviewCalcs[[#This Row],[Fixture Proposed Demand (kW)]]+ReviewCalcs[[#This Row],[Control Proposed Demand (kW)]]</f>
        <v>#VALUE!</v>
      </c>
      <c r="BB232" s="118">
        <f>ReviewCalcs[[#This Row],[Fixture Demand Savings (kW)]]+ReviewCalcs[[#This Row],[Control Demand Savings (kW)]]</f>
        <v>0</v>
      </c>
      <c r="BC232" s="118">
        <f>ReviewCalcs[[#This Row],[Fixture Existing Energy (kWh)]]+ReviewCalcs[[#This Row],[Control Existing Energy (kWh)]]</f>
        <v>0</v>
      </c>
      <c r="BD232" s="118">
        <f>ReviewCalcs[[#This Row],[Fixture Proposed Energy (kWh)]]+ReviewCalcs[[#This Row],[Control Proposed Energy (kWh)]]</f>
        <v>0</v>
      </c>
      <c r="BE232" s="118">
        <f>ReviewCalcs[[#This Row],[Fixture Energy Savings]]+ReviewCalcs[[#This Row],[Control Energy Savings (kWh)]]</f>
        <v>0</v>
      </c>
      <c r="BF232" s="118">
        <f>ReviewCalcs[[#This Row],[Fixture Existing Cost ($)]]+ReviewCalcs[[#This Row],[Control Existing Cost ($)]]</f>
        <v>0</v>
      </c>
      <c r="BG232" s="118">
        <f>ReviewCalcs[[#This Row],[Fixture Proposed Cost ($)]]+ReviewCalcs[[#This Row],[Controls Proposed Cost ($)]]</f>
        <v>0</v>
      </c>
      <c r="BH232" s="70">
        <f>ReviewCalcs[[#This Row],[Total Energy Savings (kWh)]]*Avg_KWh_Rate</f>
        <v>0</v>
      </c>
      <c r="BI23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2" s="70">
        <f>ReviewCalcs[[#This Row],[Retrofit Cost]]</f>
        <v>0</v>
      </c>
      <c r="BK232" s="70">
        <f>ReviewCalcs[[#This Row],[Retrofit Cost]]-ReviewCalcs[[#This Row],[Incentive ($)]]</f>
        <v>0</v>
      </c>
      <c r="BL232" s="118" t="e">
        <f>IFERROR(ReviewCalcs[[#This Row],[Net Project Cost ($)]]/ReviewCalcs[[#This Row],[Fixture Energy Cost Savings ($)]], #N/A)</f>
        <v>#N/A</v>
      </c>
      <c r="BM232" s="118" t="e">
        <f>IF(VLOOKUP(ReviewCalcs[[#This Row],[Existing Fixture Code]], Table7[[FIXTURE CODE]:[Baseline Fixture Code]], 8, FALSE)="N", VLOOKUP(ReviewCalcs[[#This Row],[Existing Fixture Code]], Table7[[FIXTURE CODE]:[Baseline Fixture Code]], 9, FALSE), ReviewCalcs[[#This Row],[Existing Fixture Code]])</f>
        <v>#N/A</v>
      </c>
      <c r="BN232" s="118" t="e">
        <f>INDEX(Table7[WATT/ FIXT], MATCH(ReviewCalcs[Baseline Fixture Code], Table7[FIXTURE CODE], 0))</f>
        <v>#N/A</v>
      </c>
      <c r="BO232" s="118">
        <f>IFERROR((ReviewCalcs[[#This Row],[Existing Fixture Quantity]]*ReviewCalcs[[#This Row],[Baseline Fixture Watts]]/1000-ReviewCalcs[[#This Row],[Proposed Fixture Quantity]]*ReviewCalcs[[#This Row],[Proposed Fixture Watts]]/1000)*ReviewCalcs[[#This Row],[Existing CF]]*ReviewCalcs[[#This Row],[IEFD]], 0)</f>
        <v>0</v>
      </c>
      <c r="BP23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2" s="118">
        <f>IF(ReviewCalcs[[#This Row],[Existing CF]]=ReviewCalcs[[#This Row],[Proposed CF]], 0, ReviewCalcs[[#This Row],[Proposed Fixture Quantity]]*ReviewCalcs[[#This Row],[Proposed Fixture Watts]]/1000*ReviewCalcs[[#This Row],[Proposed CF]]*ReviewCalcs[[#This Row],[IEFD]])</f>
        <v>0</v>
      </c>
      <c r="BR232" s="118">
        <f>IFERROR(ReviewCalcs[[#This Row],[Proposed Fixture Quantity]]*ReviewCalcs[[#This Row],[Proposed Fixture Watts]]/1000*(ReviewCalcs[[#This Row],[Existing PAF]]-ReviewCalcs[[#This Row],[Proposed PAF]])*ReviewCalcs[[#This Row],[AOH]]*ReviewCalcs[[#This Row],[IEFE]],0)</f>
        <v>0</v>
      </c>
      <c r="BS232" s="118">
        <f>ReviewCalcs[[#This Row],[Incentive Fixture Demand Savings (kW)]]+ReviewCalcs[[#This Row],[Incentive Control Demand Savings (kW)]]</f>
        <v>0</v>
      </c>
      <c r="BT232" s="118">
        <f>ReviewCalcs[[#This Row],[Incentive Fixture Energy Savings (kWh)]]+ReviewCalcs[[#This Row],[Incentive Control Energy Savings (kWh)]]</f>
        <v>0</v>
      </c>
      <c r="BU232" s="73"/>
    </row>
    <row r="233" spans="1:73" ht="30" customHeight="1">
      <c r="A233" s="68">
        <v>230</v>
      </c>
      <c r="B233" s="96">
        <f>VLOOKUP(ReviewCalcs[[#This Row],[Project Index]], ProjectInput[], D$1, FALSE)</f>
        <v>0</v>
      </c>
      <c r="C233" s="97">
        <f>VLOOKUP(ReviewCalcs[[#This Row],[Project Index]], ProjectInput[], E$1, FALSE)</f>
        <v>0</v>
      </c>
      <c r="D233" s="97">
        <f>VLOOKUP(ReviewCalcs[[#This Row],[Project Index]], ProjectInput[], F$1, FALSE)</f>
        <v>0</v>
      </c>
      <c r="E233" s="97">
        <f>VLOOKUP(ReviewCalcs[[#This Row],[Project Index]], ProjectInput[], G$1, FALSE)</f>
        <v>0</v>
      </c>
      <c r="F233" s="97">
        <f>VLOOKUP(ReviewCalcs[[#This Row],[Project Index]], ProjectInput[], H$1, FALSE)</f>
        <v>0</v>
      </c>
      <c r="G233" s="98" t="str">
        <f>VLOOKUP(ReviewCalcs[[#This Row],[Project Index]], ProjectInput[], I$1, FALSE)</f>
        <v/>
      </c>
      <c r="H233" s="96">
        <f>VLOOKUP(ReviewCalcs[[#This Row],[Project Index]], ProjectInput[], J$1, FALSE)</f>
        <v>0</v>
      </c>
      <c r="I233" s="97">
        <f>VLOOKUP(ReviewCalcs[[#This Row],[Project Index]], ProjectInput[], K$1, FALSE)</f>
        <v>0</v>
      </c>
      <c r="J233" s="97">
        <f>VLOOKUP(ReviewCalcs[[#This Row],[Project Index]], ProjectInput[], L$1, FALSE)</f>
        <v>0</v>
      </c>
      <c r="K233" s="97">
        <f>VLOOKUP(ReviewCalcs[[#This Row],[Project Index]], ProjectInput[], M$1, FALSE)</f>
        <v>0</v>
      </c>
      <c r="L233" s="97">
        <f>VLOOKUP(ReviewCalcs[[#This Row],[Project Index]], ProjectInput[], N$1, FALSE)</f>
        <v>0</v>
      </c>
      <c r="M233" s="98" t="str">
        <f>VLOOKUP(ReviewCalcs[[#This Row],[Project Index]], ProjectInput[], O$1, FALSE)</f>
        <v/>
      </c>
      <c r="N233" s="96">
        <f>VLOOKUP(ReviewCalcs[[#This Row],[Project Index]], ProjectInput[], P$1, FALSE)</f>
        <v>0</v>
      </c>
      <c r="O233" s="97">
        <f>VLOOKUP(ReviewCalcs[[#This Row],[Project Index]], ProjectInput[], Q$1, FALSE)</f>
        <v>0</v>
      </c>
      <c r="P233" s="97">
        <f>VLOOKUP(ReviewCalcs[[#This Row],[Project Index]], ProjectInput[], R$1, FALSE)</f>
        <v>0</v>
      </c>
      <c r="Q233" s="97">
        <f>VLOOKUP(ReviewCalcs[[#This Row],[Project Index]], ProjectInput[], S$1, FALSE)</f>
        <v>0</v>
      </c>
      <c r="R233" s="97">
        <f>VLOOKUP(ReviewCalcs[[#This Row],[Project Index]], ProjectInput[], T$1, FALSE)</f>
        <v>0</v>
      </c>
      <c r="S233" s="97">
        <f>VLOOKUP(ReviewCalcs[[#This Row],[Project Index]], ProjectInput[], U$1, FALSE)</f>
        <v>0</v>
      </c>
      <c r="T233" s="97">
        <f>VLOOKUP(ReviewCalcs[[#This Row],[Project Index]], ProjectInput[], V$1, FALSE)</f>
        <v>0</v>
      </c>
      <c r="U233" s="97">
        <f>VLOOKUP(ReviewCalcs[[#This Row],[Project Index]], ProjectInput[], W$1, FALSE)</f>
        <v>0</v>
      </c>
      <c r="V233" s="98" t="str">
        <f>VLOOKUP(ReviewCalcs[[#This Row],[Project Index]], ProjectInput[], X$1, FALSE)</f>
        <v/>
      </c>
      <c r="W23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3" s="75" t="e">
        <f>IF(VLOOKUP(ReviewCalcs[[#This Row],[Proposed Fixture Code]], Table7[[FIXTURE CODE]:[Baseline Fixture Code]], 8, FALSE)="N", "ERROR", "PASS")</f>
        <v>#N/A</v>
      </c>
      <c r="Y23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3" s="75" t="e">
        <f>IF(OR(ReviewCalcs[[#This Row],[Baseline Fixture Watts]]&gt;=ReviewCalcs[[#This Row],[Proposed Fixture Watts]],ReviewCalcs[[#This Row],[Existing Fixture Watts]]&gt;=ReviewCalcs[[#This Row],[Proposed Fixture Watts]] ), "PASS", "ERROR")</f>
        <v>#N/A</v>
      </c>
      <c r="AA233" s="69" t="e">
        <f>VLOOKUP(ReviewCalcs[[#This Row],[Space Conditions]], Table_365[], 5, FALSE)</f>
        <v>#N/A</v>
      </c>
      <c r="AB233" s="68" t="str">
        <f>ReviewCalcs[[#This Row],[Annual Hours]]</f>
        <v/>
      </c>
      <c r="AC233" s="68" t="e">
        <f>VLOOKUP(ReviewCalcs[[#This Row],[Space Conditions]], Table_365[], 6, FALSE)</f>
        <v>#N/A</v>
      </c>
      <c r="AD233" s="68">
        <f>IF(ReviewCalcs[[#This Row],[Existing Control(s)]]='Tables &amp; Ranges'!$A$25, VLOOKUP(ReviewCalcs[[#This Row],[Building/Space Type]], Table_364[], 3, FALSE), CF_Contols)</f>
        <v>0.26</v>
      </c>
      <c r="AE233" s="68" t="e">
        <f>VLOOKUP(ReviewCalcs[[#This Row],[Existing Control(s)]], Table_358[], 2, FALSE)</f>
        <v>#N/A</v>
      </c>
      <c r="AF233" s="68">
        <f>IF(ReviewCalcs[[#This Row],[Proposed Control(s)]]='Tables &amp; Ranges'!$A$25, VLOOKUP(ReviewCalcs[[#This Row],[Building/Space Type]], Table_364[], 3, FALSE), CF_Contols)</f>
        <v>0.26</v>
      </c>
      <c r="AG233" s="68" t="e">
        <f>VLOOKUP(ReviewCalcs[[#This Row],[Proposed Control(s)]], Table_358[], 2, FALSE)</f>
        <v>#N/A</v>
      </c>
      <c r="AH233" s="68">
        <f>IFERROR((ReviewCalcs[[#This Row],[Existing Fixture Quantity]]*ReviewCalcs[[#This Row],[Existing Fixture Watts]]/1000)*ReviewCalcs[[#This Row],[Existing CF]]*ReviewCalcs[[#This Row],[IEFD]], 0)</f>
        <v>0</v>
      </c>
      <c r="AI233" s="68">
        <f>IFERROR((ReviewCalcs[[#This Row],[Proposed Fixture Quantity]]*ReviewCalcs[[#This Row],[Proposed Fixture Watts]]/1000)*ReviewCalcs[[#This Row],[Existing CF]]*ReviewCalcs[[#This Row],[IEFD]], 0)</f>
        <v>0</v>
      </c>
      <c r="AJ233" s="118">
        <f>IFERROR((ReviewCalcs[[#This Row],[Existing Fixture Quantity]]*ReviewCalcs[[#This Row],[Existing Fixture Watts]]/1000-ReviewCalcs[[#This Row],[Proposed Fixture Quantity]]*ReviewCalcs[[#This Row],[Proposed Fixture Watts]]/1000)*ReviewCalcs[[#This Row],[Existing CF]]*ReviewCalcs[[#This Row],[IEFD]], 0)</f>
        <v>0</v>
      </c>
      <c r="AK233" s="118">
        <f>IFERROR((ReviewCalcs[[#This Row],[Existing Fixture Quantity]]*ReviewCalcs[[#This Row],[Existing Fixture Watts]]/1000)*ReviewCalcs[[#This Row],[AOH]]*ReviewCalcs[[#This Row],[IEFE]]*ReviewCalcs[[#This Row],[Existing PAF]], 0)</f>
        <v>0</v>
      </c>
      <c r="AL233" s="118">
        <f>IFERROR((ReviewCalcs[[#This Row],[Proposed Fixture Quantity]]*ReviewCalcs[[#This Row],[Proposed Fixture Watts]]/1000)*ReviewCalcs[[#This Row],[AOH]]*ReviewCalcs[[#This Row],[IEFE]]*ReviewCalcs[[#This Row],[Existing PAF]], 0)</f>
        <v>0</v>
      </c>
      <c r="AM23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3" s="118">
        <f>ReviewCalcs[[#This Row],[Fixture Existing Energy (kWh)]]*Avg_KWh_Rate</f>
        <v>0</v>
      </c>
      <c r="AO233" s="118">
        <f>ReviewCalcs[[#This Row],[Fixture Proposed Energy (kWh)]]*Avg_KWh_Rate</f>
        <v>0</v>
      </c>
      <c r="AP233" s="70">
        <f>ReviewCalcs[[#This Row],[Fixture Energy Savings]]*Avg_KWh_Rate</f>
        <v>0</v>
      </c>
      <c r="AQ233" s="129" t="e">
        <f>ReviewCalcs[[#This Row],[Existing Fixture Quantity]]*ReviewCalcs[[#This Row],[Existing Fixture Watts]]/1000*ReviewCalcs[[#This Row],[Existing CF]]*ReviewCalcs[[#This Row],[IEFD]]</f>
        <v>#VALUE!</v>
      </c>
      <c r="AR233" s="129" t="e">
        <f>ReviewCalcs[[#This Row],[Proposed Fixture Quantity]]*ReviewCalcs[[#This Row],[Proposed Fixture Watts]]/1000*ReviewCalcs[[#This Row],[Proposed CF]]*ReviewCalcs[[#This Row],[IEFD]]</f>
        <v>#VALUE!</v>
      </c>
      <c r="AS233" s="118">
        <f>IF(ReviewCalcs[[#This Row],[Existing CF]]=ReviewCalcs[[#This Row],[Proposed CF]], 0, ReviewCalcs[[#This Row],[Proposed Fixture Quantity]]*ReviewCalcs[[#This Row],[Proposed Fixture Watts]]/1000*ReviewCalcs[[#This Row],[Proposed CF]]*ReviewCalcs[[#This Row],[IEFD]])</f>
        <v>0</v>
      </c>
      <c r="AT233" s="118">
        <f>IFERROR(ReviewCalcs[[#This Row],[Existing Fixture Quantity]]*ReviewCalcs[[#This Row],[Existing Fixture Watts]]/1000*ReviewCalcs[[#This Row],[Existing PAF]]*ReviewCalcs[[#This Row],[AOH]]*ReviewCalcs[[#This Row],[IEFE]], 0)</f>
        <v>0</v>
      </c>
      <c r="AU233" s="118">
        <f>IFERROR(ReviewCalcs[[#This Row],[Proposed Fixture Quantity]]*ReviewCalcs[[#This Row],[Proposed Fixture Watts]]/1000*ReviewCalcs[[#This Row],[Proposed PAF]]*ReviewCalcs[[#This Row],[AOH]]*ReviewCalcs[[#This Row],[IEFE]], 0)</f>
        <v>0</v>
      </c>
      <c r="AV233" s="118">
        <f>IFERROR(ReviewCalcs[[#This Row],[Proposed Fixture Quantity]]*ReviewCalcs[[#This Row],[Proposed Fixture Watts]]/1000*(ReviewCalcs[[#This Row],[Existing PAF]]-ReviewCalcs[[#This Row],[Proposed PAF]])*ReviewCalcs[[#This Row],[AOH]]*ReviewCalcs[[#This Row],[IEFE]], 0)</f>
        <v>0</v>
      </c>
      <c r="AW233" s="118">
        <f>ReviewCalcs[[#This Row],[Control Existing Energy (kWh)]]*kWh_Incentive_Rate</f>
        <v>0</v>
      </c>
      <c r="AX233" s="118">
        <f>ReviewCalcs[[#This Row],[Control Proposed Energy (kWh)]]*kWh_Incentive_Rate</f>
        <v>0</v>
      </c>
      <c r="AY233" s="70">
        <f>ReviewCalcs[[#This Row],[Control Energy Savings (kWh)]]*kWh_Incentive_Rate</f>
        <v>0</v>
      </c>
      <c r="AZ233" s="70" t="e">
        <f>ReviewCalcs[[#This Row],[Fixture Existing Demand (kW)]]+ReviewCalcs[[#This Row],[Control Existing Demand (kW)]]</f>
        <v>#VALUE!</v>
      </c>
      <c r="BA233" s="70" t="e">
        <f>ReviewCalcs[[#This Row],[Fixture Proposed Demand (kW)]]+ReviewCalcs[[#This Row],[Control Proposed Demand (kW)]]</f>
        <v>#VALUE!</v>
      </c>
      <c r="BB233" s="118">
        <f>ReviewCalcs[[#This Row],[Fixture Demand Savings (kW)]]+ReviewCalcs[[#This Row],[Control Demand Savings (kW)]]</f>
        <v>0</v>
      </c>
      <c r="BC233" s="118">
        <f>ReviewCalcs[[#This Row],[Fixture Existing Energy (kWh)]]+ReviewCalcs[[#This Row],[Control Existing Energy (kWh)]]</f>
        <v>0</v>
      </c>
      <c r="BD233" s="118">
        <f>ReviewCalcs[[#This Row],[Fixture Proposed Energy (kWh)]]+ReviewCalcs[[#This Row],[Control Proposed Energy (kWh)]]</f>
        <v>0</v>
      </c>
      <c r="BE233" s="118">
        <f>ReviewCalcs[[#This Row],[Fixture Energy Savings]]+ReviewCalcs[[#This Row],[Control Energy Savings (kWh)]]</f>
        <v>0</v>
      </c>
      <c r="BF233" s="118">
        <f>ReviewCalcs[[#This Row],[Fixture Existing Cost ($)]]+ReviewCalcs[[#This Row],[Control Existing Cost ($)]]</f>
        <v>0</v>
      </c>
      <c r="BG233" s="118">
        <f>ReviewCalcs[[#This Row],[Fixture Proposed Cost ($)]]+ReviewCalcs[[#This Row],[Controls Proposed Cost ($)]]</f>
        <v>0</v>
      </c>
      <c r="BH233" s="70">
        <f>ReviewCalcs[[#This Row],[Total Energy Savings (kWh)]]*Avg_KWh_Rate</f>
        <v>0</v>
      </c>
      <c r="BI23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3" s="70">
        <f>ReviewCalcs[[#This Row],[Retrofit Cost]]</f>
        <v>0</v>
      </c>
      <c r="BK233" s="70">
        <f>ReviewCalcs[[#This Row],[Retrofit Cost]]-ReviewCalcs[[#This Row],[Incentive ($)]]</f>
        <v>0</v>
      </c>
      <c r="BL233" s="118" t="e">
        <f>IFERROR(ReviewCalcs[[#This Row],[Net Project Cost ($)]]/ReviewCalcs[[#This Row],[Fixture Energy Cost Savings ($)]], #N/A)</f>
        <v>#N/A</v>
      </c>
      <c r="BM233" s="118" t="e">
        <f>IF(VLOOKUP(ReviewCalcs[[#This Row],[Existing Fixture Code]], Table7[[FIXTURE CODE]:[Baseline Fixture Code]], 8, FALSE)="N", VLOOKUP(ReviewCalcs[[#This Row],[Existing Fixture Code]], Table7[[FIXTURE CODE]:[Baseline Fixture Code]], 9, FALSE), ReviewCalcs[[#This Row],[Existing Fixture Code]])</f>
        <v>#N/A</v>
      </c>
      <c r="BN233" s="118" t="e">
        <f>INDEX(Table7[WATT/ FIXT], MATCH(ReviewCalcs[Baseline Fixture Code], Table7[FIXTURE CODE], 0))</f>
        <v>#N/A</v>
      </c>
      <c r="BO233" s="118">
        <f>IFERROR((ReviewCalcs[[#This Row],[Existing Fixture Quantity]]*ReviewCalcs[[#This Row],[Baseline Fixture Watts]]/1000-ReviewCalcs[[#This Row],[Proposed Fixture Quantity]]*ReviewCalcs[[#This Row],[Proposed Fixture Watts]]/1000)*ReviewCalcs[[#This Row],[Existing CF]]*ReviewCalcs[[#This Row],[IEFD]], 0)</f>
        <v>0</v>
      </c>
      <c r="BP23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3" s="118">
        <f>IF(ReviewCalcs[[#This Row],[Existing CF]]=ReviewCalcs[[#This Row],[Proposed CF]], 0, ReviewCalcs[[#This Row],[Proposed Fixture Quantity]]*ReviewCalcs[[#This Row],[Proposed Fixture Watts]]/1000*ReviewCalcs[[#This Row],[Proposed CF]]*ReviewCalcs[[#This Row],[IEFD]])</f>
        <v>0</v>
      </c>
      <c r="BR233" s="118">
        <f>IFERROR(ReviewCalcs[[#This Row],[Proposed Fixture Quantity]]*ReviewCalcs[[#This Row],[Proposed Fixture Watts]]/1000*(ReviewCalcs[[#This Row],[Existing PAF]]-ReviewCalcs[[#This Row],[Proposed PAF]])*ReviewCalcs[[#This Row],[AOH]]*ReviewCalcs[[#This Row],[IEFE]],0)</f>
        <v>0</v>
      </c>
      <c r="BS233" s="118">
        <f>ReviewCalcs[[#This Row],[Incentive Fixture Demand Savings (kW)]]+ReviewCalcs[[#This Row],[Incentive Control Demand Savings (kW)]]</f>
        <v>0</v>
      </c>
      <c r="BT233" s="118">
        <f>ReviewCalcs[[#This Row],[Incentive Fixture Energy Savings (kWh)]]+ReviewCalcs[[#This Row],[Incentive Control Energy Savings (kWh)]]</f>
        <v>0</v>
      </c>
      <c r="BU233" s="73"/>
    </row>
    <row r="234" spans="1:73" ht="30" customHeight="1">
      <c r="A234" s="68">
        <v>231</v>
      </c>
      <c r="B234" s="96">
        <f>VLOOKUP(ReviewCalcs[[#This Row],[Project Index]], ProjectInput[], D$1, FALSE)</f>
        <v>0</v>
      </c>
      <c r="C234" s="97">
        <f>VLOOKUP(ReviewCalcs[[#This Row],[Project Index]], ProjectInput[], E$1, FALSE)</f>
        <v>0</v>
      </c>
      <c r="D234" s="97">
        <f>VLOOKUP(ReviewCalcs[[#This Row],[Project Index]], ProjectInput[], F$1, FALSE)</f>
        <v>0</v>
      </c>
      <c r="E234" s="97">
        <f>VLOOKUP(ReviewCalcs[[#This Row],[Project Index]], ProjectInput[], G$1, FALSE)</f>
        <v>0</v>
      </c>
      <c r="F234" s="97">
        <f>VLOOKUP(ReviewCalcs[[#This Row],[Project Index]], ProjectInput[], H$1, FALSE)</f>
        <v>0</v>
      </c>
      <c r="G234" s="98" t="str">
        <f>VLOOKUP(ReviewCalcs[[#This Row],[Project Index]], ProjectInput[], I$1, FALSE)</f>
        <v/>
      </c>
      <c r="H234" s="96">
        <f>VLOOKUP(ReviewCalcs[[#This Row],[Project Index]], ProjectInput[], J$1, FALSE)</f>
        <v>0</v>
      </c>
      <c r="I234" s="97">
        <f>VLOOKUP(ReviewCalcs[[#This Row],[Project Index]], ProjectInput[], K$1, FALSE)</f>
        <v>0</v>
      </c>
      <c r="J234" s="97">
        <f>VLOOKUP(ReviewCalcs[[#This Row],[Project Index]], ProjectInput[], L$1, FALSE)</f>
        <v>0</v>
      </c>
      <c r="K234" s="97">
        <f>VLOOKUP(ReviewCalcs[[#This Row],[Project Index]], ProjectInput[], M$1, FALSE)</f>
        <v>0</v>
      </c>
      <c r="L234" s="97">
        <f>VLOOKUP(ReviewCalcs[[#This Row],[Project Index]], ProjectInput[], N$1, FALSE)</f>
        <v>0</v>
      </c>
      <c r="M234" s="98" t="str">
        <f>VLOOKUP(ReviewCalcs[[#This Row],[Project Index]], ProjectInput[], O$1, FALSE)</f>
        <v/>
      </c>
      <c r="N234" s="96">
        <f>VLOOKUP(ReviewCalcs[[#This Row],[Project Index]], ProjectInput[], P$1, FALSE)</f>
        <v>0</v>
      </c>
      <c r="O234" s="97">
        <f>VLOOKUP(ReviewCalcs[[#This Row],[Project Index]], ProjectInput[], Q$1, FALSE)</f>
        <v>0</v>
      </c>
      <c r="P234" s="97">
        <f>VLOOKUP(ReviewCalcs[[#This Row],[Project Index]], ProjectInput[], R$1, FALSE)</f>
        <v>0</v>
      </c>
      <c r="Q234" s="97">
        <f>VLOOKUP(ReviewCalcs[[#This Row],[Project Index]], ProjectInput[], S$1, FALSE)</f>
        <v>0</v>
      </c>
      <c r="R234" s="97">
        <f>VLOOKUP(ReviewCalcs[[#This Row],[Project Index]], ProjectInput[], T$1, FALSE)</f>
        <v>0</v>
      </c>
      <c r="S234" s="97">
        <f>VLOOKUP(ReviewCalcs[[#This Row],[Project Index]], ProjectInput[], U$1, FALSE)</f>
        <v>0</v>
      </c>
      <c r="T234" s="97">
        <f>VLOOKUP(ReviewCalcs[[#This Row],[Project Index]], ProjectInput[], V$1, FALSE)</f>
        <v>0</v>
      </c>
      <c r="U234" s="97">
        <f>VLOOKUP(ReviewCalcs[[#This Row],[Project Index]], ProjectInput[], W$1, FALSE)</f>
        <v>0</v>
      </c>
      <c r="V234" s="98" t="str">
        <f>VLOOKUP(ReviewCalcs[[#This Row],[Project Index]], ProjectInput[], X$1, FALSE)</f>
        <v/>
      </c>
      <c r="W23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4" s="75" t="e">
        <f>IF(VLOOKUP(ReviewCalcs[[#This Row],[Proposed Fixture Code]], Table7[[FIXTURE CODE]:[Baseline Fixture Code]], 8, FALSE)="N", "ERROR", "PASS")</f>
        <v>#N/A</v>
      </c>
      <c r="Y23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4" s="75" t="e">
        <f>IF(OR(ReviewCalcs[[#This Row],[Baseline Fixture Watts]]&gt;=ReviewCalcs[[#This Row],[Proposed Fixture Watts]],ReviewCalcs[[#This Row],[Existing Fixture Watts]]&gt;=ReviewCalcs[[#This Row],[Proposed Fixture Watts]] ), "PASS", "ERROR")</f>
        <v>#N/A</v>
      </c>
      <c r="AA234" s="69" t="e">
        <f>VLOOKUP(ReviewCalcs[[#This Row],[Space Conditions]], Table_365[], 5, FALSE)</f>
        <v>#N/A</v>
      </c>
      <c r="AB234" s="68" t="str">
        <f>ReviewCalcs[[#This Row],[Annual Hours]]</f>
        <v/>
      </c>
      <c r="AC234" s="68" t="e">
        <f>VLOOKUP(ReviewCalcs[[#This Row],[Space Conditions]], Table_365[], 6, FALSE)</f>
        <v>#N/A</v>
      </c>
      <c r="AD234" s="68">
        <f>IF(ReviewCalcs[[#This Row],[Existing Control(s)]]='Tables &amp; Ranges'!$A$25, VLOOKUP(ReviewCalcs[[#This Row],[Building/Space Type]], Table_364[], 3, FALSE), CF_Contols)</f>
        <v>0.26</v>
      </c>
      <c r="AE234" s="68" t="e">
        <f>VLOOKUP(ReviewCalcs[[#This Row],[Existing Control(s)]], Table_358[], 2, FALSE)</f>
        <v>#N/A</v>
      </c>
      <c r="AF234" s="68">
        <f>IF(ReviewCalcs[[#This Row],[Proposed Control(s)]]='Tables &amp; Ranges'!$A$25, VLOOKUP(ReviewCalcs[[#This Row],[Building/Space Type]], Table_364[], 3, FALSE), CF_Contols)</f>
        <v>0.26</v>
      </c>
      <c r="AG234" s="68" t="e">
        <f>VLOOKUP(ReviewCalcs[[#This Row],[Proposed Control(s)]], Table_358[], 2, FALSE)</f>
        <v>#N/A</v>
      </c>
      <c r="AH234" s="68">
        <f>IFERROR((ReviewCalcs[[#This Row],[Existing Fixture Quantity]]*ReviewCalcs[[#This Row],[Existing Fixture Watts]]/1000)*ReviewCalcs[[#This Row],[Existing CF]]*ReviewCalcs[[#This Row],[IEFD]], 0)</f>
        <v>0</v>
      </c>
      <c r="AI234" s="68">
        <f>IFERROR((ReviewCalcs[[#This Row],[Proposed Fixture Quantity]]*ReviewCalcs[[#This Row],[Proposed Fixture Watts]]/1000)*ReviewCalcs[[#This Row],[Existing CF]]*ReviewCalcs[[#This Row],[IEFD]], 0)</f>
        <v>0</v>
      </c>
      <c r="AJ234" s="118">
        <f>IFERROR((ReviewCalcs[[#This Row],[Existing Fixture Quantity]]*ReviewCalcs[[#This Row],[Existing Fixture Watts]]/1000-ReviewCalcs[[#This Row],[Proposed Fixture Quantity]]*ReviewCalcs[[#This Row],[Proposed Fixture Watts]]/1000)*ReviewCalcs[[#This Row],[Existing CF]]*ReviewCalcs[[#This Row],[IEFD]], 0)</f>
        <v>0</v>
      </c>
      <c r="AK234" s="118">
        <f>IFERROR((ReviewCalcs[[#This Row],[Existing Fixture Quantity]]*ReviewCalcs[[#This Row],[Existing Fixture Watts]]/1000)*ReviewCalcs[[#This Row],[AOH]]*ReviewCalcs[[#This Row],[IEFE]]*ReviewCalcs[[#This Row],[Existing PAF]], 0)</f>
        <v>0</v>
      </c>
      <c r="AL234" s="118">
        <f>IFERROR((ReviewCalcs[[#This Row],[Proposed Fixture Quantity]]*ReviewCalcs[[#This Row],[Proposed Fixture Watts]]/1000)*ReviewCalcs[[#This Row],[AOH]]*ReviewCalcs[[#This Row],[IEFE]]*ReviewCalcs[[#This Row],[Existing PAF]], 0)</f>
        <v>0</v>
      </c>
      <c r="AM23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4" s="118">
        <f>ReviewCalcs[[#This Row],[Fixture Existing Energy (kWh)]]*Avg_KWh_Rate</f>
        <v>0</v>
      </c>
      <c r="AO234" s="118">
        <f>ReviewCalcs[[#This Row],[Fixture Proposed Energy (kWh)]]*Avg_KWh_Rate</f>
        <v>0</v>
      </c>
      <c r="AP234" s="70">
        <f>ReviewCalcs[[#This Row],[Fixture Energy Savings]]*Avg_KWh_Rate</f>
        <v>0</v>
      </c>
      <c r="AQ234" s="129" t="e">
        <f>ReviewCalcs[[#This Row],[Existing Fixture Quantity]]*ReviewCalcs[[#This Row],[Existing Fixture Watts]]/1000*ReviewCalcs[[#This Row],[Existing CF]]*ReviewCalcs[[#This Row],[IEFD]]</f>
        <v>#VALUE!</v>
      </c>
      <c r="AR234" s="129" t="e">
        <f>ReviewCalcs[[#This Row],[Proposed Fixture Quantity]]*ReviewCalcs[[#This Row],[Proposed Fixture Watts]]/1000*ReviewCalcs[[#This Row],[Proposed CF]]*ReviewCalcs[[#This Row],[IEFD]]</f>
        <v>#VALUE!</v>
      </c>
      <c r="AS234" s="118">
        <f>IF(ReviewCalcs[[#This Row],[Existing CF]]=ReviewCalcs[[#This Row],[Proposed CF]], 0, ReviewCalcs[[#This Row],[Proposed Fixture Quantity]]*ReviewCalcs[[#This Row],[Proposed Fixture Watts]]/1000*ReviewCalcs[[#This Row],[Proposed CF]]*ReviewCalcs[[#This Row],[IEFD]])</f>
        <v>0</v>
      </c>
      <c r="AT234" s="118">
        <f>IFERROR(ReviewCalcs[[#This Row],[Existing Fixture Quantity]]*ReviewCalcs[[#This Row],[Existing Fixture Watts]]/1000*ReviewCalcs[[#This Row],[Existing PAF]]*ReviewCalcs[[#This Row],[AOH]]*ReviewCalcs[[#This Row],[IEFE]], 0)</f>
        <v>0</v>
      </c>
      <c r="AU234" s="118">
        <f>IFERROR(ReviewCalcs[[#This Row],[Proposed Fixture Quantity]]*ReviewCalcs[[#This Row],[Proposed Fixture Watts]]/1000*ReviewCalcs[[#This Row],[Proposed PAF]]*ReviewCalcs[[#This Row],[AOH]]*ReviewCalcs[[#This Row],[IEFE]], 0)</f>
        <v>0</v>
      </c>
      <c r="AV234" s="118">
        <f>IFERROR(ReviewCalcs[[#This Row],[Proposed Fixture Quantity]]*ReviewCalcs[[#This Row],[Proposed Fixture Watts]]/1000*(ReviewCalcs[[#This Row],[Existing PAF]]-ReviewCalcs[[#This Row],[Proposed PAF]])*ReviewCalcs[[#This Row],[AOH]]*ReviewCalcs[[#This Row],[IEFE]], 0)</f>
        <v>0</v>
      </c>
      <c r="AW234" s="118">
        <f>ReviewCalcs[[#This Row],[Control Existing Energy (kWh)]]*kWh_Incentive_Rate</f>
        <v>0</v>
      </c>
      <c r="AX234" s="118">
        <f>ReviewCalcs[[#This Row],[Control Proposed Energy (kWh)]]*kWh_Incentive_Rate</f>
        <v>0</v>
      </c>
      <c r="AY234" s="70">
        <f>ReviewCalcs[[#This Row],[Control Energy Savings (kWh)]]*kWh_Incentive_Rate</f>
        <v>0</v>
      </c>
      <c r="AZ234" s="70" t="e">
        <f>ReviewCalcs[[#This Row],[Fixture Existing Demand (kW)]]+ReviewCalcs[[#This Row],[Control Existing Demand (kW)]]</f>
        <v>#VALUE!</v>
      </c>
      <c r="BA234" s="70" t="e">
        <f>ReviewCalcs[[#This Row],[Fixture Proposed Demand (kW)]]+ReviewCalcs[[#This Row],[Control Proposed Demand (kW)]]</f>
        <v>#VALUE!</v>
      </c>
      <c r="BB234" s="118">
        <f>ReviewCalcs[[#This Row],[Fixture Demand Savings (kW)]]+ReviewCalcs[[#This Row],[Control Demand Savings (kW)]]</f>
        <v>0</v>
      </c>
      <c r="BC234" s="118">
        <f>ReviewCalcs[[#This Row],[Fixture Existing Energy (kWh)]]+ReviewCalcs[[#This Row],[Control Existing Energy (kWh)]]</f>
        <v>0</v>
      </c>
      <c r="BD234" s="118">
        <f>ReviewCalcs[[#This Row],[Fixture Proposed Energy (kWh)]]+ReviewCalcs[[#This Row],[Control Proposed Energy (kWh)]]</f>
        <v>0</v>
      </c>
      <c r="BE234" s="118">
        <f>ReviewCalcs[[#This Row],[Fixture Energy Savings]]+ReviewCalcs[[#This Row],[Control Energy Savings (kWh)]]</f>
        <v>0</v>
      </c>
      <c r="BF234" s="118">
        <f>ReviewCalcs[[#This Row],[Fixture Existing Cost ($)]]+ReviewCalcs[[#This Row],[Control Existing Cost ($)]]</f>
        <v>0</v>
      </c>
      <c r="BG234" s="118">
        <f>ReviewCalcs[[#This Row],[Fixture Proposed Cost ($)]]+ReviewCalcs[[#This Row],[Controls Proposed Cost ($)]]</f>
        <v>0</v>
      </c>
      <c r="BH234" s="70">
        <f>ReviewCalcs[[#This Row],[Total Energy Savings (kWh)]]*Avg_KWh_Rate</f>
        <v>0</v>
      </c>
      <c r="BI23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4" s="70">
        <f>ReviewCalcs[[#This Row],[Retrofit Cost]]</f>
        <v>0</v>
      </c>
      <c r="BK234" s="70">
        <f>ReviewCalcs[[#This Row],[Retrofit Cost]]-ReviewCalcs[[#This Row],[Incentive ($)]]</f>
        <v>0</v>
      </c>
      <c r="BL234" s="118" t="e">
        <f>IFERROR(ReviewCalcs[[#This Row],[Net Project Cost ($)]]/ReviewCalcs[[#This Row],[Fixture Energy Cost Savings ($)]], #N/A)</f>
        <v>#N/A</v>
      </c>
      <c r="BM234" s="118" t="e">
        <f>IF(VLOOKUP(ReviewCalcs[[#This Row],[Existing Fixture Code]], Table7[[FIXTURE CODE]:[Baseline Fixture Code]], 8, FALSE)="N", VLOOKUP(ReviewCalcs[[#This Row],[Existing Fixture Code]], Table7[[FIXTURE CODE]:[Baseline Fixture Code]], 9, FALSE), ReviewCalcs[[#This Row],[Existing Fixture Code]])</f>
        <v>#N/A</v>
      </c>
      <c r="BN234" s="118" t="e">
        <f>INDEX(Table7[WATT/ FIXT], MATCH(ReviewCalcs[Baseline Fixture Code], Table7[FIXTURE CODE], 0))</f>
        <v>#N/A</v>
      </c>
      <c r="BO234" s="118">
        <f>IFERROR((ReviewCalcs[[#This Row],[Existing Fixture Quantity]]*ReviewCalcs[[#This Row],[Baseline Fixture Watts]]/1000-ReviewCalcs[[#This Row],[Proposed Fixture Quantity]]*ReviewCalcs[[#This Row],[Proposed Fixture Watts]]/1000)*ReviewCalcs[[#This Row],[Existing CF]]*ReviewCalcs[[#This Row],[IEFD]], 0)</f>
        <v>0</v>
      </c>
      <c r="BP23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4" s="118">
        <f>IF(ReviewCalcs[[#This Row],[Existing CF]]=ReviewCalcs[[#This Row],[Proposed CF]], 0, ReviewCalcs[[#This Row],[Proposed Fixture Quantity]]*ReviewCalcs[[#This Row],[Proposed Fixture Watts]]/1000*ReviewCalcs[[#This Row],[Proposed CF]]*ReviewCalcs[[#This Row],[IEFD]])</f>
        <v>0</v>
      </c>
      <c r="BR234" s="118">
        <f>IFERROR(ReviewCalcs[[#This Row],[Proposed Fixture Quantity]]*ReviewCalcs[[#This Row],[Proposed Fixture Watts]]/1000*(ReviewCalcs[[#This Row],[Existing PAF]]-ReviewCalcs[[#This Row],[Proposed PAF]])*ReviewCalcs[[#This Row],[AOH]]*ReviewCalcs[[#This Row],[IEFE]],0)</f>
        <v>0</v>
      </c>
      <c r="BS234" s="118">
        <f>ReviewCalcs[[#This Row],[Incentive Fixture Demand Savings (kW)]]+ReviewCalcs[[#This Row],[Incentive Control Demand Savings (kW)]]</f>
        <v>0</v>
      </c>
      <c r="BT234" s="118">
        <f>ReviewCalcs[[#This Row],[Incentive Fixture Energy Savings (kWh)]]+ReviewCalcs[[#This Row],[Incentive Control Energy Savings (kWh)]]</f>
        <v>0</v>
      </c>
      <c r="BU234" s="73"/>
    </row>
    <row r="235" spans="1:73" ht="30" customHeight="1">
      <c r="A235" s="68">
        <v>232</v>
      </c>
      <c r="B235" s="96">
        <f>VLOOKUP(ReviewCalcs[[#This Row],[Project Index]], ProjectInput[], D$1, FALSE)</f>
        <v>0</v>
      </c>
      <c r="C235" s="97">
        <f>VLOOKUP(ReviewCalcs[[#This Row],[Project Index]], ProjectInput[], E$1, FALSE)</f>
        <v>0</v>
      </c>
      <c r="D235" s="97">
        <f>VLOOKUP(ReviewCalcs[[#This Row],[Project Index]], ProjectInput[], F$1, FALSE)</f>
        <v>0</v>
      </c>
      <c r="E235" s="97">
        <f>VLOOKUP(ReviewCalcs[[#This Row],[Project Index]], ProjectInput[], G$1, FALSE)</f>
        <v>0</v>
      </c>
      <c r="F235" s="97">
        <f>VLOOKUP(ReviewCalcs[[#This Row],[Project Index]], ProjectInput[], H$1, FALSE)</f>
        <v>0</v>
      </c>
      <c r="G235" s="98" t="str">
        <f>VLOOKUP(ReviewCalcs[[#This Row],[Project Index]], ProjectInput[], I$1, FALSE)</f>
        <v/>
      </c>
      <c r="H235" s="96">
        <f>VLOOKUP(ReviewCalcs[[#This Row],[Project Index]], ProjectInput[], J$1, FALSE)</f>
        <v>0</v>
      </c>
      <c r="I235" s="97">
        <f>VLOOKUP(ReviewCalcs[[#This Row],[Project Index]], ProjectInput[], K$1, FALSE)</f>
        <v>0</v>
      </c>
      <c r="J235" s="97">
        <f>VLOOKUP(ReviewCalcs[[#This Row],[Project Index]], ProjectInput[], L$1, FALSE)</f>
        <v>0</v>
      </c>
      <c r="K235" s="97">
        <f>VLOOKUP(ReviewCalcs[[#This Row],[Project Index]], ProjectInput[], M$1, FALSE)</f>
        <v>0</v>
      </c>
      <c r="L235" s="97">
        <f>VLOOKUP(ReviewCalcs[[#This Row],[Project Index]], ProjectInput[], N$1, FALSE)</f>
        <v>0</v>
      </c>
      <c r="M235" s="98" t="str">
        <f>VLOOKUP(ReviewCalcs[[#This Row],[Project Index]], ProjectInput[], O$1, FALSE)</f>
        <v/>
      </c>
      <c r="N235" s="96">
        <f>VLOOKUP(ReviewCalcs[[#This Row],[Project Index]], ProjectInput[], P$1, FALSE)</f>
        <v>0</v>
      </c>
      <c r="O235" s="97">
        <f>VLOOKUP(ReviewCalcs[[#This Row],[Project Index]], ProjectInput[], Q$1, FALSE)</f>
        <v>0</v>
      </c>
      <c r="P235" s="97">
        <f>VLOOKUP(ReviewCalcs[[#This Row],[Project Index]], ProjectInput[], R$1, FALSE)</f>
        <v>0</v>
      </c>
      <c r="Q235" s="97">
        <f>VLOOKUP(ReviewCalcs[[#This Row],[Project Index]], ProjectInput[], S$1, FALSE)</f>
        <v>0</v>
      </c>
      <c r="R235" s="97">
        <f>VLOOKUP(ReviewCalcs[[#This Row],[Project Index]], ProjectInput[], T$1, FALSE)</f>
        <v>0</v>
      </c>
      <c r="S235" s="97">
        <f>VLOOKUP(ReviewCalcs[[#This Row],[Project Index]], ProjectInput[], U$1, FALSE)</f>
        <v>0</v>
      </c>
      <c r="T235" s="97">
        <f>VLOOKUP(ReviewCalcs[[#This Row],[Project Index]], ProjectInput[], V$1, FALSE)</f>
        <v>0</v>
      </c>
      <c r="U235" s="97">
        <f>VLOOKUP(ReviewCalcs[[#This Row],[Project Index]], ProjectInput[], W$1, FALSE)</f>
        <v>0</v>
      </c>
      <c r="V235" s="98" t="str">
        <f>VLOOKUP(ReviewCalcs[[#This Row],[Project Index]], ProjectInput[], X$1, FALSE)</f>
        <v/>
      </c>
      <c r="W23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5" s="75" t="e">
        <f>IF(VLOOKUP(ReviewCalcs[[#This Row],[Proposed Fixture Code]], Table7[[FIXTURE CODE]:[Baseline Fixture Code]], 8, FALSE)="N", "ERROR", "PASS")</f>
        <v>#N/A</v>
      </c>
      <c r="Y23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5" s="75" t="e">
        <f>IF(OR(ReviewCalcs[[#This Row],[Baseline Fixture Watts]]&gt;=ReviewCalcs[[#This Row],[Proposed Fixture Watts]],ReviewCalcs[[#This Row],[Existing Fixture Watts]]&gt;=ReviewCalcs[[#This Row],[Proposed Fixture Watts]] ), "PASS", "ERROR")</f>
        <v>#N/A</v>
      </c>
      <c r="AA235" s="69" t="e">
        <f>VLOOKUP(ReviewCalcs[[#This Row],[Space Conditions]], Table_365[], 5, FALSE)</f>
        <v>#N/A</v>
      </c>
      <c r="AB235" s="68" t="str">
        <f>ReviewCalcs[[#This Row],[Annual Hours]]</f>
        <v/>
      </c>
      <c r="AC235" s="68" t="e">
        <f>VLOOKUP(ReviewCalcs[[#This Row],[Space Conditions]], Table_365[], 6, FALSE)</f>
        <v>#N/A</v>
      </c>
      <c r="AD235" s="68">
        <f>IF(ReviewCalcs[[#This Row],[Existing Control(s)]]='Tables &amp; Ranges'!$A$25, VLOOKUP(ReviewCalcs[[#This Row],[Building/Space Type]], Table_364[], 3, FALSE), CF_Contols)</f>
        <v>0.26</v>
      </c>
      <c r="AE235" s="68" t="e">
        <f>VLOOKUP(ReviewCalcs[[#This Row],[Existing Control(s)]], Table_358[], 2, FALSE)</f>
        <v>#N/A</v>
      </c>
      <c r="AF235" s="68">
        <f>IF(ReviewCalcs[[#This Row],[Proposed Control(s)]]='Tables &amp; Ranges'!$A$25, VLOOKUP(ReviewCalcs[[#This Row],[Building/Space Type]], Table_364[], 3, FALSE), CF_Contols)</f>
        <v>0.26</v>
      </c>
      <c r="AG235" s="68" t="e">
        <f>VLOOKUP(ReviewCalcs[[#This Row],[Proposed Control(s)]], Table_358[], 2, FALSE)</f>
        <v>#N/A</v>
      </c>
      <c r="AH235" s="68">
        <f>IFERROR((ReviewCalcs[[#This Row],[Existing Fixture Quantity]]*ReviewCalcs[[#This Row],[Existing Fixture Watts]]/1000)*ReviewCalcs[[#This Row],[Existing CF]]*ReviewCalcs[[#This Row],[IEFD]], 0)</f>
        <v>0</v>
      </c>
      <c r="AI235" s="68">
        <f>IFERROR((ReviewCalcs[[#This Row],[Proposed Fixture Quantity]]*ReviewCalcs[[#This Row],[Proposed Fixture Watts]]/1000)*ReviewCalcs[[#This Row],[Existing CF]]*ReviewCalcs[[#This Row],[IEFD]], 0)</f>
        <v>0</v>
      </c>
      <c r="AJ235" s="118">
        <f>IFERROR((ReviewCalcs[[#This Row],[Existing Fixture Quantity]]*ReviewCalcs[[#This Row],[Existing Fixture Watts]]/1000-ReviewCalcs[[#This Row],[Proposed Fixture Quantity]]*ReviewCalcs[[#This Row],[Proposed Fixture Watts]]/1000)*ReviewCalcs[[#This Row],[Existing CF]]*ReviewCalcs[[#This Row],[IEFD]], 0)</f>
        <v>0</v>
      </c>
      <c r="AK235" s="118">
        <f>IFERROR((ReviewCalcs[[#This Row],[Existing Fixture Quantity]]*ReviewCalcs[[#This Row],[Existing Fixture Watts]]/1000)*ReviewCalcs[[#This Row],[AOH]]*ReviewCalcs[[#This Row],[IEFE]]*ReviewCalcs[[#This Row],[Existing PAF]], 0)</f>
        <v>0</v>
      </c>
      <c r="AL235" s="118">
        <f>IFERROR((ReviewCalcs[[#This Row],[Proposed Fixture Quantity]]*ReviewCalcs[[#This Row],[Proposed Fixture Watts]]/1000)*ReviewCalcs[[#This Row],[AOH]]*ReviewCalcs[[#This Row],[IEFE]]*ReviewCalcs[[#This Row],[Existing PAF]], 0)</f>
        <v>0</v>
      </c>
      <c r="AM23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5" s="118">
        <f>ReviewCalcs[[#This Row],[Fixture Existing Energy (kWh)]]*Avg_KWh_Rate</f>
        <v>0</v>
      </c>
      <c r="AO235" s="118">
        <f>ReviewCalcs[[#This Row],[Fixture Proposed Energy (kWh)]]*Avg_KWh_Rate</f>
        <v>0</v>
      </c>
      <c r="AP235" s="70">
        <f>ReviewCalcs[[#This Row],[Fixture Energy Savings]]*Avg_KWh_Rate</f>
        <v>0</v>
      </c>
      <c r="AQ235" s="129" t="e">
        <f>ReviewCalcs[[#This Row],[Existing Fixture Quantity]]*ReviewCalcs[[#This Row],[Existing Fixture Watts]]/1000*ReviewCalcs[[#This Row],[Existing CF]]*ReviewCalcs[[#This Row],[IEFD]]</f>
        <v>#VALUE!</v>
      </c>
      <c r="AR235" s="129" t="e">
        <f>ReviewCalcs[[#This Row],[Proposed Fixture Quantity]]*ReviewCalcs[[#This Row],[Proposed Fixture Watts]]/1000*ReviewCalcs[[#This Row],[Proposed CF]]*ReviewCalcs[[#This Row],[IEFD]]</f>
        <v>#VALUE!</v>
      </c>
      <c r="AS235" s="118">
        <f>IF(ReviewCalcs[[#This Row],[Existing CF]]=ReviewCalcs[[#This Row],[Proposed CF]], 0, ReviewCalcs[[#This Row],[Proposed Fixture Quantity]]*ReviewCalcs[[#This Row],[Proposed Fixture Watts]]/1000*ReviewCalcs[[#This Row],[Proposed CF]]*ReviewCalcs[[#This Row],[IEFD]])</f>
        <v>0</v>
      </c>
      <c r="AT235" s="118">
        <f>IFERROR(ReviewCalcs[[#This Row],[Existing Fixture Quantity]]*ReviewCalcs[[#This Row],[Existing Fixture Watts]]/1000*ReviewCalcs[[#This Row],[Existing PAF]]*ReviewCalcs[[#This Row],[AOH]]*ReviewCalcs[[#This Row],[IEFE]], 0)</f>
        <v>0</v>
      </c>
      <c r="AU235" s="118">
        <f>IFERROR(ReviewCalcs[[#This Row],[Proposed Fixture Quantity]]*ReviewCalcs[[#This Row],[Proposed Fixture Watts]]/1000*ReviewCalcs[[#This Row],[Proposed PAF]]*ReviewCalcs[[#This Row],[AOH]]*ReviewCalcs[[#This Row],[IEFE]], 0)</f>
        <v>0</v>
      </c>
      <c r="AV235" s="118">
        <f>IFERROR(ReviewCalcs[[#This Row],[Proposed Fixture Quantity]]*ReviewCalcs[[#This Row],[Proposed Fixture Watts]]/1000*(ReviewCalcs[[#This Row],[Existing PAF]]-ReviewCalcs[[#This Row],[Proposed PAF]])*ReviewCalcs[[#This Row],[AOH]]*ReviewCalcs[[#This Row],[IEFE]], 0)</f>
        <v>0</v>
      </c>
      <c r="AW235" s="118">
        <f>ReviewCalcs[[#This Row],[Control Existing Energy (kWh)]]*kWh_Incentive_Rate</f>
        <v>0</v>
      </c>
      <c r="AX235" s="118">
        <f>ReviewCalcs[[#This Row],[Control Proposed Energy (kWh)]]*kWh_Incentive_Rate</f>
        <v>0</v>
      </c>
      <c r="AY235" s="70">
        <f>ReviewCalcs[[#This Row],[Control Energy Savings (kWh)]]*kWh_Incentive_Rate</f>
        <v>0</v>
      </c>
      <c r="AZ235" s="70" t="e">
        <f>ReviewCalcs[[#This Row],[Fixture Existing Demand (kW)]]+ReviewCalcs[[#This Row],[Control Existing Demand (kW)]]</f>
        <v>#VALUE!</v>
      </c>
      <c r="BA235" s="70" t="e">
        <f>ReviewCalcs[[#This Row],[Fixture Proposed Demand (kW)]]+ReviewCalcs[[#This Row],[Control Proposed Demand (kW)]]</f>
        <v>#VALUE!</v>
      </c>
      <c r="BB235" s="118">
        <f>ReviewCalcs[[#This Row],[Fixture Demand Savings (kW)]]+ReviewCalcs[[#This Row],[Control Demand Savings (kW)]]</f>
        <v>0</v>
      </c>
      <c r="BC235" s="118">
        <f>ReviewCalcs[[#This Row],[Fixture Existing Energy (kWh)]]+ReviewCalcs[[#This Row],[Control Existing Energy (kWh)]]</f>
        <v>0</v>
      </c>
      <c r="BD235" s="118">
        <f>ReviewCalcs[[#This Row],[Fixture Proposed Energy (kWh)]]+ReviewCalcs[[#This Row],[Control Proposed Energy (kWh)]]</f>
        <v>0</v>
      </c>
      <c r="BE235" s="118">
        <f>ReviewCalcs[[#This Row],[Fixture Energy Savings]]+ReviewCalcs[[#This Row],[Control Energy Savings (kWh)]]</f>
        <v>0</v>
      </c>
      <c r="BF235" s="118">
        <f>ReviewCalcs[[#This Row],[Fixture Existing Cost ($)]]+ReviewCalcs[[#This Row],[Control Existing Cost ($)]]</f>
        <v>0</v>
      </c>
      <c r="BG235" s="118">
        <f>ReviewCalcs[[#This Row],[Fixture Proposed Cost ($)]]+ReviewCalcs[[#This Row],[Controls Proposed Cost ($)]]</f>
        <v>0</v>
      </c>
      <c r="BH235" s="70">
        <f>ReviewCalcs[[#This Row],[Total Energy Savings (kWh)]]*Avg_KWh_Rate</f>
        <v>0</v>
      </c>
      <c r="BI23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5" s="70">
        <f>ReviewCalcs[[#This Row],[Retrofit Cost]]</f>
        <v>0</v>
      </c>
      <c r="BK235" s="70">
        <f>ReviewCalcs[[#This Row],[Retrofit Cost]]-ReviewCalcs[[#This Row],[Incentive ($)]]</f>
        <v>0</v>
      </c>
      <c r="BL235" s="118" t="e">
        <f>IFERROR(ReviewCalcs[[#This Row],[Net Project Cost ($)]]/ReviewCalcs[[#This Row],[Fixture Energy Cost Savings ($)]], #N/A)</f>
        <v>#N/A</v>
      </c>
      <c r="BM235" s="118" t="e">
        <f>IF(VLOOKUP(ReviewCalcs[[#This Row],[Existing Fixture Code]], Table7[[FIXTURE CODE]:[Baseline Fixture Code]], 8, FALSE)="N", VLOOKUP(ReviewCalcs[[#This Row],[Existing Fixture Code]], Table7[[FIXTURE CODE]:[Baseline Fixture Code]], 9, FALSE), ReviewCalcs[[#This Row],[Existing Fixture Code]])</f>
        <v>#N/A</v>
      </c>
      <c r="BN235" s="118" t="e">
        <f>INDEX(Table7[WATT/ FIXT], MATCH(ReviewCalcs[Baseline Fixture Code], Table7[FIXTURE CODE], 0))</f>
        <v>#N/A</v>
      </c>
      <c r="BO235" s="118">
        <f>IFERROR((ReviewCalcs[[#This Row],[Existing Fixture Quantity]]*ReviewCalcs[[#This Row],[Baseline Fixture Watts]]/1000-ReviewCalcs[[#This Row],[Proposed Fixture Quantity]]*ReviewCalcs[[#This Row],[Proposed Fixture Watts]]/1000)*ReviewCalcs[[#This Row],[Existing CF]]*ReviewCalcs[[#This Row],[IEFD]], 0)</f>
        <v>0</v>
      </c>
      <c r="BP23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5" s="118">
        <f>IF(ReviewCalcs[[#This Row],[Existing CF]]=ReviewCalcs[[#This Row],[Proposed CF]], 0, ReviewCalcs[[#This Row],[Proposed Fixture Quantity]]*ReviewCalcs[[#This Row],[Proposed Fixture Watts]]/1000*ReviewCalcs[[#This Row],[Proposed CF]]*ReviewCalcs[[#This Row],[IEFD]])</f>
        <v>0</v>
      </c>
      <c r="BR235" s="118">
        <f>IFERROR(ReviewCalcs[[#This Row],[Proposed Fixture Quantity]]*ReviewCalcs[[#This Row],[Proposed Fixture Watts]]/1000*(ReviewCalcs[[#This Row],[Existing PAF]]-ReviewCalcs[[#This Row],[Proposed PAF]])*ReviewCalcs[[#This Row],[AOH]]*ReviewCalcs[[#This Row],[IEFE]],0)</f>
        <v>0</v>
      </c>
      <c r="BS235" s="118">
        <f>ReviewCalcs[[#This Row],[Incentive Fixture Demand Savings (kW)]]+ReviewCalcs[[#This Row],[Incentive Control Demand Savings (kW)]]</f>
        <v>0</v>
      </c>
      <c r="BT235" s="118">
        <f>ReviewCalcs[[#This Row],[Incentive Fixture Energy Savings (kWh)]]+ReviewCalcs[[#This Row],[Incentive Control Energy Savings (kWh)]]</f>
        <v>0</v>
      </c>
      <c r="BU235" s="73"/>
    </row>
    <row r="236" spans="1:73" ht="30" customHeight="1">
      <c r="A236" s="68">
        <v>233</v>
      </c>
      <c r="B236" s="96">
        <f>VLOOKUP(ReviewCalcs[[#This Row],[Project Index]], ProjectInput[], D$1, FALSE)</f>
        <v>0</v>
      </c>
      <c r="C236" s="97">
        <f>VLOOKUP(ReviewCalcs[[#This Row],[Project Index]], ProjectInput[], E$1, FALSE)</f>
        <v>0</v>
      </c>
      <c r="D236" s="97">
        <f>VLOOKUP(ReviewCalcs[[#This Row],[Project Index]], ProjectInput[], F$1, FALSE)</f>
        <v>0</v>
      </c>
      <c r="E236" s="97">
        <f>VLOOKUP(ReviewCalcs[[#This Row],[Project Index]], ProjectInput[], G$1, FALSE)</f>
        <v>0</v>
      </c>
      <c r="F236" s="97">
        <f>VLOOKUP(ReviewCalcs[[#This Row],[Project Index]], ProjectInput[], H$1, FALSE)</f>
        <v>0</v>
      </c>
      <c r="G236" s="98" t="str">
        <f>VLOOKUP(ReviewCalcs[[#This Row],[Project Index]], ProjectInput[], I$1, FALSE)</f>
        <v/>
      </c>
      <c r="H236" s="96">
        <f>VLOOKUP(ReviewCalcs[[#This Row],[Project Index]], ProjectInput[], J$1, FALSE)</f>
        <v>0</v>
      </c>
      <c r="I236" s="97">
        <f>VLOOKUP(ReviewCalcs[[#This Row],[Project Index]], ProjectInput[], K$1, FALSE)</f>
        <v>0</v>
      </c>
      <c r="J236" s="97">
        <f>VLOOKUP(ReviewCalcs[[#This Row],[Project Index]], ProjectInput[], L$1, FALSE)</f>
        <v>0</v>
      </c>
      <c r="K236" s="97">
        <f>VLOOKUP(ReviewCalcs[[#This Row],[Project Index]], ProjectInput[], M$1, FALSE)</f>
        <v>0</v>
      </c>
      <c r="L236" s="97">
        <f>VLOOKUP(ReviewCalcs[[#This Row],[Project Index]], ProjectInput[], N$1, FALSE)</f>
        <v>0</v>
      </c>
      <c r="M236" s="98" t="str">
        <f>VLOOKUP(ReviewCalcs[[#This Row],[Project Index]], ProjectInput[], O$1, FALSE)</f>
        <v/>
      </c>
      <c r="N236" s="96">
        <f>VLOOKUP(ReviewCalcs[[#This Row],[Project Index]], ProjectInput[], P$1, FALSE)</f>
        <v>0</v>
      </c>
      <c r="O236" s="97">
        <f>VLOOKUP(ReviewCalcs[[#This Row],[Project Index]], ProjectInput[], Q$1, FALSE)</f>
        <v>0</v>
      </c>
      <c r="P236" s="97">
        <f>VLOOKUP(ReviewCalcs[[#This Row],[Project Index]], ProjectInput[], R$1, FALSE)</f>
        <v>0</v>
      </c>
      <c r="Q236" s="97">
        <f>VLOOKUP(ReviewCalcs[[#This Row],[Project Index]], ProjectInput[], S$1, FALSE)</f>
        <v>0</v>
      </c>
      <c r="R236" s="97">
        <f>VLOOKUP(ReviewCalcs[[#This Row],[Project Index]], ProjectInput[], T$1, FALSE)</f>
        <v>0</v>
      </c>
      <c r="S236" s="97">
        <f>VLOOKUP(ReviewCalcs[[#This Row],[Project Index]], ProjectInput[], U$1, FALSE)</f>
        <v>0</v>
      </c>
      <c r="T236" s="97">
        <f>VLOOKUP(ReviewCalcs[[#This Row],[Project Index]], ProjectInput[], V$1, FALSE)</f>
        <v>0</v>
      </c>
      <c r="U236" s="97">
        <f>VLOOKUP(ReviewCalcs[[#This Row],[Project Index]], ProjectInput[], W$1, FALSE)</f>
        <v>0</v>
      </c>
      <c r="V236" s="98" t="str">
        <f>VLOOKUP(ReviewCalcs[[#This Row],[Project Index]], ProjectInput[], X$1, FALSE)</f>
        <v/>
      </c>
      <c r="W23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6" s="75" t="e">
        <f>IF(VLOOKUP(ReviewCalcs[[#This Row],[Proposed Fixture Code]], Table7[[FIXTURE CODE]:[Baseline Fixture Code]], 8, FALSE)="N", "ERROR", "PASS")</f>
        <v>#N/A</v>
      </c>
      <c r="Y23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6" s="75" t="e">
        <f>IF(OR(ReviewCalcs[[#This Row],[Baseline Fixture Watts]]&gt;=ReviewCalcs[[#This Row],[Proposed Fixture Watts]],ReviewCalcs[[#This Row],[Existing Fixture Watts]]&gt;=ReviewCalcs[[#This Row],[Proposed Fixture Watts]] ), "PASS", "ERROR")</f>
        <v>#N/A</v>
      </c>
      <c r="AA236" s="69" t="e">
        <f>VLOOKUP(ReviewCalcs[[#This Row],[Space Conditions]], Table_365[], 5, FALSE)</f>
        <v>#N/A</v>
      </c>
      <c r="AB236" s="68" t="str">
        <f>ReviewCalcs[[#This Row],[Annual Hours]]</f>
        <v/>
      </c>
      <c r="AC236" s="68" t="e">
        <f>VLOOKUP(ReviewCalcs[[#This Row],[Space Conditions]], Table_365[], 6, FALSE)</f>
        <v>#N/A</v>
      </c>
      <c r="AD236" s="68">
        <f>IF(ReviewCalcs[[#This Row],[Existing Control(s)]]='Tables &amp; Ranges'!$A$25, VLOOKUP(ReviewCalcs[[#This Row],[Building/Space Type]], Table_364[], 3, FALSE), CF_Contols)</f>
        <v>0.26</v>
      </c>
      <c r="AE236" s="68" t="e">
        <f>VLOOKUP(ReviewCalcs[[#This Row],[Existing Control(s)]], Table_358[], 2, FALSE)</f>
        <v>#N/A</v>
      </c>
      <c r="AF236" s="68">
        <f>IF(ReviewCalcs[[#This Row],[Proposed Control(s)]]='Tables &amp; Ranges'!$A$25, VLOOKUP(ReviewCalcs[[#This Row],[Building/Space Type]], Table_364[], 3, FALSE), CF_Contols)</f>
        <v>0.26</v>
      </c>
      <c r="AG236" s="68" t="e">
        <f>VLOOKUP(ReviewCalcs[[#This Row],[Proposed Control(s)]], Table_358[], 2, FALSE)</f>
        <v>#N/A</v>
      </c>
      <c r="AH236" s="68">
        <f>IFERROR((ReviewCalcs[[#This Row],[Existing Fixture Quantity]]*ReviewCalcs[[#This Row],[Existing Fixture Watts]]/1000)*ReviewCalcs[[#This Row],[Existing CF]]*ReviewCalcs[[#This Row],[IEFD]], 0)</f>
        <v>0</v>
      </c>
      <c r="AI236" s="68">
        <f>IFERROR((ReviewCalcs[[#This Row],[Proposed Fixture Quantity]]*ReviewCalcs[[#This Row],[Proposed Fixture Watts]]/1000)*ReviewCalcs[[#This Row],[Existing CF]]*ReviewCalcs[[#This Row],[IEFD]], 0)</f>
        <v>0</v>
      </c>
      <c r="AJ236" s="118">
        <f>IFERROR((ReviewCalcs[[#This Row],[Existing Fixture Quantity]]*ReviewCalcs[[#This Row],[Existing Fixture Watts]]/1000-ReviewCalcs[[#This Row],[Proposed Fixture Quantity]]*ReviewCalcs[[#This Row],[Proposed Fixture Watts]]/1000)*ReviewCalcs[[#This Row],[Existing CF]]*ReviewCalcs[[#This Row],[IEFD]], 0)</f>
        <v>0</v>
      </c>
      <c r="AK236" s="118">
        <f>IFERROR((ReviewCalcs[[#This Row],[Existing Fixture Quantity]]*ReviewCalcs[[#This Row],[Existing Fixture Watts]]/1000)*ReviewCalcs[[#This Row],[AOH]]*ReviewCalcs[[#This Row],[IEFE]]*ReviewCalcs[[#This Row],[Existing PAF]], 0)</f>
        <v>0</v>
      </c>
      <c r="AL236" s="118">
        <f>IFERROR((ReviewCalcs[[#This Row],[Proposed Fixture Quantity]]*ReviewCalcs[[#This Row],[Proposed Fixture Watts]]/1000)*ReviewCalcs[[#This Row],[AOH]]*ReviewCalcs[[#This Row],[IEFE]]*ReviewCalcs[[#This Row],[Existing PAF]], 0)</f>
        <v>0</v>
      </c>
      <c r="AM23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6" s="118">
        <f>ReviewCalcs[[#This Row],[Fixture Existing Energy (kWh)]]*Avg_KWh_Rate</f>
        <v>0</v>
      </c>
      <c r="AO236" s="118">
        <f>ReviewCalcs[[#This Row],[Fixture Proposed Energy (kWh)]]*Avg_KWh_Rate</f>
        <v>0</v>
      </c>
      <c r="AP236" s="70">
        <f>ReviewCalcs[[#This Row],[Fixture Energy Savings]]*Avg_KWh_Rate</f>
        <v>0</v>
      </c>
      <c r="AQ236" s="129" t="e">
        <f>ReviewCalcs[[#This Row],[Existing Fixture Quantity]]*ReviewCalcs[[#This Row],[Existing Fixture Watts]]/1000*ReviewCalcs[[#This Row],[Existing CF]]*ReviewCalcs[[#This Row],[IEFD]]</f>
        <v>#VALUE!</v>
      </c>
      <c r="AR236" s="129" t="e">
        <f>ReviewCalcs[[#This Row],[Proposed Fixture Quantity]]*ReviewCalcs[[#This Row],[Proposed Fixture Watts]]/1000*ReviewCalcs[[#This Row],[Proposed CF]]*ReviewCalcs[[#This Row],[IEFD]]</f>
        <v>#VALUE!</v>
      </c>
      <c r="AS236" s="118">
        <f>IF(ReviewCalcs[[#This Row],[Existing CF]]=ReviewCalcs[[#This Row],[Proposed CF]], 0, ReviewCalcs[[#This Row],[Proposed Fixture Quantity]]*ReviewCalcs[[#This Row],[Proposed Fixture Watts]]/1000*ReviewCalcs[[#This Row],[Proposed CF]]*ReviewCalcs[[#This Row],[IEFD]])</f>
        <v>0</v>
      </c>
      <c r="AT236" s="118">
        <f>IFERROR(ReviewCalcs[[#This Row],[Existing Fixture Quantity]]*ReviewCalcs[[#This Row],[Existing Fixture Watts]]/1000*ReviewCalcs[[#This Row],[Existing PAF]]*ReviewCalcs[[#This Row],[AOH]]*ReviewCalcs[[#This Row],[IEFE]], 0)</f>
        <v>0</v>
      </c>
      <c r="AU236" s="118">
        <f>IFERROR(ReviewCalcs[[#This Row],[Proposed Fixture Quantity]]*ReviewCalcs[[#This Row],[Proposed Fixture Watts]]/1000*ReviewCalcs[[#This Row],[Proposed PAF]]*ReviewCalcs[[#This Row],[AOH]]*ReviewCalcs[[#This Row],[IEFE]], 0)</f>
        <v>0</v>
      </c>
      <c r="AV236" s="118">
        <f>IFERROR(ReviewCalcs[[#This Row],[Proposed Fixture Quantity]]*ReviewCalcs[[#This Row],[Proposed Fixture Watts]]/1000*(ReviewCalcs[[#This Row],[Existing PAF]]-ReviewCalcs[[#This Row],[Proposed PAF]])*ReviewCalcs[[#This Row],[AOH]]*ReviewCalcs[[#This Row],[IEFE]], 0)</f>
        <v>0</v>
      </c>
      <c r="AW236" s="118">
        <f>ReviewCalcs[[#This Row],[Control Existing Energy (kWh)]]*kWh_Incentive_Rate</f>
        <v>0</v>
      </c>
      <c r="AX236" s="118">
        <f>ReviewCalcs[[#This Row],[Control Proposed Energy (kWh)]]*kWh_Incentive_Rate</f>
        <v>0</v>
      </c>
      <c r="AY236" s="70">
        <f>ReviewCalcs[[#This Row],[Control Energy Savings (kWh)]]*kWh_Incentive_Rate</f>
        <v>0</v>
      </c>
      <c r="AZ236" s="70" t="e">
        <f>ReviewCalcs[[#This Row],[Fixture Existing Demand (kW)]]+ReviewCalcs[[#This Row],[Control Existing Demand (kW)]]</f>
        <v>#VALUE!</v>
      </c>
      <c r="BA236" s="70" t="e">
        <f>ReviewCalcs[[#This Row],[Fixture Proposed Demand (kW)]]+ReviewCalcs[[#This Row],[Control Proposed Demand (kW)]]</f>
        <v>#VALUE!</v>
      </c>
      <c r="BB236" s="118">
        <f>ReviewCalcs[[#This Row],[Fixture Demand Savings (kW)]]+ReviewCalcs[[#This Row],[Control Demand Savings (kW)]]</f>
        <v>0</v>
      </c>
      <c r="BC236" s="118">
        <f>ReviewCalcs[[#This Row],[Fixture Existing Energy (kWh)]]+ReviewCalcs[[#This Row],[Control Existing Energy (kWh)]]</f>
        <v>0</v>
      </c>
      <c r="BD236" s="118">
        <f>ReviewCalcs[[#This Row],[Fixture Proposed Energy (kWh)]]+ReviewCalcs[[#This Row],[Control Proposed Energy (kWh)]]</f>
        <v>0</v>
      </c>
      <c r="BE236" s="118">
        <f>ReviewCalcs[[#This Row],[Fixture Energy Savings]]+ReviewCalcs[[#This Row],[Control Energy Savings (kWh)]]</f>
        <v>0</v>
      </c>
      <c r="BF236" s="118">
        <f>ReviewCalcs[[#This Row],[Fixture Existing Cost ($)]]+ReviewCalcs[[#This Row],[Control Existing Cost ($)]]</f>
        <v>0</v>
      </c>
      <c r="BG236" s="118">
        <f>ReviewCalcs[[#This Row],[Fixture Proposed Cost ($)]]+ReviewCalcs[[#This Row],[Controls Proposed Cost ($)]]</f>
        <v>0</v>
      </c>
      <c r="BH236" s="70">
        <f>ReviewCalcs[[#This Row],[Total Energy Savings (kWh)]]*Avg_KWh_Rate</f>
        <v>0</v>
      </c>
      <c r="BI23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6" s="70">
        <f>ReviewCalcs[[#This Row],[Retrofit Cost]]</f>
        <v>0</v>
      </c>
      <c r="BK236" s="70">
        <f>ReviewCalcs[[#This Row],[Retrofit Cost]]-ReviewCalcs[[#This Row],[Incentive ($)]]</f>
        <v>0</v>
      </c>
      <c r="BL236" s="118" t="e">
        <f>IFERROR(ReviewCalcs[[#This Row],[Net Project Cost ($)]]/ReviewCalcs[[#This Row],[Fixture Energy Cost Savings ($)]], #N/A)</f>
        <v>#N/A</v>
      </c>
      <c r="BM236" s="118" t="e">
        <f>IF(VLOOKUP(ReviewCalcs[[#This Row],[Existing Fixture Code]], Table7[[FIXTURE CODE]:[Baseline Fixture Code]], 8, FALSE)="N", VLOOKUP(ReviewCalcs[[#This Row],[Existing Fixture Code]], Table7[[FIXTURE CODE]:[Baseline Fixture Code]], 9, FALSE), ReviewCalcs[[#This Row],[Existing Fixture Code]])</f>
        <v>#N/A</v>
      </c>
      <c r="BN236" s="118" t="e">
        <f>INDEX(Table7[WATT/ FIXT], MATCH(ReviewCalcs[Baseline Fixture Code], Table7[FIXTURE CODE], 0))</f>
        <v>#N/A</v>
      </c>
      <c r="BO236" s="118">
        <f>IFERROR((ReviewCalcs[[#This Row],[Existing Fixture Quantity]]*ReviewCalcs[[#This Row],[Baseline Fixture Watts]]/1000-ReviewCalcs[[#This Row],[Proposed Fixture Quantity]]*ReviewCalcs[[#This Row],[Proposed Fixture Watts]]/1000)*ReviewCalcs[[#This Row],[Existing CF]]*ReviewCalcs[[#This Row],[IEFD]], 0)</f>
        <v>0</v>
      </c>
      <c r="BP23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6" s="118">
        <f>IF(ReviewCalcs[[#This Row],[Existing CF]]=ReviewCalcs[[#This Row],[Proposed CF]], 0, ReviewCalcs[[#This Row],[Proposed Fixture Quantity]]*ReviewCalcs[[#This Row],[Proposed Fixture Watts]]/1000*ReviewCalcs[[#This Row],[Proposed CF]]*ReviewCalcs[[#This Row],[IEFD]])</f>
        <v>0</v>
      </c>
      <c r="BR236" s="118">
        <f>IFERROR(ReviewCalcs[[#This Row],[Proposed Fixture Quantity]]*ReviewCalcs[[#This Row],[Proposed Fixture Watts]]/1000*(ReviewCalcs[[#This Row],[Existing PAF]]-ReviewCalcs[[#This Row],[Proposed PAF]])*ReviewCalcs[[#This Row],[AOH]]*ReviewCalcs[[#This Row],[IEFE]],0)</f>
        <v>0</v>
      </c>
      <c r="BS236" s="118">
        <f>ReviewCalcs[[#This Row],[Incentive Fixture Demand Savings (kW)]]+ReviewCalcs[[#This Row],[Incentive Control Demand Savings (kW)]]</f>
        <v>0</v>
      </c>
      <c r="BT236" s="118">
        <f>ReviewCalcs[[#This Row],[Incentive Fixture Energy Savings (kWh)]]+ReviewCalcs[[#This Row],[Incentive Control Energy Savings (kWh)]]</f>
        <v>0</v>
      </c>
      <c r="BU236" s="73"/>
    </row>
    <row r="237" spans="1:73" ht="30" customHeight="1">
      <c r="A237" s="68">
        <v>234</v>
      </c>
      <c r="B237" s="96">
        <f>VLOOKUP(ReviewCalcs[[#This Row],[Project Index]], ProjectInput[], D$1, FALSE)</f>
        <v>0</v>
      </c>
      <c r="C237" s="97">
        <f>VLOOKUP(ReviewCalcs[[#This Row],[Project Index]], ProjectInput[], E$1, FALSE)</f>
        <v>0</v>
      </c>
      <c r="D237" s="97">
        <f>VLOOKUP(ReviewCalcs[[#This Row],[Project Index]], ProjectInput[], F$1, FALSE)</f>
        <v>0</v>
      </c>
      <c r="E237" s="97">
        <f>VLOOKUP(ReviewCalcs[[#This Row],[Project Index]], ProjectInput[], G$1, FALSE)</f>
        <v>0</v>
      </c>
      <c r="F237" s="97">
        <f>VLOOKUP(ReviewCalcs[[#This Row],[Project Index]], ProjectInput[], H$1, FALSE)</f>
        <v>0</v>
      </c>
      <c r="G237" s="98" t="str">
        <f>VLOOKUP(ReviewCalcs[[#This Row],[Project Index]], ProjectInput[], I$1, FALSE)</f>
        <v/>
      </c>
      <c r="H237" s="96">
        <f>VLOOKUP(ReviewCalcs[[#This Row],[Project Index]], ProjectInput[], J$1, FALSE)</f>
        <v>0</v>
      </c>
      <c r="I237" s="97">
        <f>VLOOKUP(ReviewCalcs[[#This Row],[Project Index]], ProjectInput[], K$1, FALSE)</f>
        <v>0</v>
      </c>
      <c r="J237" s="97">
        <f>VLOOKUP(ReviewCalcs[[#This Row],[Project Index]], ProjectInput[], L$1, FALSE)</f>
        <v>0</v>
      </c>
      <c r="K237" s="97">
        <f>VLOOKUP(ReviewCalcs[[#This Row],[Project Index]], ProjectInput[], M$1, FALSE)</f>
        <v>0</v>
      </c>
      <c r="L237" s="97">
        <f>VLOOKUP(ReviewCalcs[[#This Row],[Project Index]], ProjectInput[], N$1, FALSE)</f>
        <v>0</v>
      </c>
      <c r="M237" s="98" t="str">
        <f>VLOOKUP(ReviewCalcs[[#This Row],[Project Index]], ProjectInput[], O$1, FALSE)</f>
        <v/>
      </c>
      <c r="N237" s="96">
        <f>VLOOKUP(ReviewCalcs[[#This Row],[Project Index]], ProjectInput[], P$1, FALSE)</f>
        <v>0</v>
      </c>
      <c r="O237" s="97">
        <f>VLOOKUP(ReviewCalcs[[#This Row],[Project Index]], ProjectInput[], Q$1, FALSE)</f>
        <v>0</v>
      </c>
      <c r="P237" s="97">
        <f>VLOOKUP(ReviewCalcs[[#This Row],[Project Index]], ProjectInput[], R$1, FALSE)</f>
        <v>0</v>
      </c>
      <c r="Q237" s="97">
        <f>VLOOKUP(ReviewCalcs[[#This Row],[Project Index]], ProjectInput[], S$1, FALSE)</f>
        <v>0</v>
      </c>
      <c r="R237" s="97">
        <f>VLOOKUP(ReviewCalcs[[#This Row],[Project Index]], ProjectInput[], T$1, FALSE)</f>
        <v>0</v>
      </c>
      <c r="S237" s="97">
        <f>VLOOKUP(ReviewCalcs[[#This Row],[Project Index]], ProjectInput[], U$1, FALSE)</f>
        <v>0</v>
      </c>
      <c r="T237" s="97">
        <f>VLOOKUP(ReviewCalcs[[#This Row],[Project Index]], ProjectInput[], V$1, FALSE)</f>
        <v>0</v>
      </c>
      <c r="U237" s="97">
        <f>VLOOKUP(ReviewCalcs[[#This Row],[Project Index]], ProjectInput[], W$1, FALSE)</f>
        <v>0</v>
      </c>
      <c r="V237" s="98" t="str">
        <f>VLOOKUP(ReviewCalcs[[#This Row],[Project Index]], ProjectInput[], X$1, FALSE)</f>
        <v/>
      </c>
      <c r="W23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7" s="75" t="e">
        <f>IF(VLOOKUP(ReviewCalcs[[#This Row],[Proposed Fixture Code]], Table7[[FIXTURE CODE]:[Baseline Fixture Code]], 8, FALSE)="N", "ERROR", "PASS")</f>
        <v>#N/A</v>
      </c>
      <c r="Y23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7" s="75" t="e">
        <f>IF(OR(ReviewCalcs[[#This Row],[Baseline Fixture Watts]]&gt;=ReviewCalcs[[#This Row],[Proposed Fixture Watts]],ReviewCalcs[[#This Row],[Existing Fixture Watts]]&gt;=ReviewCalcs[[#This Row],[Proposed Fixture Watts]] ), "PASS", "ERROR")</f>
        <v>#N/A</v>
      </c>
      <c r="AA237" s="69" t="e">
        <f>VLOOKUP(ReviewCalcs[[#This Row],[Space Conditions]], Table_365[], 5, FALSE)</f>
        <v>#N/A</v>
      </c>
      <c r="AB237" s="68" t="str">
        <f>ReviewCalcs[[#This Row],[Annual Hours]]</f>
        <v/>
      </c>
      <c r="AC237" s="68" t="e">
        <f>VLOOKUP(ReviewCalcs[[#This Row],[Space Conditions]], Table_365[], 6, FALSE)</f>
        <v>#N/A</v>
      </c>
      <c r="AD237" s="68">
        <f>IF(ReviewCalcs[[#This Row],[Existing Control(s)]]='Tables &amp; Ranges'!$A$25, VLOOKUP(ReviewCalcs[[#This Row],[Building/Space Type]], Table_364[], 3, FALSE), CF_Contols)</f>
        <v>0.26</v>
      </c>
      <c r="AE237" s="68" t="e">
        <f>VLOOKUP(ReviewCalcs[[#This Row],[Existing Control(s)]], Table_358[], 2, FALSE)</f>
        <v>#N/A</v>
      </c>
      <c r="AF237" s="68">
        <f>IF(ReviewCalcs[[#This Row],[Proposed Control(s)]]='Tables &amp; Ranges'!$A$25, VLOOKUP(ReviewCalcs[[#This Row],[Building/Space Type]], Table_364[], 3, FALSE), CF_Contols)</f>
        <v>0.26</v>
      </c>
      <c r="AG237" s="68" t="e">
        <f>VLOOKUP(ReviewCalcs[[#This Row],[Proposed Control(s)]], Table_358[], 2, FALSE)</f>
        <v>#N/A</v>
      </c>
      <c r="AH237" s="68">
        <f>IFERROR((ReviewCalcs[[#This Row],[Existing Fixture Quantity]]*ReviewCalcs[[#This Row],[Existing Fixture Watts]]/1000)*ReviewCalcs[[#This Row],[Existing CF]]*ReviewCalcs[[#This Row],[IEFD]], 0)</f>
        <v>0</v>
      </c>
      <c r="AI237" s="68">
        <f>IFERROR((ReviewCalcs[[#This Row],[Proposed Fixture Quantity]]*ReviewCalcs[[#This Row],[Proposed Fixture Watts]]/1000)*ReviewCalcs[[#This Row],[Existing CF]]*ReviewCalcs[[#This Row],[IEFD]], 0)</f>
        <v>0</v>
      </c>
      <c r="AJ237" s="118">
        <f>IFERROR((ReviewCalcs[[#This Row],[Existing Fixture Quantity]]*ReviewCalcs[[#This Row],[Existing Fixture Watts]]/1000-ReviewCalcs[[#This Row],[Proposed Fixture Quantity]]*ReviewCalcs[[#This Row],[Proposed Fixture Watts]]/1000)*ReviewCalcs[[#This Row],[Existing CF]]*ReviewCalcs[[#This Row],[IEFD]], 0)</f>
        <v>0</v>
      </c>
      <c r="AK237" s="118">
        <f>IFERROR((ReviewCalcs[[#This Row],[Existing Fixture Quantity]]*ReviewCalcs[[#This Row],[Existing Fixture Watts]]/1000)*ReviewCalcs[[#This Row],[AOH]]*ReviewCalcs[[#This Row],[IEFE]]*ReviewCalcs[[#This Row],[Existing PAF]], 0)</f>
        <v>0</v>
      </c>
      <c r="AL237" s="118">
        <f>IFERROR((ReviewCalcs[[#This Row],[Proposed Fixture Quantity]]*ReviewCalcs[[#This Row],[Proposed Fixture Watts]]/1000)*ReviewCalcs[[#This Row],[AOH]]*ReviewCalcs[[#This Row],[IEFE]]*ReviewCalcs[[#This Row],[Existing PAF]], 0)</f>
        <v>0</v>
      </c>
      <c r="AM23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7" s="118">
        <f>ReviewCalcs[[#This Row],[Fixture Existing Energy (kWh)]]*Avg_KWh_Rate</f>
        <v>0</v>
      </c>
      <c r="AO237" s="118">
        <f>ReviewCalcs[[#This Row],[Fixture Proposed Energy (kWh)]]*Avg_KWh_Rate</f>
        <v>0</v>
      </c>
      <c r="AP237" s="70">
        <f>ReviewCalcs[[#This Row],[Fixture Energy Savings]]*Avg_KWh_Rate</f>
        <v>0</v>
      </c>
      <c r="AQ237" s="129" t="e">
        <f>ReviewCalcs[[#This Row],[Existing Fixture Quantity]]*ReviewCalcs[[#This Row],[Existing Fixture Watts]]/1000*ReviewCalcs[[#This Row],[Existing CF]]*ReviewCalcs[[#This Row],[IEFD]]</f>
        <v>#VALUE!</v>
      </c>
      <c r="AR237" s="129" t="e">
        <f>ReviewCalcs[[#This Row],[Proposed Fixture Quantity]]*ReviewCalcs[[#This Row],[Proposed Fixture Watts]]/1000*ReviewCalcs[[#This Row],[Proposed CF]]*ReviewCalcs[[#This Row],[IEFD]]</f>
        <v>#VALUE!</v>
      </c>
      <c r="AS237" s="118">
        <f>IF(ReviewCalcs[[#This Row],[Existing CF]]=ReviewCalcs[[#This Row],[Proposed CF]], 0, ReviewCalcs[[#This Row],[Proposed Fixture Quantity]]*ReviewCalcs[[#This Row],[Proposed Fixture Watts]]/1000*ReviewCalcs[[#This Row],[Proposed CF]]*ReviewCalcs[[#This Row],[IEFD]])</f>
        <v>0</v>
      </c>
      <c r="AT237" s="118">
        <f>IFERROR(ReviewCalcs[[#This Row],[Existing Fixture Quantity]]*ReviewCalcs[[#This Row],[Existing Fixture Watts]]/1000*ReviewCalcs[[#This Row],[Existing PAF]]*ReviewCalcs[[#This Row],[AOH]]*ReviewCalcs[[#This Row],[IEFE]], 0)</f>
        <v>0</v>
      </c>
      <c r="AU237" s="118">
        <f>IFERROR(ReviewCalcs[[#This Row],[Proposed Fixture Quantity]]*ReviewCalcs[[#This Row],[Proposed Fixture Watts]]/1000*ReviewCalcs[[#This Row],[Proposed PAF]]*ReviewCalcs[[#This Row],[AOH]]*ReviewCalcs[[#This Row],[IEFE]], 0)</f>
        <v>0</v>
      </c>
      <c r="AV237" s="118">
        <f>IFERROR(ReviewCalcs[[#This Row],[Proposed Fixture Quantity]]*ReviewCalcs[[#This Row],[Proposed Fixture Watts]]/1000*(ReviewCalcs[[#This Row],[Existing PAF]]-ReviewCalcs[[#This Row],[Proposed PAF]])*ReviewCalcs[[#This Row],[AOH]]*ReviewCalcs[[#This Row],[IEFE]], 0)</f>
        <v>0</v>
      </c>
      <c r="AW237" s="118">
        <f>ReviewCalcs[[#This Row],[Control Existing Energy (kWh)]]*kWh_Incentive_Rate</f>
        <v>0</v>
      </c>
      <c r="AX237" s="118">
        <f>ReviewCalcs[[#This Row],[Control Proposed Energy (kWh)]]*kWh_Incentive_Rate</f>
        <v>0</v>
      </c>
      <c r="AY237" s="70">
        <f>ReviewCalcs[[#This Row],[Control Energy Savings (kWh)]]*kWh_Incentive_Rate</f>
        <v>0</v>
      </c>
      <c r="AZ237" s="70" t="e">
        <f>ReviewCalcs[[#This Row],[Fixture Existing Demand (kW)]]+ReviewCalcs[[#This Row],[Control Existing Demand (kW)]]</f>
        <v>#VALUE!</v>
      </c>
      <c r="BA237" s="70" t="e">
        <f>ReviewCalcs[[#This Row],[Fixture Proposed Demand (kW)]]+ReviewCalcs[[#This Row],[Control Proposed Demand (kW)]]</f>
        <v>#VALUE!</v>
      </c>
      <c r="BB237" s="118">
        <f>ReviewCalcs[[#This Row],[Fixture Demand Savings (kW)]]+ReviewCalcs[[#This Row],[Control Demand Savings (kW)]]</f>
        <v>0</v>
      </c>
      <c r="BC237" s="118">
        <f>ReviewCalcs[[#This Row],[Fixture Existing Energy (kWh)]]+ReviewCalcs[[#This Row],[Control Existing Energy (kWh)]]</f>
        <v>0</v>
      </c>
      <c r="BD237" s="118">
        <f>ReviewCalcs[[#This Row],[Fixture Proposed Energy (kWh)]]+ReviewCalcs[[#This Row],[Control Proposed Energy (kWh)]]</f>
        <v>0</v>
      </c>
      <c r="BE237" s="118">
        <f>ReviewCalcs[[#This Row],[Fixture Energy Savings]]+ReviewCalcs[[#This Row],[Control Energy Savings (kWh)]]</f>
        <v>0</v>
      </c>
      <c r="BF237" s="118">
        <f>ReviewCalcs[[#This Row],[Fixture Existing Cost ($)]]+ReviewCalcs[[#This Row],[Control Existing Cost ($)]]</f>
        <v>0</v>
      </c>
      <c r="BG237" s="118">
        <f>ReviewCalcs[[#This Row],[Fixture Proposed Cost ($)]]+ReviewCalcs[[#This Row],[Controls Proposed Cost ($)]]</f>
        <v>0</v>
      </c>
      <c r="BH237" s="70">
        <f>ReviewCalcs[[#This Row],[Total Energy Savings (kWh)]]*Avg_KWh_Rate</f>
        <v>0</v>
      </c>
      <c r="BI23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7" s="70">
        <f>ReviewCalcs[[#This Row],[Retrofit Cost]]</f>
        <v>0</v>
      </c>
      <c r="BK237" s="70">
        <f>ReviewCalcs[[#This Row],[Retrofit Cost]]-ReviewCalcs[[#This Row],[Incentive ($)]]</f>
        <v>0</v>
      </c>
      <c r="BL237" s="118" t="e">
        <f>IFERROR(ReviewCalcs[[#This Row],[Net Project Cost ($)]]/ReviewCalcs[[#This Row],[Fixture Energy Cost Savings ($)]], #N/A)</f>
        <v>#N/A</v>
      </c>
      <c r="BM237" s="118" t="e">
        <f>IF(VLOOKUP(ReviewCalcs[[#This Row],[Existing Fixture Code]], Table7[[FIXTURE CODE]:[Baseline Fixture Code]], 8, FALSE)="N", VLOOKUP(ReviewCalcs[[#This Row],[Existing Fixture Code]], Table7[[FIXTURE CODE]:[Baseline Fixture Code]], 9, FALSE), ReviewCalcs[[#This Row],[Existing Fixture Code]])</f>
        <v>#N/A</v>
      </c>
      <c r="BN237" s="118" t="e">
        <f>INDEX(Table7[WATT/ FIXT], MATCH(ReviewCalcs[Baseline Fixture Code], Table7[FIXTURE CODE], 0))</f>
        <v>#N/A</v>
      </c>
      <c r="BO237" s="118">
        <f>IFERROR((ReviewCalcs[[#This Row],[Existing Fixture Quantity]]*ReviewCalcs[[#This Row],[Baseline Fixture Watts]]/1000-ReviewCalcs[[#This Row],[Proposed Fixture Quantity]]*ReviewCalcs[[#This Row],[Proposed Fixture Watts]]/1000)*ReviewCalcs[[#This Row],[Existing CF]]*ReviewCalcs[[#This Row],[IEFD]], 0)</f>
        <v>0</v>
      </c>
      <c r="BP23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7" s="118">
        <f>IF(ReviewCalcs[[#This Row],[Existing CF]]=ReviewCalcs[[#This Row],[Proposed CF]], 0, ReviewCalcs[[#This Row],[Proposed Fixture Quantity]]*ReviewCalcs[[#This Row],[Proposed Fixture Watts]]/1000*ReviewCalcs[[#This Row],[Proposed CF]]*ReviewCalcs[[#This Row],[IEFD]])</f>
        <v>0</v>
      </c>
      <c r="BR237" s="118">
        <f>IFERROR(ReviewCalcs[[#This Row],[Proposed Fixture Quantity]]*ReviewCalcs[[#This Row],[Proposed Fixture Watts]]/1000*(ReviewCalcs[[#This Row],[Existing PAF]]-ReviewCalcs[[#This Row],[Proposed PAF]])*ReviewCalcs[[#This Row],[AOH]]*ReviewCalcs[[#This Row],[IEFE]],0)</f>
        <v>0</v>
      </c>
      <c r="BS237" s="118">
        <f>ReviewCalcs[[#This Row],[Incentive Fixture Demand Savings (kW)]]+ReviewCalcs[[#This Row],[Incentive Control Demand Savings (kW)]]</f>
        <v>0</v>
      </c>
      <c r="BT237" s="118">
        <f>ReviewCalcs[[#This Row],[Incentive Fixture Energy Savings (kWh)]]+ReviewCalcs[[#This Row],[Incentive Control Energy Savings (kWh)]]</f>
        <v>0</v>
      </c>
      <c r="BU237" s="73"/>
    </row>
    <row r="238" spans="1:73" ht="30" customHeight="1">
      <c r="A238" s="68">
        <v>235</v>
      </c>
      <c r="B238" s="96">
        <f>VLOOKUP(ReviewCalcs[[#This Row],[Project Index]], ProjectInput[], D$1, FALSE)</f>
        <v>0</v>
      </c>
      <c r="C238" s="97">
        <f>VLOOKUP(ReviewCalcs[[#This Row],[Project Index]], ProjectInput[], E$1, FALSE)</f>
        <v>0</v>
      </c>
      <c r="D238" s="97">
        <f>VLOOKUP(ReviewCalcs[[#This Row],[Project Index]], ProjectInput[], F$1, FALSE)</f>
        <v>0</v>
      </c>
      <c r="E238" s="97">
        <f>VLOOKUP(ReviewCalcs[[#This Row],[Project Index]], ProjectInput[], G$1, FALSE)</f>
        <v>0</v>
      </c>
      <c r="F238" s="97">
        <f>VLOOKUP(ReviewCalcs[[#This Row],[Project Index]], ProjectInput[], H$1, FALSE)</f>
        <v>0</v>
      </c>
      <c r="G238" s="98" t="str">
        <f>VLOOKUP(ReviewCalcs[[#This Row],[Project Index]], ProjectInput[], I$1, FALSE)</f>
        <v/>
      </c>
      <c r="H238" s="96">
        <f>VLOOKUP(ReviewCalcs[[#This Row],[Project Index]], ProjectInput[], J$1, FALSE)</f>
        <v>0</v>
      </c>
      <c r="I238" s="97">
        <f>VLOOKUP(ReviewCalcs[[#This Row],[Project Index]], ProjectInput[], K$1, FALSE)</f>
        <v>0</v>
      </c>
      <c r="J238" s="97">
        <f>VLOOKUP(ReviewCalcs[[#This Row],[Project Index]], ProjectInput[], L$1, FALSE)</f>
        <v>0</v>
      </c>
      <c r="K238" s="97">
        <f>VLOOKUP(ReviewCalcs[[#This Row],[Project Index]], ProjectInput[], M$1, FALSE)</f>
        <v>0</v>
      </c>
      <c r="L238" s="97">
        <f>VLOOKUP(ReviewCalcs[[#This Row],[Project Index]], ProjectInput[], N$1, FALSE)</f>
        <v>0</v>
      </c>
      <c r="M238" s="98" t="str">
        <f>VLOOKUP(ReviewCalcs[[#This Row],[Project Index]], ProjectInput[], O$1, FALSE)</f>
        <v/>
      </c>
      <c r="N238" s="96">
        <f>VLOOKUP(ReviewCalcs[[#This Row],[Project Index]], ProjectInput[], P$1, FALSE)</f>
        <v>0</v>
      </c>
      <c r="O238" s="97">
        <f>VLOOKUP(ReviewCalcs[[#This Row],[Project Index]], ProjectInput[], Q$1, FALSE)</f>
        <v>0</v>
      </c>
      <c r="P238" s="97">
        <f>VLOOKUP(ReviewCalcs[[#This Row],[Project Index]], ProjectInput[], R$1, FALSE)</f>
        <v>0</v>
      </c>
      <c r="Q238" s="97">
        <f>VLOOKUP(ReviewCalcs[[#This Row],[Project Index]], ProjectInput[], S$1, FALSE)</f>
        <v>0</v>
      </c>
      <c r="R238" s="97">
        <f>VLOOKUP(ReviewCalcs[[#This Row],[Project Index]], ProjectInput[], T$1, FALSE)</f>
        <v>0</v>
      </c>
      <c r="S238" s="97">
        <f>VLOOKUP(ReviewCalcs[[#This Row],[Project Index]], ProjectInput[], U$1, FALSE)</f>
        <v>0</v>
      </c>
      <c r="T238" s="97">
        <f>VLOOKUP(ReviewCalcs[[#This Row],[Project Index]], ProjectInput[], V$1, FALSE)</f>
        <v>0</v>
      </c>
      <c r="U238" s="97">
        <f>VLOOKUP(ReviewCalcs[[#This Row],[Project Index]], ProjectInput[], W$1, FALSE)</f>
        <v>0</v>
      </c>
      <c r="V238" s="98" t="str">
        <f>VLOOKUP(ReviewCalcs[[#This Row],[Project Index]], ProjectInput[], X$1, FALSE)</f>
        <v/>
      </c>
      <c r="W23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8" s="75" t="e">
        <f>IF(VLOOKUP(ReviewCalcs[[#This Row],[Proposed Fixture Code]], Table7[[FIXTURE CODE]:[Baseline Fixture Code]], 8, FALSE)="N", "ERROR", "PASS")</f>
        <v>#N/A</v>
      </c>
      <c r="Y23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8" s="75" t="e">
        <f>IF(OR(ReviewCalcs[[#This Row],[Baseline Fixture Watts]]&gt;=ReviewCalcs[[#This Row],[Proposed Fixture Watts]],ReviewCalcs[[#This Row],[Existing Fixture Watts]]&gt;=ReviewCalcs[[#This Row],[Proposed Fixture Watts]] ), "PASS", "ERROR")</f>
        <v>#N/A</v>
      </c>
      <c r="AA238" s="69" t="e">
        <f>VLOOKUP(ReviewCalcs[[#This Row],[Space Conditions]], Table_365[], 5, FALSE)</f>
        <v>#N/A</v>
      </c>
      <c r="AB238" s="68" t="str">
        <f>ReviewCalcs[[#This Row],[Annual Hours]]</f>
        <v/>
      </c>
      <c r="AC238" s="68" t="e">
        <f>VLOOKUP(ReviewCalcs[[#This Row],[Space Conditions]], Table_365[], 6, FALSE)</f>
        <v>#N/A</v>
      </c>
      <c r="AD238" s="68">
        <f>IF(ReviewCalcs[[#This Row],[Existing Control(s)]]='Tables &amp; Ranges'!$A$25, VLOOKUP(ReviewCalcs[[#This Row],[Building/Space Type]], Table_364[], 3, FALSE), CF_Contols)</f>
        <v>0.26</v>
      </c>
      <c r="AE238" s="68" t="e">
        <f>VLOOKUP(ReviewCalcs[[#This Row],[Existing Control(s)]], Table_358[], 2, FALSE)</f>
        <v>#N/A</v>
      </c>
      <c r="AF238" s="68">
        <f>IF(ReviewCalcs[[#This Row],[Proposed Control(s)]]='Tables &amp; Ranges'!$A$25, VLOOKUP(ReviewCalcs[[#This Row],[Building/Space Type]], Table_364[], 3, FALSE), CF_Contols)</f>
        <v>0.26</v>
      </c>
      <c r="AG238" s="68" t="e">
        <f>VLOOKUP(ReviewCalcs[[#This Row],[Proposed Control(s)]], Table_358[], 2, FALSE)</f>
        <v>#N/A</v>
      </c>
      <c r="AH238" s="68">
        <f>IFERROR((ReviewCalcs[[#This Row],[Existing Fixture Quantity]]*ReviewCalcs[[#This Row],[Existing Fixture Watts]]/1000)*ReviewCalcs[[#This Row],[Existing CF]]*ReviewCalcs[[#This Row],[IEFD]], 0)</f>
        <v>0</v>
      </c>
      <c r="AI238" s="68">
        <f>IFERROR((ReviewCalcs[[#This Row],[Proposed Fixture Quantity]]*ReviewCalcs[[#This Row],[Proposed Fixture Watts]]/1000)*ReviewCalcs[[#This Row],[Existing CF]]*ReviewCalcs[[#This Row],[IEFD]], 0)</f>
        <v>0</v>
      </c>
      <c r="AJ238" s="118">
        <f>IFERROR((ReviewCalcs[[#This Row],[Existing Fixture Quantity]]*ReviewCalcs[[#This Row],[Existing Fixture Watts]]/1000-ReviewCalcs[[#This Row],[Proposed Fixture Quantity]]*ReviewCalcs[[#This Row],[Proposed Fixture Watts]]/1000)*ReviewCalcs[[#This Row],[Existing CF]]*ReviewCalcs[[#This Row],[IEFD]], 0)</f>
        <v>0</v>
      </c>
      <c r="AK238" s="118">
        <f>IFERROR((ReviewCalcs[[#This Row],[Existing Fixture Quantity]]*ReviewCalcs[[#This Row],[Existing Fixture Watts]]/1000)*ReviewCalcs[[#This Row],[AOH]]*ReviewCalcs[[#This Row],[IEFE]]*ReviewCalcs[[#This Row],[Existing PAF]], 0)</f>
        <v>0</v>
      </c>
      <c r="AL238" s="118">
        <f>IFERROR((ReviewCalcs[[#This Row],[Proposed Fixture Quantity]]*ReviewCalcs[[#This Row],[Proposed Fixture Watts]]/1000)*ReviewCalcs[[#This Row],[AOH]]*ReviewCalcs[[#This Row],[IEFE]]*ReviewCalcs[[#This Row],[Existing PAF]], 0)</f>
        <v>0</v>
      </c>
      <c r="AM23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8" s="118">
        <f>ReviewCalcs[[#This Row],[Fixture Existing Energy (kWh)]]*Avg_KWh_Rate</f>
        <v>0</v>
      </c>
      <c r="AO238" s="118">
        <f>ReviewCalcs[[#This Row],[Fixture Proposed Energy (kWh)]]*Avg_KWh_Rate</f>
        <v>0</v>
      </c>
      <c r="AP238" s="70">
        <f>ReviewCalcs[[#This Row],[Fixture Energy Savings]]*Avg_KWh_Rate</f>
        <v>0</v>
      </c>
      <c r="AQ238" s="129" t="e">
        <f>ReviewCalcs[[#This Row],[Existing Fixture Quantity]]*ReviewCalcs[[#This Row],[Existing Fixture Watts]]/1000*ReviewCalcs[[#This Row],[Existing CF]]*ReviewCalcs[[#This Row],[IEFD]]</f>
        <v>#VALUE!</v>
      </c>
      <c r="AR238" s="129" t="e">
        <f>ReviewCalcs[[#This Row],[Proposed Fixture Quantity]]*ReviewCalcs[[#This Row],[Proposed Fixture Watts]]/1000*ReviewCalcs[[#This Row],[Proposed CF]]*ReviewCalcs[[#This Row],[IEFD]]</f>
        <v>#VALUE!</v>
      </c>
      <c r="AS238" s="118">
        <f>IF(ReviewCalcs[[#This Row],[Existing CF]]=ReviewCalcs[[#This Row],[Proposed CF]], 0, ReviewCalcs[[#This Row],[Proposed Fixture Quantity]]*ReviewCalcs[[#This Row],[Proposed Fixture Watts]]/1000*ReviewCalcs[[#This Row],[Proposed CF]]*ReviewCalcs[[#This Row],[IEFD]])</f>
        <v>0</v>
      </c>
      <c r="AT238" s="118">
        <f>IFERROR(ReviewCalcs[[#This Row],[Existing Fixture Quantity]]*ReviewCalcs[[#This Row],[Existing Fixture Watts]]/1000*ReviewCalcs[[#This Row],[Existing PAF]]*ReviewCalcs[[#This Row],[AOH]]*ReviewCalcs[[#This Row],[IEFE]], 0)</f>
        <v>0</v>
      </c>
      <c r="AU238" s="118">
        <f>IFERROR(ReviewCalcs[[#This Row],[Proposed Fixture Quantity]]*ReviewCalcs[[#This Row],[Proposed Fixture Watts]]/1000*ReviewCalcs[[#This Row],[Proposed PAF]]*ReviewCalcs[[#This Row],[AOH]]*ReviewCalcs[[#This Row],[IEFE]], 0)</f>
        <v>0</v>
      </c>
      <c r="AV238" s="118">
        <f>IFERROR(ReviewCalcs[[#This Row],[Proposed Fixture Quantity]]*ReviewCalcs[[#This Row],[Proposed Fixture Watts]]/1000*(ReviewCalcs[[#This Row],[Existing PAF]]-ReviewCalcs[[#This Row],[Proposed PAF]])*ReviewCalcs[[#This Row],[AOH]]*ReviewCalcs[[#This Row],[IEFE]], 0)</f>
        <v>0</v>
      </c>
      <c r="AW238" s="118">
        <f>ReviewCalcs[[#This Row],[Control Existing Energy (kWh)]]*kWh_Incentive_Rate</f>
        <v>0</v>
      </c>
      <c r="AX238" s="118">
        <f>ReviewCalcs[[#This Row],[Control Proposed Energy (kWh)]]*kWh_Incentive_Rate</f>
        <v>0</v>
      </c>
      <c r="AY238" s="70">
        <f>ReviewCalcs[[#This Row],[Control Energy Savings (kWh)]]*kWh_Incentive_Rate</f>
        <v>0</v>
      </c>
      <c r="AZ238" s="70" t="e">
        <f>ReviewCalcs[[#This Row],[Fixture Existing Demand (kW)]]+ReviewCalcs[[#This Row],[Control Existing Demand (kW)]]</f>
        <v>#VALUE!</v>
      </c>
      <c r="BA238" s="70" t="e">
        <f>ReviewCalcs[[#This Row],[Fixture Proposed Demand (kW)]]+ReviewCalcs[[#This Row],[Control Proposed Demand (kW)]]</f>
        <v>#VALUE!</v>
      </c>
      <c r="BB238" s="118">
        <f>ReviewCalcs[[#This Row],[Fixture Demand Savings (kW)]]+ReviewCalcs[[#This Row],[Control Demand Savings (kW)]]</f>
        <v>0</v>
      </c>
      <c r="BC238" s="118">
        <f>ReviewCalcs[[#This Row],[Fixture Existing Energy (kWh)]]+ReviewCalcs[[#This Row],[Control Existing Energy (kWh)]]</f>
        <v>0</v>
      </c>
      <c r="BD238" s="118">
        <f>ReviewCalcs[[#This Row],[Fixture Proposed Energy (kWh)]]+ReviewCalcs[[#This Row],[Control Proposed Energy (kWh)]]</f>
        <v>0</v>
      </c>
      <c r="BE238" s="118">
        <f>ReviewCalcs[[#This Row],[Fixture Energy Savings]]+ReviewCalcs[[#This Row],[Control Energy Savings (kWh)]]</f>
        <v>0</v>
      </c>
      <c r="BF238" s="118">
        <f>ReviewCalcs[[#This Row],[Fixture Existing Cost ($)]]+ReviewCalcs[[#This Row],[Control Existing Cost ($)]]</f>
        <v>0</v>
      </c>
      <c r="BG238" s="118">
        <f>ReviewCalcs[[#This Row],[Fixture Proposed Cost ($)]]+ReviewCalcs[[#This Row],[Controls Proposed Cost ($)]]</f>
        <v>0</v>
      </c>
      <c r="BH238" s="70">
        <f>ReviewCalcs[[#This Row],[Total Energy Savings (kWh)]]*Avg_KWh_Rate</f>
        <v>0</v>
      </c>
      <c r="BI23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8" s="70">
        <f>ReviewCalcs[[#This Row],[Retrofit Cost]]</f>
        <v>0</v>
      </c>
      <c r="BK238" s="70">
        <f>ReviewCalcs[[#This Row],[Retrofit Cost]]-ReviewCalcs[[#This Row],[Incentive ($)]]</f>
        <v>0</v>
      </c>
      <c r="BL238" s="118" t="e">
        <f>IFERROR(ReviewCalcs[[#This Row],[Net Project Cost ($)]]/ReviewCalcs[[#This Row],[Fixture Energy Cost Savings ($)]], #N/A)</f>
        <v>#N/A</v>
      </c>
      <c r="BM238" s="118" t="e">
        <f>IF(VLOOKUP(ReviewCalcs[[#This Row],[Existing Fixture Code]], Table7[[FIXTURE CODE]:[Baseline Fixture Code]], 8, FALSE)="N", VLOOKUP(ReviewCalcs[[#This Row],[Existing Fixture Code]], Table7[[FIXTURE CODE]:[Baseline Fixture Code]], 9, FALSE), ReviewCalcs[[#This Row],[Existing Fixture Code]])</f>
        <v>#N/A</v>
      </c>
      <c r="BN238" s="118" t="e">
        <f>INDEX(Table7[WATT/ FIXT], MATCH(ReviewCalcs[Baseline Fixture Code], Table7[FIXTURE CODE], 0))</f>
        <v>#N/A</v>
      </c>
      <c r="BO238" s="118">
        <f>IFERROR((ReviewCalcs[[#This Row],[Existing Fixture Quantity]]*ReviewCalcs[[#This Row],[Baseline Fixture Watts]]/1000-ReviewCalcs[[#This Row],[Proposed Fixture Quantity]]*ReviewCalcs[[#This Row],[Proposed Fixture Watts]]/1000)*ReviewCalcs[[#This Row],[Existing CF]]*ReviewCalcs[[#This Row],[IEFD]], 0)</f>
        <v>0</v>
      </c>
      <c r="BP23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8" s="118">
        <f>IF(ReviewCalcs[[#This Row],[Existing CF]]=ReviewCalcs[[#This Row],[Proposed CF]], 0, ReviewCalcs[[#This Row],[Proposed Fixture Quantity]]*ReviewCalcs[[#This Row],[Proposed Fixture Watts]]/1000*ReviewCalcs[[#This Row],[Proposed CF]]*ReviewCalcs[[#This Row],[IEFD]])</f>
        <v>0</v>
      </c>
      <c r="BR238" s="118">
        <f>IFERROR(ReviewCalcs[[#This Row],[Proposed Fixture Quantity]]*ReviewCalcs[[#This Row],[Proposed Fixture Watts]]/1000*(ReviewCalcs[[#This Row],[Existing PAF]]-ReviewCalcs[[#This Row],[Proposed PAF]])*ReviewCalcs[[#This Row],[AOH]]*ReviewCalcs[[#This Row],[IEFE]],0)</f>
        <v>0</v>
      </c>
      <c r="BS238" s="118">
        <f>ReviewCalcs[[#This Row],[Incentive Fixture Demand Savings (kW)]]+ReviewCalcs[[#This Row],[Incentive Control Demand Savings (kW)]]</f>
        <v>0</v>
      </c>
      <c r="BT238" s="118">
        <f>ReviewCalcs[[#This Row],[Incentive Fixture Energy Savings (kWh)]]+ReviewCalcs[[#This Row],[Incentive Control Energy Savings (kWh)]]</f>
        <v>0</v>
      </c>
      <c r="BU238" s="73"/>
    </row>
    <row r="239" spans="1:73" ht="30" customHeight="1">
      <c r="A239" s="68">
        <v>236</v>
      </c>
      <c r="B239" s="96">
        <f>VLOOKUP(ReviewCalcs[[#This Row],[Project Index]], ProjectInput[], D$1, FALSE)</f>
        <v>0</v>
      </c>
      <c r="C239" s="97">
        <f>VLOOKUP(ReviewCalcs[[#This Row],[Project Index]], ProjectInput[], E$1, FALSE)</f>
        <v>0</v>
      </c>
      <c r="D239" s="97">
        <f>VLOOKUP(ReviewCalcs[[#This Row],[Project Index]], ProjectInput[], F$1, FALSE)</f>
        <v>0</v>
      </c>
      <c r="E239" s="97">
        <f>VLOOKUP(ReviewCalcs[[#This Row],[Project Index]], ProjectInput[], G$1, FALSE)</f>
        <v>0</v>
      </c>
      <c r="F239" s="97">
        <f>VLOOKUP(ReviewCalcs[[#This Row],[Project Index]], ProjectInput[], H$1, FALSE)</f>
        <v>0</v>
      </c>
      <c r="G239" s="98" t="str">
        <f>VLOOKUP(ReviewCalcs[[#This Row],[Project Index]], ProjectInput[], I$1, FALSE)</f>
        <v/>
      </c>
      <c r="H239" s="96">
        <f>VLOOKUP(ReviewCalcs[[#This Row],[Project Index]], ProjectInput[], J$1, FALSE)</f>
        <v>0</v>
      </c>
      <c r="I239" s="97">
        <f>VLOOKUP(ReviewCalcs[[#This Row],[Project Index]], ProjectInput[], K$1, FALSE)</f>
        <v>0</v>
      </c>
      <c r="J239" s="97">
        <f>VLOOKUP(ReviewCalcs[[#This Row],[Project Index]], ProjectInput[], L$1, FALSE)</f>
        <v>0</v>
      </c>
      <c r="K239" s="97">
        <f>VLOOKUP(ReviewCalcs[[#This Row],[Project Index]], ProjectInput[], M$1, FALSE)</f>
        <v>0</v>
      </c>
      <c r="L239" s="97">
        <f>VLOOKUP(ReviewCalcs[[#This Row],[Project Index]], ProjectInput[], N$1, FALSE)</f>
        <v>0</v>
      </c>
      <c r="M239" s="98" t="str">
        <f>VLOOKUP(ReviewCalcs[[#This Row],[Project Index]], ProjectInput[], O$1, FALSE)</f>
        <v/>
      </c>
      <c r="N239" s="96">
        <f>VLOOKUP(ReviewCalcs[[#This Row],[Project Index]], ProjectInput[], P$1, FALSE)</f>
        <v>0</v>
      </c>
      <c r="O239" s="97">
        <f>VLOOKUP(ReviewCalcs[[#This Row],[Project Index]], ProjectInput[], Q$1, FALSE)</f>
        <v>0</v>
      </c>
      <c r="P239" s="97">
        <f>VLOOKUP(ReviewCalcs[[#This Row],[Project Index]], ProjectInput[], R$1, FALSE)</f>
        <v>0</v>
      </c>
      <c r="Q239" s="97">
        <f>VLOOKUP(ReviewCalcs[[#This Row],[Project Index]], ProjectInput[], S$1, FALSE)</f>
        <v>0</v>
      </c>
      <c r="R239" s="97">
        <f>VLOOKUP(ReviewCalcs[[#This Row],[Project Index]], ProjectInput[], T$1, FALSE)</f>
        <v>0</v>
      </c>
      <c r="S239" s="97">
        <f>VLOOKUP(ReviewCalcs[[#This Row],[Project Index]], ProjectInput[], U$1, FALSE)</f>
        <v>0</v>
      </c>
      <c r="T239" s="97">
        <f>VLOOKUP(ReviewCalcs[[#This Row],[Project Index]], ProjectInput[], V$1, FALSE)</f>
        <v>0</v>
      </c>
      <c r="U239" s="97">
        <f>VLOOKUP(ReviewCalcs[[#This Row],[Project Index]], ProjectInput[], W$1, FALSE)</f>
        <v>0</v>
      </c>
      <c r="V239" s="98" t="str">
        <f>VLOOKUP(ReviewCalcs[[#This Row],[Project Index]], ProjectInput[], X$1, FALSE)</f>
        <v/>
      </c>
      <c r="W23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39" s="75" t="e">
        <f>IF(VLOOKUP(ReviewCalcs[[#This Row],[Proposed Fixture Code]], Table7[[FIXTURE CODE]:[Baseline Fixture Code]], 8, FALSE)="N", "ERROR", "PASS")</f>
        <v>#N/A</v>
      </c>
      <c r="Y23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39" s="75" t="e">
        <f>IF(OR(ReviewCalcs[[#This Row],[Baseline Fixture Watts]]&gt;=ReviewCalcs[[#This Row],[Proposed Fixture Watts]],ReviewCalcs[[#This Row],[Existing Fixture Watts]]&gt;=ReviewCalcs[[#This Row],[Proposed Fixture Watts]] ), "PASS", "ERROR")</f>
        <v>#N/A</v>
      </c>
      <c r="AA239" s="69" t="e">
        <f>VLOOKUP(ReviewCalcs[[#This Row],[Space Conditions]], Table_365[], 5, FALSE)</f>
        <v>#N/A</v>
      </c>
      <c r="AB239" s="68" t="str">
        <f>ReviewCalcs[[#This Row],[Annual Hours]]</f>
        <v/>
      </c>
      <c r="AC239" s="68" t="e">
        <f>VLOOKUP(ReviewCalcs[[#This Row],[Space Conditions]], Table_365[], 6, FALSE)</f>
        <v>#N/A</v>
      </c>
      <c r="AD239" s="68">
        <f>IF(ReviewCalcs[[#This Row],[Existing Control(s)]]='Tables &amp; Ranges'!$A$25, VLOOKUP(ReviewCalcs[[#This Row],[Building/Space Type]], Table_364[], 3, FALSE), CF_Contols)</f>
        <v>0.26</v>
      </c>
      <c r="AE239" s="68" t="e">
        <f>VLOOKUP(ReviewCalcs[[#This Row],[Existing Control(s)]], Table_358[], 2, FALSE)</f>
        <v>#N/A</v>
      </c>
      <c r="AF239" s="68">
        <f>IF(ReviewCalcs[[#This Row],[Proposed Control(s)]]='Tables &amp; Ranges'!$A$25, VLOOKUP(ReviewCalcs[[#This Row],[Building/Space Type]], Table_364[], 3, FALSE), CF_Contols)</f>
        <v>0.26</v>
      </c>
      <c r="AG239" s="68" t="e">
        <f>VLOOKUP(ReviewCalcs[[#This Row],[Proposed Control(s)]], Table_358[], 2, FALSE)</f>
        <v>#N/A</v>
      </c>
      <c r="AH239" s="68">
        <f>IFERROR((ReviewCalcs[[#This Row],[Existing Fixture Quantity]]*ReviewCalcs[[#This Row],[Existing Fixture Watts]]/1000)*ReviewCalcs[[#This Row],[Existing CF]]*ReviewCalcs[[#This Row],[IEFD]], 0)</f>
        <v>0</v>
      </c>
      <c r="AI239" s="68">
        <f>IFERROR((ReviewCalcs[[#This Row],[Proposed Fixture Quantity]]*ReviewCalcs[[#This Row],[Proposed Fixture Watts]]/1000)*ReviewCalcs[[#This Row],[Existing CF]]*ReviewCalcs[[#This Row],[IEFD]], 0)</f>
        <v>0</v>
      </c>
      <c r="AJ239" s="118">
        <f>IFERROR((ReviewCalcs[[#This Row],[Existing Fixture Quantity]]*ReviewCalcs[[#This Row],[Existing Fixture Watts]]/1000-ReviewCalcs[[#This Row],[Proposed Fixture Quantity]]*ReviewCalcs[[#This Row],[Proposed Fixture Watts]]/1000)*ReviewCalcs[[#This Row],[Existing CF]]*ReviewCalcs[[#This Row],[IEFD]], 0)</f>
        <v>0</v>
      </c>
      <c r="AK239" s="118">
        <f>IFERROR((ReviewCalcs[[#This Row],[Existing Fixture Quantity]]*ReviewCalcs[[#This Row],[Existing Fixture Watts]]/1000)*ReviewCalcs[[#This Row],[AOH]]*ReviewCalcs[[#This Row],[IEFE]]*ReviewCalcs[[#This Row],[Existing PAF]], 0)</f>
        <v>0</v>
      </c>
      <c r="AL239" s="118">
        <f>IFERROR((ReviewCalcs[[#This Row],[Proposed Fixture Quantity]]*ReviewCalcs[[#This Row],[Proposed Fixture Watts]]/1000)*ReviewCalcs[[#This Row],[AOH]]*ReviewCalcs[[#This Row],[IEFE]]*ReviewCalcs[[#This Row],[Existing PAF]], 0)</f>
        <v>0</v>
      </c>
      <c r="AM23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39" s="118">
        <f>ReviewCalcs[[#This Row],[Fixture Existing Energy (kWh)]]*Avg_KWh_Rate</f>
        <v>0</v>
      </c>
      <c r="AO239" s="118">
        <f>ReviewCalcs[[#This Row],[Fixture Proposed Energy (kWh)]]*Avg_KWh_Rate</f>
        <v>0</v>
      </c>
      <c r="AP239" s="70">
        <f>ReviewCalcs[[#This Row],[Fixture Energy Savings]]*Avg_KWh_Rate</f>
        <v>0</v>
      </c>
      <c r="AQ239" s="129" t="e">
        <f>ReviewCalcs[[#This Row],[Existing Fixture Quantity]]*ReviewCalcs[[#This Row],[Existing Fixture Watts]]/1000*ReviewCalcs[[#This Row],[Existing CF]]*ReviewCalcs[[#This Row],[IEFD]]</f>
        <v>#VALUE!</v>
      </c>
      <c r="AR239" s="129" t="e">
        <f>ReviewCalcs[[#This Row],[Proposed Fixture Quantity]]*ReviewCalcs[[#This Row],[Proposed Fixture Watts]]/1000*ReviewCalcs[[#This Row],[Proposed CF]]*ReviewCalcs[[#This Row],[IEFD]]</f>
        <v>#VALUE!</v>
      </c>
      <c r="AS239" s="118">
        <f>IF(ReviewCalcs[[#This Row],[Existing CF]]=ReviewCalcs[[#This Row],[Proposed CF]], 0, ReviewCalcs[[#This Row],[Proposed Fixture Quantity]]*ReviewCalcs[[#This Row],[Proposed Fixture Watts]]/1000*ReviewCalcs[[#This Row],[Proposed CF]]*ReviewCalcs[[#This Row],[IEFD]])</f>
        <v>0</v>
      </c>
      <c r="AT239" s="118">
        <f>IFERROR(ReviewCalcs[[#This Row],[Existing Fixture Quantity]]*ReviewCalcs[[#This Row],[Existing Fixture Watts]]/1000*ReviewCalcs[[#This Row],[Existing PAF]]*ReviewCalcs[[#This Row],[AOH]]*ReviewCalcs[[#This Row],[IEFE]], 0)</f>
        <v>0</v>
      </c>
      <c r="AU239" s="118">
        <f>IFERROR(ReviewCalcs[[#This Row],[Proposed Fixture Quantity]]*ReviewCalcs[[#This Row],[Proposed Fixture Watts]]/1000*ReviewCalcs[[#This Row],[Proposed PAF]]*ReviewCalcs[[#This Row],[AOH]]*ReviewCalcs[[#This Row],[IEFE]], 0)</f>
        <v>0</v>
      </c>
      <c r="AV239" s="118">
        <f>IFERROR(ReviewCalcs[[#This Row],[Proposed Fixture Quantity]]*ReviewCalcs[[#This Row],[Proposed Fixture Watts]]/1000*(ReviewCalcs[[#This Row],[Existing PAF]]-ReviewCalcs[[#This Row],[Proposed PAF]])*ReviewCalcs[[#This Row],[AOH]]*ReviewCalcs[[#This Row],[IEFE]], 0)</f>
        <v>0</v>
      </c>
      <c r="AW239" s="118">
        <f>ReviewCalcs[[#This Row],[Control Existing Energy (kWh)]]*kWh_Incentive_Rate</f>
        <v>0</v>
      </c>
      <c r="AX239" s="118">
        <f>ReviewCalcs[[#This Row],[Control Proposed Energy (kWh)]]*kWh_Incentive_Rate</f>
        <v>0</v>
      </c>
      <c r="AY239" s="70">
        <f>ReviewCalcs[[#This Row],[Control Energy Savings (kWh)]]*kWh_Incentive_Rate</f>
        <v>0</v>
      </c>
      <c r="AZ239" s="70" t="e">
        <f>ReviewCalcs[[#This Row],[Fixture Existing Demand (kW)]]+ReviewCalcs[[#This Row],[Control Existing Demand (kW)]]</f>
        <v>#VALUE!</v>
      </c>
      <c r="BA239" s="70" t="e">
        <f>ReviewCalcs[[#This Row],[Fixture Proposed Demand (kW)]]+ReviewCalcs[[#This Row],[Control Proposed Demand (kW)]]</f>
        <v>#VALUE!</v>
      </c>
      <c r="BB239" s="118">
        <f>ReviewCalcs[[#This Row],[Fixture Demand Savings (kW)]]+ReviewCalcs[[#This Row],[Control Demand Savings (kW)]]</f>
        <v>0</v>
      </c>
      <c r="BC239" s="118">
        <f>ReviewCalcs[[#This Row],[Fixture Existing Energy (kWh)]]+ReviewCalcs[[#This Row],[Control Existing Energy (kWh)]]</f>
        <v>0</v>
      </c>
      <c r="BD239" s="118">
        <f>ReviewCalcs[[#This Row],[Fixture Proposed Energy (kWh)]]+ReviewCalcs[[#This Row],[Control Proposed Energy (kWh)]]</f>
        <v>0</v>
      </c>
      <c r="BE239" s="118">
        <f>ReviewCalcs[[#This Row],[Fixture Energy Savings]]+ReviewCalcs[[#This Row],[Control Energy Savings (kWh)]]</f>
        <v>0</v>
      </c>
      <c r="BF239" s="118">
        <f>ReviewCalcs[[#This Row],[Fixture Existing Cost ($)]]+ReviewCalcs[[#This Row],[Control Existing Cost ($)]]</f>
        <v>0</v>
      </c>
      <c r="BG239" s="118">
        <f>ReviewCalcs[[#This Row],[Fixture Proposed Cost ($)]]+ReviewCalcs[[#This Row],[Controls Proposed Cost ($)]]</f>
        <v>0</v>
      </c>
      <c r="BH239" s="70">
        <f>ReviewCalcs[[#This Row],[Total Energy Savings (kWh)]]*Avg_KWh_Rate</f>
        <v>0</v>
      </c>
      <c r="BI23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39" s="70">
        <f>ReviewCalcs[[#This Row],[Retrofit Cost]]</f>
        <v>0</v>
      </c>
      <c r="BK239" s="70">
        <f>ReviewCalcs[[#This Row],[Retrofit Cost]]-ReviewCalcs[[#This Row],[Incentive ($)]]</f>
        <v>0</v>
      </c>
      <c r="BL239" s="118" t="e">
        <f>IFERROR(ReviewCalcs[[#This Row],[Net Project Cost ($)]]/ReviewCalcs[[#This Row],[Fixture Energy Cost Savings ($)]], #N/A)</f>
        <v>#N/A</v>
      </c>
      <c r="BM239" s="118" t="e">
        <f>IF(VLOOKUP(ReviewCalcs[[#This Row],[Existing Fixture Code]], Table7[[FIXTURE CODE]:[Baseline Fixture Code]], 8, FALSE)="N", VLOOKUP(ReviewCalcs[[#This Row],[Existing Fixture Code]], Table7[[FIXTURE CODE]:[Baseline Fixture Code]], 9, FALSE), ReviewCalcs[[#This Row],[Existing Fixture Code]])</f>
        <v>#N/A</v>
      </c>
      <c r="BN239" s="118" t="e">
        <f>INDEX(Table7[WATT/ FIXT], MATCH(ReviewCalcs[Baseline Fixture Code], Table7[FIXTURE CODE], 0))</f>
        <v>#N/A</v>
      </c>
      <c r="BO239" s="118">
        <f>IFERROR((ReviewCalcs[[#This Row],[Existing Fixture Quantity]]*ReviewCalcs[[#This Row],[Baseline Fixture Watts]]/1000-ReviewCalcs[[#This Row],[Proposed Fixture Quantity]]*ReviewCalcs[[#This Row],[Proposed Fixture Watts]]/1000)*ReviewCalcs[[#This Row],[Existing CF]]*ReviewCalcs[[#This Row],[IEFD]], 0)</f>
        <v>0</v>
      </c>
      <c r="BP23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39" s="118">
        <f>IF(ReviewCalcs[[#This Row],[Existing CF]]=ReviewCalcs[[#This Row],[Proposed CF]], 0, ReviewCalcs[[#This Row],[Proposed Fixture Quantity]]*ReviewCalcs[[#This Row],[Proposed Fixture Watts]]/1000*ReviewCalcs[[#This Row],[Proposed CF]]*ReviewCalcs[[#This Row],[IEFD]])</f>
        <v>0</v>
      </c>
      <c r="BR239" s="118">
        <f>IFERROR(ReviewCalcs[[#This Row],[Proposed Fixture Quantity]]*ReviewCalcs[[#This Row],[Proposed Fixture Watts]]/1000*(ReviewCalcs[[#This Row],[Existing PAF]]-ReviewCalcs[[#This Row],[Proposed PAF]])*ReviewCalcs[[#This Row],[AOH]]*ReviewCalcs[[#This Row],[IEFE]],0)</f>
        <v>0</v>
      </c>
      <c r="BS239" s="118">
        <f>ReviewCalcs[[#This Row],[Incentive Fixture Demand Savings (kW)]]+ReviewCalcs[[#This Row],[Incentive Control Demand Savings (kW)]]</f>
        <v>0</v>
      </c>
      <c r="BT239" s="118">
        <f>ReviewCalcs[[#This Row],[Incentive Fixture Energy Savings (kWh)]]+ReviewCalcs[[#This Row],[Incentive Control Energy Savings (kWh)]]</f>
        <v>0</v>
      </c>
      <c r="BU239" s="73"/>
    </row>
    <row r="240" spans="1:73" ht="30" customHeight="1">
      <c r="A240" s="68">
        <v>237</v>
      </c>
      <c r="B240" s="96">
        <f>VLOOKUP(ReviewCalcs[[#This Row],[Project Index]], ProjectInput[], D$1, FALSE)</f>
        <v>0</v>
      </c>
      <c r="C240" s="97">
        <f>VLOOKUP(ReviewCalcs[[#This Row],[Project Index]], ProjectInput[], E$1, FALSE)</f>
        <v>0</v>
      </c>
      <c r="D240" s="97">
        <f>VLOOKUP(ReviewCalcs[[#This Row],[Project Index]], ProjectInput[], F$1, FALSE)</f>
        <v>0</v>
      </c>
      <c r="E240" s="97">
        <f>VLOOKUP(ReviewCalcs[[#This Row],[Project Index]], ProjectInput[], G$1, FALSE)</f>
        <v>0</v>
      </c>
      <c r="F240" s="97">
        <f>VLOOKUP(ReviewCalcs[[#This Row],[Project Index]], ProjectInput[], H$1, FALSE)</f>
        <v>0</v>
      </c>
      <c r="G240" s="98" t="str">
        <f>VLOOKUP(ReviewCalcs[[#This Row],[Project Index]], ProjectInput[], I$1, FALSE)</f>
        <v/>
      </c>
      <c r="H240" s="96">
        <f>VLOOKUP(ReviewCalcs[[#This Row],[Project Index]], ProjectInput[], J$1, FALSE)</f>
        <v>0</v>
      </c>
      <c r="I240" s="97">
        <f>VLOOKUP(ReviewCalcs[[#This Row],[Project Index]], ProjectInput[], K$1, FALSE)</f>
        <v>0</v>
      </c>
      <c r="J240" s="97">
        <f>VLOOKUP(ReviewCalcs[[#This Row],[Project Index]], ProjectInput[], L$1, FALSE)</f>
        <v>0</v>
      </c>
      <c r="K240" s="97">
        <f>VLOOKUP(ReviewCalcs[[#This Row],[Project Index]], ProjectInput[], M$1, FALSE)</f>
        <v>0</v>
      </c>
      <c r="L240" s="97">
        <f>VLOOKUP(ReviewCalcs[[#This Row],[Project Index]], ProjectInput[], N$1, FALSE)</f>
        <v>0</v>
      </c>
      <c r="M240" s="98" t="str">
        <f>VLOOKUP(ReviewCalcs[[#This Row],[Project Index]], ProjectInput[], O$1, FALSE)</f>
        <v/>
      </c>
      <c r="N240" s="96">
        <f>VLOOKUP(ReviewCalcs[[#This Row],[Project Index]], ProjectInput[], P$1, FALSE)</f>
        <v>0</v>
      </c>
      <c r="O240" s="97">
        <f>VLOOKUP(ReviewCalcs[[#This Row],[Project Index]], ProjectInput[], Q$1, FALSE)</f>
        <v>0</v>
      </c>
      <c r="P240" s="97">
        <f>VLOOKUP(ReviewCalcs[[#This Row],[Project Index]], ProjectInput[], R$1, FALSE)</f>
        <v>0</v>
      </c>
      <c r="Q240" s="97">
        <f>VLOOKUP(ReviewCalcs[[#This Row],[Project Index]], ProjectInput[], S$1, FALSE)</f>
        <v>0</v>
      </c>
      <c r="R240" s="97">
        <f>VLOOKUP(ReviewCalcs[[#This Row],[Project Index]], ProjectInput[], T$1, FALSE)</f>
        <v>0</v>
      </c>
      <c r="S240" s="97">
        <f>VLOOKUP(ReviewCalcs[[#This Row],[Project Index]], ProjectInput[], U$1, FALSE)</f>
        <v>0</v>
      </c>
      <c r="T240" s="97">
        <f>VLOOKUP(ReviewCalcs[[#This Row],[Project Index]], ProjectInput[], V$1, FALSE)</f>
        <v>0</v>
      </c>
      <c r="U240" s="97">
        <f>VLOOKUP(ReviewCalcs[[#This Row],[Project Index]], ProjectInput[], W$1, FALSE)</f>
        <v>0</v>
      </c>
      <c r="V240" s="98" t="str">
        <f>VLOOKUP(ReviewCalcs[[#This Row],[Project Index]], ProjectInput[], X$1, FALSE)</f>
        <v/>
      </c>
      <c r="W24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0" s="75" t="e">
        <f>IF(VLOOKUP(ReviewCalcs[[#This Row],[Proposed Fixture Code]], Table7[[FIXTURE CODE]:[Baseline Fixture Code]], 8, FALSE)="N", "ERROR", "PASS")</f>
        <v>#N/A</v>
      </c>
      <c r="Y24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0" s="75" t="e">
        <f>IF(OR(ReviewCalcs[[#This Row],[Baseline Fixture Watts]]&gt;=ReviewCalcs[[#This Row],[Proposed Fixture Watts]],ReviewCalcs[[#This Row],[Existing Fixture Watts]]&gt;=ReviewCalcs[[#This Row],[Proposed Fixture Watts]] ), "PASS", "ERROR")</f>
        <v>#N/A</v>
      </c>
      <c r="AA240" s="69" t="e">
        <f>VLOOKUP(ReviewCalcs[[#This Row],[Space Conditions]], Table_365[], 5, FALSE)</f>
        <v>#N/A</v>
      </c>
      <c r="AB240" s="68" t="str">
        <f>ReviewCalcs[[#This Row],[Annual Hours]]</f>
        <v/>
      </c>
      <c r="AC240" s="68" t="e">
        <f>VLOOKUP(ReviewCalcs[[#This Row],[Space Conditions]], Table_365[], 6, FALSE)</f>
        <v>#N/A</v>
      </c>
      <c r="AD240" s="68">
        <f>IF(ReviewCalcs[[#This Row],[Existing Control(s)]]='Tables &amp; Ranges'!$A$25, VLOOKUP(ReviewCalcs[[#This Row],[Building/Space Type]], Table_364[], 3, FALSE), CF_Contols)</f>
        <v>0.26</v>
      </c>
      <c r="AE240" s="68" t="e">
        <f>VLOOKUP(ReviewCalcs[[#This Row],[Existing Control(s)]], Table_358[], 2, FALSE)</f>
        <v>#N/A</v>
      </c>
      <c r="AF240" s="68">
        <f>IF(ReviewCalcs[[#This Row],[Proposed Control(s)]]='Tables &amp; Ranges'!$A$25, VLOOKUP(ReviewCalcs[[#This Row],[Building/Space Type]], Table_364[], 3, FALSE), CF_Contols)</f>
        <v>0.26</v>
      </c>
      <c r="AG240" s="68" t="e">
        <f>VLOOKUP(ReviewCalcs[[#This Row],[Proposed Control(s)]], Table_358[], 2, FALSE)</f>
        <v>#N/A</v>
      </c>
      <c r="AH240" s="68">
        <f>IFERROR((ReviewCalcs[[#This Row],[Existing Fixture Quantity]]*ReviewCalcs[[#This Row],[Existing Fixture Watts]]/1000)*ReviewCalcs[[#This Row],[Existing CF]]*ReviewCalcs[[#This Row],[IEFD]], 0)</f>
        <v>0</v>
      </c>
      <c r="AI240" s="68">
        <f>IFERROR((ReviewCalcs[[#This Row],[Proposed Fixture Quantity]]*ReviewCalcs[[#This Row],[Proposed Fixture Watts]]/1000)*ReviewCalcs[[#This Row],[Existing CF]]*ReviewCalcs[[#This Row],[IEFD]], 0)</f>
        <v>0</v>
      </c>
      <c r="AJ240" s="118">
        <f>IFERROR((ReviewCalcs[[#This Row],[Existing Fixture Quantity]]*ReviewCalcs[[#This Row],[Existing Fixture Watts]]/1000-ReviewCalcs[[#This Row],[Proposed Fixture Quantity]]*ReviewCalcs[[#This Row],[Proposed Fixture Watts]]/1000)*ReviewCalcs[[#This Row],[Existing CF]]*ReviewCalcs[[#This Row],[IEFD]], 0)</f>
        <v>0</v>
      </c>
      <c r="AK240" s="118">
        <f>IFERROR((ReviewCalcs[[#This Row],[Existing Fixture Quantity]]*ReviewCalcs[[#This Row],[Existing Fixture Watts]]/1000)*ReviewCalcs[[#This Row],[AOH]]*ReviewCalcs[[#This Row],[IEFE]]*ReviewCalcs[[#This Row],[Existing PAF]], 0)</f>
        <v>0</v>
      </c>
      <c r="AL240" s="118">
        <f>IFERROR((ReviewCalcs[[#This Row],[Proposed Fixture Quantity]]*ReviewCalcs[[#This Row],[Proposed Fixture Watts]]/1000)*ReviewCalcs[[#This Row],[AOH]]*ReviewCalcs[[#This Row],[IEFE]]*ReviewCalcs[[#This Row],[Existing PAF]], 0)</f>
        <v>0</v>
      </c>
      <c r="AM24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0" s="118">
        <f>ReviewCalcs[[#This Row],[Fixture Existing Energy (kWh)]]*Avg_KWh_Rate</f>
        <v>0</v>
      </c>
      <c r="AO240" s="118">
        <f>ReviewCalcs[[#This Row],[Fixture Proposed Energy (kWh)]]*Avg_KWh_Rate</f>
        <v>0</v>
      </c>
      <c r="AP240" s="70">
        <f>ReviewCalcs[[#This Row],[Fixture Energy Savings]]*Avg_KWh_Rate</f>
        <v>0</v>
      </c>
      <c r="AQ240" s="129" t="e">
        <f>ReviewCalcs[[#This Row],[Existing Fixture Quantity]]*ReviewCalcs[[#This Row],[Existing Fixture Watts]]/1000*ReviewCalcs[[#This Row],[Existing CF]]*ReviewCalcs[[#This Row],[IEFD]]</f>
        <v>#VALUE!</v>
      </c>
      <c r="AR240" s="129" t="e">
        <f>ReviewCalcs[[#This Row],[Proposed Fixture Quantity]]*ReviewCalcs[[#This Row],[Proposed Fixture Watts]]/1000*ReviewCalcs[[#This Row],[Proposed CF]]*ReviewCalcs[[#This Row],[IEFD]]</f>
        <v>#VALUE!</v>
      </c>
      <c r="AS240" s="118">
        <f>IF(ReviewCalcs[[#This Row],[Existing CF]]=ReviewCalcs[[#This Row],[Proposed CF]], 0, ReviewCalcs[[#This Row],[Proposed Fixture Quantity]]*ReviewCalcs[[#This Row],[Proposed Fixture Watts]]/1000*ReviewCalcs[[#This Row],[Proposed CF]]*ReviewCalcs[[#This Row],[IEFD]])</f>
        <v>0</v>
      </c>
      <c r="AT240" s="118">
        <f>IFERROR(ReviewCalcs[[#This Row],[Existing Fixture Quantity]]*ReviewCalcs[[#This Row],[Existing Fixture Watts]]/1000*ReviewCalcs[[#This Row],[Existing PAF]]*ReviewCalcs[[#This Row],[AOH]]*ReviewCalcs[[#This Row],[IEFE]], 0)</f>
        <v>0</v>
      </c>
      <c r="AU240" s="118">
        <f>IFERROR(ReviewCalcs[[#This Row],[Proposed Fixture Quantity]]*ReviewCalcs[[#This Row],[Proposed Fixture Watts]]/1000*ReviewCalcs[[#This Row],[Proposed PAF]]*ReviewCalcs[[#This Row],[AOH]]*ReviewCalcs[[#This Row],[IEFE]], 0)</f>
        <v>0</v>
      </c>
      <c r="AV240" s="118">
        <f>IFERROR(ReviewCalcs[[#This Row],[Proposed Fixture Quantity]]*ReviewCalcs[[#This Row],[Proposed Fixture Watts]]/1000*(ReviewCalcs[[#This Row],[Existing PAF]]-ReviewCalcs[[#This Row],[Proposed PAF]])*ReviewCalcs[[#This Row],[AOH]]*ReviewCalcs[[#This Row],[IEFE]], 0)</f>
        <v>0</v>
      </c>
      <c r="AW240" s="118">
        <f>ReviewCalcs[[#This Row],[Control Existing Energy (kWh)]]*kWh_Incentive_Rate</f>
        <v>0</v>
      </c>
      <c r="AX240" s="118">
        <f>ReviewCalcs[[#This Row],[Control Proposed Energy (kWh)]]*kWh_Incentive_Rate</f>
        <v>0</v>
      </c>
      <c r="AY240" s="70">
        <f>ReviewCalcs[[#This Row],[Control Energy Savings (kWh)]]*kWh_Incentive_Rate</f>
        <v>0</v>
      </c>
      <c r="AZ240" s="70" t="e">
        <f>ReviewCalcs[[#This Row],[Fixture Existing Demand (kW)]]+ReviewCalcs[[#This Row],[Control Existing Demand (kW)]]</f>
        <v>#VALUE!</v>
      </c>
      <c r="BA240" s="70" t="e">
        <f>ReviewCalcs[[#This Row],[Fixture Proposed Demand (kW)]]+ReviewCalcs[[#This Row],[Control Proposed Demand (kW)]]</f>
        <v>#VALUE!</v>
      </c>
      <c r="BB240" s="118">
        <f>ReviewCalcs[[#This Row],[Fixture Demand Savings (kW)]]+ReviewCalcs[[#This Row],[Control Demand Savings (kW)]]</f>
        <v>0</v>
      </c>
      <c r="BC240" s="118">
        <f>ReviewCalcs[[#This Row],[Fixture Existing Energy (kWh)]]+ReviewCalcs[[#This Row],[Control Existing Energy (kWh)]]</f>
        <v>0</v>
      </c>
      <c r="BD240" s="118">
        <f>ReviewCalcs[[#This Row],[Fixture Proposed Energy (kWh)]]+ReviewCalcs[[#This Row],[Control Proposed Energy (kWh)]]</f>
        <v>0</v>
      </c>
      <c r="BE240" s="118">
        <f>ReviewCalcs[[#This Row],[Fixture Energy Savings]]+ReviewCalcs[[#This Row],[Control Energy Savings (kWh)]]</f>
        <v>0</v>
      </c>
      <c r="BF240" s="118">
        <f>ReviewCalcs[[#This Row],[Fixture Existing Cost ($)]]+ReviewCalcs[[#This Row],[Control Existing Cost ($)]]</f>
        <v>0</v>
      </c>
      <c r="BG240" s="118">
        <f>ReviewCalcs[[#This Row],[Fixture Proposed Cost ($)]]+ReviewCalcs[[#This Row],[Controls Proposed Cost ($)]]</f>
        <v>0</v>
      </c>
      <c r="BH240" s="70">
        <f>ReviewCalcs[[#This Row],[Total Energy Savings (kWh)]]*Avg_KWh_Rate</f>
        <v>0</v>
      </c>
      <c r="BI24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0" s="70">
        <f>ReviewCalcs[[#This Row],[Retrofit Cost]]</f>
        <v>0</v>
      </c>
      <c r="BK240" s="70">
        <f>ReviewCalcs[[#This Row],[Retrofit Cost]]-ReviewCalcs[[#This Row],[Incentive ($)]]</f>
        <v>0</v>
      </c>
      <c r="BL240" s="118" t="e">
        <f>IFERROR(ReviewCalcs[[#This Row],[Net Project Cost ($)]]/ReviewCalcs[[#This Row],[Fixture Energy Cost Savings ($)]], #N/A)</f>
        <v>#N/A</v>
      </c>
      <c r="BM240" s="118" t="e">
        <f>IF(VLOOKUP(ReviewCalcs[[#This Row],[Existing Fixture Code]], Table7[[FIXTURE CODE]:[Baseline Fixture Code]], 8, FALSE)="N", VLOOKUP(ReviewCalcs[[#This Row],[Existing Fixture Code]], Table7[[FIXTURE CODE]:[Baseline Fixture Code]], 9, FALSE), ReviewCalcs[[#This Row],[Existing Fixture Code]])</f>
        <v>#N/A</v>
      </c>
      <c r="BN240" s="118" t="e">
        <f>INDEX(Table7[WATT/ FIXT], MATCH(ReviewCalcs[Baseline Fixture Code], Table7[FIXTURE CODE], 0))</f>
        <v>#N/A</v>
      </c>
      <c r="BO240" s="118">
        <f>IFERROR((ReviewCalcs[[#This Row],[Existing Fixture Quantity]]*ReviewCalcs[[#This Row],[Baseline Fixture Watts]]/1000-ReviewCalcs[[#This Row],[Proposed Fixture Quantity]]*ReviewCalcs[[#This Row],[Proposed Fixture Watts]]/1000)*ReviewCalcs[[#This Row],[Existing CF]]*ReviewCalcs[[#This Row],[IEFD]], 0)</f>
        <v>0</v>
      </c>
      <c r="BP24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0" s="118">
        <f>IF(ReviewCalcs[[#This Row],[Existing CF]]=ReviewCalcs[[#This Row],[Proposed CF]], 0, ReviewCalcs[[#This Row],[Proposed Fixture Quantity]]*ReviewCalcs[[#This Row],[Proposed Fixture Watts]]/1000*ReviewCalcs[[#This Row],[Proposed CF]]*ReviewCalcs[[#This Row],[IEFD]])</f>
        <v>0</v>
      </c>
      <c r="BR240" s="118">
        <f>IFERROR(ReviewCalcs[[#This Row],[Proposed Fixture Quantity]]*ReviewCalcs[[#This Row],[Proposed Fixture Watts]]/1000*(ReviewCalcs[[#This Row],[Existing PAF]]-ReviewCalcs[[#This Row],[Proposed PAF]])*ReviewCalcs[[#This Row],[AOH]]*ReviewCalcs[[#This Row],[IEFE]],0)</f>
        <v>0</v>
      </c>
      <c r="BS240" s="118">
        <f>ReviewCalcs[[#This Row],[Incentive Fixture Demand Savings (kW)]]+ReviewCalcs[[#This Row],[Incentive Control Demand Savings (kW)]]</f>
        <v>0</v>
      </c>
      <c r="BT240" s="118">
        <f>ReviewCalcs[[#This Row],[Incentive Fixture Energy Savings (kWh)]]+ReviewCalcs[[#This Row],[Incentive Control Energy Savings (kWh)]]</f>
        <v>0</v>
      </c>
      <c r="BU240" s="73"/>
    </row>
    <row r="241" spans="1:73" ht="30" customHeight="1">
      <c r="A241" s="68">
        <v>238</v>
      </c>
      <c r="B241" s="96">
        <f>VLOOKUP(ReviewCalcs[[#This Row],[Project Index]], ProjectInput[], D$1, FALSE)</f>
        <v>0</v>
      </c>
      <c r="C241" s="97">
        <f>VLOOKUP(ReviewCalcs[[#This Row],[Project Index]], ProjectInput[], E$1, FALSE)</f>
        <v>0</v>
      </c>
      <c r="D241" s="97">
        <f>VLOOKUP(ReviewCalcs[[#This Row],[Project Index]], ProjectInput[], F$1, FALSE)</f>
        <v>0</v>
      </c>
      <c r="E241" s="97">
        <f>VLOOKUP(ReviewCalcs[[#This Row],[Project Index]], ProjectInput[], G$1, FALSE)</f>
        <v>0</v>
      </c>
      <c r="F241" s="97">
        <f>VLOOKUP(ReviewCalcs[[#This Row],[Project Index]], ProjectInput[], H$1, FALSE)</f>
        <v>0</v>
      </c>
      <c r="G241" s="98" t="str">
        <f>VLOOKUP(ReviewCalcs[[#This Row],[Project Index]], ProjectInput[], I$1, FALSE)</f>
        <v/>
      </c>
      <c r="H241" s="96">
        <f>VLOOKUP(ReviewCalcs[[#This Row],[Project Index]], ProjectInput[], J$1, FALSE)</f>
        <v>0</v>
      </c>
      <c r="I241" s="97">
        <f>VLOOKUP(ReviewCalcs[[#This Row],[Project Index]], ProjectInput[], K$1, FALSE)</f>
        <v>0</v>
      </c>
      <c r="J241" s="97">
        <f>VLOOKUP(ReviewCalcs[[#This Row],[Project Index]], ProjectInput[], L$1, FALSE)</f>
        <v>0</v>
      </c>
      <c r="K241" s="97">
        <f>VLOOKUP(ReviewCalcs[[#This Row],[Project Index]], ProjectInput[], M$1, FALSE)</f>
        <v>0</v>
      </c>
      <c r="L241" s="97">
        <f>VLOOKUP(ReviewCalcs[[#This Row],[Project Index]], ProjectInput[], N$1, FALSE)</f>
        <v>0</v>
      </c>
      <c r="M241" s="98" t="str">
        <f>VLOOKUP(ReviewCalcs[[#This Row],[Project Index]], ProjectInput[], O$1, FALSE)</f>
        <v/>
      </c>
      <c r="N241" s="96">
        <f>VLOOKUP(ReviewCalcs[[#This Row],[Project Index]], ProjectInput[], P$1, FALSE)</f>
        <v>0</v>
      </c>
      <c r="O241" s="97">
        <f>VLOOKUP(ReviewCalcs[[#This Row],[Project Index]], ProjectInput[], Q$1, FALSE)</f>
        <v>0</v>
      </c>
      <c r="P241" s="97">
        <f>VLOOKUP(ReviewCalcs[[#This Row],[Project Index]], ProjectInput[], R$1, FALSE)</f>
        <v>0</v>
      </c>
      <c r="Q241" s="97">
        <f>VLOOKUP(ReviewCalcs[[#This Row],[Project Index]], ProjectInput[], S$1, FALSE)</f>
        <v>0</v>
      </c>
      <c r="R241" s="97">
        <f>VLOOKUP(ReviewCalcs[[#This Row],[Project Index]], ProjectInput[], T$1, FALSE)</f>
        <v>0</v>
      </c>
      <c r="S241" s="97">
        <f>VLOOKUP(ReviewCalcs[[#This Row],[Project Index]], ProjectInput[], U$1, FALSE)</f>
        <v>0</v>
      </c>
      <c r="T241" s="97">
        <f>VLOOKUP(ReviewCalcs[[#This Row],[Project Index]], ProjectInput[], V$1, FALSE)</f>
        <v>0</v>
      </c>
      <c r="U241" s="97">
        <f>VLOOKUP(ReviewCalcs[[#This Row],[Project Index]], ProjectInput[], W$1, FALSE)</f>
        <v>0</v>
      </c>
      <c r="V241" s="98" t="str">
        <f>VLOOKUP(ReviewCalcs[[#This Row],[Project Index]], ProjectInput[], X$1, FALSE)</f>
        <v/>
      </c>
      <c r="W24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1" s="75" t="e">
        <f>IF(VLOOKUP(ReviewCalcs[[#This Row],[Proposed Fixture Code]], Table7[[FIXTURE CODE]:[Baseline Fixture Code]], 8, FALSE)="N", "ERROR", "PASS")</f>
        <v>#N/A</v>
      </c>
      <c r="Y24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1" s="75" t="e">
        <f>IF(OR(ReviewCalcs[[#This Row],[Baseline Fixture Watts]]&gt;=ReviewCalcs[[#This Row],[Proposed Fixture Watts]],ReviewCalcs[[#This Row],[Existing Fixture Watts]]&gt;=ReviewCalcs[[#This Row],[Proposed Fixture Watts]] ), "PASS", "ERROR")</f>
        <v>#N/A</v>
      </c>
      <c r="AA241" s="69" t="e">
        <f>VLOOKUP(ReviewCalcs[[#This Row],[Space Conditions]], Table_365[], 5, FALSE)</f>
        <v>#N/A</v>
      </c>
      <c r="AB241" s="68" t="str">
        <f>ReviewCalcs[[#This Row],[Annual Hours]]</f>
        <v/>
      </c>
      <c r="AC241" s="68" t="e">
        <f>VLOOKUP(ReviewCalcs[[#This Row],[Space Conditions]], Table_365[], 6, FALSE)</f>
        <v>#N/A</v>
      </c>
      <c r="AD241" s="68">
        <f>IF(ReviewCalcs[[#This Row],[Existing Control(s)]]='Tables &amp; Ranges'!$A$25, VLOOKUP(ReviewCalcs[[#This Row],[Building/Space Type]], Table_364[], 3, FALSE), CF_Contols)</f>
        <v>0.26</v>
      </c>
      <c r="AE241" s="68" t="e">
        <f>VLOOKUP(ReviewCalcs[[#This Row],[Existing Control(s)]], Table_358[], 2, FALSE)</f>
        <v>#N/A</v>
      </c>
      <c r="AF241" s="68">
        <f>IF(ReviewCalcs[[#This Row],[Proposed Control(s)]]='Tables &amp; Ranges'!$A$25, VLOOKUP(ReviewCalcs[[#This Row],[Building/Space Type]], Table_364[], 3, FALSE), CF_Contols)</f>
        <v>0.26</v>
      </c>
      <c r="AG241" s="68" t="e">
        <f>VLOOKUP(ReviewCalcs[[#This Row],[Proposed Control(s)]], Table_358[], 2, FALSE)</f>
        <v>#N/A</v>
      </c>
      <c r="AH241" s="68">
        <f>IFERROR((ReviewCalcs[[#This Row],[Existing Fixture Quantity]]*ReviewCalcs[[#This Row],[Existing Fixture Watts]]/1000)*ReviewCalcs[[#This Row],[Existing CF]]*ReviewCalcs[[#This Row],[IEFD]], 0)</f>
        <v>0</v>
      </c>
      <c r="AI241" s="68">
        <f>IFERROR((ReviewCalcs[[#This Row],[Proposed Fixture Quantity]]*ReviewCalcs[[#This Row],[Proposed Fixture Watts]]/1000)*ReviewCalcs[[#This Row],[Existing CF]]*ReviewCalcs[[#This Row],[IEFD]], 0)</f>
        <v>0</v>
      </c>
      <c r="AJ241" s="118">
        <f>IFERROR((ReviewCalcs[[#This Row],[Existing Fixture Quantity]]*ReviewCalcs[[#This Row],[Existing Fixture Watts]]/1000-ReviewCalcs[[#This Row],[Proposed Fixture Quantity]]*ReviewCalcs[[#This Row],[Proposed Fixture Watts]]/1000)*ReviewCalcs[[#This Row],[Existing CF]]*ReviewCalcs[[#This Row],[IEFD]], 0)</f>
        <v>0</v>
      </c>
      <c r="AK241" s="118">
        <f>IFERROR((ReviewCalcs[[#This Row],[Existing Fixture Quantity]]*ReviewCalcs[[#This Row],[Existing Fixture Watts]]/1000)*ReviewCalcs[[#This Row],[AOH]]*ReviewCalcs[[#This Row],[IEFE]]*ReviewCalcs[[#This Row],[Existing PAF]], 0)</f>
        <v>0</v>
      </c>
      <c r="AL241" s="118">
        <f>IFERROR((ReviewCalcs[[#This Row],[Proposed Fixture Quantity]]*ReviewCalcs[[#This Row],[Proposed Fixture Watts]]/1000)*ReviewCalcs[[#This Row],[AOH]]*ReviewCalcs[[#This Row],[IEFE]]*ReviewCalcs[[#This Row],[Existing PAF]], 0)</f>
        <v>0</v>
      </c>
      <c r="AM24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1" s="118">
        <f>ReviewCalcs[[#This Row],[Fixture Existing Energy (kWh)]]*Avg_KWh_Rate</f>
        <v>0</v>
      </c>
      <c r="AO241" s="118">
        <f>ReviewCalcs[[#This Row],[Fixture Proposed Energy (kWh)]]*Avg_KWh_Rate</f>
        <v>0</v>
      </c>
      <c r="AP241" s="70">
        <f>ReviewCalcs[[#This Row],[Fixture Energy Savings]]*Avg_KWh_Rate</f>
        <v>0</v>
      </c>
      <c r="AQ241" s="129" t="e">
        <f>ReviewCalcs[[#This Row],[Existing Fixture Quantity]]*ReviewCalcs[[#This Row],[Existing Fixture Watts]]/1000*ReviewCalcs[[#This Row],[Existing CF]]*ReviewCalcs[[#This Row],[IEFD]]</f>
        <v>#VALUE!</v>
      </c>
      <c r="AR241" s="129" t="e">
        <f>ReviewCalcs[[#This Row],[Proposed Fixture Quantity]]*ReviewCalcs[[#This Row],[Proposed Fixture Watts]]/1000*ReviewCalcs[[#This Row],[Proposed CF]]*ReviewCalcs[[#This Row],[IEFD]]</f>
        <v>#VALUE!</v>
      </c>
      <c r="AS241" s="118">
        <f>IF(ReviewCalcs[[#This Row],[Existing CF]]=ReviewCalcs[[#This Row],[Proposed CF]], 0, ReviewCalcs[[#This Row],[Proposed Fixture Quantity]]*ReviewCalcs[[#This Row],[Proposed Fixture Watts]]/1000*ReviewCalcs[[#This Row],[Proposed CF]]*ReviewCalcs[[#This Row],[IEFD]])</f>
        <v>0</v>
      </c>
      <c r="AT241" s="118">
        <f>IFERROR(ReviewCalcs[[#This Row],[Existing Fixture Quantity]]*ReviewCalcs[[#This Row],[Existing Fixture Watts]]/1000*ReviewCalcs[[#This Row],[Existing PAF]]*ReviewCalcs[[#This Row],[AOH]]*ReviewCalcs[[#This Row],[IEFE]], 0)</f>
        <v>0</v>
      </c>
      <c r="AU241" s="118">
        <f>IFERROR(ReviewCalcs[[#This Row],[Proposed Fixture Quantity]]*ReviewCalcs[[#This Row],[Proposed Fixture Watts]]/1000*ReviewCalcs[[#This Row],[Proposed PAF]]*ReviewCalcs[[#This Row],[AOH]]*ReviewCalcs[[#This Row],[IEFE]], 0)</f>
        <v>0</v>
      </c>
      <c r="AV241" s="118">
        <f>IFERROR(ReviewCalcs[[#This Row],[Proposed Fixture Quantity]]*ReviewCalcs[[#This Row],[Proposed Fixture Watts]]/1000*(ReviewCalcs[[#This Row],[Existing PAF]]-ReviewCalcs[[#This Row],[Proposed PAF]])*ReviewCalcs[[#This Row],[AOH]]*ReviewCalcs[[#This Row],[IEFE]], 0)</f>
        <v>0</v>
      </c>
      <c r="AW241" s="118">
        <f>ReviewCalcs[[#This Row],[Control Existing Energy (kWh)]]*kWh_Incentive_Rate</f>
        <v>0</v>
      </c>
      <c r="AX241" s="118">
        <f>ReviewCalcs[[#This Row],[Control Proposed Energy (kWh)]]*kWh_Incentive_Rate</f>
        <v>0</v>
      </c>
      <c r="AY241" s="70">
        <f>ReviewCalcs[[#This Row],[Control Energy Savings (kWh)]]*kWh_Incentive_Rate</f>
        <v>0</v>
      </c>
      <c r="AZ241" s="70" t="e">
        <f>ReviewCalcs[[#This Row],[Fixture Existing Demand (kW)]]+ReviewCalcs[[#This Row],[Control Existing Demand (kW)]]</f>
        <v>#VALUE!</v>
      </c>
      <c r="BA241" s="70" t="e">
        <f>ReviewCalcs[[#This Row],[Fixture Proposed Demand (kW)]]+ReviewCalcs[[#This Row],[Control Proposed Demand (kW)]]</f>
        <v>#VALUE!</v>
      </c>
      <c r="BB241" s="118">
        <f>ReviewCalcs[[#This Row],[Fixture Demand Savings (kW)]]+ReviewCalcs[[#This Row],[Control Demand Savings (kW)]]</f>
        <v>0</v>
      </c>
      <c r="BC241" s="118">
        <f>ReviewCalcs[[#This Row],[Fixture Existing Energy (kWh)]]+ReviewCalcs[[#This Row],[Control Existing Energy (kWh)]]</f>
        <v>0</v>
      </c>
      <c r="BD241" s="118">
        <f>ReviewCalcs[[#This Row],[Fixture Proposed Energy (kWh)]]+ReviewCalcs[[#This Row],[Control Proposed Energy (kWh)]]</f>
        <v>0</v>
      </c>
      <c r="BE241" s="118">
        <f>ReviewCalcs[[#This Row],[Fixture Energy Savings]]+ReviewCalcs[[#This Row],[Control Energy Savings (kWh)]]</f>
        <v>0</v>
      </c>
      <c r="BF241" s="118">
        <f>ReviewCalcs[[#This Row],[Fixture Existing Cost ($)]]+ReviewCalcs[[#This Row],[Control Existing Cost ($)]]</f>
        <v>0</v>
      </c>
      <c r="BG241" s="118">
        <f>ReviewCalcs[[#This Row],[Fixture Proposed Cost ($)]]+ReviewCalcs[[#This Row],[Controls Proposed Cost ($)]]</f>
        <v>0</v>
      </c>
      <c r="BH241" s="70">
        <f>ReviewCalcs[[#This Row],[Total Energy Savings (kWh)]]*Avg_KWh_Rate</f>
        <v>0</v>
      </c>
      <c r="BI24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1" s="70">
        <f>ReviewCalcs[[#This Row],[Retrofit Cost]]</f>
        <v>0</v>
      </c>
      <c r="BK241" s="70">
        <f>ReviewCalcs[[#This Row],[Retrofit Cost]]-ReviewCalcs[[#This Row],[Incentive ($)]]</f>
        <v>0</v>
      </c>
      <c r="BL241" s="118" t="e">
        <f>IFERROR(ReviewCalcs[[#This Row],[Net Project Cost ($)]]/ReviewCalcs[[#This Row],[Fixture Energy Cost Savings ($)]], #N/A)</f>
        <v>#N/A</v>
      </c>
      <c r="BM241" s="118" t="e">
        <f>IF(VLOOKUP(ReviewCalcs[[#This Row],[Existing Fixture Code]], Table7[[FIXTURE CODE]:[Baseline Fixture Code]], 8, FALSE)="N", VLOOKUP(ReviewCalcs[[#This Row],[Existing Fixture Code]], Table7[[FIXTURE CODE]:[Baseline Fixture Code]], 9, FALSE), ReviewCalcs[[#This Row],[Existing Fixture Code]])</f>
        <v>#N/A</v>
      </c>
      <c r="BN241" s="118" t="e">
        <f>INDEX(Table7[WATT/ FIXT], MATCH(ReviewCalcs[Baseline Fixture Code], Table7[FIXTURE CODE], 0))</f>
        <v>#N/A</v>
      </c>
      <c r="BO241" s="118">
        <f>IFERROR((ReviewCalcs[[#This Row],[Existing Fixture Quantity]]*ReviewCalcs[[#This Row],[Baseline Fixture Watts]]/1000-ReviewCalcs[[#This Row],[Proposed Fixture Quantity]]*ReviewCalcs[[#This Row],[Proposed Fixture Watts]]/1000)*ReviewCalcs[[#This Row],[Existing CF]]*ReviewCalcs[[#This Row],[IEFD]], 0)</f>
        <v>0</v>
      </c>
      <c r="BP24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1" s="118">
        <f>IF(ReviewCalcs[[#This Row],[Existing CF]]=ReviewCalcs[[#This Row],[Proposed CF]], 0, ReviewCalcs[[#This Row],[Proposed Fixture Quantity]]*ReviewCalcs[[#This Row],[Proposed Fixture Watts]]/1000*ReviewCalcs[[#This Row],[Proposed CF]]*ReviewCalcs[[#This Row],[IEFD]])</f>
        <v>0</v>
      </c>
      <c r="BR241" s="118">
        <f>IFERROR(ReviewCalcs[[#This Row],[Proposed Fixture Quantity]]*ReviewCalcs[[#This Row],[Proposed Fixture Watts]]/1000*(ReviewCalcs[[#This Row],[Existing PAF]]-ReviewCalcs[[#This Row],[Proposed PAF]])*ReviewCalcs[[#This Row],[AOH]]*ReviewCalcs[[#This Row],[IEFE]],0)</f>
        <v>0</v>
      </c>
      <c r="BS241" s="118">
        <f>ReviewCalcs[[#This Row],[Incentive Fixture Demand Savings (kW)]]+ReviewCalcs[[#This Row],[Incentive Control Demand Savings (kW)]]</f>
        <v>0</v>
      </c>
      <c r="BT241" s="118">
        <f>ReviewCalcs[[#This Row],[Incentive Fixture Energy Savings (kWh)]]+ReviewCalcs[[#This Row],[Incentive Control Energy Savings (kWh)]]</f>
        <v>0</v>
      </c>
      <c r="BU241" s="73"/>
    </row>
    <row r="242" spans="1:73" ht="30" customHeight="1">
      <c r="A242" s="68">
        <v>239</v>
      </c>
      <c r="B242" s="96">
        <f>VLOOKUP(ReviewCalcs[[#This Row],[Project Index]], ProjectInput[], D$1, FALSE)</f>
        <v>0</v>
      </c>
      <c r="C242" s="97">
        <f>VLOOKUP(ReviewCalcs[[#This Row],[Project Index]], ProjectInput[], E$1, FALSE)</f>
        <v>0</v>
      </c>
      <c r="D242" s="97">
        <f>VLOOKUP(ReviewCalcs[[#This Row],[Project Index]], ProjectInput[], F$1, FALSE)</f>
        <v>0</v>
      </c>
      <c r="E242" s="97">
        <f>VLOOKUP(ReviewCalcs[[#This Row],[Project Index]], ProjectInput[], G$1, FALSE)</f>
        <v>0</v>
      </c>
      <c r="F242" s="97">
        <f>VLOOKUP(ReviewCalcs[[#This Row],[Project Index]], ProjectInput[], H$1, FALSE)</f>
        <v>0</v>
      </c>
      <c r="G242" s="98" t="str">
        <f>VLOOKUP(ReviewCalcs[[#This Row],[Project Index]], ProjectInput[], I$1, FALSE)</f>
        <v/>
      </c>
      <c r="H242" s="96">
        <f>VLOOKUP(ReviewCalcs[[#This Row],[Project Index]], ProjectInput[], J$1, FALSE)</f>
        <v>0</v>
      </c>
      <c r="I242" s="97">
        <f>VLOOKUP(ReviewCalcs[[#This Row],[Project Index]], ProjectInput[], K$1, FALSE)</f>
        <v>0</v>
      </c>
      <c r="J242" s="97">
        <f>VLOOKUP(ReviewCalcs[[#This Row],[Project Index]], ProjectInput[], L$1, FALSE)</f>
        <v>0</v>
      </c>
      <c r="K242" s="97">
        <f>VLOOKUP(ReviewCalcs[[#This Row],[Project Index]], ProjectInput[], M$1, FALSE)</f>
        <v>0</v>
      </c>
      <c r="L242" s="97">
        <f>VLOOKUP(ReviewCalcs[[#This Row],[Project Index]], ProjectInput[], N$1, FALSE)</f>
        <v>0</v>
      </c>
      <c r="M242" s="98" t="str">
        <f>VLOOKUP(ReviewCalcs[[#This Row],[Project Index]], ProjectInput[], O$1, FALSE)</f>
        <v/>
      </c>
      <c r="N242" s="96">
        <f>VLOOKUP(ReviewCalcs[[#This Row],[Project Index]], ProjectInput[], P$1, FALSE)</f>
        <v>0</v>
      </c>
      <c r="O242" s="97">
        <f>VLOOKUP(ReviewCalcs[[#This Row],[Project Index]], ProjectInput[], Q$1, FALSE)</f>
        <v>0</v>
      </c>
      <c r="P242" s="97">
        <f>VLOOKUP(ReviewCalcs[[#This Row],[Project Index]], ProjectInput[], R$1, FALSE)</f>
        <v>0</v>
      </c>
      <c r="Q242" s="97">
        <f>VLOOKUP(ReviewCalcs[[#This Row],[Project Index]], ProjectInput[], S$1, FALSE)</f>
        <v>0</v>
      </c>
      <c r="R242" s="97">
        <f>VLOOKUP(ReviewCalcs[[#This Row],[Project Index]], ProjectInput[], T$1, FALSE)</f>
        <v>0</v>
      </c>
      <c r="S242" s="97">
        <f>VLOOKUP(ReviewCalcs[[#This Row],[Project Index]], ProjectInput[], U$1, FALSE)</f>
        <v>0</v>
      </c>
      <c r="T242" s="97">
        <f>VLOOKUP(ReviewCalcs[[#This Row],[Project Index]], ProjectInput[], V$1, FALSE)</f>
        <v>0</v>
      </c>
      <c r="U242" s="97">
        <f>VLOOKUP(ReviewCalcs[[#This Row],[Project Index]], ProjectInput[], W$1, FALSE)</f>
        <v>0</v>
      </c>
      <c r="V242" s="98" t="str">
        <f>VLOOKUP(ReviewCalcs[[#This Row],[Project Index]], ProjectInput[], X$1, FALSE)</f>
        <v/>
      </c>
      <c r="W24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2" s="75" t="e">
        <f>IF(VLOOKUP(ReviewCalcs[[#This Row],[Proposed Fixture Code]], Table7[[FIXTURE CODE]:[Baseline Fixture Code]], 8, FALSE)="N", "ERROR", "PASS")</f>
        <v>#N/A</v>
      </c>
      <c r="Y24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2" s="75" t="e">
        <f>IF(OR(ReviewCalcs[[#This Row],[Baseline Fixture Watts]]&gt;=ReviewCalcs[[#This Row],[Proposed Fixture Watts]],ReviewCalcs[[#This Row],[Existing Fixture Watts]]&gt;=ReviewCalcs[[#This Row],[Proposed Fixture Watts]] ), "PASS", "ERROR")</f>
        <v>#N/A</v>
      </c>
      <c r="AA242" s="69" t="e">
        <f>VLOOKUP(ReviewCalcs[[#This Row],[Space Conditions]], Table_365[], 5, FALSE)</f>
        <v>#N/A</v>
      </c>
      <c r="AB242" s="68" t="str">
        <f>ReviewCalcs[[#This Row],[Annual Hours]]</f>
        <v/>
      </c>
      <c r="AC242" s="68" t="e">
        <f>VLOOKUP(ReviewCalcs[[#This Row],[Space Conditions]], Table_365[], 6, FALSE)</f>
        <v>#N/A</v>
      </c>
      <c r="AD242" s="68">
        <f>IF(ReviewCalcs[[#This Row],[Existing Control(s)]]='Tables &amp; Ranges'!$A$25, VLOOKUP(ReviewCalcs[[#This Row],[Building/Space Type]], Table_364[], 3, FALSE), CF_Contols)</f>
        <v>0.26</v>
      </c>
      <c r="AE242" s="68" t="e">
        <f>VLOOKUP(ReviewCalcs[[#This Row],[Existing Control(s)]], Table_358[], 2, FALSE)</f>
        <v>#N/A</v>
      </c>
      <c r="AF242" s="68">
        <f>IF(ReviewCalcs[[#This Row],[Proposed Control(s)]]='Tables &amp; Ranges'!$A$25, VLOOKUP(ReviewCalcs[[#This Row],[Building/Space Type]], Table_364[], 3, FALSE), CF_Contols)</f>
        <v>0.26</v>
      </c>
      <c r="AG242" s="68" t="e">
        <f>VLOOKUP(ReviewCalcs[[#This Row],[Proposed Control(s)]], Table_358[], 2, FALSE)</f>
        <v>#N/A</v>
      </c>
      <c r="AH242" s="68">
        <f>IFERROR((ReviewCalcs[[#This Row],[Existing Fixture Quantity]]*ReviewCalcs[[#This Row],[Existing Fixture Watts]]/1000)*ReviewCalcs[[#This Row],[Existing CF]]*ReviewCalcs[[#This Row],[IEFD]], 0)</f>
        <v>0</v>
      </c>
      <c r="AI242" s="68">
        <f>IFERROR((ReviewCalcs[[#This Row],[Proposed Fixture Quantity]]*ReviewCalcs[[#This Row],[Proposed Fixture Watts]]/1000)*ReviewCalcs[[#This Row],[Existing CF]]*ReviewCalcs[[#This Row],[IEFD]], 0)</f>
        <v>0</v>
      </c>
      <c r="AJ242" s="118">
        <f>IFERROR((ReviewCalcs[[#This Row],[Existing Fixture Quantity]]*ReviewCalcs[[#This Row],[Existing Fixture Watts]]/1000-ReviewCalcs[[#This Row],[Proposed Fixture Quantity]]*ReviewCalcs[[#This Row],[Proposed Fixture Watts]]/1000)*ReviewCalcs[[#This Row],[Existing CF]]*ReviewCalcs[[#This Row],[IEFD]], 0)</f>
        <v>0</v>
      </c>
      <c r="AK242" s="118">
        <f>IFERROR((ReviewCalcs[[#This Row],[Existing Fixture Quantity]]*ReviewCalcs[[#This Row],[Existing Fixture Watts]]/1000)*ReviewCalcs[[#This Row],[AOH]]*ReviewCalcs[[#This Row],[IEFE]]*ReviewCalcs[[#This Row],[Existing PAF]], 0)</f>
        <v>0</v>
      </c>
      <c r="AL242" s="118">
        <f>IFERROR((ReviewCalcs[[#This Row],[Proposed Fixture Quantity]]*ReviewCalcs[[#This Row],[Proposed Fixture Watts]]/1000)*ReviewCalcs[[#This Row],[AOH]]*ReviewCalcs[[#This Row],[IEFE]]*ReviewCalcs[[#This Row],[Existing PAF]], 0)</f>
        <v>0</v>
      </c>
      <c r="AM24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2" s="118">
        <f>ReviewCalcs[[#This Row],[Fixture Existing Energy (kWh)]]*Avg_KWh_Rate</f>
        <v>0</v>
      </c>
      <c r="AO242" s="118">
        <f>ReviewCalcs[[#This Row],[Fixture Proposed Energy (kWh)]]*Avg_KWh_Rate</f>
        <v>0</v>
      </c>
      <c r="AP242" s="70">
        <f>ReviewCalcs[[#This Row],[Fixture Energy Savings]]*Avg_KWh_Rate</f>
        <v>0</v>
      </c>
      <c r="AQ242" s="129" t="e">
        <f>ReviewCalcs[[#This Row],[Existing Fixture Quantity]]*ReviewCalcs[[#This Row],[Existing Fixture Watts]]/1000*ReviewCalcs[[#This Row],[Existing CF]]*ReviewCalcs[[#This Row],[IEFD]]</f>
        <v>#VALUE!</v>
      </c>
      <c r="AR242" s="129" t="e">
        <f>ReviewCalcs[[#This Row],[Proposed Fixture Quantity]]*ReviewCalcs[[#This Row],[Proposed Fixture Watts]]/1000*ReviewCalcs[[#This Row],[Proposed CF]]*ReviewCalcs[[#This Row],[IEFD]]</f>
        <v>#VALUE!</v>
      </c>
      <c r="AS242" s="118">
        <f>IF(ReviewCalcs[[#This Row],[Existing CF]]=ReviewCalcs[[#This Row],[Proposed CF]], 0, ReviewCalcs[[#This Row],[Proposed Fixture Quantity]]*ReviewCalcs[[#This Row],[Proposed Fixture Watts]]/1000*ReviewCalcs[[#This Row],[Proposed CF]]*ReviewCalcs[[#This Row],[IEFD]])</f>
        <v>0</v>
      </c>
      <c r="AT242" s="118">
        <f>IFERROR(ReviewCalcs[[#This Row],[Existing Fixture Quantity]]*ReviewCalcs[[#This Row],[Existing Fixture Watts]]/1000*ReviewCalcs[[#This Row],[Existing PAF]]*ReviewCalcs[[#This Row],[AOH]]*ReviewCalcs[[#This Row],[IEFE]], 0)</f>
        <v>0</v>
      </c>
      <c r="AU242" s="118">
        <f>IFERROR(ReviewCalcs[[#This Row],[Proposed Fixture Quantity]]*ReviewCalcs[[#This Row],[Proposed Fixture Watts]]/1000*ReviewCalcs[[#This Row],[Proposed PAF]]*ReviewCalcs[[#This Row],[AOH]]*ReviewCalcs[[#This Row],[IEFE]], 0)</f>
        <v>0</v>
      </c>
      <c r="AV242" s="118">
        <f>IFERROR(ReviewCalcs[[#This Row],[Proposed Fixture Quantity]]*ReviewCalcs[[#This Row],[Proposed Fixture Watts]]/1000*(ReviewCalcs[[#This Row],[Existing PAF]]-ReviewCalcs[[#This Row],[Proposed PAF]])*ReviewCalcs[[#This Row],[AOH]]*ReviewCalcs[[#This Row],[IEFE]], 0)</f>
        <v>0</v>
      </c>
      <c r="AW242" s="118">
        <f>ReviewCalcs[[#This Row],[Control Existing Energy (kWh)]]*kWh_Incentive_Rate</f>
        <v>0</v>
      </c>
      <c r="AX242" s="118">
        <f>ReviewCalcs[[#This Row],[Control Proposed Energy (kWh)]]*kWh_Incentive_Rate</f>
        <v>0</v>
      </c>
      <c r="AY242" s="70">
        <f>ReviewCalcs[[#This Row],[Control Energy Savings (kWh)]]*kWh_Incentive_Rate</f>
        <v>0</v>
      </c>
      <c r="AZ242" s="70" t="e">
        <f>ReviewCalcs[[#This Row],[Fixture Existing Demand (kW)]]+ReviewCalcs[[#This Row],[Control Existing Demand (kW)]]</f>
        <v>#VALUE!</v>
      </c>
      <c r="BA242" s="70" t="e">
        <f>ReviewCalcs[[#This Row],[Fixture Proposed Demand (kW)]]+ReviewCalcs[[#This Row],[Control Proposed Demand (kW)]]</f>
        <v>#VALUE!</v>
      </c>
      <c r="BB242" s="118">
        <f>ReviewCalcs[[#This Row],[Fixture Demand Savings (kW)]]+ReviewCalcs[[#This Row],[Control Demand Savings (kW)]]</f>
        <v>0</v>
      </c>
      <c r="BC242" s="118">
        <f>ReviewCalcs[[#This Row],[Fixture Existing Energy (kWh)]]+ReviewCalcs[[#This Row],[Control Existing Energy (kWh)]]</f>
        <v>0</v>
      </c>
      <c r="BD242" s="118">
        <f>ReviewCalcs[[#This Row],[Fixture Proposed Energy (kWh)]]+ReviewCalcs[[#This Row],[Control Proposed Energy (kWh)]]</f>
        <v>0</v>
      </c>
      <c r="BE242" s="118">
        <f>ReviewCalcs[[#This Row],[Fixture Energy Savings]]+ReviewCalcs[[#This Row],[Control Energy Savings (kWh)]]</f>
        <v>0</v>
      </c>
      <c r="BF242" s="118">
        <f>ReviewCalcs[[#This Row],[Fixture Existing Cost ($)]]+ReviewCalcs[[#This Row],[Control Existing Cost ($)]]</f>
        <v>0</v>
      </c>
      <c r="BG242" s="118">
        <f>ReviewCalcs[[#This Row],[Fixture Proposed Cost ($)]]+ReviewCalcs[[#This Row],[Controls Proposed Cost ($)]]</f>
        <v>0</v>
      </c>
      <c r="BH242" s="70">
        <f>ReviewCalcs[[#This Row],[Total Energy Savings (kWh)]]*Avg_KWh_Rate</f>
        <v>0</v>
      </c>
      <c r="BI24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2" s="70">
        <f>ReviewCalcs[[#This Row],[Retrofit Cost]]</f>
        <v>0</v>
      </c>
      <c r="BK242" s="70">
        <f>ReviewCalcs[[#This Row],[Retrofit Cost]]-ReviewCalcs[[#This Row],[Incentive ($)]]</f>
        <v>0</v>
      </c>
      <c r="BL242" s="118" t="e">
        <f>IFERROR(ReviewCalcs[[#This Row],[Net Project Cost ($)]]/ReviewCalcs[[#This Row],[Fixture Energy Cost Savings ($)]], #N/A)</f>
        <v>#N/A</v>
      </c>
      <c r="BM242" s="118" t="e">
        <f>IF(VLOOKUP(ReviewCalcs[[#This Row],[Existing Fixture Code]], Table7[[FIXTURE CODE]:[Baseline Fixture Code]], 8, FALSE)="N", VLOOKUP(ReviewCalcs[[#This Row],[Existing Fixture Code]], Table7[[FIXTURE CODE]:[Baseline Fixture Code]], 9, FALSE), ReviewCalcs[[#This Row],[Existing Fixture Code]])</f>
        <v>#N/A</v>
      </c>
      <c r="BN242" s="118" t="e">
        <f>INDEX(Table7[WATT/ FIXT], MATCH(ReviewCalcs[Baseline Fixture Code], Table7[FIXTURE CODE], 0))</f>
        <v>#N/A</v>
      </c>
      <c r="BO242" s="118">
        <f>IFERROR((ReviewCalcs[[#This Row],[Existing Fixture Quantity]]*ReviewCalcs[[#This Row],[Baseline Fixture Watts]]/1000-ReviewCalcs[[#This Row],[Proposed Fixture Quantity]]*ReviewCalcs[[#This Row],[Proposed Fixture Watts]]/1000)*ReviewCalcs[[#This Row],[Existing CF]]*ReviewCalcs[[#This Row],[IEFD]], 0)</f>
        <v>0</v>
      </c>
      <c r="BP24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2" s="118">
        <f>IF(ReviewCalcs[[#This Row],[Existing CF]]=ReviewCalcs[[#This Row],[Proposed CF]], 0, ReviewCalcs[[#This Row],[Proposed Fixture Quantity]]*ReviewCalcs[[#This Row],[Proposed Fixture Watts]]/1000*ReviewCalcs[[#This Row],[Proposed CF]]*ReviewCalcs[[#This Row],[IEFD]])</f>
        <v>0</v>
      </c>
      <c r="BR242" s="118">
        <f>IFERROR(ReviewCalcs[[#This Row],[Proposed Fixture Quantity]]*ReviewCalcs[[#This Row],[Proposed Fixture Watts]]/1000*(ReviewCalcs[[#This Row],[Existing PAF]]-ReviewCalcs[[#This Row],[Proposed PAF]])*ReviewCalcs[[#This Row],[AOH]]*ReviewCalcs[[#This Row],[IEFE]],0)</f>
        <v>0</v>
      </c>
      <c r="BS242" s="118">
        <f>ReviewCalcs[[#This Row],[Incentive Fixture Demand Savings (kW)]]+ReviewCalcs[[#This Row],[Incentive Control Demand Savings (kW)]]</f>
        <v>0</v>
      </c>
      <c r="BT242" s="118">
        <f>ReviewCalcs[[#This Row],[Incentive Fixture Energy Savings (kWh)]]+ReviewCalcs[[#This Row],[Incentive Control Energy Savings (kWh)]]</f>
        <v>0</v>
      </c>
      <c r="BU242" s="73"/>
    </row>
    <row r="243" spans="1:73" ht="30" customHeight="1">
      <c r="A243" s="68">
        <v>240</v>
      </c>
      <c r="B243" s="96">
        <f>VLOOKUP(ReviewCalcs[[#This Row],[Project Index]], ProjectInput[], D$1, FALSE)</f>
        <v>0</v>
      </c>
      <c r="C243" s="97">
        <f>VLOOKUP(ReviewCalcs[[#This Row],[Project Index]], ProjectInput[], E$1, FALSE)</f>
        <v>0</v>
      </c>
      <c r="D243" s="97">
        <f>VLOOKUP(ReviewCalcs[[#This Row],[Project Index]], ProjectInput[], F$1, FALSE)</f>
        <v>0</v>
      </c>
      <c r="E243" s="97">
        <f>VLOOKUP(ReviewCalcs[[#This Row],[Project Index]], ProjectInput[], G$1, FALSE)</f>
        <v>0</v>
      </c>
      <c r="F243" s="97">
        <f>VLOOKUP(ReviewCalcs[[#This Row],[Project Index]], ProjectInput[], H$1, FALSE)</f>
        <v>0</v>
      </c>
      <c r="G243" s="98" t="str">
        <f>VLOOKUP(ReviewCalcs[[#This Row],[Project Index]], ProjectInput[], I$1, FALSE)</f>
        <v/>
      </c>
      <c r="H243" s="96">
        <f>VLOOKUP(ReviewCalcs[[#This Row],[Project Index]], ProjectInput[], J$1, FALSE)</f>
        <v>0</v>
      </c>
      <c r="I243" s="97">
        <f>VLOOKUP(ReviewCalcs[[#This Row],[Project Index]], ProjectInput[], K$1, FALSE)</f>
        <v>0</v>
      </c>
      <c r="J243" s="97">
        <f>VLOOKUP(ReviewCalcs[[#This Row],[Project Index]], ProjectInput[], L$1, FALSE)</f>
        <v>0</v>
      </c>
      <c r="K243" s="97">
        <f>VLOOKUP(ReviewCalcs[[#This Row],[Project Index]], ProjectInput[], M$1, FALSE)</f>
        <v>0</v>
      </c>
      <c r="L243" s="97">
        <f>VLOOKUP(ReviewCalcs[[#This Row],[Project Index]], ProjectInput[], N$1, FALSE)</f>
        <v>0</v>
      </c>
      <c r="M243" s="98" t="str">
        <f>VLOOKUP(ReviewCalcs[[#This Row],[Project Index]], ProjectInput[], O$1, FALSE)</f>
        <v/>
      </c>
      <c r="N243" s="96">
        <f>VLOOKUP(ReviewCalcs[[#This Row],[Project Index]], ProjectInput[], P$1, FALSE)</f>
        <v>0</v>
      </c>
      <c r="O243" s="97">
        <f>VLOOKUP(ReviewCalcs[[#This Row],[Project Index]], ProjectInput[], Q$1, FALSE)</f>
        <v>0</v>
      </c>
      <c r="P243" s="97">
        <f>VLOOKUP(ReviewCalcs[[#This Row],[Project Index]], ProjectInput[], R$1, FALSE)</f>
        <v>0</v>
      </c>
      <c r="Q243" s="97">
        <f>VLOOKUP(ReviewCalcs[[#This Row],[Project Index]], ProjectInput[], S$1, FALSE)</f>
        <v>0</v>
      </c>
      <c r="R243" s="97">
        <f>VLOOKUP(ReviewCalcs[[#This Row],[Project Index]], ProjectInput[], T$1, FALSE)</f>
        <v>0</v>
      </c>
      <c r="S243" s="97">
        <f>VLOOKUP(ReviewCalcs[[#This Row],[Project Index]], ProjectInput[], U$1, FALSE)</f>
        <v>0</v>
      </c>
      <c r="T243" s="97">
        <f>VLOOKUP(ReviewCalcs[[#This Row],[Project Index]], ProjectInput[], V$1, FALSE)</f>
        <v>0</v>
      </c>
      <c r="U243" s="97">
        <f>VLOOKUP(ReviewCalcs[[#This Row],[Project Index]], ProjectInput[], W$1, FALSE)</f>
        <v>0</v>
      </c>
      <c r="V243" s="98" t="str">
        <f>VLOOKUP(ReviewCalcs[[#This Row],[Project Index]], ProjectInput[], X$1, FALSE)</f>
        <v/>
      </c>
      <c r="W24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3" s="75" t="e">
        <f>IF(VLOOKUP(ReviewCalcs[[#This Row],[Proposed Fixture Code]], Table7[[FIXTURE CODE]:[Baseline Fixture Code]], 8, FALSE)="N", "ERROR", "PASS")</f>
        <v>#N/A</v>
      </c>
      <c r="Y24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3" s="75" t="e">
        <f>IF(OR(ReviewCalcs[[#This Row],[Baseline Fixture Watts]]&gt;=ReviewCalcs[[#This Row],[Proposed Fixture Watts]],ReviewCalcs[[#This Row],[Existing Fixture Watts]]&gt;=ReviewCalcs[[#This Row],[Proposed Fixture Watts]] ), "PASS", "ERROR")</f>
        <v>#N/A</v>
      </c>
      <c r="AA243" s="69" t="e">
        <f>VLOOKUP(ReviewCalcs[[#This Row],[Space Conditions]], Table_365[], 5, FALSE)</f>
        <v>#N/A</v>
      </c>
      <c r="AB243" s="68" t="str">
        <f>ReviewCalcs[[#This Row],[Annual Hours]]</f>
        <v/>
      </c>
      <c r="AC243" s="68" t="e">
        <f>VLOOKUP(ReviewCalcs[[#This Row],[Space Conditions]], Table_365[], 6, FALSE)</f>
        <v>#N/A</v>
      </c>
      <c r="AD243" s="68">
        <f>IF(ReviewCalcs[[#This Row],[Existing Control(s)]]='Tables &amp; Ranges'!$A$25, VLOOKUP(ReviewCalcs[[#This Row],[Building/Space Type]], Table_364[], 3, FALSE), CF_Contols)</f>
        <v>0.26</v>
      </c>
      <c r="AE243" s="68" t="e">
        <f>VLOOKUP(ReviewCalcs[[#This Row],[Existing Control(s)]], Table_358[], 2, FALSE)</f>
        <v>#N/A</v>
      </c>
      <c r="AF243" s="68">
        <f>IF(ReviewCalcs[[#This Row],[Proposed Control(s)]]='Tables &amp; Ranges'!$A$25, VLOOKUP(ReviewCalcs[[#This Row],[Building/Space Type]], Table_364[], 3, FALSE), CF_Contols)</f>
        <v>0.26</v>
      </c>
      <c r="AG243" s="68" t="e">
        <f>VLOOKUP(ReviewCalcs[[#This Row],[Proposed Control(s)]], Table_358[], 2, FALSE)</f>
        <v>#N/A</v>
      </c>
      <c r="AH243" s="68">
        <f>IFERROR((ReviewCalcs[[#This Row],[Existing Fixture Quantity]]*ReviewCalcs[[#This Row],[Existing Fixture Watts]]/1000)*ReviewCalcs[[#This Row],[Existing CF]]*ReviewCalcs[[#This Row],[IEFD]], 0)</f>
        <v>0</v>
      </c>
      <c r="AI243" s="68">
        <f>IFERROR((ReviewCalcs[[#This Row],[Proposed Fixture Quantity]]*ReviewCalcs[[#This Row],[Proposed Fixture Watts]]/1000)*ReviewCalcs[[#This Row],[Existing CF]]*ReviewCalcs[[#This Row],[IEFD]], 0)</f>
        <v>0</v>
      </c>
      <c r="AJ243" s="118">
        <f>IFERROR((ReviewCalcs[[#This Row],[Existing Fixture Quantity]]*ReviewCalcs[[#This Row],[Existing Fixture Watts]]/1000-ReviewCalcs[[#This Row],[Proposed Fixture Quantity]]*ReviewCalcs[[#This Row],[Proposed Fixture Watts]]/1000)*ReviewCalcs[[#This Row],[Existing CF]]*ReviewCalcs[[#This Row],[IEFD]], 0)</f>
        <v>0</v>
      </c>
      <c r="AK243" s="118">
        <f>IFERROR((ReviewCalcs[[#This Row],[Existing Fixture Quantity]]*ReviewCalcs[[#This Row],[Existing Fixture Watts]]/1000)*ReviewCalcs[[#This Row],[AOH]]*ReviewCalcs[[#This Row],[IEFE]]*ReviewCalcs[[#This Row],[Existing PAF]], 0)</f>
        <v>0</v>
      </c>
      <c r="AL243" s="118">
        <f>IFERROR((ReviewCalcs[[#This Row],[Proposed Fixture Quantity]]*ReviewCalcs[[#This Row],[Proposed Fixture Watts]]/1000)*ReviewCalcs[[#This Row],[AOH]]*ReviewCalcs[[#This Row],[IEFE]]*ReviewCalcs[[#This Row],[Existing PAF]], 0)</f>
        <v>0</v>
      </c>
      <c r="AM24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3" s="118">
        <f>ReviewCalcs[[#This Row],[Fixture Existing Energy (kWh)]]*Avg_KWh_Rate</f>
        <v>0</v>
      </c>
      <c r="AO243" s="118">
        <f>ReviewCalcs[[#This Row],[Fixture Proposed Energy (kWh)]]*Avg_KWh_Rate</f>
        <v>0</v>
      </c>
      <c r="AP243" s="70">
        <f>ReviewCalcs[[#This Row],[Fixture Energy Savings]]*Avg_KWh_Rate</f>
        <v>0</v>
      </c>
      <c r="AQ243" s="129" t="e">
        <f>ReviewCalcs[[#This Row],[Existing Fixture Quantity]]*ReviewCalcs[[#This Row],[Existing Fixture Watts]]/1000*ReviewCalcs[[#This Row],[Existing CF]]*ReviewCalcs[[#This Row],[IEFD]]</f>
        <v>#VALUE!</v>
      </c>
      <c r="AR243" s="129" t="e">
        <f>ReviewCalcs[[#This Row],[Proposed Fixture Quantity]]*ReviewCalcs[[#This Row],[Proposed Fixture Watts]]/1000*ReviewCalcs[[#This Row],[Proposed CF]]*ReviewCalcs[[#This Row],[IEFD]]</f>
        <v>#VALUE!</v>
      </c>
      <c r="AS243" s="118">
        <f>IF(ReviewCalcs[[#This Row],[Existing CF]]=ReviewCalcs[[#This Row],[Proposed CF]], 0, ReviewCalcs[[#This Row],[Proposed Fixture Quantity]]*ReviewCalcs[[#This Row],[Proposed Fixture Watts]]/1000*ReviewCalcs[[#This Row],[Proposed CF]]*ReviewCalcs[[#This Row],[IEFD]])</f>
        <v>0</v>
      </c>
      <c r="AT243" s="118">
        <f>IFERROR(ReviewCalcs[[#This Row],[Existing Fixture Quantity]]*ReviewCalcs[[#This Row],[Existing Fixture Watts]]/1000*ReviewCalcs[[#This Row],[Existing PAF]]*ReviewCalcs[[#This Row],[AOH]]*ReviewCalcs[[#This Row],[IEFE]], 0)</f>
        <v>0</v>
      </c>
      <c r="AU243" s="118">
        <f>IFERROR(ReviewCalcs[[#This Row],[Proposed Fixture Quantity]]*ReviewCalcs[[#This Row],[Proposed Fixture Watts]]/1000*ReviewCalcs[[#This Row],[Proposed PAF]]*ReviewCalcs[[#This Row],[AOH]]*ReviewCalcs[[#This Row],[IEFE]], 0)</f>
        <v>0</v>
      </c>
      <c r="AV243" s="118">
        <f>IFERROR(ReviewCalcs[[#This Row],[Proposed Fixture Quantity]]*ReviewCalcs[[#This Row],[Proposed Fixture Watts]]/1000*(ReviewCalcs[[#This Row],[Existing PAF]]-ReviewCalcs[[#This Row],[Proposed PAF]])*ReviewCalcs[[#This Row],[AOH]]*ReviewCalcs[[#This Row],[IEFE]], 0)</f>
        <v>0</v>
      </c>
      <c r="AW243" s="118">
        <f>ReviewCalcs[[#This Row],[Control Existing Energy (kWh)]]*kWh_Incentive_Rate</f>
        <v>0</v>
      </c>
      <c r="AX243" s="118">
        <f>ReviewCalcs[[#This Row],[Control Proposed Energy (kWh)]]*kWh_Incentive_Rate</f>
        <v>0</v>
      </c>
      <c r="AY243" s="70">
        <f>ReviewCalcs[[#This Row],[Control Energy Savings (kWh)]]*kWh_Incentive_Rate</f>
        <v>0</v>
      </c>
      <c r="AZ243" s="70" t="e">
        <f>ReviewCalcs[[#This Row],[Fixture Existing Demand (kW)]]+ReviewCalcs[[#This Row],[Control Existing Demand (kW)]]</f>
        <v>#VALUE!</v>
      </c>
      <c r="BA243" s="70" t="e">
        <f>ReviewCalcs[[#This Row],[Fixture Proposed Demand (kW)]]+ReviewCalcs[[#This Row],[Control Proposed Demand (kW)]]</f>
        <v>#VALUE!</v>
      </c>
      <c r="BB243" s="118">
        <f>ReviewCalcs[[#This Row],[Fixture Demand Savings (kW)]]+ReviewCalcs[[#This Row],[Control Demand Savings (kW)]]</f>
        <v>0</v>
      </c>
      <c r="BC243" s="118">
        <f>ReviewCalcs[[#This Row],[Fixture Existing Energy (kWh)]]+ReviewCalcs[[#This Row],[Control Existing Energy (kWh)]]</f>
        <v>0</v>
      </c>
      <c r="BD243" s="118">
        <f>ReviewCalcs[[#This Row],[Fixture Proposed Energy (kWh)]]+ReviewCalcs[[#This Row],[Control Proposed Energy (kWh)]]</f>
        <v>0</v>
      </c>
      <c r="BE243" s="118">
        <f>ReviewCalcs[[#This Row],[Fixture Energy Savings]]+ReviewCalcs[[#This Row],[Control Energy Savings (kWh)]]</f>
        <v>0</v>
      </c>
      <c r="BF243" s="118">
        <f>ReviewCalcs[[#This Row],[Fixture Existing Cost ($)]]+ReviewCalcs[[#This Row],[Control Existing Cost ($)]]</f>
        <v>0</v>
      </c>
      <c r="BG243" s="118">
        <f>ReviewCalcs[[#This Row],[Fixture Proposed Cost ($)]]+ReviewCalcs[[#This Row],[Controls Proposed Cost ($)]]</f>
        <v>0</v>
      </c>
      <c r="BH243" s="70">
        <f>ReviewCalcs[[#This Row],[Total Energy Savings (kWh)]]*Avg_KWh_Rate</f>
        <v>0</v>
      </c>
      <c r="BI24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3" s="70">
        <f>ReviewCalcs[[#This Row],[Retrofit Cost]]</f>
        <v>0</v>
      </c>
      <c r="BK243" s="70">
        <f>ReviewCalcs[[#This Row],[Retrofit Cost]]-ReviewCalcs[[#This Row],[Incentive ($)]]</f>
        <v>0</v>
      </c>
      <c r="BL243" s="118" t="e">
        <f>IFERROR(ReviewCalcs[[#This Row],[Net Project Cost ($)]]/ReviewCalcs[[#This Row],[Fixture Energy Cost Savings ($)]], #N/A)</f>
        <v>#N/A</v>
      </c>
      <c r="BM243" s="118" t="e">
        <f>IF(VLOOKUP(ReviewCalcs[[#This Row],[Existing Fixture Code]], Table7[[FIXTURE CODE]:[Baseline Fixture Code]], 8, FALSE)="N", VLOOKUP(ReviewCalcs[[#This Row],[Existing Fixture Code]], Table7[[FIXTURE CODE]:[Baseline Fixture Code]], 9, FALSE), ReviewCalcs[[#This Row],[Existing Fixture Code]])</f>
        <v>#N/A</v>
      </c>
      <c r="BN243" s="118" t="e">
        <f>INDEX(Table7[WATT/ FIXT], MATCH(ReviewCalcs[Baseline Fixture Code], Table7[FIXTURE CODE], 0))</f>
        <v>#N/A</v>
      </c>
      <c r="BO243" s="118">
        <f>IFERROR((ReviewCalcs[[#This Row],[Existing Fixture Quantity]]*ReviewCalcs[[#This Row],[Baseline Fixture Watts]]/1000-ReviewCalcs[[#This Row],[Proposed Fixture Quantity]]*ReviewCalcs[[#This Row],[Proposed Fixture Watts]]/1000)*ReviewCalcs[[#This Row],[Existing CF]]*ReviewCalcs[[#This Row],[IEFD]], 0)</f>
        <v>0</v>
      </c>
      <c r="BP24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3" s="118">
        <f>IF(ReviewCalcs[[#This Row],[Existing CF]]=ReviewCalcs[[#This Row],[Proposed CF]], 0, ReviewCalcs[[#This Row],[Proposed Fixture Quantity]]*ReviewCalcs[[#This Row],[Proposed Fixture Watts]]/1000*ReviewCalcs[[#This Row],[Proposed CF]]*ReviewCalcs[[#This Row],[IEFD]])</f>
        <v>0</v>
      </c>
      <c r="BR243" s="118">
        <f>IFERROR(ReviewCalcs[[#This Row],[Proposed Fixture Quantity]]*ReviewCalcs[[#This Row],[Proposed Fixture Watts]]/1000*(ReviewCalcs[[#This Row],[Existing PAF]]-ReviewCalcs[[#This Row],[Proposed PAF]])*ReviewCalcs[[#This Row],[AOH]]*ReviewCalcs[[#This Row],[IEFE]],0)</f>
        <v>0</v>
      </c>
      <c r="BS243" s="118">
        <f>ReviewCalcs[[#This Row],[Incentive Fixture Demand Savings (kW)]]+ReviewCalcs[[#This Row],[Incentive Control Demand Savings (kW)]]</f>
        <v>0</v>
      </c>
      <c r="BT243" s="118">
        <f>ReviewCalcs[[#This Row],[Incentive Fixture Energy Savings (kWh)]]+ReviewCalcs[[#This Row],[Incentive Control Energy Savings (kWh)]]</f>
        <v>0</v>
      </c>
      <c r="BU243" s="73"/>
    </row>
    <row r="244" spans="1:73" ht="30" customHeight="1">
      <c r="A244" s="68">
        <v>241</v>
      </c>
      <c r="B244" s="96">
        <f>VLOOKUP(ReviewCalcs[[#This Row],[Project Index]], ProjectInput[], D$1, FALSE)</f>
        <v>0</v>
      </c>
      <c r="C244" s="97">
        <f>VLOOKUP(ReviewCalcs[[#This Row],[Project Index]], ProjectInput[], E$1, FALSE)</f>
        <v>0</v>
      </c>
      <c r="D244" s="97">
        <f>VLOOKUP(ReviewCalcs[[#This Row],[Project Index]], ProjectInput[], F$1, FALSE)</f>
        <v>0</v>
      </c>
      <c r="E244" s="97">
        <f>VLOOKUP(ReviewCalcs[[#This Row],[Project Index]], ProjectInput[], G$1, FALSE)</f>
        <v>0</v>
      </c>
      <c r="F244" s="97">
        <f>VLOOKUP(ReviewCalcs[[#This Row],[Project Index]], ProjectInput[], H$1, FALSE)</f>
        <v>0</v>
      </c>
      <c r="G244" s="98" t="str">
        <f>VLOOKUP(ReviewCalcs[[#This Row],[Project Index]], ProjectInput[], I$1, FALSE)</f>
        <v/>
      </c>
      <c r="H244" s="96">
        <f>VLOOKUP(ReviewCalcs[[#This Row],[Project Index]], ProjectInput[], J$1, FALSE)</f>
        <v>0</v>
      </c>
      <c r="I244" s="97">
        <f>VLOOKUP(ReviewCalcs[[#This Row],[Project Index]], ProjectInput[], K$1, FALSE)</f>
        <v>0</v>
      </c>
      <c r="J244" s="97">
        <f>VLOOKUP(ReviewCalcs[[#This Row],[Project Index]], ProjectInput[], L$1, FALSE)</f>
        <v>0</v>
      </c>
      <c r="K244" s="97">
        <f>VLOOKUP(ReviewCalcs[[#This Row],[Project Index]], ProjectInput[], M$1, FALSE)</f>
        <v>0</v>
      </c>
      <c r="L244" s="97">
        <f>VLOOKUP(ReviewCalcs[[#This Row],[Project Index]], ProjectInput[], N$1, FALSE)</f>
        <v>0</v>
      </c>
      <c r="M244" s="98" t="str">
        <f>VLOOKUP(ReviewCalcs[[#This Row],[Project Index]], ProjectInput[], O$1, FALSE)</f>
        <v/>
      </c>
      <c r="N244" s="96">
        <f>VLOOKUP(ReviewCalcs[[#This Row],[Project Index]], ProjectInput[], P$1, FALSE)</f>
        <v>0</v>
      </c>
      <c r="O244" s="97">
        <f>VLOOKUP(ReviewCalcs[[#This Row],[Project Index]], ProjectInput[], Q$1, FALSE)</f>
        <v>0</v>
      </c>
      <c r="P244" s="97">
        <f>VLOOKUP(ReviewCalcs[[#This Row],[Project Index]], ProjectInput[], R$1, FALSE)</f>
        <v>0</v>
      </c>
      <c r="Q244" s="97">
        <f>VLOOKUP(ReviewCalcs[[#This Row],[Project Index]], ProjectInput[], S$1, FALSE)</f>
        <v>0</v>
      </c>
      <c r="R244" s="97">
        <f>VLOOKUP(ReviewCalcs[[#This Row],[Project Index]], ProjectInput[], T$1, FALSE)</f>
        <v>0</v>
      </c>
      <c r="S244" s="97">
        <f>VLOOKUP(ReviewCalcs[[#This Row],[Project Index]], ProjectInput[], U$1, FALSE)</f>
        <v>0</v>
      </c>
      <c r="T244" s="97">
        <f>VLOOKUP(ReviewCalcs[[#This Row],[Project Index]], ProjectInput[], V$1, FALSE)</f>
        <v>0</v>
      </c>
      <c r="U244" s="97">
        <f>VLOOKUP(ReviewCalcs[[#This Row],[Project Index]], ProjectInput[], W$1, FALSE)</f>
        <v>0</v>
      </c>
      <c r="V244" s="98" t="str">
        <f>VLOOKUP(ReviewCalcs[[#This Row],[Project Index]], ProjectInput[], X$1, FALSE)</f>
        <v/>
      </c>
      <c r="W24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4" s="75" t="e">
        <f>IF(VLOOKUP(ReviewCalcs[[#This Row],[Proposed Fixture Code]], Table7[[FIXTURE CODE]:[Baseline Fixture Code]], 8, FALSE)="N", "ERROR", "PASS")</f>
        <v>#N/A</v>
      </c>
      <c r="Y24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4" s="75" t="e">
        <f>IF(OR(ReviewCalcs[[#This Row],[Baseline Fixture Watts]]&gt;=ReviewCalcs[[#This Row],[Proposed Fixture Watts]],ReviewCalcs[[#This Row],[Existing Fixture Watts]]&gt;=ReviewCalcs[[#This Row],[Proposed Fixture Watts]] ), "PASS", "ERROR")</f>
        <v>#N/A</v>
      </c>
      <c r="AA244" s="69" t="e">
        <f>VLOOKUP(ReviewCalcs[[#This Row],[Space Conditions]], Table_365[], 5, FALSE)</f>
        <v>#N/A</v>
      </c>
      <c r="AB244" s="68" t="str">
        <f>ReviewCalcs[[#This Row],[Annual Hours]]</f>
        <v/>
      </c>
      <c r="AC244" s="68" t="e">
        <f>VLOOKUP(ReviewCalcs[[#This Row],[Space Conditions]], Table_365[], 6, FALSE)</f>
        <v>#N/A</v>
      </c>
      <c r="AD244" s="68">
        <f>IF(ReviewCalcs[[#This Row],[Existing Control(s)]]='Tables &amp; Ranges'!$A$25, VLOOKUP(ReviewCalcs[[#This Row],[Building/Space Type]], Table_364[], 3, FALSE), CF_Contols)</f>
        <v>0.26</v>
      </c>
      <c r="AE244" s="68" t="e">
        <f>VLOOKUP(ReviewCalcs[[#This Row],[Existing Control(s)]], Table_358[], 2, FALSE)</f>
        <v>#N/A</v>
      </c>
      <c r="AF244" s="68">
        <f>IF(ReviewCalcs[[#This Row],[Proposed Control(s)]]='Tables &amp; Ranges'!$A$25, VLOOKUP(ReviewCalcs[[#This Row],[Building/Space Type]], Table_364[], 3, FALSE), CF_Contols)</f>
        <v>0.26</v>
      </c>
      <c r="AG244" s="68" t="e">
        <f>VLOOKUP(ReviewCalcs[[#This Row],[Proposed Control(s)]], Table_358[], 2, FALSE)</f>
        <v>#N/A</v>
      </c>
      <c r="AH244" s="68">
        <f>IFERROR((ReviewCalcs[[#This Row],[Existing Fixture Quantity]]*ReviewCalcs[[#This Row],[Existing Fixture Watts]]/1000)*ReviewCalcs[[#This Row],[Existing CF]]*ReviewCalcs[[#This Row],[IEFD]], 0)</f>
        <v>0</v>
      </c>
      <c r="AI244" s="68">
        <f>IFERROR((ReviewCalcs[[#This Row],[Proposed Fixture Quantity]]*ReviewCalcs[[#This Row],[Proposed Fixture Watts]]/1000)*ReviewCalcs[[#This Row],[Existing CF]]*ReviewCalcs[[#This Row],[IEFD]], 0)</f>
        <v>0</v>
      </c>
      <c r="AJ244" s="118">
        <f>IFERROR((ReviewCalcs[[#This Row],[Existing Fixture Quantity]]*ReviewCalcs[[#This Row],[Existing Fixture Watts]]/1000-ReviewCalcs[[#This Row],[Proposed Fixture Quantity]]*ReviewCalcs[[#This Row],[Proposed Fixture Watts]]/1000)*ReviewCalcs[[#This Row],[Existing CF]]*ReviewCalcs[[#This Row],[IEFD]], 0)</f>
        <v>0</v>
      </c>
      <c r="AK244" s="118">
        <f>IFERROR((ReviewCalcs[[#This Row],[Existing Fixture Quantity]]*ReviewCalcs[[#This Row],[Existing Fixture Watts]]/1000)*ReviewCalcs[[#This Row],[AOH]]*ReviewCalcs[[#This Row],[IEFE]]*ReviewCalcs[[#This Row],[Existing PAF]], 0)</f>
        <v>0</v>
      </c>
      <c r="AL244" s="118">
        <f>IFERROR((ReviewCalcs[[#This Row],[Proposed Fixture Quantity]]*ReviewCalcs[[#This Row],[Proposed Fixture Watts]]/1000)*ReviewCalcs[[#This Row],[AOH]]*ReviewCalcs[[#This Row],[IEFE]]*ReviewCalcs[[#This Row],[Existing PAF]], 0)</f>
        <v>0</v>
      </c>
      <c r="AM24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4" s="118">
        <f>ReviewCalcs[[#This Row],[Fixture Existing Energy (kWh)]]*Avg_KWh_Rate</f>
        <v>0</v>
      </c>
      <c r="AO244" s="118">
        <f>ReviewCalcs[[#This Row],[Fixture Proposed Energy (kWh)]]*Avg_KWh_Rate</f>
        <v>0</v>
      </c>
      <c r="AP244" s="70">
        <f>ReviewCalcs[[#This Row],[Fixture Energy Savings]]*Avg_KWh_Rate</f>
        <v>0</v>
      </c>
      <c r="AQ244" s="129" t="e">
        <f>ReviewCalcs[[#This Row],[Existing Fixture Quantity]]*ReviewCalcs[[#This Row],[Existing Fixture Watts]]/1000*ReviewCalcs[[#This Row],[Existing CF]]*ReviewCalcs[[#This Row],[IEFD]]</f>
        <v>#VALUE!</v>
      </c>
      <c r="AR244" s="129" t="e">
        <f>ReviewCalcs[[#This Row],[Proposed Fixture Quantity]]*ReviewCalcs[[#This Row],[Proposed Fixture Watts]]/1000*ReviewCalcs[[#This Row],[Proposed CF]]*ReviewCalcs[[#This Row],[IEFD]]</f>
        <v>#VALUE!</v>
      </c>
      <c r="AS244" s="118">
        <f>IF(ReviewCalcs[[#This Row],[Existing CF]]=ReviewCalcs[[#This Row],[Proposed CF]], 0, ReviewCalcs[[#This Row],[Proposed Fixture Quantity]]*ReviewCalcs[[#This Row],[Proposed Fixture Watts]]/1000*ReviewCalcs[[#This Row],[Proposed CF]]*ReviewCalcs[[#This Row],[IEFD]])</f>
        <v>0</v>
      </c>
      <c r="AT244" s="118">
        <f>IFERROR(ReviewCalcs[[#This Row],[Existing Fixture Quantity]]*ReviewCalcs[[#This Row],[Existing Fixture Watts]]/1000*ReviewCalcs[[#This Row],[Existing PAF]]*ReviewCalcs[[#This Row],[AOH]]*ReviewCalcs[[#This Row],[IEFE]], 0)</f>
        <v>0</v>
      </c>
      <c r="AU244" s="118">
        <f>IFERROR(ReviewCalcs[[#This Row],[Proposed Fixture Quantity]]*ReviewCalcs[[#This Row],[Proposed Fixture Watts]]/1000*ReviewCalcs[[#This Row],[Proposed PAF]]*ReviewCalcs[[#This Row],[AOH]]*ReviewCalcs[[#This Row],[IEFE]], 0)</f>
        <v>0</v>
      </c>
      <c r="AV244" s="118">
        <f>IFERROR(ReviewCalcs[[#This Row],[Proposed Fixture Quantity]]*ReviewCalcs[[#This Row],[Proposed Fixture Watts]]/1000*(ReviewCalcs[[#This Row],[Existing PAF]]-ReviewCalcs[[#This Row],[Proposed PAF]])*ReviewCalcs[[#This Row],[AOH]]*ReviewCalcs[[#This Row],[IEFE]], 0)</f>
        <v>0</v>
      </c>
      <c r="AW244" s="118">
        <f>ReviewCalcs[[#This Row],[Control Existing Energy (kWh)]]*kWh_Incentive_Rate</f>
        <v>0</v>
      </c>
      <c r="AX244" s="118">
        <f>ReviewCalcs[[#This Row],[Control Proposed Energy (kWh)]]*kWh_Incentive_Rate</f>
        <v>0</v>
      </c>
      <c r="AY244" s="70">
        <f>ReviewCalcs[[#This Row],[Control Energy Savings (kWh)]]*kWh_Incentive_Rate</f>
        <v>0</v>
      </c>
      <c r="AZ244" s="70" t="e">
        <f>ReviewCalcs[[#This Row],[Fixture Existing Demand (kW)]]+ReviewCalcs[[#This Row],[Control Existing Demand (kW)]]</f>
        <v>#VALUE!</v>
      </c>
      <c r="BA244" s="70" t="e">
        <f>ReviewCalcs[[#This Row],[Fixture Proposed Demand (kW)]]+ReviewCalcs[[#This Row],[Control Proposed Demand (kW)]]</f>
        <v>#VALUE!</v>
      </c>
      <c r="BB244" s="118">
        <f>ReviewCalcs[[#This Row],[Fixture Demand Savings (kW)]]+ReviewCalcs[[#This Row],[Control Demand Savings (kW)]]</f>
        <v>0</v>
      </c>
      <c r="BC244" s="118">
        <f>ReviewCalcs[[#This Row],[Fixture Existing Energy (kWh)]]+ReviewCalcs[[#This Row],[Control Existing Energy (kWh)]]</f>
        <v>0</v>
      </c>
      <c r="BD244" s="118">
        <f>ReviewCalcs[[#This Row],[Fixture Proposed Energy (kWh)]]+ReviewCalcs[[#This Row],[Control Proposed Energy (kWh)]]</f>
        <v>0</v>
      </c>
      <c r="BE244" s="118">
        <f>ReviewCalcs[[#This Row],[Fixture Energy Savings]]+ReviewCalcs[[#This Row],[Control Energy Savings (kWh)]]</f>
        <v>0</v>
      </c>
      <c r="BF244" s="118">
        <f>ReviewCalcs[[#This Row],[Fixture Existing Cost ($)]]+ReviewCalcs[[#This Row],[Control Existing Cost ($)]]</f>
        <v>0</v>
      </c>
      <c r="BG244" s="118">
        <f>ReviewCalcs[[#This Row],[Fixture Proposed Cost ($)]]+ReviewCalcs[[#This Row],[Controls Proposed Cost ($)]]</f>
        <v>0</v>
      </c>
      <c r="BH244" s="70">
        <f>ReviewCalcs[[#This Row],[Total Energy Savings (kWh)]]*Avg_KWh_Rate</f>
        <v>0</v>
      </c>
      <c r="BI24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4" s="70">
        <f>ReviewCalcs[[#This Row],[Retrofit Cost]]</f>
        <v>0</v>
      </c>
      <c r="BK244" s="70">
        <f>ReviewCalcs[[#This Row],[Retrofit Cost]]-ReviewCalcs[[#This Row],[Incentive ($)]]</f>
        <v>0</v>
      </c>
      <c r="BL244" s="118" t="e">
        <f>IFERROR(ReviewCalcs[[#This Row],[Net Project Cost ($)]]/ReviewCalcs[[#This Row],[Fixture Energy Cost Savings ($)]], #N/A)</f>
        <v>#N/A</v>
      </c>
      <c r="BM244" s="118" t="e">
        <f>IF(VLOOKUP(ReviewCalcs[[#This Row],[Existing Fixture Code]], Table7[[FIXTURE CODE]:[Baseline Fixture Code]], 8, FALSE)="N", VLOOKUP(ReviewCalcs[[#This Row],[Existing Fixture Code]], Table7[[FIXTURE CODE]:[Baseline Fixture Code]], 9, FALSE), ReviewCalcs[[#This Row],[Existing Fixture Code]])</f>
        <v>#N/A</v>
      </c>
      <c r="BN244" s="118" t="e">
        <f>INDEX(Table7[WATT/ FIXT], MATCH(ReviewCalcs[Baseline Fixture Code], Table7[FIXTURE CODE], 0))</f>
        <v>#N/A</v>
      </c>
      <c r="BO244" s="118">
        <f>IFERROR((ReviewCalcs[[#This Row],[Existing Fixture Quantity]]*ReviewCalcs[[#This Row],[Baseline Fixture Watts]]/1000-ReviewCalcs[[#This Row],[Proposed Fixture Quantity]]*ReviewCalcs[[#This Row],[Proposed Fixture Watts]]/1000)*ReviewCalcs[[#This Row],[Existing CF]]*ReviewCalcs[[#This Row],[IEFD]], 0)</f>
        <v>0</v>
      </c>
      <c r="BP24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4" s="118">
        <f>IF(ReviewCalcs[[#This Row],[Existing CF]]=ReviewCalcs[[#This Row],[Proposed CF]], 0, ReviewCalcs[[#This Row],[Proposed Fixture Quantity]]*ReviewCalcs[[#This Row],[Proposed Fixture Watts]]/1000*ReviewCalcs[[#This Row],[Proposed CF]]*ReviewCalcs[[#This Row],[IEFD]])</f>
        <v>0</v>
      </c>
      <c r="BR244" s="118">
        <f>IFERROR(ReviewCalcs[[#This Row],[Proposed Fixture Quantity]]*ReviewCalcs[[#This Row],[Proposed Fixture Watts]]/1000*(ReviewCalcs[[#This Row],[Existing PAF]]-ReviewCalcs[[#This Row],[Proposed PAF]])*ReviewCalcs[[#This Row],[AOH]]*ReviewCalcs[[#This Row],[IEFE]],0)</f>
        <v>0</v>
      </c>
      <c r="BS244" s="118">
        <f>ReviewCalcs[[#This Row],[Incentive Fixture Demand Savings (kW)]]+ReviewCalcs[[#This Row],[Incentive Control Demand Savings (kW)]]</f>
        <v>0</v>
      </c>
      <c r="BT244" s="118">
        <f>ReviewCalcs[[#This Row],[Incentive Fixture Energy Savings (kWh)]]+ReviewCalcs[[#This Row],[Incentive Control Energy Savings (kWh)]]</f>
        <v>0</v>
      </c>
      <c r="BU244" s="73"/>
    </row>
    <row r="245" spans="1:73" ht="30" customHeight="1">
      <c r="A245" s="68">
        <v>242</v>
      </c>
      <c r="B245" s="96">
        <f>VLOOKUP(ReviewCalcs[[#This Row],[Project Index]], ProjectInput[], D$1, FALSE)</f>
        <v>0</v>
      </c>
      <c r="C245" s="97">
        <f>VLOOKUP(ReviewCalcs[[#This Row],[Project Index]], ProjectInput[], E$1, FALSE)</f>
        <v>0</v>
      </c>
      <c r="D245" s="97">
        <f>VLOOKUP(ReviewCalcs[[#This Row],[Project Index]], ProjectInput[], F$1, FALSE)</f>
        <v>0</v>
      </c>
      <c r="E245" s="97">
        <f>VLOOKUP(ReviewCalcs[[#This Row],[Project Index]], ProjectInput[], G$1, FALSE)</f>
        <v>0</v>
      </c>
      <c r="F245" s="97">
        <f>VLOOKUP(ReviewCalcs[[#This Row],[Project Index]], ProjectInput[], H$1, FALSE)</f>
        <v>0</v>
      </c>
      <c r="G245" s="98" t="str">
        <f>VLOOKUP(ReviewCalcs[[#This Row],[Project Index]], ProjectInput[], I$1, FALSE)</f>
        <v/>
      </c>
      <c r="H245" s="96">
        <f>VLOOKUP(ReviewCalcs[[#This Row],[Project Index]], ProjectInput[], J$1, FALSE)</f>
        <v>0</v>
      </c>
      <c r="I245" s="97">
        <f>VLOOKUP(ReviewCalcs[[#This Row],[Project Index]], ProjectInput[], K$1, FALSE)</f>
        <v>0</v>
      </c>
      <c r="J245" s="97">
        <f>VLOOKUP(ReviewCalcs[[#This Row],[Project Index]], ProjectInput[], L$1, FALSE)</f>
        <v>0</v>
      </c>
      <c r="K245" s="97">
        <f>VLOOKUP(ReviewCalcs[[#This Row],[Project Index]], ProjectInput[], M$1, FALSE)</f>
        <v>0</v>
      </c>
      <c r="L245" s="97">
        <f>VLOOKUP(ReviewCalcs[[#This Row],[Project Index]], ProjectInput[], N$1, FALSE)</f>
        <v>0</v>
      </c>
      <c r="M245" s="98" t="str">
        <f>VLOOKUP(ReviewCalcs[[#This Row],[Project Index]], ProjectInput[], O$1, FALSE)</f>
        <v/>
      </c>
      <c r="N245" s="96">
        <f>VLOOKUP(ReviewCalcs[[#This Row],[Project Index]], ProjectInput[], P$1, FALSE)</f>
        <v>0</v>
      </c>
      <c r="O245" s="97">
        <f>VLOOKUP(ReviewCalcs[[#This Row],[Project Index]], ProjectInput[], Q$1, FALSE)</f>
        <v>0</v>
      </c>
      <c r="P245" s="97">
        <f>VLOOKUP(ReviewCalcs[[#This Row],[Project Index]], ProjectInput[], R$1, FALSE)</f>
        <v>0</v>
      </c>
      <c r="Q245" s="97">
        <f>VLOOKUP(ReviewCalcs[[#This Row],[Project Index]], ProjectInput[], S$1, FALSE)</f>
        <v>0</v>
      </c>
      <c r="R245" s="97">
        <f>VLOOKUP(ReviewCalcs[[#This Row],[Project Index]], ProjectInput[], T$1, FALSE)</f>
        <v>0</v>
      </c>
      <c r="S245" s="97">
        <f>VLOOKUP(ReviewCalcs[[#This Row],[Project Index]], ProjectInput[], U$1, FALSE)</f>
        <v>0</v>
      </c>
      <c r="T245" s="97">
        <f>VLOOKUP(ReviewCalcs[[#This Row],[Project Index]], ProjectInput[], V$1, FALSE)</f>
        <v>0</v>
      </c>
      <c r="U245" s="97">
        <f>VLOOKUP(ReviewCalcs[[#This Row],[Project Index]], ProjectInput[], W$1, FALSE)</f>
        <v>0</v>
      </c>
      <c r="V245" s="98" t="str">
        <f>VLOOKUP(ReviewCalcs[[#This Row],[Project Index]], ProjectInput[], X$1, FALSE)</f>
        <v/>
      </c>
      <c r="W24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5" s="75" t="e">
        <f>IF(VLOOKUP(ReviewCalcs[[#This Row],[Proposed Fixture Code]], Table7[[FIXTURE CODE]:[Baseline Fixture Code]], 8, FALSE)="N", "ERROR", "PASS")</f>
        <v>#N/A</v>
      </c>
      <c r="Y24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5" s="75" t="e">
        <f>IF(OR(ReviewCalcs[[#This Row],[Baseline Fixture Watts]]&gt;=ReviewCalcs[[#This Row],[Proposed Fixture Watts]],ReviewCalcs[[#This Row],[Existing Fixture Watts]]&gt;=ReviewCalcs[[#This Row],[Proposed Fixture Watts]] ), "PASS", "ERROR")</f>
        <v>#N/A</v>
      </c>
      <c r="AA245" s="69" t="e">
        <f>VLOOKUP(ReviewCalcs[[#This Row],[Space Conditions]], Table_365[], 5, FALSE)</f>
        <v>#N/A</v>
      </c>
      <c r="AB245" s="68" t="str">
        <f>ReviewCalcs[[#This Row],[Annual Hours]]</f>
        <v/>
      </c>
      <c r="AC245" s="68" t="e">
        <f>VLOOKUP(ReviewCalcs[[#This Row],[Space Conditions]], Table_365[], 6, FALSE)</f>
        <v>#N/A</v>
      </c>
      <c r="AD245" s="68">
        <f>IF(ReviewCalcs[[#This Row],[Existing Control(s)]]='Tables &amp; Ranges'!$A$25, VLOOKUP(ReviewCalcs[[#This Row],[Building/Space Type]], Table_364[], 3, FALSE), CF_Contols)</f>
        <v>0.26</v>
      </c>
      <c r="AE245" s="68" t="e">
        <f>VLOOKUP(ReviewCalcs[[#This Row],[Existing Control(s)]], Table_358[], 2, FALSE)</f>
        <v>#N/A</v>
      </c>
      <c r="AF245" s="68">
        <f>IF(ReviewCalcs[[#This Row],[Proposed Control(s)]]='Tables &amp; Ranges'!$A$25, VLOOKUP(ReviewCalcs[[#This Row],[Building/Space Type]], Table_364[], 3, FALSE), CF_Contols)</f>
        <v>0.26</v>
      </c>
      <c r="AG245" s="68" t="e">
        <f>VLOOKUP(ReviewCalcs[[#This Row],[Proposed Control(s)]], Table_358[], 2, FALSE)</f>
        <v>#N/A</v>
      </c>
      <c r="AH245" s="68">
        <f>IFERROR((ReviewCalcs[[#This Row],[Existing Fixture Quantity]]*ReviewCalcs[[#This Row],[Existing Fixture Watts]]/1000)*ReviewCalcs[[#This Row],[Existing CF]]*ReviewCalcs[[#This Row],[IEFD]], 0)</f>
        <v>0</v>
      </c>
      <c r="AI245" s="68">
        <f>IFERROR((ReviewCalcs[[#This Row],[Proposed Fixture Quantity]]*ReviewCalcs[[#This Row],[Proposed Fixture Watts]]/1000)*ReviewCalcs[[#This Row],[Existing CF]]*ReviewCalcs[[#This Row],[IEFD]], 0)</f>
        <v>0</v>
      </c>
      <c r="AJ245" s="118">
        <f>IFERROR((ReviewCalcs[[#This Row],[Existing Fixture Quantity]]*ReviewCalcs[[#This Row],[Existing Fixture Watts]]/1000-ReviewCalcs[[#This Row],[Proposed Fixture Quantity]]*ReviewCalcs[[#This Row],[Proposed Fixture Watts]]/1000)*ReviewCalcs[[#This Row],[Existing CF]]*ReviewCalcs[[#This Row],[IEFD]], 0)</f>
        <v>0</v>
      </c>
      <c r="AK245" s="118">
        <f>IFERROR((ReviewCalcs[[#This Row],[Existing Fixture Quantity]]*ReviewCalcs[[#This Row],[Existing Fixture Watts]]/1000)*ReviewCalcs[[#This Row],[AOH]]*ReviewCalcs[[#This Row],[IEFE]]*ReviewCalcs[[#This Row],[Existing PAF]], 0)</f>
        <v>0</v>
      </c>
      <c r="AL245" s="118">
        <f>IFERROR((ReviewCalcs[[#This Row],[Proposed Fixture Quantity]]*ReviewCalcs[[#This Row],[Proposed Fixture Watts]]/1000)*ReviewCalcs[[#This Row],[AOH]]*ReviewCalcs[[#This Row],[IEFE]]*ReviewCalcs[[#This Row],[Existing PAF]], 0)</f>
        <v>0</v>
      </c>
      <c r="AM24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5" s="118">
        <f>ReviewCalcs[[#This Row],[Fixture Existing Energy (kWh)]]*Avg_KWh_Rate</f>
        <v>0</v>
      </c>
      <c r="AO245" s="118">
        <f>ReviewCalcs[[#This Row],[Fixture Proposed Energy (kWh)]]*Avg_KWh_Rate</f>
        <v>0</v>
      </c>
      <c r="AP245" s="70">
        <f>ReviewCalcs[[#This Row],[Fixture Energy Savings]]*Avg_KWh_Rate</f>
        <v>0</v>
      </c>
      <c r="AQ245" s="129" t="e">
        <f>ReviewCalcs[[#This Row],[Existing Fixture Quantity]]*ReviewCalcs[[#This Row],[Existing Fixture Watts]]/1000*ReviewCalcs[[#This Row],[Existing CF]]*ReviewCalcs[[#This Row],[IEFD]]</f>
        <v>#VALUE!</v>
      </c>
      <c r="AR245" s="129" t="e">
        <f>ReviewCalcs[[#This Row],[Proposed Fixture Quantity]]*ReviewCalcs[[#This Row],[Proposed Fixture Watts]]/1000*ReviewCalcs[[#This Row],[Proposed CF]]*ReviewCalcs[[#This Row],[IEFD]]</f>
        <v>#VALUE!</v>
      </c>
      <c r="AS245" s="118">
        <f>IF(ReviewCalcs[[#This Row],[Existing CF]]=ReviewCalcs[[#This Row],[Proposed CF]], 0, ReviewCalcs[[#This Row],[Proposed Fixture Quantity]]*ReviewCalcs[[#This Row],[Proposed Fixture Watts]]/1000*ReviewCalcs[[#This Row],[Proposed CF]]*ReviewCalcs[[#This Row],[IEFD]])</f>
        <v>0</v>
      </c>
      <c r="AT245" s="118">
        <f>IFERROR(ReviewCalcs[[#This Row],[Existing Fixture Quantity]]*ReviewCalcs[[#This Row],[Existing Fixture Watts]]/1000*ReviewCalcs[[#This Row],[Existing PAF]]*ReviewCalcs[[#This Row],[AOH]]*ReviewCalcs[[#This Row],[IEFE]], 0)</f>
        <v>0</v>
      </c>
      <c r="AU245" s="118">
        <f>IFERROR(ReviewCalcs[[#This Row],[Proposed Fixture Quantity]]*ReviewCalcs[[#This Row],[Proposed Fixture Watts]]/1000*ReviewCalcs[[#This Row],[Proposed PAF]]*ReviewCalcs[[#This Row],[AOH]]*ReviewCalcs[[#This Row],[IEFE]], 0)</f>
        <v>0</v>
      </c>
      <c r="AV245" s="118">
        <f>IFERROR(ReviewCalcs[[#This Row],[Proposed Fixture Quantity]]*ReviewCalcs[[#This Row],[Proposed Fixture Watts]]/1000*(ReviewCalcs[[#This Row],[Existing PAF]]-ReviewCalcs[[#This Row],[Proposed PAF]])*ReviewCalcs[[#This Row],[AOH]]*ReviewCalcs[[#This Row],[IEFE]], 0)</f>
        <v>0</v>
      </c>
      <c r="AW245" s="118">
        <f>ReviewCalcs[[#This Row],[Control Existing Energy (kWh)]]*kWh_Incentive_Rate</f>
        <v>0</v>
      </c>
      <c r="AX245" s="118">
        <f>ReviewCalcs[[#This Row],[Control Proposed Energy (kWh)]]*kWh_Incentive_Rate</f>
        <v>0</v>
      </c>
      <c r="AY245" s="70">
        <f>ReviewCalcs[[#This Row],[Control Energy Savings (kWh)]]*kWh_Incentive_Rate</f>
        <v>0</v>
      </c>
      <c r="AZ245" s="70" t="e">
        <f>ReviewCalcs[[#This Row],[Fixture Existing Demand (kW)]]+ReviewCalcs[[#This Row],[Control Existing Demand (kW)]]</f>
        <v>#VALUE!</v>
      </c>
      <c r="BA245" s="70" t="e">
        <f>ReviewCalcs[[#This Row],[Fixture Proposed Demand (kW)]]+ReviewCalcs[[#This Row],[Control Proposed Demand (kW)]]</f>
        <v>#VALUE!</v>
      </c>
      <c r="BB245" s="118">
        <f>ReviewCalcs[[#This Row],[Fixture Demand Savings (kW)]]+ReviewCalcs[[#This Row],[Control Demand Savings (kW)]]</f>
        <v>0</v>
      </c>
      <c r="BC245" s="118">
        <f>ReviewCalcs[[#This Row],[Fixture Existing Energy (kWh)]]+ReviewCalcs[[#This Row],[Control Existing Energy (kWh)]]</f>
        <v>0</v>
      </c>
      <c r="BD245" s="118">
        <f>ReviewCalcs[[#This Row],[Fixture Proposed Energy (kWh)]]+ReviewCalcs[[#This Row],[Control Proposed Energy (kWh)]]</f>
        <v>0</v>
      </c>
      <c r="BE245" s="118">
        <f>ReviewCalcs[[#This Row],[Fixture Energy Savings]]+ReviewCalcs[[#This Row],[Control Energy Savings (kWh)]]</f>
        <v>0</v>
      </c>
      <c r="BF245" s="118">
        <f>ReviewCalcs[[#This Row],[Fixture Existing Cost ($)]]+ReviewCalcs[[#This Row],[Control Existing Cost ($)]]</f>
        <v>0</v>
      </c>
      <c r="BG245" s="118">
        <f>ReviewCalcs[[#This Row],[Fixture Proposed Cost ($)]]+ReviewCalcs[[#This Row],[Controls Proposed Cost ($)]]</f>
        <v>0</v>
      </c>
      <c r="BH245" s="70">
        <f>ReviewCalcs[[#This Row],[Total Energy Savings (kWh)]]*Avg_KWh_Rate</f>
        <v>0</v>
      </c>
      <c r="BI24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5" s="70">
        <f>ReviewCalcs[[#This Row],[Retrofit Cost]]</f>
        <v>0</v>
      </c>
      <c r="BK245" s="70">
        <f>ReviewCalcs[[#This Row],[Retrofit Cost]]-ReviewCalcs[[#This Row],[Incentive ($)]]</f>
        <v>0</v>
      </c>
      <c r="BL245" s="118" t="e">
        <f>IFERROR(ReviewCalcs[[#This Row],[Net Project Cost ($)]]/ReviewCalcs[[#This Row],[Fixture Energy Cost Savings ($)]], #N/A)</f>
        <v>#N/A</v>
      </c>
      <c r="BM245" s="118" t="e">
        <f>IF(VLOOKUP(ReviewCalcs[[#This Row],[Existing Fixture Code]], Table7[[FIXTURE CODE]:[Baseline Fixture Code]], 8, FALSE)="N", VLOOKUP(ReviewCalcs[[#This Row],[Existing Fixture Code]], Table7[[FIXTURE CODE]:[Baseline Fixture Code]], 9, FALSE), ReviewCalcs[[#This Row],[Existing Fixture Code]])</f>
        <v>#N/A</v>
      </c>
      <c r="BN245" s="118" t="e">
        <f>INDEX(Table7[WATT/ FIXT], MATCH(ReviewCalcs[Baseline Fixture Code], Table7[FIXTURE CODE], 0))</f>
        <v>#N/A</v>
      </c>
      <c r="BO245" s="118">
        <f>IFERROR((ReviewCalcs[[#This Row],[Existing Fixture Quantity]]*ReviewCalcs[[#This Row],[Baseline Fixture Watts]]/1000-ReviewCalcs[[#This Row],[Proposed Fixture Quantity]]*ReviewCalcs[[#This Row],[Proposed Fixture Watts]]/1000)*ReviewCalcs[[#This Row],[Existing CF]]*ReviewCalcs[[#This Row],[IEFD]], 0)</f>
        <v>0</v>
      </c>
      <c r="BP24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5" s="118">
        <f>IF(ReviewCalcs[[#This Row],[Existing CF]]=ReviewCalcs[[#This Row],[Proposed CF]], 0, ReviewCalcs[[#This Row],[Proposed Fixture Quantity]]*ReviewCalcs[[#This Row],[Proposed Fixture Watts]]/1000*ReviewCalcs[[#This Row],[Proposed CF]]*ReviewCalcs[[#This Row],[IEFD]])</f>
        <v>0</v>
      </c>
      <c r="BR245" s="118">
        <f>IFERROR(ReviewCalcs[[#This Row],[Proposed Fixture Quantity]]*ReviewCalcs[[#This Row],[Proposed Fixture Watts]]/1000*(ReviewCalcs[[#This Row],[Existing PAF]]-ReviewCalcs[[#This Row],[Proposed PAF]])*ReviewCalcs[[#This Row],[AOH]]*ReviewCalcs[[#This Row],[IEFE]],0)</f>
        <v>0</v>
      </c>
      <c r="BS245" s="118">
        <f>ReviewCalcs[[#This Row],[Incentive Fixture Demand Savings (kW)]]+ReviewCalcs[[#This Row],[Incentive Control Demand Savings (kW)]]</f>
        <v>0</v>
      </c>
      <c r="BT245" s="118">
        <f>ReviewCalcs[[#This Row],[Incentive Fixture Energy Savings (kWh)]]+ReviewCalcs[[#This Row],[Incentive Control Energy Savings (kWh)]]</f>
        <v>0</v>
      </c>
      <c r="BU245" s="73"/>
    </row>
    <row r="246" spans="1:73" ht="30" customHeight="1">
      <c r="A246" s="68">
        <v>243</v>
      </c>
      <c r="B246" s="96">
        <f>VLOOKUP(ReviewCalcs[[#This Row],[Project Index]], ProjectInput[], D$1, FALSE)</f>
        <v>0</v>
      </c>
      <c r="C246" s="97">
        <f>VLOOKUP(ReviewCalcs[[#This Row],[Project Index]], ProjectInput[], E$1, FALSE)</f>
        <v>0</v>
      </c>
      <c r="D246" s="97">
        <f>VLOOKUP(ReviewCalcs[[#This Row],[Project Index]], ProjectInput[], F$1, FALSE)</f>
        <v>0</v>
      </c>
      <c r="E246" s="97">
        <f>VLOOKUP(ReviewCalcs[[#This Row],[Project Index]], ProjectInput[], G$1, FALSE)</f>
        <v>0</v>
      </c>
      <c r="F246" s="97">
        <f>VLOOKUP(ReviewCalcs[[#This Row],[Project Index]], ProjectInput[], H$1, FALSE)</f>
        <v>0</v>
      </c>
      <c r="G246" s="98" t="str">
        <f>VLOOKUP(ReviewCalcs[[#This Row],[Project Index]], ProjectInput[], I$1, FALSE)</f>
        <v/>
      </c>
      <c r="H246" s="96">
        <f>VLOOKUP(ReviewCalcs[[#This Row],[Project Index]], ProjectInput[], J$1, FALSE)</f>
        <v>0</v>
      </c>
      <c r="I246" s="97">
        <f>VLOOKUP(ReviewCalcs[[#This Row],[Project Index]], ProjectInput[], K$1, FALSE)</f>
        <v>0</v>
      </c>
      <c r="J246" s="97">
        <f>VLOOKUP(ReviewCalcs[[#This Row],[Project Index]], ProjectInput[], L$1, FALSE)</f>
        <v>0</v>
      </c>
      <c r="K246" s="97">
        <f>VLOOKUP(ReviewCalcs[[#This Row],[Project Index]], ProjectInput[], M$1, FALSE)</f>
        <v>0</v>
      </c>
      <c r="L246" s="97">
        <f>VLOOKUP(ReviewCalcs[[#This Row],[Project Index]], ProjectInput[], N$1, FALSE)</f>
        <v>0</v>
      </c>
      <c r="M246" s="98" t="str">
        <f>VLOOKUP(ReviewCalcs[[#This Row],[Project Index]], ProjectInput[], O$1, FALSE)</f>
        <v/>
      </c>
      <c r="N246" s="96">
        <f>VLOOKUP(ReviewCalcs[[#This Row],[Project Index]], ProjectInput[], P$1, FALSE)</f>
        <v>0</v>
      </c>
      <c r="O246" s="97">
        <f>VLOOKUP(ReviewCalcs[[#This Row],[Project Index]], ProjectInput[], Q$1, FALSE)</f>
        <v>0</v>
      </c>
      <c r="P246" s="97">
        <f>VLOOKUP(ReviewCalcs[[#This Row],[Project Index]], ProjectInput[], R$1, FALSE)</f>
        <v>0</v>
      </c>
      <c r="Q246" s="97">
        <f>VLOOKUP(ReviewCalcs[[#This Row],[Project Index]], ProjectInput[], S$1, FALSE)</f>
        <v>0</v>
      </c>
      <c r="R246" s="97">
        <f>VLOOKUP(ReviewCalcs[[#This Row],[Project Index]], ProjectInput[], T$1, FALSE)</f>
        <v>0</v>
      </c>
      <c r="S246" s="97">
        <f>VLOOKUP(ReviewCalcs[[#This Row],[Project Index]], ProjectInput[], U$1, FALSE)</f>
        <v>0</v>
      </c>
      <c r="T246" s="97">
        <f>VLOOKUP(ReviewCalcs[[#This Row],[Project Index]], ProjectInput[], V$1, FALSE)</f>
        <v>0</v>
      </c>
      <c r="U246" s="97">
        <f>VLOOKUP(ReviewCalcs[[#This Row],[Project Index]], ProjectInput[], W$1, FALSE)</f>
        <v>0</v>
      </c>
      <c r="V246" s="98" t="str">
        <f>VLOOKUP(ReviewCalcs[[#This Row],[Project Index]], ProjectInput[], X$1, FALSE)</f>
        <v/>
      </c>
      <c r="W24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6" s="75" t="e">
        <f>IF(VLOOKUP(ReviewCalcs[[#This Row],[Proposed Fixture Code]], Table7[[FIXTURE CODE]:[Baseline Fixture Code]], 8, FALSE)="N", "ERROR", "PASS")</f>
        <v>#N/A</v>
      </c>
      <c r="Y24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6" s="75" t="e">
        <f>IF(OR(ReviewCalcs[[#This Row],[Baseline Fixture Watts]]&gt;=ReviewCalcs[[#This Row],[Proposed Fixture Watts]],ReviewCalcs[[#This Row],[Existing Fixture Watts]]&gt;=ReviewCalcs[[#This Row],[Proposed Fixture Watts]] ), "PASS", "ERROR")</f>
        <v>#N/A</v>
      </c>
      <c r="AA246" s="69" t="e">
        <f>VLOOKUP(ReviewCalcs[[#This Row],[Space Conditions]], Table_365[], 5, FALSE)</f>
        <v>#N/A</v>
      </c>
      <c r="AB246" s="68" t="str">
        <f>ReviewCalcs[[#This Row],[Annual Hours]]</f>
        <v/>
      </c>
      <c r="AC246" s="68" t="e">
        <f>VLOOKUP(ReviewCalcs[[#This Row],[Space Conditions]], Table_365[], 6, FALSE)</f>
        <v>#N/A</v>
      </c>
      <c r="AD246" s="68">
        <f>IF(ReviewCalcs[[#This Row],[Existing Control(s)]]='Tables &amp; Ranges'!$A$25, VLOOKUP(ReviewCalcs[[#This Row],[Building/Space Type]], Table_364[], 3, FALSE), CF_Contols)</f>
        <v>0.26</v>
      </c>
      <c r="AE246" s="68" t="e">
        <f>VLOOKUP(ReviewCalcs[[#This Row],[Existing Control(s)]], Table_358[], 2, FALSE)</f>
        <v>#N/A</v>
      </c>
      <c r="AF246" s="68">
        <f>IF(ReviewCalcs[[#This Row],[Proposed Control(s)]]='Tables &amp; Ranges'!$A$25, VLOOKUP(ReviewCalcs[[#This Row],[Building/Space Type]], Table_364[], 3, FALSE), CF_Contols)</f>
        <v>0.26</v>
      </c>
      <c r="AG246" s="68" t="e">
        <f>VLOOKUP(ReviewCalcs[[#This Row],[Proposed Control(s)]], Table_358[], 2, FALSE)</f>
        <v>#N/A</v>
      </c>
      <c r="AH246" s="68">
        <f>IFERROR((ReviewCalcs[[#This Row],[Existing Fixture Quantity]]*ReviewCalcs[[#This Row],[Existing Fixture Watts]]/1000)*ReviewCalcs[[#This Row],[Existing CF]]*ReviewCalcs[[#This Row],[IEFD]], 0)</f>
        <v>0</v>
      </c>
      <c r="AI246" s="68">
        <f>IFERROR((ReviewCalcs[[#This Row],[Proposed Fixture Quantity]]*ReviewCalcs[[#This Row],[Proposed Fixture Watts]]/1000)*ReviewCalcs[[#This Row],[Existing CF]]*ReviewCalcs[[#This Row],[IEFD]], 0)</f>
        <v>0</v>
      </c>
      <c r="AJ246" s="118">
        <f>IFERROR((ReviewCalcs[[#This Row],[Existing Fixture Quantity]]*ReviewCalcs[[#This Row],[Existing Fixture Watts]]/1000-ReviewCalcs[[#This Row],[Proposed Fixture Quantity]]*ReviewCalcs[[#This Row],[Proposed Fixture Watts]]/1000)*ReviewCalcs[[#This Row],[Existing CF]]*ReviewCalcs[[#This Row],[IEFD]], 0)</f>
        <v>0</v>
      </c>
      <c r="AK246" s="118">
        <f>IFERROR((ReviewCalcs[[#This Row],[Existing Fixture Quantity]]*ReviewCalcs[[#This Row],[Existing Fixture Watts]]/1000)*ReviewCalcs[[#This Row],[AOH]]*ReviewCalcs[[#This Row],[IEFE]]*ReviewCalcs[[#This Row],[Existing PAF]], 0)</f>
        <v>0</v>
      </c>
      <c r="AL246" s="118">
        <f>IFERROR((ReviewCalcs[[#This Row],[Proposed Fixture Quantity]]*ReviewCalcs[[#This Row],[Proposed Fixture Watts]]/1000)*ReviewCalcs[[#This Row],[AOH]]*ReviewCalcs[[#This Row],[IEFE]]*ReviewCalcs[[#This Row],[Existing PAF]], 0)</f>
        <v>0</v>
      </c>
      <c r="AM24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6" s="118">
        <f>ReviewCalcs[[#This Row],[Fixture Existing Energy (kWh)]]*Avg_KWh_Rate</f>
        <v>0</v>
      </c>
      <c r="AO246" s="118">
        <f>ReviewCalcs[[#This Row],[Fixture Proposed Energy (kWh)]]*Avg_KWh_Rate</f>
        <v>0</v>
      </c>
      <c r="AP246" s="70">
        <f>ReviewCalcs[[#This Row],[Fixture Energy Savings]]*Avg_KWh_Rate</f>
        <v>0</v>
      </c>
      <c r="AQ246" s="129" t="e">
        <f>ReviewCalcs[[#This Row],[Existing Fixture Quantity]]*ReviewCalcs[[#This Row],[Existing Fixture Watts]]/1000*ReviewCalcs[[#This Row],[Existing CF]]*ReviewCalcs[[#This Row],[IEFD]]</f>
        <v>#VALUE!</v>
      </c>
      <c r="AR246" s="129" t="e">
        <f>ReviewCalcs[[#This Row],[Proposed Fixture Quantity]]*ReviewCalcs[[#This Row],[Proposed Fixture Watts]]/1000*ReviewCalcs[[#This Row],[Proposed CF]]*ReviewCalcs[[#This Row],[IEFD]]</f>
        <v>#VALUE!</v>
      </c>
      <c r="AS246" s="118">
        <f>IF(ReviewCalcs[[#This Row],[Existing CF]]=ReviewCalcs[[#This Row],[Proposed CF]], 0, ReviewCalcs[[#This Row],[Proposed Fixture Quantity]]*ReviewCalcs[[#This Row],[Proposed Fixture Watts]]/1000*ReviewCalcs[[#This Row],[Proposed CF]]*ReviewCalcs[[#This Row],[IEFD]])</f>
        <v>0</v>
      </c>
      <c r="AT246" s="118">
        <f>IFERROR(ReviewCalcs[[#This Row],[Existing Fixture Quantity]]*ReviewCalcs[[#This Row],[Existing Fixture Watts]]/1000*ReviewCalcs[[#This Row],[Existing PAF]]*ReviewCalcs[[#This Row],[AOH]]*ReviewCalcs[[#This Row],[IEFE]], 0)</f>
        <v>0</v>
      </c>
      <c r="AU246" s="118">
        <f>IFERROR(ReviewCalcs[[#This Row],[Proposed Fixture Quantity]]*ReviewCalcs[[#This Row],[Proposed Fixture Watts]]/1000*ReviewCalcs[[#This Row],[Proposed PAF]]*ReviewCalcs[[#This Row],[AOH]]*ReviewCalcs[[#This Row],[IEFE]], 0)</f>
        <v>0</v>
      </c>
      <c r="AV246" s="118">
        <f>IFERROR(ReviewCalcs[[#This Row],[Proposed Fixture Quantity]]*ReviewCalcs[[#This Row],[Proposed Fixture Watts]]/1000*(ReviewCalcs[[#This Row],[Existing PAF]]-ReviewCalcs[[#This Row],[Proposed PAF]])*ReviewCalcs[[#This Row],[AOH]]*ReviewCalcs[[#This Row],[IEFE]], 0)</f>
        <v>0</v>
      </c>
      <c r="AW246" s="118">
        <f>ReviewCalcs[[#This Row],[Control Existing Energy (kWh)]]*kWh_Incentive_Rate</f>
        <v>0</v>
      </c>
      <c r="AX246" s="118">
        <f>ReviewCalcs[[#This Row],[Control Proposed Energy (kWh)]]*kWh_Incentive_Rate</f>
        <v>0</v>
      </c>
      <c r="AY246" s="70">
        <f>ReviewCalcs[[#This Row],[Control Energy Savings (kWh)]]*kWh_Incentive_Rate</f>
        <v>0</v>
      </c>
      <c r="AZ246" s="70" t="e">
        <f>ReviewCalcs[[#This Row],[Fixture Existing Demand (kW)]]+ReviewCalcs[[#This Row],[Control Existing Demand (kW)]]</f>
        <v>#VALUE!</v>
      </c>
      <c r="BA246" s="70" t="e">
        <f>ReviewCalcs[[#This Row],[Fixture Proposed Demand (kW)]]+ReviewCalcs[[#This Row],[Control Proposed Demand (kW)]]</f>
        <v>#VALUE!</v>
      </c>
      <c r="BB246" s="118">
        <f>ReviewCalcs[[#This Row],[Fixture Demand Savings (kW)]]+ReviewCalcs[[#This Row],[Control Demand Savings (kW)]]</f>
        <v>0</v>
      </c>
      <c r="BC246" s="118">
        <f>ReviewCalcs[[#This Row],[Fixture Existing Energy (kWh)]]+ReviewCalcs[[#This Row],[Control Existing Energy (kWh)]]</f>
        <v>0</v>
      </c>
      <c r="BD246" s="118">
        <f>ReviewCalcs[[#This Row],[Fixture Proposed Energy (kWh)]]+ReviewCalcs[[#This Row],[Control Proposed Energy (kWh)]]</f>
        <v>0</v>
      </c>
      <c r="BE246" s="118">
        <f>ReviewCalcs[[#This Row],[Fixture Energy Savings]]+ReviewCalcs[[#This Row],[Control Energy Savings (kWh)]]</f>
        <v>0</v>
      </c>
      <c r="BF246" s="118">
        <f>ReviewCalcs[[#This Row],[Fixture Existing Cost ($)]]+ReviewCalcs[[#This Row],[Control Existing Cost ($)]]</f>
        <v>0</v>
      </c>
      <c r="BG246" s="118">
        <f>ReviewCalcs[[#This Row],[Fixture Proposed Cost ($)]]+ReviewCalcs[[#This Row],[Controls Proposed Cost ($)]]</f>
        <v>0</v>
      </c>
      <c r="BH246" s="70">
        <f>ReviewCalcs[[#This Row],[Total Energy Savings (kWh)]]*Avg_KWh_Rate</f>
        <v>0</v>
      </c>
      <c r="BI24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6" s="70">
        <f>ReviewCalcs[[#This Row],[Retrofit Cost]]</f>
        <v>0</v>
      </c>
      <c r="BK246" s="70">
        <f>ReviewCalcs[[#This Row],[Retrofit Cost]]-ReviewCalcs[[#This Row],[Incentive ($)]]</f>
        <v>0</v>
      </c>
      <c r="BL246" s="118" t="e">
        <f>IFERROR(ReviewCalcs[[#This Row],[Net Project Cost ($)]]/ReviewCalcs[[#This Row],[Fixture Energy Cost Savings ($)]], #N/A)</f>
        <v>#N/A</v>
      </c>
      <c r="BM246" s="118" t="e">
        <f>IF(VLOOKUP(ReviewCalcs[[#This Row],[Existing Fixture Code]], Table7[[FIXTURE CODE]:[Baseline Fixture Code]], 8, FALSE)="N", VLOOKUP(ReviewCalcs[[#This Row],[Existing Fixture Code]], Table7[[FIXTURE CODE]:[Baseline Fixture Code]], 9, FALSE), ReviewCalcs[[#This Row],[Existing Fixture Code]])</f>
        <v>#N/A</v>
      </c>
      <c r="BN246" s="118" t="e">
        <f>INDEX(Table7[WATT/ FIXT], MATCH(ReviewCalcs[Baseline Fixture Code], Table7[FIXTURE CODE], 0))</f>
        <v>#N/A</v>
      </c>
      <c r="BO246" s="118">
        <f>IFERROR((ReviewCalcs[[#This Row],[Existing Fixture Quantity]]*ReviewCalcs[[#This Row],[Baseline Fixture Watts]]/1000-ReviewCalcs[[#This Row],[Proposed Fixture Quantity]]*ReviewCalcs[[#This Row],[Proposed Fixture Watts]]/1000)*ReviewCalcs[[#This Row],[Existing CF]]*ReviewCalcs[[#This Row],[IEFD]], 0)</f>
        <v>0</v>
      </c>
      <c r="BP24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6" s="118">
        <f>IF(ReviewCalcs[[#This Row],[Existing CF]]=ReviewCalcs[[#This Row],[Proposed CF]], 0, ReviewCalcs[[#This Row],[Proposed Fixture Quantity]]*ReviewCalcs[[#This Row],[Proposed Fixture Watts]]/1000*ReviewCalcs[[#This Row],[Proposed CF]]*ReviewCalcs[[#This Row],[IEFD]])</f>
        <v>0</v>
      </c>
      <c r="BR246" s="118">
        <f>IFERROR(ReviewCalcs[[#This Row],[Proposed Fixture Quantity]]*ReviewCalcs[[#This Row],[Proposed Fixture Watts]]/1000*(ReviewCalcs[[#This Row],[Existing PAF]]-ReviewCalcs[[#This Row],[Proposed PAF]])*ReviewCalcs[[#This Row],[AOH]]*ReviewCalcs[[#This Row],[IEFE]],0)</f>
        <v>0</v>
      </c>
      <c r="BS246" s="118">
        <f>ReviewCalcs[[#This Row],[Incentive Fixture Demand Savings (kW)]]+ReviewCalcs[[#This Row],[Incentive Control Demand Savings (kW)]]</f>
        <v>0</v>
      </c>
      <c r="BT246" s="118">
        <f>ReviewCalcs[[#This Row],[Incentive Fixture Energy Savings (kWh)]]+ReviewCalcs[[#This Row],[Incentive Control Energy Savings (kWh)]]</f>
        <v>0</v>
      </c>
      <c r="BU246" s="73"/>
    </row>
    <row r="247" spans="1:73" ht="30" customHeight="1">
      <c r="A247" s="68">
        <v>244</v>
      </c>
      <c r="B247" s="96">
        <f>VLOOKUP(ReviewCalcs[[#This Row],[Project Index]], ProjectInput[], D$1, FALSE)</f>
        <v>0</v>
      </c>
      <c r="C247" s="97">
        <f>VLOOKUP(ReviewCalcs[[#This Row],[Project Index]], ProjectInput[], E$1, FALSE)</f>
        <v>0</v>
      </c>
      <c r="D247" s="97">
        <f>VLOOKUP(ReviewCalcs[[#This Row],[Project Index]], ProjectInput[], F$1, FALSE)</f>
        <v>0</v>
      </c>
      <c r="E247" s="97">
        <f>VLOOKUP(ReviewCalcs[[#This Row],[Project Index]], ProjectInput[], G$1, FALSE)</f>
        <v>0</v>
      </c>
      <c r="F247" s="97">
        <f>VLOOKUP(ReviewCalcs[[#This Row],[Project Index]], ProjectInput[], H$1, FALSE)</f>
        <v>0</v>
      </c>
      <c r="G247" s="98" t="str">
        <f>VLOOKUP(ReviewCalcs[[#This Row],[Project Index]], ProjectInput[], I$1, FALSE)</f>
        <v/>
      </c>
      <c r="H247" s="96">
        <f>VLOOKUP(ReviewCalcs[[#This Row],[Project Index]], ProjectInput[], J$1, FALSE)</f>
        <v>0</v>
      </c>
      <c r="I247" s="97">
        <f>VLOOKUP(ReviewCalcs[[#This Row],[Project Index]], ProjectInput[], K$1, FALSE)</f>
        <v>0</v>
      </c>
      <c r="J247" s="97">
        <f>VLOOKUP(ReviewCalcs[[#This Row],[Project Index]], ProjectInput[], L$1, FALSE)</f>
        <v>0</v>
      </c>
      <c r="K247" s="97">
        <f>VLOOKUP(ReviewCalcs[[#This Row],[Project Index]], ProjectInput[], M$1, FALSE)</f>
        <v>0</v>
      </c>
      <c r="L247" s="97">
        <f>VLOOKUP(ReviewCalcs[[#This Row],[Project Index]], ProjectInput[], N$1, FALSE)</f>
        <v>0</v>
      </c>
      <c r="M247" s="98" t="str">
        <f>VLOOKUP(ReviewCalcs[[#This Row],[Project Index]], ProjectInput[], O$1, FALSE)</f>
        <v/>
      </c>
      <c r="N247" s="96">
        <f>VLOOKUP(ReviewCalcs[[#This Row],[Project Index]], ProjectInput[], P$1, FALSE)</f>
        <v>0</v>
      </c>
      <c r="O247" s="97">
        <f>VLOOKUP(ReviewCalcs[[#This Row],[Project Index]], ProjectInput[], Q$1, FALSE)</f>
        <v>0</v>
      </c>
      <c r="P247" s="97">
        <f>VLOOKUP(ReviewCalcs[[#This Row],[Project Index]], ProjectInput[], R$1, FALSE)</f>
        <v>0</v>
      </c>
      <c r="Q247" s="97">
        <f>VLOOKUP(ReviewCalcs[[#This Row],[Project Index]], ProjectInput[], S$1, FALSE)</f>
        <v>0</v>
      </c>
      <c r="R247" s="97">
        <f>VLOOKUP(ReviewCalcs[[#This Row],[Project Index]], ProjectInput[], T$1, FALSE)</f>
        <v>0</v>
      </c>
      <c r="S247" s="97">
        <f>VLOOKUP(ReviewCalcs[[#This Row],[Project Index]], ProjectInput[], U$1, FALSE)</f>
        <v>0</v>
      </c>
      <c r="T247" s="97">
        <f>VLOOKUP(ReviewCalcs[[#This Row],[Project Index]], ProjectInput[], V$1, FALSE)</f>
        <v>0</v>
      </c>
      <c r="U247" s="97">
        <f>VLOOKUP(ReviewCalcs[[#This Row],[Project Index]], ProjectInput[], W$1, FALSE)</f>
        <v>0</v>
      </c>
      <c r="V247" s="98" t="str">
        <f>VLOOKUP(ReviewCalcs[[#This Row],[Project Index]], ProjectInput[], X$1, FALSE)</f>
        <v/>
      </c>
      <c r="W24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7" s="75" t="e">
        <f>IF(VLOOKUP(ReviewCalcs[[#This Row],[Proposed Fixture Code]], Table7[[FIXTURE CODE]:[Baseline Fixture Code]], 8, FALSE)="N", "ERROR", "PASS")</f>
        <v>#N/A</v>
      </c>
      <c r="Y24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7" s="75" t="e">
        <f>IF(OR(ReviewCalcs[[#This Row],[Baseline Fixture Watts]]&gt;=ReviewCalcs[[#This Row],[Proposed Fixture Watts]],ReviewCalcs[[#This Row],[Existing Fixture Watts]]&gt;=ReviewCalcs[[#This Row],[Proposed Fixture Watts]] ), "PASS", "ERROR")</f>
        <v>#N/A</v>
      </c>
      <c r="AA247" s="69" t="e">
        <f>VLOOKUP(ReviewCalcs[[#This Row],[Space Conditions]], Table_365[], 5, FALSE)</f>
        <v>#N/A</v>
      </c>
      <c r="AB247" s="68" t="str">
        <f>ReviewCalcs[[#This Row],[Annual Hours]]</f>
        <v/>
      </c>
      <c r="AC247" s="68" t="e">
        <f>VLOOKUP(ReviewCalcs[[#This Row],[Space Conditions]], Table_365[], 6, FALSE)</f>
        <v>#N/A</v>
      </c>
      <c r="AD247" s="68">
        <f>IF(ReviewCalcs[[#This Row],[Existing Control(s)]]='Tables &amp; Ranges'!$A$25, VLOOKUP(ReviewCalcs[[#This Row],[Building/Space Type]], Table_364[], 3, FALSE), CF_Contols)</f>
        <v>0.26</v>
      </c>
      <c r="AE247" s="68" t="e">
        <f>VLOOKUP(ReviewCalcs[[#This Row],[Existing Control(s)]], Table_358[], 2, FALSE)</f>
        <v>#N/A</v>
      </c>
      <c r="AF247" s="68">
        <f>IF(ReviewCalcs[[#This Row],[Proposed Control(s)]]='Tables &amp; Ranges'!$A$25, VLOOKUP(ReviewCalcs[[#This Row],[Building/Space Type]], Table_364[], 3, FALSE), CF_Contols)</f>
        <v>0.26</v>
      </c>
      <c r="AG247" s="68" t="e">
        <f>VLOOKUP(ReviewCalcs[[#This Row],[Proposed Control(s)]], Table_358[], 2, FALSE)</f>
        <v>#N/A</v>
      </c>
      <c r="AH247" s="68">
        <f>IFERROR((ReviewCalcs[[#This Row],[Existing Fixture Quantity]]*ReviewCalcs[[#This Row],[Existing Fixture Watts]]/1000)*ReviewCalcs[[#This Row],[Existing CF]]*ReviewCalcs[[#This Row],[IEFD]], 0)</f>
        <v>0</v>
      </c>
      <c r="AI247" s="68">
        <f>IFERROR((ReviewCalcs[[#This Row],[Proposed Fixture Quantity]]*ReviewCalcs[[#This Row],[Proposed Fixture Watts]]/1000)*ReviewCalcs[[#This Row],[Existing CF]]*ReviewCalcs[[#This Row],[IEFD]], 0)</f>
        <v>0</v>
      </c>
      <c r="AJ247" s="118">
        <f>IFERROR((ReviewCalcs[[#This Row],[Existing Fixture Quantity]]*ReviewCalcs[[#This Row],[Existing Fixture Watts]]/1000-ReviewCalcs[[#This Row],[Proposed Fixture Quantity]]*ReviewCalcs[[#This Row],[Proposed Fixture Watts]]/1000)*ReviewCalcs[[#This Row],[Existing CF]]*ReviewCalcs[[#This Row],[IEFD]], 0)</f>
        <v>0</v>
      </c>
      <c r="AK247" s="118">
        <f>IFERROR((ReviewCalcs[[#This Row],[Existing Fixture Quantity]]*ReviewCalcs[[#This Row],[Existing Fixture Watts]]/1000)*ReviewCalcs[[#This Row],[AOH]]*ReviewCalcs[[#This Row],[IEFE]]*ReviewCalcs[[#This Row],[Existing PAF]], 0)</f>
        <v>0</v>
      </c>
      <c r="AL247" s="118">
        <f>IFERROR((ReviewCalcs[[#This Row],[Proposed Fixture Quantity]]*ReviewCalcs[[#This Row],[Proposed Fixture Watts]]/1000)*ReviewCalcs[[#This Row],[AOH]]*ReviewCalcs[[#This Row],[IEFE]]*ReviewCalcs[[#This Row],[Existing PAF]], 0)</f>
        <v>0</v>
      </c>
      <c r="AM24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7" s="118">
        <f>ReviewCalcs[[#This Row],[Fixture Existing Energy (kWh)]]*Avg_KWh_Rate</f>
        <v>0</v>
      </c>
      <c r="AO247" s="118">
        <f>ReviewCalcs[[#This Row],[Fixture Proposed Energy (kWh)]]*Avg_KWh_Rate</f>
        <v>0</v>
      </c>
      <c r="AP247" s="70">
        <f>ReviewCalcs[[#This Row],[Fixture Energy Savings]]*Avg_KWh_Rate</f>
        <v>0</v>
      </c>
      <c r="AQ247" s="129" t="e">
        <f>ReviewCalcs[[#This Row],[Existing Fixture Quantity]]*ReviewCalcs[[#This Row],[Existing Fixture Watts]]/1000*ReviewCalcs[[#This Row],[Existing CF]]*ReviewCalcs[[#This Row],[IEFD]]</f>
        <v>#VALUE!</v>
      </c>
      <c r="AR247" s="129" t="e">
        <f>ReviewCalcs[[#This Row],[Proposed Fixture Quantity]]*ReviewCalcs[[#This Row],[Proposed Fixture Watts]]/1000*ReviewCalcs[[#This Row],[Proposed CF]]*ReviewCalcs[[#This Row],[IEFD]]</f>
        <v>#VALUE!</v>
      </c>
      <c r="AS247" s="118">
        <f>IF(ReviewCalcs[[#This Row],[Existing CF]]=ReviewCalcs[[#This Row],[Proposed CF]], 0, ReviewCalcs[[#This Row],[Proposed Fixture Quantity]]*ReviewCalcs[[#This Row],[Proposed Fixture Watts]]/1000*ReviewCalcs[[#This Row],[Proposed CF]]*ReviewCalcs[[#This Row],[IEFD]])</f>
        <v>0</v>
      </c>
      <c r="AT247" s="118">
        <f>IFERROR(ReviewCalcs[[#This Row],[Existing Fixture Quantity]]*ReviewCalcs[[#This Row],[Existing Fixture Watts]]/1000*ReviewCalcs[[#This Row],[Existing PAF]]*ReviewCalcs[[#This Row],[AOH]]*ReviewCalcs[[#This Row],[IEFE]], 0)</f>
        <v>0</v>
      </c>
      <c r="AU247" s="118">
        <f>IFERROR(ReviewCalcs[[#This Row],[Proposed Fixture Quantity]]*ReviewCalcs[[#This Row],[Proposed Fixture Watts]]/1000*ReviewCalcs[[#This Row],[Proposed PAF]]*ReviewCalcs[[#This Row],[AOH]]*ReviewCalcs[[#This Row],[IEFE]], 0)</f>
        <v>0</v>
      </c>
      <c r="AV247" s="118">
        <f>IFERROR(ReviewCalcs[[#This Row],[Proposed Fixture Quantity]]*ReviewCalcs[[#This Row],[Proposed Fixture Watts]]/1000*(ReviewCalcs[[#This Row],[Existing PAF]]-ReviewCalcs[[#This Row],[Proposed PAF]])*ReviewCalcs[[#This Row],[AOH]]*ReviewCalcs[[#This Row],[IEFE]], 0)</f>
        <v>0</v>
      </c>
      <c r="AW247" s="118">
        <f>ReviewCalcs[[#This Row],[Control Existing Energy (kWh)]]*kWh_Incentive_Rate</f>
        <v>0</v>
      </c>
      <c r="AX247" s="118">
        <f>ReviewCalcs[[#This Row],[Control Proposed Energy (kWh)]]*kWh_Incentive_Rate</f>
        <v>0</v>
      </c>
      <c r="AY247" s="70">
        <f>ReviewCalcs[[#This Row],[Control Energy Savings (kWh)]]*kWh_Incentive_Rate</f>
        <v>0</v>
      </c>
      <c r="AZ247" s="70" t="e">
        <f>ReviewCalcs[[#This Row],[Fixture Existing Demand (kW)]]+ReviewCalcs[[#This Row],[Control Existing Demand (kW)]]</f>
        <v>#VALUE!</v>
      </c>
      <c r="BA247" s="70" t="e">
        <f>ReviewCalcs[[#This Row],[Fixture Proposed Demand (kW)]]+ReviewCalcs[[#This Row],[Control Proposed Demand (kW)]]</f>
        <v>#VALUE!</v>
      </c>
      <c r="BB247" s="118">
        <f>ReviewCalcs[[#This Row],[Fixture Demand Savings (kW)]]+ReviewCalcs[[#This Row],[Control Demand Savings (kW)]]</f>
        <v>0</v>
      </c>
      <c r="BC247" s="118">
        <f>ReviewCalcs[[#This Row],[Fixture Existing Energy (kWh)]]+ReviewCalcs[[#This Row],[Control Existing Energy (kWh)]]</f>
        <v>0</v>
      </c>
      <c r="BD247" s="118">
        <f>ReviewCalcs[[#This Row],[Fixture Proposed Energy (kWh)]]+ReviewCalcs[[#This Row],[Control Proposed Energy (kWh)]]</f>
        <v>0</v>
      </c>
      <c r="BE247" s="118">
        <f>ReviewCalcs[[#This Row],[Fixture Energy Savings]]+ReviewCalcs[[#This Row],[Control Energy Savings (kWh)]]</f>
        <v>0</v>
      </c>
      <c r="BF247" s="118">
        <f>ReviewCalcs[[#This Row],[Fixture Existing Cost ($)]]+ReviewCalcs[[#This Row],[Control Existing Cost ($)]]</f>
        <v>0</v>
      </c>
      <c r="BG247" s="118">
        <f>ReviewCalcs[[#This Row],[Fixture Proposed Cost ($)]]+ReviewCalcs[[#This Row],[Controls Proposed Cost ($)]]</f>
        <v>0</v>
      </c>
      <c r="BH247" s="70">
        <f>ReviewCalcs[[#This Row],[Total Energy Savings (kWh)]]*Avg_KWh_Rate</f>
        <v>0</v>
      </c>
      <c r="BI24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7" s="70">
        <f>ReviewCalcs[[#This Row],[Retrofit Cost]]</f>
        <v>0</v>
      </c>
      <c r="BK247" s="70">
        <f>ReviewCalcs[[#This Row],[Retrofit Cost]]-ReviewCalcs[[#This Row],[Incentive ($)]]</f>
        <v>0</v>
      </c>
      <c r="BL247" s="118" t="e">
        <f>IFERROR(ReviewCalcs[[#This Row],[Net Project Cost ($)]]/ReviewCalcs[[#This Row],[Fixture Energy Cost Savings ($)]], #N/A)</f>
        <v>#N/A</v>
      </c>
      <c r="BM247" s="118" t="e">
        <f>IF(VLOOKUP(ReviewCalcs[[#This Row],[Existing Fixture Code]], Table7[[FIXTURE CODE]:[Baseline Fixture Code]], 8, FALSE)="N", VLOOKUP(ReviewCalcs[[#This Row],[Existing Fixture Code]], Table7[[FIXTURE CODE]:[Baseline Fixture Code]], 9, FALSE), ReviewCalcs[[#This Row],[Existing Fixture Code]])</f>
        <v>#N/A</v>
      </c>
      <c r="BN247" s="118" t="e">
        <f>INDEX(Table7[WATT/ FIXT], MATCH(ReviewCalcs[Baseline Fixture Code], Table7[FIXTURE CODE], 0))</f>
        <v>#N/A</v>
      </c>
      <c r="BO247" s="118">
        <f>IFERROR((ReviewCalcs[[#This Row],[Existing Fixture Quantity]]*ReviewCalcs[[#This Row],[Baseline Fixture Watts]]/1000-ReviewCalcs[[#This Row],[Proposed Fixture Quantity]]*ReviewCalcs[[#This Row],[Proposed Fixture Watts]]/1000)*ReviewCalcs[[#This Row],[Existing CF]]*ReviewCalcs[[#This Row],[IEFD]], 0)</f>
        <v>0</v>
      </c>
      <c r="BP24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7" s="118">
        <f>IF(ReviewCalcs[[#This Row],[Existing CF]]=ReviewCalcs[[#This Row],[Proposed CF]], 0, ReviewCalcs[[#This Row],[Proposed Fixture Quantity]]*ReviewCalcs[[#This Row],[Proposed Fixture Watts]]/1000*ReviewCalcs[[#This Row],[Proposed CF]]*ReviewCalcs[[#This Row],[IEFD]])</f>
        <v>0</v>
      </c>
      <c r="BR247" s="118">
        <f>IFERROR(ReviewCalcs[[#This Row],[Proposed Fixture Quantity]]*ReviewCalcs[[#This Row],[Proposed Fixture Watts]]/1000*(ReviewCalcs[[#This Row],[Existing PAF]]-ReviewCalcs[[#This Row],[Proposed PAF]])*ReviewCalcs[[#This Row],[AOH]]*ReviewCalcs[[#This Row],[IEFE]],0)</f>
        <v>0</v>
      </c>
      <c r="BS247" s="118">
        <f>ReviewCalcs[[#This Row],[Incentive Fixture Demand Savings (kW)]]+ReviewCalcs[[#This Row],[Incentive Control Demand Savings (kW)]]</f>
        <v>0</v>
      </c>
      <c r="BT247" s="118">
        <f>ReviewCalcs[[#This Row],[Incentive Fixture Energy Savings (kWh)]]+ReviewCalcs[[#This Row],[Incentive Control Energy Savings (kWh)]]</f>
        <v>0</v>
      </c>
      <c r="BU247" s="73"/>
    </row>
    <row r="248" spans="1:73" ht="30" customHeight="1">
      <c r="A248" s="68">
        <v>245</v>
      </c>
      <c r="B248" s="96">
        <f>VLOOKUP(ReviewCalcs[[#This Row],[Project Index]], ProjectInput[], D$1, FALSE)</f>
        <v>0</v>
      </c>
      <c r="C248" s="97">
        <f>VLOOKUP(ReviewCalcs[[#This Row],[Project Index]], ProjectInput[], E$1, FALSE)</f>
        <v>0</v>
      </c>
      <c r="D248" s="97">
        <f>VLOOKUP(ReviewCalcs[[#This Row],[Project Index]], ProjectInput[], F$1, FALSE)</f>
        <v>0</v>
      </c>
      <c r="E248" s="97">
        <f>VLOOKUP(ReviewCalcs[[#This Row],[Project Index]], ProjectInput[], G$1, FALSE)</f>
        <v>0</v>
      </c>
      <c r="F248" s="97">
        <f>VLOOKUP(ReviewCalcs[[#This Row],[Project Index]], ProjectInput[], H$1, FALSE)</f>
        <v>0</v>
      </c>
      <c r="G248" s="98" t="str">
        <f>VLOOKUP(ReviewCalcs[[#This Row],[Project Index]], ProjectInput[], I$1, FALSE)</f>
        <v/>
      </c>
      <c r="H248" s="96">
        <f>VLOOKUP(ReviewCalcs[[#This Row],[Project Index]], ProjectInput[], J$1, FALSE)</f>
        <v>0</v>
      </c>
      <c r="I248" s="97">
        <f>VLOOKUP(ReviewCalcs[[#This Row],[Project Index]], ProjectInput[], K$1, FALSE)</f>
        <v>0</v>
      </c>
      <c r="J248" s="97">
        <f>VLOOKUP(ReviewCalcs[[#This Row],[Project Index]], ProjectInput[], L$1, FALSE)</f>
        <v>0</v>
      </c>
      <c r="K248" s="97">
        <f>VLOOKUP(ReviewCalcs[[#This Row],[Project Index]], ProjectInput[], M$1, FALSE)</f>
        <v>0</v>
      </c>
      <c r="L248" s="97">
        <f>VLOOKUP(ReviewCalcs[[#This Row],[Project Index]], ProjectInput[], N$1, FALSE)</f>
        <v>0</v>
      </c>
      <c r="M248" s="98" t="str">
        <f>VLOOKUP(ReviewCalcs[[#This Row],[Project Index]], ProjectInput[], O$1, FALSE)</f>
        <v/>
      </c>
      <c r="N248" s="96">
        <f>VLOOKUP(ReviewCalcs[[#This Row],[Project Index]], ProjectInput[], P$1, FALSE)</f>
        <v>0</v>
      </c>
      <c r="O248" s="97">
        <f>VLOOKUP(ReviewCalcs[[#This Row],[Project Index]], ProjectInput[], Q$1, FALSE)</f>
        <v>0</v>
      </c>
      <c r="P248" s="97">
        <f>VLOOKUP(ReviewCalcs[[#This Row],[Project Index]], ProjectInput[], R$1, FALSE)</f>
        <v>0</v>
      </c>
      <c r="Q248" s="97">
        <f>VLOOKUP(ReviewCalcs[[#This Row],[Project Index]], ProjectInput[], S$1, FALSE)</f>
        <v>0</v>
      </c>
      <c r="R248" s="97">
        <f>VLOOKUP(ReviewCalcs[[#This Row],[Project Index]], ProjectInput[], T$1, FALSE)</f>
        <v>0</v>
      </c>
      <c r="S248" s="97">
        <f>VLOOKUP(ReviewCalcs[[#This Row],[Project Index]], ProjectInput[], U$1, FALSE)</f>
        <v>0</v>
      </c>
      <c r="T248" s="97">
        <f>VLOOKUP(ReviewCalcs[[#This Row],[Project Index]], ProjectInput[], V$1, FALSE)</f>
        <v>0</v>
      </c>
      <c r="U248" s="97">
        <f>VLOOKUP(ReviewCalcs[[#This Row],[Project Index]], ProjectInput[], W$1, FALSE)</f>
        <v>0</v>
      </c>
      <c r="V248" s="98" t="str">
        <f>VLOOKUP(ReviewCalcs[[#This Row],[Project Index]], ProjectInput[], X$1, FALSE)</f>
        <v/>
      </c>
      <c r="W24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8" s="75" t="e">
        <f>IF(VLOOKUP(ReviewCalcs[[#This Row],[Proposed Fixture Code]], Table7[[FIXTURE CODE]:[Baseline Fixture Code]], 8, FALSE)="N", "ERROR", "PASS")</f>
        <v>#N/A</v>
      </c>
      <c r="Y24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8" s="75" t="e">
        <f>IF(OR(ReviewCalcs[[#This Row],[Baseline Fixture Watts]]&gt;=ReviewCalcs[[#This Row],[Proposed Fixture Watts]],ReviewCalcs[[#This Row],[Existing Fixture Watts]]&gt;=ReviewCalcs[[#This Row],[Proposed Fixture Watts]] ), "PASS", "ERROR")</f>
        <v>#N/A</v>
      </c>
      <c r="AA248" s="69" t="e">
        <f>VLOOKUP(ReviewCalcs[[#This Row],[Space Conditions]], Table_365[], 5, FALSE)</f>
        <v>#N/A</v>
      </c>
      <c r="AB248" s="68" t="str">
        <f>ReviewCalcs[[#This Row],[Annual Hours]]</f>
        <v/>
      </c>
      <c r="AC248" s="68" t="e">
        <f>VLOOKUP(ReviewCalcs[[#This Row],[Space Conditions]], Table_365[], 6, FALSE)</f>
        <v>#N/A</v>
      </c>
      <c r="AD248" s="68">
        <f>IF(ReviewCalcs[[#This Row],[Existing Control(s)]]='Tables &amp; Ranges'!$A$25, VLOOKUP(ReviewCalcs[[#This Row],[Building/Space Type]], Table_364[], 3, FALSE), CF_Contols)</f>
        <v>0.26</v>
      </c>
      <c r="AE248" s="68" t="e">
        <f>VLOOKUP(ReviewCalcs[[#This Row],[Existing Control(s)]], Table_358[], 2, FALSE)</f>
        <v>#N/A</v>
      </c>
      <c r="AF248" s="68">
        <f>IF(ReviewCalcs[[#This Row],[Proposed Control(s)]]='Tables &amp; Ranges'!$A$25, VLOOKUP(ReviewCalcs[[#This Row],[Building/Space Type]], Table_364[], 3, FALSE), CF_Contols)</f>
        <v>0.26</v>
      </c>
      <c r="AG248" s="68" t="e">
        <f>VLOOKUP(ReviewCalcs[[#This Row],[Proposed Control(s)]], Table_358[], 2, FALSE)</f>
        <v>#N/A</v>
      </c>
      <c r="AH248" s="68">
        <f>IFERROR((ReviewCalcs[[#This Row],[Existing Fixture Quantity]]*ReviewCalcs[[#This Row],[Existing Fixture Watts]]/1000)*ReviewCalcs[[#This Row],[Existing CF]]*ReviewCalcs[[#This Row],[IEFD]], 0)</f>
        <v>0</v>
      </c>
      <c r="AI248" s="68">
        <f>IFERROR((ReviewCalcs[[#This Row],[Proposed Fixture Quantity]]*ReviewCalcs[[#This Row],[Proposed Fixture Watts]]/1000)*ReviewCalcs[[#This Row],[Existing CF]]*ReviewCalcs[[#This Row],[IEFD]], 0)</f>
        <v>0</v>
      </c>
      <c r="AJ248" s="118">
        <f>IFERROR((ReviewCalcs[[#This Row],[Existing Fixture Quantity]]*ReviewCalcs[[#This Row],[Existing Fixture Watts]]/1000-ReviewCalcs[[#This Row],[Proposed Fixture Quantity]]*ReviewCalcs[[#This Row],[Proposed Fixture Watts]]/1000)*ReviewCalcs[[#This Row],[Existing CF]]*ReviewCalcs[[#This Row],[IEFD]], 0)</f>
        <v>0</v>
      </c>
      <c r="AK248" s="118">
        <f>IFERROR((ReviewCalcs[[#This Row],[Existing Fixture Quantity]]*ReviewCalcs[[#This Row],[Existing Fixture Watts]]/1000)*ReviewCalcs[[#This Row],[AOH]]*ReviewCalcs[[#This Row],[IEFE]]*ReviewCalcs[[#This Row],[Existing PAF]], 0)</f>
        <v>0</v>
      </c>
      <c r="AL248" s="118">
        <f>IFERROR((ReviewCalcs[[#This Row],[Proposed Fixture Quantity]]*ReviewCalcs[[#This Row],[Proposed Fixture Watts]]/1000)*ReviewCalcs[[#This Row],[AOH]]*ReviewCalcs[[#This Row],[IEFE]]*ReviewCalcs[[#This Row],[Existing PAF]], 0)</f>
        <v>0</v>
      </c>
      <c r="AM24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8" s="118">
        <f>ReviewCalcs[[#This Row],[Fixture Existing Energy (kWh)]]*Avg_KWh_Rate</f>
        <v>0</v>
      </c>
      <c r="AO248" s="118">
        <f>ReviewCalcs[[#This Row],[Fixture Proposed Energy (kWh)]]*Avg_KWh_Rate</f>
        <v>0</v>
      </c>
      <c r="AP248" s="70">
        <f>ReviewCalcs[[#This Row],[Fixture Energy Savings]]*Avg_KWh_Rate</f>
        <v>0</v>
      </c>
      <c r="AQ248" s="129" t="e">
        <f>ReviewCalcs[[#This Row],[Existing Fixture Quantity]]*ReviewCalcs[[#This Row],[Existing Fixture Watts]]/1000*ReviewCalcs[[#This Row],[Existing CF]]*ReviewCalcs[[#This Row],[IEFD]]</f>
        <v>#VALUE!</v>
      </c>
      <c r="AR248" s="129" t="e">
        <f>ReviewCalcs[[#This Row],[Proposed Fixture Quantity]]*ReviewCalcs[[#This Row],[Proposed Fixture Watts]]/1000*ReviewCalcs[[#This Row],[Proposed CF]]*ReviewCalcs[[#This Row],[IEFD]]</f>
        <v>#VALUE!</v>
      </c>
      <c r="AS248" s="118">
        <f>IF(ReviewCalcs[[#This Row],[Existing CF]]=ReviewCalcs[[#This Row],[Proposed CF]], 0, ReviewCalcs[[#This Row],[Proposed Fixture Quantity]]*ReviewCalcs[[#This Row],[Proposed Fixture Watts]]/1000*ReviewCalcs[[#This Row],[Proposed CF]]*ReviewCalcs[[#This Row],[IEFD]])</f>
        <v>0</v>
      </c>
      <c r="AT248" s="118">
        <f>IFERROR(ReviewCalcs[[#This Row],[Existing Fixture Quantity]]*ReviewCalcs[[#This Row],[Existing Fixture Watts]]/1000*ReviewCalcs[[#This Row],[Existing PAF]]*ReviewCalcs[[#This Row],[AOH]]*ReviewCalcs[[#This Row],[IEFE]], 0)</f>
        <v>0</v>
      </c>
      <c r="AU248" s="118">
        <f>IFERROR(ReviewCalcs[[#This Row],[Proposed Fixture Quantity]]*ReviewCalcs[[#This Row],[Proposed Fixture Watts]]/1000*ReviewCalcs[[#This Row],[Proposed PAF]]*ReviewCalcs[[#This Row],[AOH]]*ReviewCalcs[[#This Row],[IEFE]], 0)</f>
        <v>0</v>
      </c>
      <c r="AV248" s="118">
        <f>IFERROR(ReviewCalcs[[#This Row],[Proposed Fixture Quantity]]*ReviewCalcs[[#This Row],[Proposed Fixture Watts]]/1000*(ReviewCalcs[[#This Row],[Existing PAF]]-ReviewCalcs[[#This Row],[Proposed PAF]])*ReviewCalcs[[#This Row],[AOH]]*ReviewCalcs[[#This Row],[IEFE]], 0)</f>
        <v>0</v>
      </c>
      <c r="AW248" s="118">
        <f>ReviewCalcs[[#This Row],[Control Existing Energy (kWh)]]*kWh_Incentive_Rate</f>
        <v>0</v>
      </c>
      <c r="AX248" s="118">
        <f>ReviewCalcs[[#This Row],[Control Proposed Energy (kWh)]]*kWh_Incentive_Rate</f>
        <v>0</v>
      </c>
      <c r="AY248" s="70">
        <f>ReviewCalcs[[#This Row],[Control Energy Savings (kWh)]]*kWh_Incentive_Rate</f>
        <v>0</v>
      </c>
      <c r="AZ248" s="70" t="e">
        <f>ReviewCalcs[[#This Row],[Fixture Existing Demand (kW)]]+ReviewCalcs[[#This Row],[Control Existing Demand (kW)]]</f>
        <v>#VALUE!</v>
      </c>
      <c r="BA248" s="70" t="e">
        <f>ReviewCalcs[[#This Row],[Fixture Proposed Demand (kW)]]+ReviewCalcs[[#This Row],[Control Proposed Demand (kW)]]</f>
        <v>#VALUE!</v>
      </c>
      <c r="BB248" s="118">
        <f>ReviewCalcs[[#This Row],[Fixture Demand Savings (kW)]]+ReviewCalcs[[#This Row],[Control Demand Savings (kW)]]</f>
        <v>0</v>
      </c>
      <c r="BC248" s="118">
        <f>ReviewCalcs[[#This Row],[Fixture Existing Energy (kWh)]]+ReviewCalcs[[#This Row],[Control Existing Energy (kWh)]]</f>
        <v>0</v>
      </c>
      <c r="BD248" s="118">
        <f>ReviewCalcs[[#This Row],[Fixture Proposed Energy (kWh)]]+ReviewCalcs[[#This Row],[Control Proposed Energy (kWh)]]</f>
        <v>0</v>
      </c>
      <c r="BE248" s="118">
        <f>ReviewCalcs[[#This Row],[Fixture Energy Savings]]+ReviewCalcs[[#This Row],[Control Energy Savings (kWh)]]</f>
        <v>0</v>
      </c>
      <c r="BF248" s="118">
        <f>ReviewCalcs[[#This Row],[Fixture Existing Cost ($)]]+ReviewCalcs[[#This Row],[Control Existing Cost ($)]]</f>
        <v>0</v>
      </c>
      <c r="BG248" s="118">
        <f>ReviewCalcs[[#This Row],[Fixture Proposed Cost ($)]]+ReviewCalcs[[#This Row],[Controls Proposed Cost ($)]]</f>
        <v>0</v>
      </c>
      <c r="BH248" s="70">
        <f>ReviewCalcs[[#This Row],[Total Energy Savings (kWh)]]*Avg_KWh_Rate</f>
        <v>0</v>
      </c>
      <c r="BI24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8" s="70">
        <f>ReviewCalcs[[#This Row],[Retrofit Cost]]</f>
        <v>0</v>
      </c>
      <c r="BK248" s="70">
        <f>ReviewCalcs[[#This Row],[Retrofit Cost]]-ReviewCalcs[[#This Row],[Incentive ($)]]</f>
        <v>0</v>
      </c>
      <c r="BL248" s="118" t="e">
        <f>IFERROR(ReviewCalcs[[#This Row],[Net Project Cost ($)]]/ReviewCalcs[[#This Row],[Fixture Energy Cost Savings ($)]], #N/A)</f>
        <v>#N/A</v>
      </c>
      <c r="BM248" s="118" t="e">
        <f>IF(VLOOKUP(ReviewCalcs[[#This Row],[Existing Fixture Code]], Table7[[FIXTURE CODE]:[Baseline Fixture Code]], 8, FALSE)="N", VLOOKUP(ReviewCalcs[[#This Row],[Existing Fixture Code]], Table7[[FIXTURE CODE]:[Baseline Fixture Code]], 9, FALSE), ReviewCalcs[[#This Row],[Existing Fixture Code]])</f>
        <v>#N/A</v>
      </c>
      <c r="BN248" s="118" t="e">
        <f>INDEX(Table7[WATT/ FIXT], MATCH(ReviewCalcs[Baseline Fixture Code], Table7[FIXTURE CODE], 0))</f>
        <v>#N/A</v>
      </c>
      <c r="BO248" s="118">
        <f>IFERROR((ReviewCalcs[[#This Row],[Existing Fixture Quantity]]*ReviewCalcs[[#This Row],[Baseline Fixture Watts]]/1000-ReviewCalcs[[#This Row],[Proposed Fixture Quantity]]*ReviewCalcs[[#This Row],[Proposed Fixture Watts]]/1000)*ReviewCalcs[[#This Row],[Existing CF]]*ReviewCalcs[[#This Row],[IEFD]], 0)</f>
        <v>0</v>
      </c>
      <c r="BP24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8" s="118">
        <f>IF(ReviewCalcs[[#This Row],[Existing CF]]=ReviewCalcs[[#This Row],[Proposed CF]], 0, ReviewCalcs[[#This Row],[Proposed Fixture Quantity]]*ReviewCalcs[[#This Row],[Proposed Fixture Watts]]/1000*ReviewCalcs[[#This Row],[Proposed CF]]*ReviewCalcs[[#This Row],[IEFD]])</f>
        <v>0</v>
      </c>
      <c r="BR248" s="118">
        <f>IFERROR(ReviewCalcs[[#This Row],[Proposed Fixture Quantity]]*ReviewCalcs[[#This Row],[Proposed Fixture Watts]]/1000*(ReviewCalcs[[#This Row],[Existing PAF]]-ReviewCalcs[[#This Row],[Proposed PAF]])*ReviewCalcs[[#This Row],[AOH]]*ReviewCalcs[[#This Row],[IEFE]],0)</f>
        <v>0</v>
      </c>
      <c r="BS248" s="118">
        <f>ReviewCalcs[[#This Row],[Incentive Fixture Demand Savings (kW)]]+ReviewCalcs[[#This Row],[Incentive Control Demand Savings (kW)]]</f>
        <v>0</v>
      </c>
      <c r="BT248" s="118">
        <f>ReviewCalcs[[#This Row],[Incentive Fixture Energy Savings (kWh)]]+ReviewCalcs[[#This Row],[Incentive Control Energy Savings (kWh)]]</f>
        <v>0</v>
      </c>
      <c r="BU248" s="73"/>
    </row>
    <row r="249" spans="1:73" ht="30" customHeight="1">
      <c r="A249" s="68">
        <v>246</v>
      </c>
      <c r="B249" s="96">
        <f>VLOOKUP(ReviewCalcs[[#This Row],[Project Index]], ProjectInput[], D$1, FALSE)</f>
        <v>0</v>
      </c>
      <c r="C249" s="97">
        <f>VLOOKUP(ReviewCalcs[[#This Row],[Project Index]], ProjectInput[], E$1, FALSE)</f>
        <v>0</v>
      </c>
      <c r="D249" s="97">
        <f>VLOOKUP(ReviewCalcs[[#This Row],[Project Index]], ProjectInput[], F$1, FALSE)</f>
        <v>0</v>
      </c>
      <c r="E249" s="97">
        <f>VLOOKUP(ReviewCalcs[[#This Row],[Project Index]], ProjectInput[], G$1, FALSE)</f>
        <v>0</v>
      </c>
      <c r="F249" s="97">
        <f>VLOOKUP(ReviewCalcs[[#This Row],[Project Index]], ProjectInput[], H$1, FALSE)</f>
        <v>0</v>
      </c>
      <c r="G249" s="98" t="str">
        <f>VLOOKUP(ReviewCalcs[[#This Row],[Project Index]], ProjectInput[], I$1, FALSE)</f>
        <v/>
      </c>
      <c r="H249" s="96">
        <f>VLOOKUP(ReviewCalcs[[#This Row],[Project Index]], ProjectInput[], J$1, FALSE)</f>
        <v>0</v>
      </c>
      <c r="I249" s="97">
        <f>VLOOKUP(ReviewCalcs[[#This Row],[Project Index]], ProjectInput[], K$1, FALSE)</f>
        <v>0</v>
      </c>
      <c r="J249" s="97">
        <f>VLOOKUP(ReviewCalcs[[#This Row],[Project Index]], ProjectInput[], L$1, FALSE)</f>
        <v>0</v>
      </c>
      <c r="K249" s="97">
        <f>VLOOKUP(ReviewCalcs[[#This Row],[Project Index]], ProjectInput[], M$1, FALSE)</f>
        <v>0</v>
      </c>
      <c r="L249" s="97">
        <f>VLOOKUP(ReviewCalcs[[#This Row],[Project Index]], ProjectInput[], N$1, FALSE)</f>
        <v>0</v>
      </c>
      <c r="M249" s="98" t="str">
        <f>VLOOKUP(ReviewCalcs[[#This Row],[Project Index]], ProjectInput[], O$1, FALSE)</f>
        <v/>
      </c>
      <c r="N249" s="96">
        <f>VLOOKUP(ReviewCalcs[[#This Row],[Project Index]], ProjectInput[], P$1, FALSE)</f>
        <v>0</v>
      </c>
      <c r="O249" s="97">
        <f>VLOOKUP(ReviewCalcs[[#This Row],[Project Index]], ProjectInput[], Q$1, FALSE)</f>
        <v>0</v>
      </c>
      <c r="P249" s="97">
        <f>VLOOKUP(ReviewCalcs[[#This Row],[Project Index]], ProjectInput[], R$1, FALSE)</f>
        <v>0</v>
      </c>
      <c r="Q249" s="97">
        <f>VLOOKUP(ReviewCalcs[[#This Row],[Project Index]], ProjectInput[], S$1, FALSE)</f>
        <v>0</v>
      </c>
      <c r="R249" s="97">
        <f>VLOOKUP(ReviewCalcs[[#This Row],[Project Index]], ProjectInput[], T$1, FALSE)</f>
        <v>0</v>
      </c>
      <c r="S249" s="97">
        <f>VLOOKUP(ReviewCalcs[[#This Row],[Project Index]], ProjectInput[], U$1, FALSE)</f>
        <v>0</v>
      </c>
      <c r="T249" s="97">
        <f>VLOOKUP(ReviewCalcs[[#This Row],[Project Index]], ProjectInput[], V$1, FALSE)</f>
        <v>0</v>
      </c>
      <c r="U249" s="97">
        <f>VLOOKUP(ReviewCalcs[[#This Row],[Project Index]], ProjectInput[], W$1, FALSE)</f>
        <v>0</v>
      </c>
      <c r="V249" s="98" t="str">
        <f>VLOOKUP(ReviewCalcs[[#This Row],[Project Index]], ProjectInput[], X$1, FALSE)</f>
        <v/>
      </c>
      <c r="W24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49" s="75" t="e">
        <f>IF(VLOOKUP(ReviewCalcs[[#This Row],[Proposed Fixture Code]], Table7[[FIXTURE CODE]:[Baseline Fixture Code]], 8, FALSE)="N", "ERROR", "PASS")</f>
        <v>#N/A</v>
      </c>
      <c r="Y24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49" s="75" t="e">
        <f>IF(OR(ReviewCalcs[[#This Row],[Baseline Fixture Watts]]&gt;=ReviewCalcs[[#This Row],[Proposed Fixture Watts]],ReviewCalcs[[#This Row],[Existing Fixture Watts]]&gt;=ReviewCalcs[[#This Row],[Proposed Fixture Watts]] ), "PASS", "ERROR")</f>
        <v>#N/A</v>
      </c>
      <c r="AA249" s="69" t="e">
        <f>VLOOKUP(ReviewCalcs[[#This Row],[Space Conditions]], Table_365[], 5, FALSE)</f>
        <v>#N/A</v>
      </c>
      <c r="AB249" s="68" t="str">
        <f>ReviewCalcs[[#This Row],[Annual Hours]]</f>
        <v/>
      </c>
      <c r="AC249" s="68" t="e">
        <f>VLOOKUP(ReviewCalcs[[#This Row],[Space Conditions]], Table_365[], 6, FALSE)</f>
        <v>#N/A</v>
      </c>
      <c r="AD249" s="68">
        <f>IF(ReviewCalcs[[#This Row],[Existing Control(s)]]='Tables &amp; Ranges'!$A$25, VLOOKUP(ReviewCalcs[[#This Row],[Building/Space Type]], Table_364[], 3, FALSE), CF_Contols)</f>
        <v>0.26</v>
      </c>
      <c r="AE249" s="68" t="e">
        <f>VLOOKUP(ReviewCalcs[[#This Row],[Existing Control(s)]], Table_358[], 2, FALSE)</f>
        <v>#N/A</v>
      </c>
      <c r="AF249" s="68">
        <f>IF(ReviewCalcs[[#This Row],[Proposed Control(s)]]='Tables &amp; Ranges'!$A$25, VLOOKUP(ReviewCalcs[[#This Row],[Building/Space Type]], Table_364[], 3, FALSE), CF_Contols)</f>
        <v>0.26</v>
      </c>
      <c r="AG249" s="68" t="e">
        <f>VLOOKUP(ReviewCalcs[[#This Row],[Proposed Control(s)]], Table_358[], 2, FALSE)</f>
        <v>#N/A</v>
      </c>
      <c r="AH249" s="68">
        <f>IFERROR((ReviewCalcs[[#This Row],[Existing Fixture Quantity]]*ReviewCalcs[[#This Row],[Existing Fixture Watts]]/1000)*ReviewCalcs[[#This Row],[Existing CF]]*ReviewCalcs[[#This Row],[IEFD]], 0)</f>
        <v>0</v>
      </c>
      <c r="AI249" s="68">
        <f>IFERROR((ReviewCalcs[[#This Row],[Proposed Fixture Quantity]]*ReviewCalcs[[#This Row],[Proposed Fixture Watts]]/1000)*ReviewCalcs[[#This Row],[Existing CF]]*ReviewCalcs[[#This Row],[IEFD]], 0)</f>
        <v>0</v>
      </c>
      <c r="AJ249" s="118">
        <f>IFERROR((ReviewCalcs[[#This Row],[Existing Fixture Quantity]]*ReviewCalcs[[#This Row],[Existing Fixture Watts]]/1000-ReviewCalcs[[#This Row],[Proposed Fixture Quantity]]*ReviewCalcs[[#This Row],[Proposed Fixture Watts]]/1000)*ReviewCalcs[[#This Row],[Existing CF]]*ReviewCalcs[[#This Row],[IEFD]], 0)</f>
        <v>0</v>
      </c>
      <c r="AK249" s="118">
        <f>IFERROR((ReviewCalcs[[#This Row],[Existing Fixture Quantity]]*ReviewCalcs[[#This Row],[Existing Fixture Watts]]/1000)*ReviewCalcs[[#This Row],[AOH]]*ReviewCalcs[[#This Row],[IEFE]]*ReviewCalcs[[#This Row],[Existing PAF]], 0)</f>
        <v>0</v>
      </c>
      <c r="AL249" s="118">
        <f>IFERROR((ReviewCalcs[[#This Row],[Proposed Fixture Quantity]]*ReviewCalcs[[#This Row],[Proposed Fixture Watts]]/1000)*ReviewCalcs[[#This Row],[AOH]]*ReviewCalcs[[#This Row],[IEFE]]*ReviewCalcs[[#This Row],[Existing PAF]], 0)</f>
        <v>0</v>
      </c>
      <c r="AM24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49" s="118">
        <f>ReviewCalcs[[#This Row],[Fixture Existing Energy (kWh)]]*Avg_KWh_Rate</f>
        <v>0</v>
      </c>
      <c r="AO249" s="118">
        <f>ReviewCalcs[[#This Row],[Fixture Proposed Energy (kWh)]]*Avg_KWh_Rate</f>
        <v>0</v>
      </c>
      <c r="AP249" s="70">
        <f>ReviewCalcs[[#This Row],[Fixture Energy Savings]]*Avg_KWh_Rate</f>
        <v>0</v>
      </c>
      <c r="AQ249" s="129" t="e">
        <f>ReviewCalcs[[#This Row],[Existing Fixture Quantity]]*ReviewCalcs[[#This Row],[Existing Fixture Watts]]/1000*ReviewCalcs[[#This Row],[Existing CF]]*ReviewCalcs[[#This Row],[IEFD]]</f>
        <v>#VALUE!</v>
      </c>
      <c r="AR249" s="129" t="e">
        <f>ReviewCalcs[[#This Row],[Proposed Fixture Quantity]]*ReviewCalcs[[#This Row],[Proposed Fixture Watts]]/1000*ReviewCalcs[[#This Row],[Proposed CF]]*ReviewCalcs[[#This Row],[IEFD]]</f>
        <v>#VALUE!</v>
      </c>
      <c r="AS249" s="118">
        <f>IF(ReviewCalcs[[#This Row],[Existing CF]]=ReviewCalcs[[#This Row],[Proposed CF]], 0, ReviewCalcs[[#This Row],[Proposed Fixture Quantity]]*ReviewCalcs[[#This Row],[Proposed Fixture Watts]]/1000*ReviewCalcs[[#This Row],[Proposed CF]]*ReviewCalcs[[#This Row],[IEFD]])</f>
        <v>0</v>
      </c>
      <c r="AT249" s="118">
        <f>IFERROR(ReviewCalcs[[#This Row],[Existing Fixture Quantity]]*ReviewCalcs[[#This Row],[Existing Fixture Watts]]/1000*ReviewCalcs[[#This Row],[Existing PAF]]*ReviewCalcs[[#This Row],[AOH]]*ReviewCalcs[[#This Row],[IEFE]], 0)</f>
        <v>0</v>
      </c>
      <c r="AU249" s="118">
        <f>IFERROR(ReviewCalcs[[#This Row],[Proposed Fixture Quantity]]*ReviewCalcs[[#This Row],[Proposed Fixture Watts]]/1000*ReviewCalcs[[#This Row],[Proposed PAF]]*ReviewCalcs[[#This Row],[AOH]]*ReviewCalcs[[#This Row],[IEFE]], 0)</f>
        <v>0</v>
      </c>
      <c r="AV249" s="118">
        <f>IFERROR(ReviewCalcs[[#This Row],[Proposed Fixture Quantity]]*ReviewCalcs[[#This Row],[Proposed Fixture Watts]]/1000*(ReviewCalcs[[#This Row],[Existing PAF]]-ReviewCalcs[[#This Row],[Proposed PAF]])*ReviewCalcs[[#This Row],[AOH]]*ReviewCalcs[[#This Row],[IEFE]], 0)</f>
        <v>0</v>
      </c>
      <c r="AW249" s="118">
        <f>ReviewCalcs[[#This Row],[Control Existing Energy (kWh)]]*kWh_Incentive_Rate</f>
        <v>0</v>
      </c>
      <c r="AX249" s="118">
        <f>ReviewCalcs[[#This Row],[Control Proposed Energy (kWh)]]*kWh_Incentive_Rate</f>
        <v>0</v>
      </c>
      <c r="AY249" s="70">
        <f>ReviewCalcs[[#This Row],[Control Energy Savings (kWh)]]*kWh_Incentive_Rate</f>
        <v>0</v>
      </c>
      <c r="AZ249" s="70" t="e">
        <f>ReviewCalcs[[#This Row],[Fixture Existing Demand (kW)]]+ReviewCalcs[[#This Row],[Control Existing Demand (kW)]]</f>
        <v>#VALUE!</v>
      </c>
      <c r="BA249" s="70" t="e">
        <f>ReviewCalcs[[#This Row],[Fixture Proposed Demand (kW)]]+ReviewCalcs[[#This Row],[Control Proposed Demand (kW)]]</f>
        <v>#VALUE!</v>
      </c>
      <c r="BB249" s="118">
        <f>ReviewCalcs[[#This Row],[Fixture Demand Savings (kW)]]+ReviewCalcs[[#This Row],[Control Demand Savings (kW)]]</f>
        <v>0</v>
      </c>
      <c r="BC249" s="118">
        <f>ReviewCalcs[[#This Row],[Fixture Existing Energy (kWh)]]+ReviewCalcs[[#This Row],[Control Existing Energy (kWh)]]</f>
        <v>0</v>
      </c>
      <c r="BD249" s="118">
        <f>ReviewCalcs[[#This Row],[Fixture Proposed Energy (kWh)]]+ReviewCalcs[[#This Row],[Control Proposed Energy (kWh)]]</f>
        <v>0</v>
      </c>
      <c r="BE249" s="118">
        <f>ReviewCalcs[[#This Row],[Fixture Energy Savings]]+ReviewCalcs[[#This Row],[Control Energy Savings (kWh)]]</f>
        <v>0</v>
      </c>
      <c r="BF249" s="118">
        <f>ReviewCalcs[[#This Row],[Fixture Existing Cost ($)]]+ReviewCalcs[[#This Row],[Control Existing Cost ($)]]</f>
        <v>0</v>
      </c>
      <c r="BG249" s="118">
        <f>ReviewCalcs[[#This Row],[Fixture Proposed Cost ($)]]+ReviewCalcs[[#This Row],[Controls Proposed Cost ($)]]</f>
        <v>0</v>
      </c>
      <c r="BH249" s="70">
        <f>ReviewCalcs[[#This Row],[Total Energy Savings (kWh)]]*Avg_KWh_Rate</f>
        <v>0</v>
      </c>
      <c r="BI24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49" s="70">
        <f>ReviewCalcs[[#This Row],[Retrofit Cost]]</f>
        <v>0</v>
      </c>
      <c r="BK249" s="70">
        <f>ReviewCalcs[[#This Row],[Retrofit Cost]]-ReviewCalcs[[#This Row],[Incentive ($)]]</f>
        <v>0</v>
      </c>
      <c r="BL249" s="118" t="e">
        <f>IFERROR(ReviewCalcs[[#This Row],[Net Project Cost ($)]]/ReviewCalcs[[#This Row],[Fixture Energy Cost Savings ($)]], #N/A)</f>
        <v>#N/A</v>
      </c>
      <c r="BM249" s="118" t="e">
        <f>IF(VLOOKUP(ReviewCalcs[[#This Row],[Existing Fixture Code]], Table7[[FIXTURE CODE]:[Baseline Fixture Code]], 8, FALSE)="N", VLOOKUP(ReviewCalcs[[#This Row],[Existing Fixture Code]], Table7[[FIXTURE CODE]:[Baseline Fixture Code]], 9, FALSE), ReviewCalcs[[#This Row],[Existing Fixture Code]])</f>
        <v>#N/A</v>
      </c>
      <c r="BN249" s="118" t="e">
        <f>INDEX(Table7[WATT/ FIXT], MATCH(ReviewCalcs[Baseline Fixture Code], Table7[FIXTURE CODE], 0))</f>
        <v>#N/A</v>
      </c>
      <c r="BO249" s="118">
        <f>IFERROR((ReviewCalcs[[#This Row],[Existing Fixture Quantity]]*ReviewCalcs[[#This Row],[Baseline Fixture Watts]]/1000-ReviewCalcs[[#This Row],[Proposed Fixture Quantity]]*ReviewCalcs[[#This Row],[Proposed Fixture Watts]]/1000)*ReviewCalcs[[#This Row],[Existing CF]]*ReviewCalcs[[#This Row],[IEFD]], 0)</f>
        <v>0</v>
      </c>
      <c r="BP24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49" s="118">
        <f>IF(ReviewCalcs[[#This Row],[Existing CF]]=ReviewCalcs[[#This Row],[Proposed CF]], 0, ReviewCalcs[[#This Row],[Proposed Fixture Quantity]]*ReviewCalcs[[#This Row],[Proposed Fixture Watts]]/1000*ReviewCalcs[[#This Row],[Proposed CF]]*ReviewCalcs[[#This Row],[IEFD]])</f>
        <v>0</v>
      </c>
      <c r="BR249" s="118">
        <f>IFERROR(ReviewCalcs[[#This Row],[Proposed Fixture Quantity]]*ReviewCalcs[[#This Row],[Proposed Fixture Watts]]/1000*(ReviewCalcs[[#This Row],[Existing PAF]]-ReviewCalcs[[#This Row],[Proposed PAF]])*ReviewCalcs[[#This Row],[AOH]]*ReviewCalcs[[#This Row],[IEFE]],0)</f>
        <v>0</v>
      </c>
      <c r="BS249" s="118">
        <f>ReviewCalcs[[#This Row],[Incentive Fixture Demand Savings (kW)]]+ReviewCalcs[[#This Row],[Incentive Control Demand Savings (kW)]]</f>
        <v>0</v>
      </c>
      <c r="BT249" s="118">
        <f>ReviewCalcs[[#This Row],[Incentive Fixture Energy Savings (kWh)]]+ReviewCalcs[[#This Row],[Incentive Control Energy Savings (kWh)]]</f>
        <v>0</v>
      </c>
      <c r="BU249" s="73"/>
    </row>
    <row r="250" spans="1:73" ht="30" customHeight="1">
      <c r="A250" s="68">
        <v>247</v>
      </c>
      <c r="B250" s="96">
        <f>VLOOKUP(ReviewCalcs[[#This Row],[Project Index]], ProjectInput[], D$1, FALSE)</f>
        <v>0</v>
      </c>
      <c r="C250" s="97">
        <f>VLOOKUP(ReviewCalcs[[#This Row],[Project Index]], ProjectInput[], E$1, FALSE)</f>
        <v>0</v>
      </c>
      <c r="D250" s="97">
        <f>VLOOKUP(ReviewCalcs[[#This Row],[Project Index]], ProjectInput[], F$1, FALSE)</f>
        <v>0</v>
      </c>
      <c r="E250" s="97">
        <f>VLOOKUP(ReviewCalcs[[#This Row],[Project Index]], ProjectInput[], G$1, FALSE)</f>
        <v>0</v>
      </c>
      <c r="F250" s="97">
        <f>VLOOKUP(ReviewCalcs[[#This Row],[Project Index]], ProjectInput[], H$1, FALSE)</f>
        <v>0</v>
      </c>
      <c r="G250" s="98" t="str">
        <f>VLOOKUP(ReviewCalcs[[#This Row],[Project Index]], ProjectInput[], I$1, FALSE)</f>
        <v/>
      </c>
      <c r="H250" s="96">
        <f>VLOOKUP(ReviewCalcs[[#This Row],[Project Index]], ProjectInput[], J$1, FALSE)</f>
        <v>0</v>
      </c>
      <c r="I250" s="97">
        <f>VLOOKUP(ReviewCalcs[[#This Row],[Project Index]], ProjectInput[], K$1, FALSE)</f>
        <v>0</v>
      </c>
      <c r="J250" s="97">
        <f>VLOOKUP(ReviewCalcs[[#This Row],[Project Index]], ProjectInput[], L$1, FALSE)</f>
        <v>0</v>
      </c>
      <c r="K250" s="97">
        <f>VLOOKUP(ReviewCalcs[[#This Row],[Project Index]], ProjectInput[], M$1, FALSE)</f>
        <v>0</v>
      </c>
      <c r="L250" s="97">
        <f>VLOOKUP(ReviewCalcs[[#This Row],[Project Index]], ProjectInput[], N$1, FALSE)</f>
        <v>0</v>
      </c>
      <c r="M250" s="98" t="str">
        <f>VLOOKUP(ReviewCalcs[[#This Row],[Project Index]], ProjectInput[], O$1, FALSE)</f>
        <v/>
      </c>
      <c r="N250" s="96">
        <f>VLOOKUP(ReviewCalcs[[#This Row],[Project Index]], ProjectInput[], P$1, FALSE)</f>
        <v>0</v>
      </c>
      <c r="O250" s="97">
        <f>VLOOKUP(ReviewCalcs[[#This Row],[Project Index]], ProjectInput[], Q$1, FALSE)</f>
        <v>0</v>
      </c>
      <c r="P250" s="97">
        <f>VLOOKUP(ReviewCalcs[[#This Row],[Project Index]], ProjectInput[], R$1, FALSE)</f>
        <v>0</v>
      </c>
      <c r="Q250" s="97">
        <f>VLOOKUP(ReviewCalcs[[#This Row],[Project Index]], ProjectInput[], S$1, FALSE)</f>
        <v>0</v>
      </c>
      <c r="R250" s="97">
        <f>VLOOKUP(ReviewCalcs[[#This Row],[Project Index]], ProjectInput[], T$1, FALSE)</f>
        <v>0</v>
      </c>
      <c r="S250" s="97">
        <f>VLOOKUP(ReviewCalcs[[#This Row],[Project Index]], ProjectInput[], U$1, FALSE)</f>
        <v>0</v>
      </c>
      <c r="T250" s="97">
        <f>VLOOKUP(ReviewCalcs[[#This Row],[Project Index]], ProjectInput[], V$1, FALSE)</f>
        <v>0</v>
      </c>
      <c r="U250" s="97">
        <f>VLOOKUP(ReviewCalcs[[#This Row],[Project Index]], ProjectInput[], W$1, FALSE)</f>
        <v>0</v>
      </c>
      <c r="V250" s="98" t="str">
        <f>VLOOKUP(ReviewCalcs[[#This Row],[Project Index]], ProjectInput[], X$1, FALSE)</f>
        <v/>
      </c>
      <c r="W25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0" s="75" t="e">
        <f>IF(VLOOKUP(ReviewCalcs[[#This Row],[Proposed Fixture Code]], Table7[[FIXTURE CODE]:[Baseline Fixture Code]], 8, FALSE)="N", "ERROR", "PASS")</f>
        <v>#N/A</v>
      </c>
      <c r="Y25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0" s="75" t="e">
        <f>IF(OR(ReviewCalcs[[#This Row],[Baseline Fixture Watts]]&gt;=ReviewCalcs[[#This Row],[Proposed Fixture Watts]],ReviewCalcs[[#This Row],[Existing Fixture Watts]]&gt;=ReviewCalcs[[#This Row],[Proposed Fixture Watts]] ), "PASS", "ERROR")</f>
        <v>#N/A</v>
      </c>
      <c r="AA250" s="69" t="e">
        <f>VLOOKUP(ReviewCalcs[[#This Row],[Space Conditions]], Table_365[], 5, FALSE)</f>
        <v>#N/A</v>
      </c>
      <c r="AB250" s="68" t="str">
        <f>ReviewCalcs[[#This Row],[Annual Hours]]</f>
        <v/>
      </c>
      <c r="AC250" s="68" t="e">
        <f>VLOOKUP(ReviewCalcs[[#This Row],[Space Conditions]], Table_365[], 6, FALSE)</f>
        <v>#N/A</v>
      </c>
      <c r="AD250" s="68">
        <f>IF(ReviewCalcs[[#This Row],[Existing Control(s)]]='Tables &amp; Ranges'!$A$25, VLOOKUP(ReviewCalcs[[#This Row],[Building/Space Type]], Table_364[], 3, FALSE), CF_Contols)</f>
        <v>0.26</v>
      </c>
      <c r="AE250" s="68" t="e">
        <f>VLOOKUP(ReviewCalcs[[#This Row],[Existing Control(s)]], Table_358[], 2, FALSE)</f>
        <v>#N/A</v>
      </c>
      <c r="AF250" s="68">
        <f>IF(ReviewCalcs[[#This Row],[Proposed Control(s)]]='Tables &amp; Ranges'!$A$25, VLOOKUP(ReviewCalcs[[#This Row],[Building/Space Type]], Table_364[], 3, FALSE), CF_Contols)</f>
        <v>0.26</v>
      </c>
      <c r="AG250" s="68" t="e">
        <f>VLOOKUP(ReviewCalcs[[#This Row],[Proposed Control(s)]], Table_358[], 2, FALSE)</f>
        <v>#N/A</v>
      </c>
      <c r="AH250" s="68">
        <f>IFERROR((ReviewCalcs[[#This Row],[Existing Fixture Quantity]]*ReviewCalcs[[#This Row],[Existing Fixture Watts]]/1000)*ReviewCalcs[[#This Row],[Existing CF]]*ReviewCalcs[[#This Row],[IEFD]], 0)</f>
        <v>0</v>
      </c>
      <c r="AI250" s="68">
        <f>IFERROR((ReviewCalcs[[#This Row],[Proposed Fixture Quantity]]*ReviewCalcs[[#This Row],[Proposed Fixture Watts]]/1000)*ReviewCalcs[[#This Row],[Existing CF]]*ReviewCalcs[[#This Row],[IEFD]], 0)</f>
        <v>0</v>
      </c>
      <c r="AJ250" s="118">
        <f>IFERROR((ReviewCalcs[[#This Row],[Existing Fixture Quantity]]*ReviewCalcs[[#This Row],[Existing Fixture Watts]]/1000-ReviewCalcs[[#This Row],[Proposed Fixture Quantity]]*ReviewCalcs[[#This Row],[Proposed Fixture Watts]]/1000)*ReviewCalcs[[#This Row],[Existing CF]]*ReviewCalcs[[#This Row],[IEFD]], 0)</f>
        <v>0</v>
      </c>
      <c r="AK250" s="118">
        <f>IFERROR((ReviewCalcs[[#This Row],[Existing Fixture Quantity]]*ReviewCalcs[[#This Row],[Existing Fixture Watts]]/1000)*ReviewCalcs[[#This Row],[AOH]]*ReviewCalcs[[#This Row],[IEFE]]*ReviewCalcs[[#This Row],[Existing PAF]], 0)</f>
        <v>0</v>
      </c>
      <c r="AL250" s="118">
        <f>IFERROR((ReviewCalcs[[#This Row],[Proposed Fixture Quantity]]*ReviewCalcs[[#This Row],[Proposed Fixture Watts]]/1000)*ReviewCalcs[[#This Row],[AOH]]*ReviewCalcs[[#This Row],[IEFE]]*ReviewCalcs[[#This Row],[Existing PAF]], 0)</f>
        <v>0</v>
      </c>
      <c r="AM25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0" s="118">
        <f>ReviewCalcs[[#This Row],[Fixture Existing Energy (kWh)]]*Avg_KWh_Rate</f>
        <v>0</v>
      </c>
      <c r="AO250" s="118">
        <f>ReviewCalcs[[#This Row],[Fixture Proposed Energy (kWh)]]*Avg_KWh_Rate</f>
        <v>0</v>
      </c>
      <c r="AP250" s="70">
        <f>ReviewCalcs[[#This Row],[Fixture Energy Savings]]*Avg_KWh_Rate</f>
        <v>0</v>
      </c>
      <c r="AQ250" s="129" t="e">
        <f>ReviewCalcs[[#This Row],[Existing Fixture Quantity]]*ReviewCalcs[[#This Row],[Existing Fixture Watts]]/1000*ReviewCalcs[[#This Row],[Existing CF]]*ReviewCalcs[[#This Row],[IEFD]]</f>
        <v>#VALUE!</v>
      </c>
      <c r="AR250" s="129" t="e">
        <f>ReviewCalcs[[#This Row],[Proposed Fixture Quantity]]*ReviewCalcs[[#This Row],[Proposed Fixture Watts]]/1000*ReviewCalcs[[#This Row],[Proposed CF]]*ReviewCalcs[[#This Row],[IEFD]]</f>
        <v>#VALUE!</v>
      </c>
      <c r="AS250" s="118">
        <f>IF(ReviewCalcs[[#This Row],[Existing CF]]=ReviewCalcs[[#This Row],[Proposed CF]], 0, ReviewCalcs[[#This Row],[Proposed Fixture Quantity]]*ReviewCalcs[[#This Row],[Proposed Fixture Watts]]/1000*ReviewCalcs[[#This Row],[Proposed CF]]*ReviewCalcs[[#This Row],[IEFD]])</f>
        <v>0</v>
      </c>
      <c r="AT250" s="118">
        <f>IFERROR(ReviewCalcs[[#This Row],[Existing Fixture Quantity]]*ReviewCalcs[[#This Row],[Existing Fixture Watts]]/1000*ReviewCalcs[[#This Row],[Existing PAF]]*ReviewCalcs[[#This Row],[AOH]]*ReviewCalcs[[#This Row],[IEFE]], 0)</f>
        <v>0</v>
      </c>
      <c r="AU250" s="118">
        <f>IFERROR(ReviewCalcs[[#This Row],[Proposed Fixture Quantity]]*ReviewCalcs[[#This Row],[Proposed Fixture Watts]]/1000*ReviewCalcs[[#This Row],[Proposed PAF]]*ReviewCalcs[[#This Row],[AOH]]*ReviewCalcs[[#This Row],[IEFE]], 0)</f>
        <v>0</v>
      </c>
      <c r="AV250" s="118">
        <f>IFERROR(ReviewCalcs[[#This Row],[Proposed Fixture Quantity]]*ReviewCalcs[[#This Row],[Proposed Fixture Watts]]/1000*(ReviewCalcs[[#This Row],[Existing PAF]]-ReviewCalcs[[#This Row],[Proposed PAF]])*ReviewCalcs[[#This Row],[AOH]]*ReviewCalcs[[#This Row],[IEFE]], 0)</f>
        <v>0</v>
      </c>
      <c r="AW250" s="118">
        <f>ReviewCalcs[[#This Row],[Control Existing Energy (kWh)]]*kWh_Incentive_Rate</f>
        <v>0</v>
      </c>
      <c r="AX250" s="118">
        <f>ReviewCalcs[[#This Row],[Control Proposed Energy (kWh)]]*kWh_Incentive_Rate</f>
        <v>0</v>
      </c>
      <c r="AY250" s="70">
        <f>ReviewCalcs[[#This Row],[Control Energy Savings (kWh)]]*kWh_Incentive_Rate</f>
        <v>0</v>
      </c>
      <c r="AZ250" s="70" t="e">
        <f>ReviewCalcs[[#This Row],[Fixture Existing Demand (kW)]]+ReviewCalcs[[#This Row],[Control Existing Demand (kW)]]</f>
        <v>#VALUE!</v>
      </c>
      <c r="BA250" s="70" t="e">
        <f>ReviewCalcs[[#This Row],[Fixture Proposed Demand (kW)]]+ReviewCalcs[[#This Row],[Control Proposed Demand (kW)]]</f>
        <v>#VALUE!</v>
      </c>
      <c r="BB250" s="118">
        <f>ReviewCalcs[[#This Row],[Fixture Demand Savings (kW)]]+ReviewCalcs[[#This Row],[Control Demand Savings (kW)]]</f>
        <v>0</v>
      </c>
      <c r="BC250" s="118">
        <f>ReviewCalcs[[#This Row],[Fixture Existing Energy (kWh)]]+ReviewCalcs[[#This Row],[Control Existing Energy (kWh)]]</f>
        <v>0</v>
      </c>
      <c r="BD250" s="118">
        <f>ReviewCalcs[[#This Row],[Fixture Proposed Energy (kWh)]]+ReviewCalcs[[#This Row],[Control Proposed Energy (kWh)]]</f>
        <v>0</v>
      </c>
      <c r="BE250" s="118">
        <f>ReviewCalcs[[#This Row],[Fixture Energy Savings]]+ReviewCalcs[[#This Row],[Control Energy Savings (kWh)]]</f>
        <v>0</v>
      </c>
      <c r="BF250" s="118">
        <f>ReviewCalcs[[#This Row],[Fixture Existing Cost ($)]]+ReviewCalcs[[#This Row],[Control Existing Cost ($)]]</f>
        <v>0</v>
      </c>
      <c r="BG250" s="118">
        <f>ReviewCalcs[[#This Row],[Fixture Proposed Cost ($)]]+ReviewCalcs[[#This Row],[Controls Proposed Cost ($)]]</f>
        <v>0</v>
      </c>
      <c r="BH250" s="70">
        <f>ReviewCalcs[[#This Row],[Total Energy Savings (kWh)]]*Avg_KWh_Rate</f>
        <v>0</v>
      </c>
      <c r="BI25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0" s="70">
        <f>ReviewCalcs[[#This Row],[Retrofit Cost]]</f>
        <v>0</v>
      </c>
      <c r="BK250" s="70">
        <f>ReviewCalcs[[#This Row],[Retrofit Cost]]-ReviewCalcs[[#This Row],[Incentive ($)]]</f>
        <v>0</v>
      </c>
      <c r="BL250" s="118" t="e">
        <f>IFERROR(ReviewCalcs[[#This Row],[Net Project Cost ($)]]/ReviewCalcs[[#This Row],[Fixture Energy Cost Savings ($)]], #N/A)</f>
        <v>#N/A</v>
      </c>
      <c r="BM250" s="118" t="e">
        <f>IF(VLOOKUP(ReviewCalcs[[#This Row],[Existing Fixture Code]], Table7[[FIXTURE CODE]:[Baseline Fixture Code]], 8, FALSE)="N", VLOOKUP(ReviewCalcs[[#This Row],[Existing Fixture Code]], Table7[[FIXTURE CODE]:[Baseline Fixture Code]], 9, FALSE), ReviewCalcs[[#This Row],[Existing Fixture Code]])</f>
        <v>#N/A</v>
      </c>
      <c r="BN250" s="118" t="e">
        <f>INDEX(Table7[WATT/ FIXT], MATCH(ReviewCalcs[Baseline Fixture Code], Table7[FIXTURE CODE], 0))</f>
        <v>#N/A</v>
      </c>
      <c r="BO250" s="118">
        <f>IFERROR((ReviewCalcs[[#This Row],[Existing Fixture Quantity]]*ReviewCalcs[[#This Row],[Baseline Fixture Watts]]/1000-ReviewCalcs[[#This Row],[Proposed Fixture Quantity]]*ReviewCalcs[[#This Row],[Proposed Fixture Watts]]/1000)*ReviewCalcs[[#This Row],[Existing CF]]*ReviewCalcs[[#This Row],[IEFD]], 0)</f>
        <v>0</v>
      </c>
      <c r="BP25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0" s="118">
        <f>IF(ReviewCalcs[[#This Row],[Existing CF]]=ReviewCalcs[[#This Row],[Proposed CF]], 0, ReviewCalcs[[#This Row],[Proposed Fixture Quantity]]*ReviewCalcs[[#This Row],[Proposed Fixture Watts]]/1000*ReviewCalcs[[#This Row],[Proposed CF]]*ReviewCalcs[[#This Row],[IEFD]])</f>
        <v>0</v>
      </c>
      <c r="BR250" s="118">
        <f>IFERROR(ReviewCalcs[[#This Row],[Proposed Fixture Quantity]]*ReviewCalcs[[#This Row],[Proposed Fixture Watts]]/1000*(ReviewCalcs[[#This Row],[Existing PAF]]-ReviewCalcs[[#This Row],[Proposed PAF]])*ReviewCalcs[[#This Row],[AOH]]*ReviewCalcs[[#This Row],[IEFE]],0)</f>
        <v>0</v>
      </c>
      <c r="BS250" s="118">
        <f>ReviewCalcs[[#This Row],[Incentive Fixture Demand Savings (kW)]]+ReviewCalcs[[#This Row],[Incentive Control Demand Savings (kW)]]</f>
        <v>0</v>
      </c>
      <c r="BT250" s="118">
        <f>ReviewCalcs[[#This Row],[Incentive Fixture Energy Savings (kWh)]]+ReviewCalcs[[#This Row],[Incentive Control Energy Savings (kWh)]]</f>
        <v>0</v>
      </c>
      <c r="BU250" s="73"/>
    </row>
    <row r="251" spans="1:73" ht="30" customHeight="1">
      <c r="A251" s="68">
        <v>248</v>
      </c>
      <c r="B251" s="96">
        <f>VLOOKUP(ReviewCalcs[[#This Row],[Project Index]], ProjectInput[], D$1, FALSE)</f>
        <v>0</v>
      </c>
      <c r="C251" s="97">
        <f>VLOOKUP(ReviewCalcs[[#This Row],[Project Index]], ProjectInput[], E$1, FALSE)</f>
        <v>0</v>
      </c>
      <c r="D251" s="97">
        <f>VLOOKUP(ReviewCalcs[[#This Row],[Project Index]], ProjectInput[], F$1, FALSE)</f>
        <v>0</v>
      </c>
      <c r="E251" s="97">
        <f>VLOOKUP(ReviewCalcs[[#This Row],[Project Index]], ProjectInput[], G$1, FALSE)</f>
        <v>0</v>
      </c>
      <c r="F251" s="97">
        <f>VLOOKUP(ReviewCalcs[[#This Row],[Project Index]], ProjectInput[], H$1, FALSE)</f>
        <v>0</v>
      </c>
      <c r="G251" s="98" t="str">
        <f>VLOOKUP(ReviewCalcs[[#This Row],[Project Index]], ProjectInput[], I$1, FALSE)</f>
        <v/>
      </c>
      <c r="H251" s="96">
        <f>VLOOKUP(ReviewCalcs[[#This Row],[Project Index]], ProjectInput[], J$1, FALSE)</f>
        <v>0</v>
      </c>
      <c r="I251" s="97">
        <f>VLOOKUP(ReviewCalcs[[#This Row],[Project Index]], ProjectInput[], K$1, FALSE)</f>
        <v>0</v>
      </c>
      <c r="J251" s="97">
        <f>VLOOKUP(ReviewCalcs[[#This Row],[Project Index]], ProjectInput[], L$1, FALSE)</f>
        <v>0</v>
      </c>
      <c r="K251" s="97">
        <f>VLOOKUP(ReviewCalcs[[#This Row],[Project Index]], ProjectInput[], M$1, FALSE)</f>
        <v>0</v>
      </c>
      <c r="L251" s="97">
        <f>VLOOKUP(ReviewCalcs[[#This Row],[Project Index]], ProjectInput[], N$1, FALSE)</f>
        <v>0</v>
      </c>
      <c r="M251" s="98" t="str">
        <f>VLOOKUP(ReviewCalcs[[#This Row],[Project Index]], ProjectInput[], O$1, FALSE)</f>
        <v/>
      </c>
      <c r="N251" s="96">
        <f>VLOOKUP(ReviewCalcs[[#This Row],[Project Index]], ProjectInput[], P$1, FALSE)</f>
        <v>0</v>
      </c>
      <c r="O251" s="97">
        <f>VLOOKUP(ReviewCalcs[[#This Row],[Project Index]], ProjectInput[], Q$1, FALSE)</f>
        <v>0</v>
      </c>
      <c r="P251" s="97">
        <f>VLOOKUP(ReviewCalcs[[#This Row],[Project Index]], ProjectInput[], R$1, FALSE)</f>
        <v>0</v>
      </c>
      <c r="Q251" s="97">
        <f>VLOOKUP(ReviewCalcs[[#This Row],[Project Index]], ProjectInput[], S$1, FALSE)</f>
        <v>0</v>
      </c>
      <c r="R251" s="97">
        <f>VLOOKUP(ReviewCalcs[[#This Row],[Project Index]], ProjectInput[], T$1, FALSE)</f>
        <v>0</v>
      </c>
      <c r="S251" s="97">
        <f>VLOOKUP(ReviewCalcs[[#This Row],[Project Index]], ProjectInput[], U$1, FALSE)</f>
        <v>0</v>
      </c>
      <c r="T251" s="97">
        <f>VLOOKUP(ReviewCalcs[[#This Row],[Project Index]], ProjectInput[], V$1, FALSE)</f>
        <v>0</v>
      </c>
      <c r="U251" s="97">
        <f>VLOOKUP(ReviewCalcs[[#This Row],[Project Index]], ProjectInput[], W$1, FALSE)</f>
        <v>0</v>
      </c>
      <c r="V251" s="98" t="str">
        <f>VLOOKUP(ReviewCalcs[[#This Row],[Project Index]], ProjectInput[], X$1, FALSE)</f>
        <v/>
      </c>
      <c r="W25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1" s="75" t="e">
        <f>IF(VLOOKUP(ReviewCalcs[[#This Row],[Proposed Fixture Code]], Table7[[FIXTURE CODE]:[Baseline Fixture Code]], 8, FALSE)="N", "ERROR", "PASS")</f>
        <v>#N/A</v>
      </c>
      <c r="Y25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1" s="75" t="e">
        <f>IF(OR(ReviewCalcs[[#This Row],[Baseline Fixture Watts]]&gt;=ReviewCalcs[[#This Row],[Proposed Fixture Watts]],ReviewCalcs[[#This Row],[Existing Fixture Watts]]&gt;=ReviewCalcs[[#This Row],[Proposed Fixture Watts]] ), "PASS", "ERROR")</f>
        <v>#N/A</v>
      </c>
      <c r="AA251" s="69" t="e">
        <f>VLOOKUP(ReviewCalcs[[#This Row],[Space Conditions]], Table_365[], 5, FALSE)</f>
        <v>#N/A</v>
      </c>
      <c r="AB251" s="68" t="str">
        <f>ReviewCalcs[[#This Row],[Annual Hours]]</f>
        <v/>
      </c>
      <c r="AC251" s="68" t="e">
        <f>VLOOKUP(ReviewCalcs[[#This Row],[Space Conditions]], Table_365[], 6, FALSE)</f>
        <v>#N/A</v>
      </c>
      <c r="AD251" s="68">
        <f>IF(ReviewCalcs[[#This Row],[Existing Control(s)]]='Tables &amp; Ranges'!$A$25, VLOOKUP(ReviewCalcs[[#This Row],[Building/Space Type]], Table_364[], 3, FALSE), CF_Contols)</f>
        <v>0.26</v>
      </c>
      <c r="AE251" s="68" t="e">
        <f>VLOOKUP(ReviewCalcs[[#This Row],[Existing Control(s)]], Table_358[], 2, FALSE)</f>
        <v>#N/A</v>
      </c>
      <c r="AF251" s="68">
        <f>IF(ReviewCalcs[[#This Row],[Proposed Control(s)]]='Tables &amp; Ranges'!$A$25, VLOOKUP(ReviewCalcs[[#This Row],[Building/Space Type]], Table_364[], 3, FALSE), CF_Contols)</f>
        <v>0.26</v>
      </c>
      <c r="AG251" s="68" t="e">
        <f>VLOOKUP(ReviewCalcs[[#This Row],[Proposed Control(s)]], Table_358[], 2, FALSE)</f>
        <v>#N/A</v>
      </c>
      <c r="AH251" s="68">
        <f>IFERROR((ReviewCalcs[[#This Row],[Existing Fixture Quantity]]*ReviewCalcs[[#This Row],[Existing Fixture Watts]]/1000)*ReviewCalcs[[#This Row],[Existing CF]]*ReviewCalcs[[#This Row],[IEFD]], 0)</f>
        <v>0</v>
      </c>
      <c r="AI251" s="68">
        <f>IFERROR((ReviewCalcs[[#This Row],[Proposed Fixture Quantity]]*ReviewCalcs[[#This Row],[Proposed Fixture Watts]]/1000)*ReviewCalcs[[#This Row],[Existing CF]]*ReviewCalcs[[#This Row],[IEFD]], 0)</f>
        <v>0</v>
      </c>
      <c r="AJ251" s="118">
        <f>IFERROR((ReviewCalcs[[#This Row],[Existing Fixture Quantity]]*ReviewCalcs[[#This Row],[Existing Fixture Watts]]/1000-ReviewCalcs[[#This Row],[Proposed Fixture Quantity]]*ReviewCalcs[[#This Row],[Proposed Fixture Watts]]/1000)*ReviewCalcs[[#This Row],[Existing CF]]*ReviewCalcs[[#This Row],[IEFD]], 0)</f>
        <v>0</v>
      </c>
      <c r="AK251" s="118">
        <f>IFERROR((ReviewCalcs[[#This Row],[Existing Fixture Quantity]]*ReviewCalcs[[#This Row],[Existing Fixture Watts]]/1000)*ReviewCalcs[[#This Row],[AOH]]*ReviewCalcs[[#This Row],[IEFE]]*ReviewCalcs[[#This Row],[Existing PAF]], 0)</f>
        <v>0</v>
      </c>
      <c r="AL251" s="118">
        <f>IFERROR((ReviewCalcs[[#This Row],[Proposed Fixture Quantity]]*ReviewCalcs[[#This Row],[Proposed Fixture Watts]]/1000)*ReviewCalcs[[#This Row],[AOH]]*ReviewCalcs[[#This Row],[IEFE]]*ReviewCalcs[[#This Row],[Existing PAF]], 0)</f>
        <v>0</v>
      </c>
      <c r="AM25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1" s="118">
        <f>ReviewCalcs[[#This Row],[Fixture Existing Energy (kWh)]]*Avg_KWh_Rate</f>
        <v>0</v>
      </c>
      <c r="AO251" s="118">
        <f>ReviewCalcs[[#This Row],[Fixture Proposed Energy (kWh)]]*Avg_KWh_Rate</f>
        <v>0</v>
      </c>
      <c r="AP251" s="70">
        <f>ReviewCalcs[[#This Row],[Fixture Energy Savings]]*Avg_KWh_Rate</f>
        <v>0</v>
      </c>
      <c r="AQ251" s="129" t="e">
        <f>ReviewCalcs[[#This Row],[Existing Fixture Quantity]]*ReviewCalcs[[#This Row],[Existing Fixture Watts]]/1000*ReviewCalcs[[#This Row],[Existing CF]]*ReviewCalcs[[#This Row],[IEFD]]</f>
        <v>#VALUE!</v>
      </c>
      <c r="AR251" s="129" t="e">
        <f>ReviewCalcs[[#This Row],[Proposed Fixture Quantity]]*ReviewCalcs[[#This Row],[Proposed Fixture Watts]]/1000*ReviewCalcs[[#This Row],[Proposed CF]]*ReviewCalcs[[#This Row],[IEFD]]</f>
        <v>#VALUE!</v>
      </c>
      <c r="AS251" s="118">
        <f>IF(ReviewCalcs[[#This Row],[Existing CF]]=ReviewCalcs[[#This Row],[Proposed CF]], 0, ReviewCalcs[[#This Row],[Proposed Fixture Quantity]]*ReviewCalcs[[#This Row],[Proposed Fixture Watts]]/1000*ReviewCalcs[[#This Row],[Proposed CF]]*ReviewCalcs[[#This Row],[IEFD]])</f>
        <v>0</v>
      </c>
      <c r="AT251" s="118">
        <f>IFERROR(ReviewCalcs[[#This Row],[Existing Fixture Quantity]]*ReviewCalcs[[#This Row],[Existing Fixture Watts]]/1000*ReviewCalcs[[#This Row],[Existing PAF]]*ReviewCalcs[[#This Row],[AOH]]*ReviewCalcs[[#This Row],[IEFE]], 0)</f>
        <v>0</v>
      </c>
      <c r="AU251" s="118">
        <f>IFERROR(ReviewCalcs[[#This Row],[Proposed Fixture Quantity]]*ReviewCalcs[[#This Row],[Proposed Fixture Watts]]/1000*ReviewCalcs[[#This Row],[Proposed PAF]]*ReviewCalcs[[#This Row],[AOH]]*ReviewCalcs[[#This Row],[IEFE]], 0)</f>
        <v>0</v>
      </c>
      <c r="AV251" s="118">
        <f>IFERROR(ReviewCalcs[[#This Row],[Proposed Fixture Quantity]]*ReviewCalcs[[#This Row],[Proposed Fixture Watts]]/1000*(ReviewCalcs[[#This Row],[Existing PAF]]-ReviewCalcs[[#This Row],[Proposed PAF]])*ReviewCalcs[[#This Row],[AOH]]*ReviewCalcs[[#This Row],[IEFE]], 0)</f>
        <v>0</v>
      </c>
      <c r="AW251" s="118">
        <f>ReviewCalcs[[#This Row],[Control Existing Energy (kWh)]]*kWh_Incentive_Rate</f>
        <v>0</v>
      </c>
      <c r="AX251" s="118">
        <f>ReviewCalcs[[#This Row],[Control Proposed Energy (kWh)]]*kWh_Incentive_Rate</f>
        <v>0</v>
      </c>
      <c r="AY251" s="70">
        <f>ReviewCalcs[[#This Row],[Control Energy Savings (kWh)]]*kWh_Incentive_Rate</f>
        <v>0</v>
      </c>
      <c r="AZ251" s="70" t="e">
        <f>ReviewCalcs[[#This Row],[Fixture Existing Demand (kW)]]+ReviewCalcs[[#This Row],[Control Existing Demand (kW)]]</f>
        <v>#VALUE!</v>
      </c>
      <c r="BA251" s="70" t="e">
        <f>ReviewCalcs[[#This Row],[Fixture Proposed Demand (kW)]]+ReviewCalcs[[#This Row],[Control Proposed Demand (kW)]]</f>
        <v>#VALUE!</v>
      </c>
      <c r="BB251" s="118">
        <f>ReviewCalcs[[#This Row],[Fixture Demand Savings (kW)]]+ReviewCalcs[[#This Row],[Control Demand Savings (kW)]]</f>
        <v>0</v>
      </c>
      <c r="BC251" s="118">
        <f>ReviewCalcs[[#This Row],[Fixture Existing Energy (kWh)]]+ReviewCalcs[[#This Row],[Control Existing Energy (kWh)]]</f>
        <v>0</v>
      </c>
      <c r="BD251" s="118">
        <f>ReviewCalcs[[#This Row],[Fixture Proposed Energy (kWh)]]+ReviewCalcs[[#This Row],[Control Proposed Energy (kWh)]]</f>
        <v>0</v>
      </c>
      <c r="BE251" s="118">
        <f>ReviewCalcs[[#This Row],[Fixture Energy Savings]]+ReviewCalcs[[#This Row],[Control Energy Savings (kWh)]]</f>
        <v>0</v>
      </c>
      <c r="BF251" s="118">
        <f>ReviewCalcs[[#This Row],[Fixture Existing Cost ($)]]+ReviewCalcs[[#This Row],[Control Existing Cost ($)]]</f>
        <v>0</v>
      </c>
      <c r="BG251" s="118">
        <f>ReviewCalcs[[#This Row],[Fixture Proposed Cost ($)]]+ReviewCalcs[[#This Row],[Controls Proposed Cost ($)]]</f>
        <v>0</v>
      </c>
      <c r="BH251" s="70">
        <f>ReviewCalcs[[#This Row],[Total Energy Savings (kWh)]]*Avg_KWh_Rate</f>
        <v>0</v>
      </c>
      <c r="BI25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1" s="70">
        <f>ReviewCalcs[[#This Row],[Retrofit Cost]]</f>
        <v>0</v>
      </c>
      <c r="BK251" s="70">
        <f>ReviewCalcs[[#This Row],[Retrofit Cost]]-ReviewCalcs[[#This Row],[Incentive ($)]]</f>
        <v>0</v>
      </c>
      <c r="BL251" s="118" t="e">
        <f>IFERROR(ReviewCalcs[[#This Row],[Net Project Cost ($)]]/ReviewCalcs[[#This Row],[Fixture Energy Cost Savings ($)]], #N/A)</f>
        <v>#N/A</v>
      </c>
      <c r="BM251" s="118" t="e">
        <f>IF(VLOOKUP(ReviewCalcs[[#This Row],[Existing Fixture Code]], Table7[[FIXTURE CODE]:[Baseline Fixture Code]], 8, FALSE)="N", VLOOKUP(ReviewCalcs[[#This Row],[Existing Fixture Code]], Table7[[FIXTURE CODE]:[Baseline Fixture Code]], 9, FALSE), ReviewCalcs[[#This Row],[Existing Fixture Code]])</f>
        <v>#N/A</v>
      </c>
      <c r="BN251" s="118" t="e">
        <f>INDEX(Table7[WATT/ FIXT], MATCH(ReviewCalcs[Baseline Fixture Code], Table7[FIXTURE CODE], 0))</f>
        <v>#N/A</v>
      </c>
      <c r="BO251" s="118">
        <f>IFERROR((ReviewCalcs[[#This Row],[Existing Fixture Quantity]]*ReviewCalcs[[#This Row],[Baseline Fixture Watts]]/1000-ReviewCalcs[[#This Row],[Proposed Fixture Quantity]]*ReviewCalcs[[#This Row],[Proposed Fixture Watts]]/1000)*ReviewCalcs[[#This Row],[Existing CF]]*ReviewCalcs[[#This Row],[IEFD]], 0)</f>
        <v>0</v>
      </c>
      <c r="BP25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1" s="118">
        <f>IF(ReviewCalcs[[#This Row],[Existing CF]]=ReviewCalcs[[#This Row],[Proposed CF]], 0, ReviewCalcs[[#This Row],[Proposed Fixture Quantity]]*ReviewCalcs[[#This Row],[Proposed Fixture Watts]]/1000*ReviewCalcs[[#This Row],[Proposed CF]]*ReviewCalcs[[#This Row],[IEFD]])</f>
        <v>0</v>
      </c>
      <c r="BR251" s="118">
        <f>IFERROR(ReviewCalcs[[#This Row],[Proposed Fixture Quantity]]*ReviewCalcs[[#This Row],[Proposed Fixture Watts]]/1000*(ReviewCalcs[[#This Row],[Existing PAF]]-ReviewCalcs[[#This Row],[Proposed PAF]])*ReviewCalcs[[#This Row],[AOH]]*ReviewCalcs[[#This Row],[IEFE]],0)</f>
        <v>0</v>
      </c>
      <c r="BS251" s="118">
        <f>ReviewCalcs[[#This Row],[Incentive Fixture Demand Savings (kW)]]+ReviewCalcs[[#This Row],[Incentive Control Demand Savings (kW)]]</f>
        <v>0</v>
      </c>
      <c r="BT251" s="118">
        <f>ReviewCalcs[[#This Row],[Incentive Fixture Energy Savings (kWh)]]+ReviewCalcs[[#This Row],[Incentive Control Energy Savings (kWh)]]</f>
        <v>0</v>
      </c>
      <c r="BU251" s="73"/>
    </row>
    <row r="252" spans="1:73" ht="30" customHeight="1">
      <c r="A252" s="68">
        <v>249</v>
      </c>
      <c r="B252" s="96">
        <f>VLOOKUP(ReviewCalcs[[#This Row],[Project Index]], ProjectInput[], D$1, FALSE)</f>
        <v>0</v>
      </c>
      <c r="C252" s="97">
        <f>VLOOKUP(ReviewCalcs[[#This Row],[Project Index]], ProjectInput[], E$1, FALSE)</f>
        <v>0</v>
      </c>
      <c r="D252" s="97">
        <f>VLOOKUP(ReviewCalcs[[#This Row],[Project Index]], ProjectInput[], F$1, FALSE)</f>
        <v>0</v>
      </c>
      <c r="E252" s="97">
        <f>VLOOKUP(ReviewCalcs[[#This Row],[Project Index]], ProjectInput[], G$1, FALSE)</f>
        <v>0</v>
      </c>
      <c r="F252" s="97">
        <f>VLOOKUP(ReviewCalcs[[#This Row],[Project Index]], ProjectInput[], H$1, FALSE)</f>
        <v>0</v>
      </c>
      <c r="G252" s="98" t="str">
        <f>VLOOKUP(ReviewCalcs[[#This Row],[Project Index]], ProjectInput[], I$1, FALSE)</f>
        <v/>
      </c>
      <c r="H252" s="96">
        <f>VLOOKUP(ReviewCalcs[[#This Row],[Project Index]], ProjectInput[], J$1, FALSE)</f>
        <v>0</v>
      </c>
      <c r="I252" s="97">
        <f>VLOOKUP(ReviewCalcs[[#This Row],[Project Index]], ProjectInput[], K$1, FALSE)</f>
        <v>0</v>
      </c>
      <c r="J252" s="97">
        <f>VLOOKUP(ReviewCalcs[[#This Row],[Project Index]], ProjectInput[], L$1, FALSE)</f>
        <v>0</v>
      </c>
      <c r="K252" s="97">
        <f>VLOOKUP(ReviewCalcs[[#This Row],[Project Index]], ProjectInput[], M$1, FALSE)</f>
        <v>0</v>
      </c>
      <c r="L252" s="97">
        <f>VLOOKUP(ReviewCalcs[[#This Row],[Project Index]], ProjectInput[], N$1, FALSE)</f>
        <v>0</v>
      </c>
      <c r="M252" s="98" t="str">
        <f>VLOOKUP(ReviewCalcs[[#This Row],[Project Index]], ProjectInput[], O$1, FALSE)</f>
        <v/>
      </c>
      <c r="N252" s="96">
        <f>VLOOKUP(ReviewCalcs[[#This Row],[Project Index]], ProjectInput[], P$1, FALSE)</f>
        <v>0</v>
      </c>
      <c r="O252" s="97">
        <f>VLOOKUP(ReviewCalcs[[#This Row],[Project Index]], ProjectInput[], Q$1, FALSE)</f>
        <v>0</v>
      </c>
      <c r="P252" s="97">
        <f>VLOOKUP(ReviewCalcs[[#This Row],[Project Index]], ProjectInput[], R$1, FALSE)</f>
        <v>0</v>
      </c>
      <c r="Q252" s="97">
        <f>VLOOKUP(ReviewCalcs[[#This Row],[Project Index]], ProjectInput[], S$1, FALSE)</f>
        <v>0</v>
      </c>
      <c r="R252" s="97">
        <f>VLOOKUP(ReviewCalcs[[#This Row],[Project Index]], ProjectInput[], T$1, FALSE)</f>
        <v>0</v>
      </c>
      <c r="S252" s="97">
        <f>VLOOKUP(ReviewCalcs[[#This Row],[Project Index]], ProjectInput[], U$1, FALSE)</f>
        <v>0</v>
      </c>
      <c r="T252" s="97">
        <f>VLOOKUP(ReviewCalcs[[#This Row],[Project Index]], ProjectInput[], V$1, FALSE)</f>
        <v>0</v>
      </c>
      <c r="U252" s="97">
        <f>VLOOKUP(ReviewCalcs[[#This Row],[Project Index]], ProjectInput[], W$1, FALSE)</f>
        <v>0</v>
      </c>
      <c r="V252" s="98" t="str">
        <f>VLOOKUP(ReviewCalcs[[#This Row],[Project Index]], ProjectInput[], X$1, FALSE)</f>
        <v/>
      </c>
      <c r="W25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2" s="75" t="e">
        <f>IF(VLOOKUP(ReviewCalcs[[#This Row],[Proposed Fixture Code]], Table7[[FIXTURE CODE]:[Baseline Fixture Code]], 8, FALSE)="N", "ERROR", "PASS")</f>
        <v>#N/A</v>
      </c>
      <c r="Y25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2" s="75" t="e">
        <f>IF(OR(ReviewCalcs[[#This Row],[Baseline Fixture Watts]]&gt;=ReviewCalcs[[#This Row],[Proposed Fixture Watts]],ReviewCalcs[[#This Row],[Existing Fixture Watts]]&gt;=ReviewCalcs[[#This Row],[Proposed Fixture Watts]] ), "PASS", "ERROR")</f>
        <v>#N/A</v>
      </c>
      <c r="AA252" s="69" t="e">
        <f>VLOOKUP(ReviewCalcs[[#This Row],[Space Conditions]], Table_365[], 5, FALSE)</f>
        <v>#N/A</v>
      </c>
      <c r="AB252" s="68" t="str">
        <f>ReviewCalcs[[#This Row],[Annual Hours]]</f>
        <v/>
      </c>
      <c r="AC252" s="68" t="e">
        <f>VLOOKUP(ReviewCalcs[[#This Row],[Space Conditions]], Table_365[], 6, FALSE)</f>
        <v>#N/A</v>
      </c>
      <c r="AD252" s="68">
        <f>IF(ReviewCalcs[[#This Row],[Existing Control(s)]]='Tables &amp; Ranges'!$A$25, VLOOKUP(ReviewCalcs[[#This Row],[Building/Space Type]], Table_364[], 3, FALSE), CF_Contols)</f>
        <v>0.26</v>
      </c>
      <c r="AE252" s="68" t="e">
        <f>VLOOKUP(ReviewCalcs[[#This Row],[Existing Control(s)]], Table_358[], 2, FALSE)</f>
        <v>#N/A</v>
      </c>
      <c r="AF252" s="68">
        <f>IF(ReviewCalcs[[#This Row],[Proposed Control(s)]]='Tables &amp; Ranges'!$A$25, VLOOKUP(ReviewCalcs[[#This Row],[Building/Space Type]], Table_364[], 3, FALSE), CF_Contols)</f>
        <v>0.26</v>
      </c>
      <c r="AG252" s="68" t="e">
        <f>VLOOKUP(ReviewCalcs[[#This Row],[Proposed Control(s)]], Table_358[], 2, FALSE)</f>
        <v>#N/A</v>
      </c>
      <c r="AH252" s="68">
        <f>IFERROR((ReviewCalcs[[#This Row],[Existing Fixture Quantity]]*ReviewCalcs[[#This Row],[Existing Fixture Watts]]/1000)*ReviewCalcs[[#This Row],[Existing CF]]*ReviewCalcs[[#This Row],[IEFD]], 0)</f>
        <v>0</v>
      </c>
      <c r="AI252" s="68">
        <f>IFERROR((ReviewCalcs[[#This Row],[Proposed Fixture Quantity]]*ReviewCalcs[[#This Row],[Proposed Fixture Watts]]/1000)*ReviewCalcs[[#This Row],[Existing CF]]*ReviewCalcs[[#This Row],[IEFD]], 0)</f>
        <v>0</v>
      </c>
      <c r="AJ252" s="118">
        <f>IFERROR((ReviewCalcs[[#This Row],[Existing Fixture Quantity]]*ReviewCalcs[[#This Row],[Existing Fixture Watts]]/1000-ReviewCalcs[[#This Row],[Proposed Fixture Quantity]]*ReviewCalcs[[#This Row],[Proposed Fixture Watts]]/1000)*ReviewCalcs[[#This Row],[Existing CF]]*ReviewCalcs[[#This Row],[IEFD]], 0)</f>
        <v>0</v>
      </c>
      <c r="AK252" s="118">
        <f>IFERROR((ReviewCalcs[[#This Row],[Existing Fixture Quantity]]*ReviewCalcs[[#This Row],[Existing Fixture Watts]]/1000)*ReviewCalcs[[#This Row],[AOH]]*ReviewCalcs[[#This Row],[IEFE]]*ReviewCalcs[[#This Row],[Existing PAF]], 0)</f>
        <v>0</v>
      </c>
      <c r="AL252" s="118">
        <f>IFERROR((ReviewCalcs[[#This Row],[Proposed Fixture Quantity]]*ReviewCalcs[[#This Row],[Proposed Fixture Watts]]/1000)*ReviewCalcs[[#This Row],[AOH]]*ReviewCalcs[[#This Row],[IEFE]]*ReviewCalcs[[#This Row],[Existing PAF]], 0)</f>
        <v>0</v>
      </c>
      <c r="AM25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2" s="118">
        <f>ReviewCalcs[[#This Row],[Fixture Existing Energy (kWh)]]*Avg_KWh_Rate</f>
        <v>0</v>
      </c>
      <c r="AO252" s="118">
        <f>ReviewCalcs[[#This Row],[Fixture Proposed Energy (kWh)]]*Avg_KWh_Rate</f>
        <v>0</v>
      </c>
      <c r="AP252" s="70">
        <f>ReviewCalcs[[#This Row],[Fixture Energy Savings]]*Avg_KWh_Rate</f>
        <v>0</v>
      </c>
      <c r="AQ252" s="129" t="e">
        <f>ReviewCalcs[[#This Row],[Existing Fixture Quantity]]*ReviewCalcs[[#This Row],[Existing Fixture Watts]]/1000*ReviewCalcs[[#This Row],[Existing CF]]*ReviewCalcs[[#This Row],[IEFD]]</f>
        <v>#VALUE!</v>
      </c>
      <c r="AR252" s="129" t="e">
        <f>ReviewCalcs[[#This Row],[Proposed Fixture Quantity]]*ReviewCalcs[[#This Row],[Proposed Fixture Watts]]/1000*ReviewCalcs[[#This Row],[Proposed CF]]*ReviewCalcs[[#This Row],[IEFD]]</f>
        <v>#VALUE!</v>
      </c>
      <c r="AS252" s="118">
        <f>IF(ReviewCalcs[[#This Row],[Existing CF]]=ReviewCalcs[[#This Row],[Proposed CF]], 0, ReviewCalcs[[#This Row],[Proposed Fixture Quantity]]*ReviewCalcs[[#This Row],[Proposed Fixture Watts]]/1000*ReviewCalcs[[#This Row],[Proposed CF]]*ReviewCalcs[[#This Row],[IEFD]])</f>
        <v>0</v>
      </c>
      <c r="AT252" s="118">
        <f>IFERROR(ReviewCalcs[[#This Row],[Existing Fixture Quantity]]*ReviewCalcs[[#This Row],[Existing Fixture Watts]]/1000*ReviewCalcs[[#This Row],[Existing PAF]]*ReviewCalcs[[#This Row],[AOH]]*ReviewCalcs[[#This Row],[IEFE]], 0)</f>
        <v>0</v>
      </c>
      <c r="AU252" s="118">
        <f>IFERROR(ReviewCalcs[[#This Row],[Proposed Fixture Quantity]]*ReviewCalcs[[#This Row],[Proposed Fixture Watts]]/1000*ReviewCalcs[[#This Row],[Proposed PAF]]*ReviewCalcs[[#This Row],[AOH]]*ReviewCalcs[[#This Row],[IEFE]], 0)</f>
        <v>0</v>
      </c>
      <c r="AV252" s="118">
        <f>IFERROR(ReviewCalcs[[#This Row],[Proposed Fixture Quantity]]*ReviewCalcs[[#This Row],[Proposed Fixture Watts]]/1000*(ReviewCalcs[[#This Row],[Existing PAF]]-ReviewCalcs[[#This Row],[Proposed PAF]])*ReviewCalcs[[#This Row],[AOH]]*ReviewCalcs[[#This Row],[IEFE]], 0)</f>
        <v>0</v>
      </c>
      <c r="AW252" s="118">
        <f>ReviewCalcs[[#This Row],[Control Existing Energy (kWh)]]*kWh_Incentive_Rate</f>
        <v>0</v>
      </c>
      <c r="AX252" s="118">
        <f>ReviewCalcs[[#This Row],[Control Proposed Energy (kWh)]]*kWh_Incentive_Rate</f>
        <v>0</v>
      </c>
      <c r="AY252" s="70">
        <f>ReviewCalcs[[#This Row],[Control Energy Savings (kWh)]]*kWh_Incentive_Rate</f>
        <v>0</v>
      </c>
      <c r="AZ252" s="70" t="e">
        <f>ReviewCalcs[[#This Row],[Fixture Existing Demand (kW)]]+ReviewCalcs[[#This Row],[Control Existing Demand (kW)]]</f>
        <v>#VALUE!</v>
      </c>
      <c r="BA252" s="70" t="e">
        <f>ReviewCalcs[[#This Row],[Fixture Proposed Demand (kW)]]+ReviewCalcs[[#This Row],[Control Proposed Demand (kW)]]</f>
        <v>#VALUE!</v>
      </c>
      <c r="BB252" s="118">
        <f>ReviewCalcs[[#This Row],[Fixture Demand Savings (kW)]]+ReviewCalcs[[#This Row],[Control Demand Savings (kW)]]</f>
        <v>0</v>
      </c>
      <c r="BC252" s="118">
        <f>ReviewCalcs[[#This Row],[Fixture Existing Energy (kWh)]]+ReviewCalcs[[#This Row],[Control Existing Energy (kWh)]]</f>
        <v>0</v>
      </c>
      <c r="BD252" s="118">
        <f>ReviewCalcs[[#This Row],[Fixture Proposed Energy (kWh)]]+ReviewCalcs[[#This Row],[Control Proposed Energy (kWh)]]</f>
        <v>0</v>
      </c>
      <c r="BE252" s="118">
        <f>ReviewCalcs[[#This Row],[Fixture Energy Savings]]+ReviewCalcs[[#This Row],[Control Energy Savings (kWh)]]</f>
        <v>0</v>
      </c>
      <c r="BF252" s="118">
        <f>ReviewCalcs[[#This Row],[Fixture Existing Cost ($)]]+ReviewCalcs[[#This Row],[Control Existing Cost ($)]]</f>
        <v>0</v>
      </c>
      <c r="BG252" s="118">
        <f>ReviewCalcs[[#This Row],[Fixture Proposed Cost ($)]]+ReviewCalcs[[#This Row],[Controls Proposed Cost ($)]]</f>
        <v>0</v>
      </c>
      <c r="BH252" s="70">
        <f>ReviewCalcs[[#This Row],[Total Energy Savings (kWh)]]*Avg_KWh_Rate</f>
        <v>0</v>
      </c>
      <c r="BI25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2" s="70">
        <f>ReviewCalcs[[#This Row],[Retrofit Cost]]</f>
        <v>0</v>
      </c>
      <c r="BK252" s="70">
        <f>ReviewCalcs[[#This Row],[Retrofit Cost]]-ReviewCalcs[[#This Row],[Incentive ($)]]</f>
        <v>0</v>
      </c>
      <c r="BL252" s="118" t="e">
        <f>IFERROR(ReviewCalcs[[#This Row],[Net Project Cost ($)]]/ReviewCalcs[[#This Row],[Fixture Energy Cost Savings ($)]], #N/A)</f>
        <v>#N/A</v>
      </c>
      <c r="BM252" s="118" t="e">
        <f>IF(VLOOKUP(ReviewCalcs[[#This Row],[Existing Fixture Code]], Table7[[FIXTURE CODE]:[Baseline Fixture Code]], 8, FALSE)="N", VLOOKUP(ReviewCalcs[[#This Row],[Existing Fixture Code]], Table7[[FIXTURE CODE]:[Baseline Fixture Code]], 9, FALSE), ReviewCalcs[[#This Row],[Existing Fixture Code]])</f>
        <v>#N/A</v>
      </c>
      <c r="BN252" s="118" t="e">
        <f>INDEX(Table7[WATT/ FIXT], MATCH(ReviewCalcs[Baseline Fixture Code], Table7[FIXTURE CODE], 0))</f>
        <v>#N/A</v>
      </c>
      <c r="BO252" s="118">
        <f>IFERROR((ReviewCalcs[[#This Row],[Existing Fixture Quantity]]*ReviewCalcs[[#This Row],[Baseline Fixture Watts]]/1000-ReviewCalcs[[#This Row],[Proposed Fixture Quantity]]*ReviewCalcs[[#This Row],[Proposed Fixture Watts]]/1000)*ReviewCalcs[[#This Row],[Existing CF]]*ReviewCalcs[[#This Row],[IEFD]], 0)</f>
        <v>0</v>
      </c>
      <c r="BP25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2" s="118">
        <f>IF(ReviewCalcs[[#This Row],[Existing CF]]=ReviewCalcs[[#This Row],[Proposed CF]], 0, ReviewCalcs[[#This Row],[Proposed Fixture Quantity]]*ReviewCalcs[[#This Row],[Proposed Fixture Watts]]/1000*ReviewCalcs[[#This Row],[Proposed CF]]*ReviewCalcs[[#This Row],[IEFD]])</f>
        <v>0</v>
      </c>
      <c r="BR252" s="118">
        <f>IFERROR(ReviewCalcs[[#This Row],[Proposed Fixture Quantity]]*ReviewCalcs[[#This Row],[Proposed Fixture Watts]]/1000*(ReviewCalcs[[#This Row],[Existing PAF]]-ReviewCalcs[[#This Row],[Proposed PAF]])*ReviewCalcs[[#This Row],[AOH]]*ReviewCalcs[[#This Row],[IEFE]],0)</f>
        <v>0</v>
      </c>
      <c r="BS252" s="118">
        <f>ReviewCalcs[[#This Row],[Incentive Fixture Demand Savings (kW)]]+ReviewCalcs[[#This Row],[Incentive Control Demand Savings (kW)]]</f>
        <v>0</v>
      </c>
      <c r="BT252" s="118">
        <f>ReviewCalcs[[#This Row],[Incentive Fixture Energy Savings (kWh)]]+ReviewCalcs[[#This Row],[Incentive Control Energy Savings (kWh)]]</f>
        <v>0</v>
      </c>
      <c r="BU252" s="73"/>
    </row>
    <row r="253" spans="1:73" ht="30" customHeight="1">
      <c r="A253" s="68">
        <v>250</v>
      </c>
      <c r="B253" s="96">
        <f>VLOOKUP(ReviewCalcs[[#This Row],[Project Index]], ProjectInput[], D$1, FALSE)</f>
        <v>0</v>
      </c>
      <c r="C253" s="97">
        <f>VLOOKUP(ReviewCalcs[[#This Row],[Project Index]], ProjectInput[], E$1, FALSE)</f>
        <v>0</v>
      </c>
      <c r="D253" s="97">
        <f>VLOOKUP(ReviewCalcs[[#This Row],[Project Index]], ProjectInput[], F$1, FALSE)</f>
        <v>0</v>
      </c>
      <c r="E253" s="97">
        <f>VLOOKUP(ReviewCalcs[[#This Row],[Project Index]], ProjectInput[], G$1, FALSE)</f>
        <v>0</v>
      </c>
      <c r="F253" s="97">
        <f>VLOOKUP(ReviewCalcs[[#This Row],[Project Index]], ProjectInput[], H$1, FALSE)</f>
        <v>0</v>
      </c>
      <c r="G253" s="98" t="str">
        <f>VLOOKUP(ReviewCalcs[[#This Row],[Project Index]], ProjectInput[], I$1, FALSE)</f>
        <v/>
      </c>
      <c r="H253" s="96">
        <f>VLOOKUP(ReviewCalcs[[#This Row],[Project Index]], ProjectInput[], J$1, FALSE)</f>
        <v>0</v>
      </c>
      <c r="I253" s="97">
        <f>VLOOKUP(ReviewCalcs[[#This Row],[Project Index]], ProjectInput[], K$1, FALSE)</f>
        <v>0</v>
      </c>
      <c r="J253" s="97">
        <f>VLOOKUP(ReviewCalcs[[#This Row],[Project Index]], ProjectInput[], L$1, FALSE)</f>
        <v>0</v>
      </c>
      <c r="K253" s="97">
        <f>VLOOKUP(ReviewCalcs[[#This Row],[Project Index]], ProjectInput[], M$1, FALSE)</f>
        <v>0</v>
      </c>
      <c r="L253" s="97">
        <f>VLOOKUP(ReviewCalcs[[#This Row],[Project Index]], ProjectInput[], N$1, FALSE)</f>
        <v>0</v>
      </c>
      <c r="M253" s="98" t="str">
        <f>VLOOKUP(ReviewCalcs[[#This Row],[Project Index]], ProjectInput[], O$1, FALSE)</f>
        <v/>
      </c>
      <c r="N253" s="96">
        <f>VLOOKUP(ReviewCalcs[[#This Row],[Project Index]], ProjectInput[], P$1, FALSE)</f>
        <v>0</v>
      </c>
      <c r="O253" s="97">
        <f>VLOOKUP(ReviewCalcs[[#This Row],[Project Index]], ProjectInput[], Q$1, FALSE)</f>
        <v>0</v>
      </c>
      <c r="P253" s="97">
        <f>VLOOKUP(ReviewCalcs[[#This Row],[Project Index]], ProjectInput[], R$1, FALSE)</f>
        <v>0</v>
      </c>
      <c r="Q253" s="97">
        <f>VLOOKUP(ReviewCalcs[[#This Row],[Project Index]], ProjectInput[], S$1, FALSE)</f>
        <v>0</v>
      </c>
      <c r="R253" s="97">
        <f>VLOOKUP(ReviewCalcs[[#This Row],[Project Index]], ProjectInput[], T$1, FALSE)</f>
        <v>0</v>
      </c>
      <c r="S253" s="97">
        <f>VLOOKUP(ReviewCalcs[[#This Row],[Project Index]], ProjectInput[], U$1, FALSE)</f>
        <v>0</v>
      </c>
      <c r="T253" s="97">
        <f>VLOOKUP(ReviewCalcs[[#This Row],[Project Index]], ProjectInput[], V$1, FALSE)</f>
        <v>0</v>
      </c>
      <c r="U253" s="97">
        <f>VLOOKUP(ReviewCalcs[[#This Row],[Project Index]], ProjectInput[], W$1, FALSE)</f>
        <v>0</v>
      </c>
      <c r="V253" s="98" t="str">
        <f>VLOOKUP(ReviewCalcs[[#This Row],[Project Index]], ProjectInput[], X$1, FALSE)</f>
        <v/>
      </c>
      <c r="W25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3" s="75" t="e">
        <f>IF(VLOOKUP(ReviewCalcs[[#This Row],[Proposed Fixture Code]], Table7[[FIXTURE CODE]:[Baseline Fixture Code]], 8, FALSE)="N", "ERROR", "PASS")</f>
        <v>#N/A</v>
      </c>
      <c r="Y25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3" s="75" t="e">
        <f>IF(OR(ReviewCalcs[[#This Row],[Baseline Fixture Watts]]&gt;=ReviewCalcs[[#This Row],[Proposed Fixture Watts]],ReviewCalcs[[#This Row],[Existing Fixture Watts]]&gt;=ReviewCalcs[[#This Row],[Proposed Fixture Watts]] ), "PASS", "ERROR")</f>
        <v>#N/A</v>
      </c>
      <c r="AA253" s="69" t="e">
        <f>VLOOKUP(ReviewCalcs[[#This Row],[Space Conditions]], Table_365[], 5, FALSE)</f>
        <v>#N/A</v>
      </c>
      <c r="AB253" s="68" t="str">
        <f>ReviewCalcs[[#This Row],[Annual Hours]]</f>
        <v/>
      </c>
      <c r="AC253" s="68" t="e">
        <f>VLOOKUP(ReviewCalcs[[#This Row],[Space Conditions]], Table_365[], 6, FALSE)</f>
        <v>#N/A</v>
      </c>
      <c r="AD253" s="68">
        <f>IF(ReviewCalcs[[#This Row],[Existing Control(s)]]='Tables &amp; Ranges'!$A$25, VLOOKUP(ReviewCalcs[[#This Row],[Building/Space Type]], Table_364[], 3, FALSE), CF_Contols)</f>
        <v>0.26</v>
      </c>
      <c r="AE253" s="68" t="e">
        <f>VLOOKUP(ReviewCalcs[[#This Row],[Existing Control(s)]], Table_358[], 2, FALSE)</f>
        <v>#N/A</v>
      </c>
      <c r="AF253" s="68">
        <f>IF(ReviewCalcs[[#This Row],[Proposed Control(s)]]='Tables &amp; Ranges'!$A$25, VLOOKUP(ReviewCalcs[[#This Row],[Building/Space Type]], Table_364[], 3, FALSE), CF_Contols)</f>
        <v>0.26</v>
      </c>
      <c r="AG253" s="68" t="e">
        <f>VLOOKUP(ReviewCalcs[[#This Row],[Proposed Control(s)]], Table_358[], 2, FALSE)</f>
        <v>#N/A</v>
      </c>
      <c r="AH253" s="68">
        <f>IFERROR((ReviewCalcs[[#This Row],[Existing Fixture Quantity]]*ReviewCalcs[[#This Row],[Existing Fixture Watts]]/1000)*ReviewCalcs[[#This Row],[Existing CF]]*ReviewCalcs[[#This Row],[IEFD]], 0)</f>
        <v>0</v>
      </c>
      <c r="AI253" s="68">
        <f>IFERROR((ReviewCalcs[[#This Row],[Proposed Fixture Quantity]]*ReviewCalcs[[#This Row],[Proposed Fixture Watts]]/1000)*ReviewCalcs[[#This Row],[Existing CF]]*ReviewCalcs[[#This Row],[IEFD]], 0)</f>
        <v>0</v>
      </c>
      <c r="AJ253" s="118">
        <f>IFERROR((ReviewCalcs[[#This Row],[Existing Fixture Quantity]]*ReviewCalcs[[#This Row],[Existing Fixture Watts]]/1000-ReviewCalcs[[#This Row],[Proposed Fixture Quantity]]*ReviewCalcs[[#This Row],[Proposed Fixture Watts]]/1000)*ReviewCalcs[[#This Row],[Existing CF]]*ReviewCalcs[[#This Row],[IEFD]], 0)</f>
        <v>0</v>
      </c>
      <c r="AK253" s="118">
        <f>IFERROR((ReviewCalcs[[#This Row],[Existing Fixture Quantity]]*ReviewCalcs[[#This Row],[Existing Fixture Watts]]/1000)*ReviewCalcs[[#This Row],[AOH]]*ReviewCalcs[[#This Row],[IEFE]]*ReviewCalcs[[#This Row],[Existing PAF]], 0)</f>
        <v>0</v>
      </c>
      <c r="AL253" s="118">
        <f>IFERROR((ReviewCalcs[[#This Row],[Proposed Fixture Quantity]]*ReviewCalcs[[#This Row],[Proposed Fixture Watts]]/1000)*ReviewCalcs[[#This Row],[AOH]]*ReviewCalcs[[#This Row],[IEFE]]*ReviewCalcs[[#This Row],[Existing PAF]], 0)</f>
        <v>0</v>
      </c>
      <c r="AM25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3" s="118">
        <f>ReviewCalcs[[#This Row],[Fixture Existing Energy (kWh)]]*Avg_KWh_Rate</f>
        <v>0</v>
      </c>
      <c r="AO253" s="118">
        <f>ReviewCalcs[[#This Row],[Fixture Proposed Energy (kWh)]]*Avg_KWh_Rate</f>
        <v>0</v>
      </c>
      <c r="AP253" s="70">
        <f>ReviewCalcs[[#This Row],[Fixture Energy Savings]]*Avg_KWh_Rate</f>
        <v>0</v>
      </c>
      <c r="AQ253" s="129" t="e">
        <f>ReviewCalcs[[#This Row],[Existing Fixture Quantity]]*ReviewCalcs[[#This Row],[Existing Fixture Watts]]/1000*ReviewCalcs[[#This Row],[Existing CF]]*ReviewCalcs[[#This Row],[IEFD]]</f>
        <v>#VALUE!</v>
      </c>
      <c r="AR253" s="129" t="e">
        <f>ReviewCalcs[[#This Row],[Proposed Fixture Quantity]]*ReviewCalcs[[#This Row],[Proposed Fixture Watts]]/1000*ReviewCalcs[[#This Row],[Proposed CF]]*ReviewCalcs[[#This Row],[IEFD]]</f>
        <v>#VALUE!</v>
      </c>
      <c r="AS253" s="118">
        <f>IF(ReviewCalcs[[#This Row],[Existing CF]]=ReviewCalcs[[#This Row],[Proposed CF]], 0, ReviewCalcs[[#This Row],[Proposed Fixture Quantity]]*ReviewCalcs[[#This Row],[Proposed Fixture Watts]]/1000*ReviewCalcs[[#This Row],[Proposed CF]]*ReviewCalcs[[#This Row],[IEFD]])</f>
        <v>0</v>
      </c>
      <c r="AT253" s="118">
        <f>IFERROR(ReviewCalcs[[#This Row],[Existing Fixture Quantity]]*ReviewCalcs[[#This Row],[Existing Fixture Watts]]/1000*ReviewCalcs[[#This Row],[Existing PAF]]*ReviewCalcs[[#This Row],[AOH]]*ReviewCalcs[[#This Row],[IEFE]], 0)</f>
        <v>0</v>
      </c>
      <c r="AU253" s="118">
        <f>IFERROR(ReviewCalcs[[#This Row],[Proposed Fixture Quantity]]*ReviewCalcs[[#This Row],[Proposed Fixture Watts]]/1000*ReviewCalcs[[#This Row],[Proposed PAF]]*ReviewCalcs[[#This Row],[AOH]]*ReviewCalcs[[#This Row],[IEFE]], 0)</f>
        <v>0</v>
      </c>
      <c r="AV253" s="118">
        <f>IFERROR(ReviewCalcs[[#This Row],[Proposed Fixture Quantity]]*ReviewCalcs[[#This Row],[Proposed Fixture Watts]]/1000*(ReviewCalcs[[#This Row],[Existing PAF]]-ReviewCalcs[[#This Row],[Proposed PAF]])*ReviewCalcs[[#This Row],[AOH]]*ReviewCalcs[[#This Row],[IEFE]], 0)</f>
        <v>0</v>
      </c>
      <c r="AW253" s="118">
        <f>ReviewCalcs[[#This Row],[Control Existing Energy (kWh)]]*kWh_Incentive_Rate</f>
        <v>0</v>
      </c>
      <c r="AX253" s="118">
        <f>ReviewCalcs[[#This Row],[Control Proposed Energy (kWh)]]*kWh_Incentive_Rate</f>
        <v>0</v>
      </c>
      <c r="AY253" s="70">
        <f>ReviewCalcs[[#This Row],[Control Energy Savings (kWh)]]*kWh_Incentive_Rate</f>
        <v>0</v>
      </c>
      <c r="AZ253" s="70" t="e">
        <f>ReviewCalcs[[#This Row],[Fixture Existing Demand (kW)]]+ReviewCalcs[[#This Row],[Control Existing Demand (kW)]]</f>
        <v>#VALUE!</v>
      </c>
      <c r="BA253" s="70" t="e">
        <f>ReviewCalcs[[#This Row],[Fixture Proposed Demand (kW)]]+ReviewCalcs[[#This Row],[Control Proposed Demand (kW)]]</f>
        <v>#VALUE!</v>
      </c>
      <c r="BB253" s="118">
        <f>ReviewCalcs[[#This Row],[Fixture Demand Savings (kW)]]+ReviewCalcs[[#This Row],[Control Demand Savings (kW)]]</f>
        <v>0</v>
      </c>
      <c r="BC253" s="118">
        <f>ReviewCalcs[[#This Row],[Fixture Existing Energy (kWh)]]+ReviewCalcs[[#This Row],[Control Existing Energy (kWh)]]</f>
        <v>0</v>
      </c>
      <c r="BD253" s="118">
        <f>ReviewCalcs[[#This Row],[Fixture Proposed Energy (kWh)]]+ReviewCalcs[[#This Row],[Control Proposed Energy (kWh)]]</f>
        <v>0</v>
      </c>
      <c r="BE253" s="118">
        <f>ReviewCalcs[[#This Row],[Fixture Energy Savings]]+ReviewCalcs[[#This Row],[Control Energy Savings (kWh)]]</f>
        <v>0</v>
      </c>
      <c r="BF253" s="118">
        <f>ReviewCalcs[[#This Row],[Fixture Existing Cost ($)]]+ReviewCalcs[[#This Row],[Control Existing Cost ($)]]</f>
        <v>0</v>
      </c>
      <c r="BG253" s="118">
        <f>ReviewCalcs[[#This Row],[Fixture Proposed Cost ($)]]+ReviewCalcs[[#This Row],[Controls Proposed Cost ($)]]</f>
        <v>0</v>
      </c>
      <c r="BH253" s="70">
        <f>ReviewCalcs[[#This Row],[Total Energy Savings (kWh)]]*Avg_KWh_Rate</f>
        <v>0</v>
      </c>
      <c r="BI25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3" s="70">
        <f>ReviewCalcs[[#This Row],[Retrofit Cost]]</f>
        <v>0</v>
      </c>
      <c r="BK253" s="70">
        <f>ReviewCalcs[[#This Row],[Retrofit Cost]]-ReviewCalcs[[#This Row],[Incentive ($)]]</f>
        <v>0</v>
      </c>
      <c r="BL253" s="118" t="e">
        <f>IFERROR(ReviewCalcs[[#This Row],[Net Project Cost ($)]]/ReviewCalcs[[#This Row],[Fixture Energy Cost Savings ($)]], #N/A)</f>
        <v>#N/A</v>
      </c>
      <c r="BM253" s="118" t="e">
        <f>IF(VLOOKUP(ReviewCalcs[[#This Row],[Existing Fixture Code]], Table7[[FIXTURE CODE]:[Baseline Fixture Code]], 8, FALSE)="N", VLOOKUP(ReviewCalcs[[#This Row],[Existing Fixture Code]], Table7[[FIXTURE CODE]:[Baseline Fixture Code]], 9, FALSE), ReviewCalcs[[#This Row],[Existing Fixture Code]])</f>
        <v>#N/A</v>
      </c>
      <c r="BN253" s="118" t="e">
        <f>INDEX(Table7[WATT/ FIXT], MATCH(ReviewCalcs[Baseline Fixture Code], Table7[FIXTURE CODE], 0))</f>
        <v>#N/A</v>
      </c>
      <c r="BO253" s="118">
        <f>IFERROR((ReviewCalcs[[#This Row],[Existing Fixture Quantity]]*ReviewCalcs[[#This Row],[Baseline Fixture Watts]]/1000-ReviewCalcs[[#This Row],[Proposed Fixture Quantity]]*ReviewCalcs[[#This Row],[Proposed Fixture Watts]]/1000)*ReviewCalcs[[#This Row],[Existing CF]]*ReviewCalcs[[#This Row],[IEFD]], 0)</f>
        <v>0</v>
      </c>
      <c r="BP25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3" s="118">
        <f>IF(ReviewCalcs[[#This Row],[Existing CF]]=ReviewCalcs[[#This Row],[Proposed CF]], 0, ReviewCalcs[[#This Row],[Proposed Fixture Quantity]]*ReviewCalcs[[#This Row],[Proposed Fixture Watts]]/1000*ReviewCalcs[[#This Row],[Proposed CF]]*ReviewCalcs[[#This Row],[IEFD]])</f>
        <v>0</v>
      </c>
      <c r="BR253" s="118">
        <f>IFERROR(ReviewCalcs[[#This Row],[Proposed Fixture Quantity]]*ReviewCalcs[[#This Row],[Proposed Fixture Watts]]/1000*(ReviewCalcs[[#This Row],[Existing PAF]]-ReviewCalcs[[#This Row],[Proposed PAF]])*ReviewCalcs[[#This Row],[AOH]]*ReviewCalcs[[#This Row],[IEFE]],0)</f>
        <v>0</v>
      </c>
      <c r="BS253" s="118">
        <f>ReviewCalcs[[#This Row],[Incentive Fixture Demand Savings (kW)]]+ReviewCalcs[[#This Row],[Incentive Control Demand Savings (kW)]]</f>
        <v>0</v>
      </c>
      <c r="BT253" s="118">
        <f>ReviewCalcs[[#This Row],[Incentive Fixture Energy Savings (kWh)]]+ReviewCalcs[[#This Row],[Incentive Control Energy Savings (kWh)]]</f>
        <v>0</v>
      </c>
      <c r="BU253" s="73"/>
    </row>
    <row r="254" spans="1:73" ht="30" customHeight="1">
      <c r="A254" s="68">
        <v>251</v>
      </c>
      <c r="B254" s="96">
        <f>VLOOKUP(ReviewCalcs[[#This Row],[Project Index]], ProjectInput[], D$1, FALSE)</f>
        <v>0</v>
      </c>
      <c r="C254" s="97">
        <f>VLOOKUP(ReviewCalcs[[#This Row],[Project Index]], ProjectInput[], E$1, FALSE)</f>
        <v>0</v>
      </c>
      <c r="D254" s="97">
        <f>VLOOKUP(ReviewCalcs[[#This Row],[Project Index]], ProjectInput[], F$1, FALSE)</f>
        <v>0</v>
      </c>
      <c r="E254" s="97">
        <f>VLOOKUP(ReviewCalcs[[#This Row],[Project Index]], ProjectInput[], G$1, FALSE)</f>
        <v>0</v>
      </c>
      <c r="F254" s="97">
        <f>VLOOKUP(ReviewCalcs[[#This Row],[Project Index]], ProjectInput[], H$1, FALSE)</f>
        <v>0</v>
      </c>
      <c r="G254" s="98" t="str">
        <f>VLOOKUP(ReviewCalcs[[#This Row],[Project Index]], ProjectInput[], I$1, FALSE)</f>
        <v/>
      </c>
      <c r="H254" s="96">
        <f>VLOOKUP(ReviewCalcs[[#This Row],[Project Index]], ProjectInput[], J$1, FALSE)</f>
        <v>0</v>
      </c>
      <c r="I254" s="97">
        <f>VLOOKUP(ReviewCalcs[[#This Row],[Project Index]], ProjectInput[], K$1, FALSE)</f>
        <v>0</v>
      </c>
      <c r="J254" s="97">
        <f>VLOOKUP(ReviewCalcs[[#This Row],[Project Index]], ProjectInput[], L$1, FALSE)</f>
        <v>0</v>
      </c>
      <c r="K254" s="97">
        <f>VLOOKUP(ReviewCalcs[[#This Row],[Project Index]], ProjectInput[], M$1, FALSE)</f>
        <v>0</v>
      </c>
      <c r="L254" s="97">
        <f>VLOOKUP(ReviewCalcs[[#This Row],[Project Index]], ProjectInput[], N$1, FALSE)</f>
        <v>0</v>
      </c>
      <c r="M254" s="98" t="str">
        <f>VLOOKUP(ReviewCalcs[[#This Row],[Project Index]], ProjectInput[], O$1, FALSE)</f>
        <v/>
      </c>
      <c r="N254" s="96">
        <f>VLOOKUP(ReviewCalcs[[#This Row],[Project Index]], ProjectInput[], P$1, FALSE)</f>
        <v>0</v>
      </c>
      <c r="O254" s="97">
        <f>VLOOKUP(ReviewCalcs[[#This Row],[Project Index]], ProjectInput[], Q$1, FALSE)</f>
        <v>0</v>
      </c>
      <c r="P254" s="97">
        <f>VLOOKUP(ReviewCalcs[[#This Row],[Project Index]], ProjectInput[], R$1, FALSE)</f>
        <v>0</v>
      </c>
      <c r="Q254" s="97">
        <f>VLOOKUP(ReviewCalcs[[#This Row],[Project Index]], ProjectInput[], S$1, FALSE)</f>
        <v>0</v>
      </c>
      <c r="R254" s="97">
        <f>VLOOKUP(ReviewCalcs[[#This Row],[Project Index]], ProjectInput[], T$1, FALSE)</f>
        <v>0</v>
      </c>
      <c r="S254" s="97">
        <f>VLOOKUP(ReviewCalcs[[#This Row],[Project Index]], ProjectInput[], U$1, FALSE)</f>
        <v>0</v>
      </c>
      <c r="T254" s="97">
        <f>VLOOKUP(ReviewCalcs[[#This Row],[Project Index]], ProjectInput[], V$1, FALSE)</f>
        <v>0</v>
      </c>
      <c r="U254" s="97">
        <f>VLOOKUP(ReviewCalcs[[#This Row],[Project Index]], ProjectInput[], W$1, FALSE)</f>
        <v>0</v>
      </c>
      <c r="V254" s="98" t="str">
        <f>VLOOKUP(ReviewCalcs[[#This Row],[Project Index]], ProjectInput[], X$1, FALSE)</f>
        <v/>
      </c>
      <c r="W25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4" s="75" t="e">
        <f>IF(VLOOKUP(ReviewCalcs[[#This Row],[Proposed Fixture Code]], Table7[[FIXTURE CODE]:[Baseline Fixture Code]], 8, FALSE)="N", "ERROR", "PASS")</f>
        <v>#N/A</v>
      </c>
      <c r="Y25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4" s="75" t="e">
        <f>IF(OR(ReviewCalcs[[#This Row],[Baseline Fixture Watts]]&gt;=ReviewCalcs[[#This Row],[Proposed Fixture Watts]],ReviewCalcs[[#This Row],[Existing Fixture Watts]]&gt;=ReviewCalcs[[#This Row],[Proposed Fixture Watts]] ), "PASS", "ERROR")</f>
        <v>#N/A</v>
      </c>
      <c r="AA254" s="69" t="e">
        <f>VLOOKUP(ReviewCalcs[[#This Row],[Space Conditions]], Table_365[], 5, FALSE)</f>
        <v>#N/A</v>
      </c>
      <c r="AB254" s="68" t="str">
        <f>ReviewCalcs[[#This Row],[Annual Hours]]</f>
        <v/>
      </c>
      <c r="AC254" s="68" t="e">
        <f>VLOOKUP(ReviewCalcs[[#This Row],[Space Conditions]], Table_365[], 6, FALSE)</f>
        <v>#N/A</v>
      </c>
      <c r="AD254" s="68">
        <f>IF(ReviewCalcs[[#This Row],[Existing Control(s)]]='Tables &amp; Ranges'!$A$25, VLOOKUP(ReviewCalcs[[#This Row],[Building/Space Type]], Table_364[], 3, FALSE), CF_Contols)</f>
        <v>0.26</v>
      </c>
      <c r="AE254" s="68" t="e">
        <f>VLOOKUP(ReviewCalcs[[#This Row],[Existing Control(s)]], Table_358[], 2, FALSE)</f>
        <v>#N/A</v>
      </c>
      <c r="AF254" s="68">
        <f>IF(ReviewCalcs[[#This Row],[Proposed Control(s)]]='Tables &amp; Ranges'!$A$25, VLOOKUP(ReviewCalcs[[#This Row],[Building/Space Type]], Table_364[], 3, FALSE), CF_Contols)</f>
        <v>0.26</v>
      </c>
      <c r="AG254" s="68" t="e">
        <f>VLOOKUP(ReviewCalcs[[#This Row],[Proposed Control(s)]], Table_358[], 2, FALSE)</f>
        <v>#N/A</v>
      </c>
      <c r="AH254" s="68">
        <f>IFERROR((ReviewCalcs[[#This Row],[Existing Fixture Quantity]]*ReviewCalcs[[#This Row],[Existing Fixture Watts]]/1000)*ReviewCalcs[[#This Row],[Existing CF]]*ReviewCalcs[[#This Row],[IEFD]], 0)</f>
        <v>0</v>
      </c>
      <c r="AI254" s="68">
        <f>IFERROR((ReviewCalcs[[#This Row],[Proposed Fixture Quantity]]*ReviewCalcs[[#This Row],[Proposed Fixture Watts]]/1000)*ReviewCalcs[[#This Row],[Existing CF]]*ReviewCalcs[[#This Row],[IEFD]], 0)</f>
        <v>0</v>
      </c>
      <c r="AJ254" s="118">
        <f>IFERROR((ReviewCalcs[[#This Row],[Existing Fixture Quantity]]*ReviewCalcs[[#This Row],[Existing Fixture Watts]]/1000-ReviewCalcs[[#This Row],[Proposed Fixture Quantity]]*ReviewCalcs[[#This Row],[Proposed Fixture Watts]]/1000)*ReviewCalcs[[#This Row],[Existing CF]]*ReviewCalcs[[#This Row],[IEFD]], 0)</f>
        <v>0</v>
      </c>
      <c r="AK254" s="118">
        <f>IFERROR((ReviewCalcs[[#This Row],[Existing Fixture Quantity]]*ReviewCalcs[[#This Row],[Existing Fixture Watts]]/1000)*ReviewCalcs[[#This Row],[AOH]]*ReviewCalcs[[#This Row],[IEFE]]*ReviewCalcs[[#This Row],[Existing PAF]], 0)</f>
        <v>0</v>
      </c>
      <c r="AL254" s="118">
        <f>IFERROR((ReviewCalcs[[#This Row],[Proposed Fixture Quantity]]*ReviewCalcs[[#This Row],[Proposed Fixture Watts]]/1000)*ReviewCalcs[[#This Row],[AOH]]*ReviewCalcs[[#This Row],[IEFE]]*ReviewCalcs[[#This Row],[Existing PAF]], 0)</f>
        <v>0</v>
      </c>
      <c r="AM25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4" s="118">
        <f>ReviewCalcs[[#This Row],[Fixture Existing Energy (kWh)]]*Avg_KWh_Rate</f>
        <v>0</v>
      </c>
      <c r="AO254" s="118">
        <f>ReviewCalcs[[#This Row],[Fixture Proposed Energy (kWh)]]*Avg_KWh_Rate</f>
        <v>0</v>
      </c>
      <c r="AP254" s="70">
        <f>ReviewCalcs[[#This Row],[Fixture Energy Savings]]*Avg_KWh_Rate</f>
        <v>0</v>
      </c>
      <c r="AQ254" s="129" t="e">
        <f>ReviewCalcs[[#This Row],[Existing Fixture Quantity]]*ReviewCalcs[[#This Row],[Existing Fixture Watts]]/1000*ReviewCalcs[[#This Row],[Existing CF]]*ReviewCalcs[[#This Row],[IEFD]]</f>
        <v>#VALUE!</v>
      </c>
      <c r="AR254" s="129" t="e">
        <f>ReviewCalcs[[#This Row],[Proposed Fixture Quantity]]*ReviewCalcs[[#This Row],[Proposed Fixture Watts]]/1000*ReviewCalcs[[#This Row],[Proposed CF]]*ReviewCalcs[[#This Row],[IEFD]]</f>
        <v>#VALUE!</v>
      </c>
      <c r="AS254" s="118">
        <f>IF(ReviewCalcs[[#This Row],[Existing CF]]=ReviewCalcs[[#This Row],[Proposed CF]], 0, ReviewCalcs[[#This Row],[Proposed Fixture Quantity]]*ReviewCalcs[[#This Row],[Proposed Fixture Watts]]/1000*ReviewCalcs[[#This Row],[Proposed CF]]*ReviewCalcs[[#This Row],[IEFD]])</f>
        <v>0</v>
      </c>
      <c r="AT254" s="118">
        <f>IFERROR(ReviewCalcs[[#This Row],[Existing Fixture Quantity]]*ReviewCalcs[[#This Row],[Existing Fixture Watts]]/1000*ReviewCalcs[[#This Row],[Existing PAF]]*ReviewCalcs[[#This Row],[AOH]]*ReviewCalcs[[#This Row],[IEFE]], 0)</f>
        <v>0</v>
      </c>
      <c r="AU254" s="118">
        <f>IFERROR(ReviewCalcs[[#This Row],[Proposed Fixture Quantity]]*ReviewCalcs[[#This Row],[Proposed Fixture Watts]]/1000*ReviewCalcs[[#This Row],[Proposed PAF]]*ReviewCalcs[[#This Row],[AOH]]*ReviewCalcs[[#This Row],[IEFE]], 0)</f>
        <v>0</v>
      </c>
      <c r="AV254" s="118">
        <f>IFERROR(ReviewCalcs[[#This Row],[Proposed Fixture Quantity]]*ReviewCalcs[[#This Row],[Proposed Fixture Watts]]/1000*(ReviewCalcs[[#This Row],[Existing PAF]]-ReviewCalcs[[#This Row],[Proposed PAF]])*ReviewCalcs[[#This Row],[AOH]]*ReviewCalcs[[#This Row],[IEFE]], 0)</f>
        <v>0</v>
      </c>
      <c r="AW254" s="118">
        <f>ReviewCalcs[[#This Row],[Control Existing Energy (kWh)]]*kWh_Incentive_Rate</f>
        <v>0</v>
      </c>
      <c r="AX254" s="118">
        <f>ReviewCalcs[[#This Row],[Control Proposed Energy (kWh)]]*kWh_Incentive_Rate</f>
        <v>0</v>
      </c>
      <c r="AY254" s="70">
        <f>ReviewCalcs[[#This Row],[Control Energy Savings (kWh)]]*kWh_Incentive_Rate</f>
        <v>0</v>
      </c>
      <c r="AZ254" s="70" t="e">
        <f>ReviewCalcs[[#This Row],[Fixture Existing Demand (kW)]]+ReviewCalcs[[#This Row],[Control Existing Demand (kW)]]</f>
        <v>#VALUE!</v>
      </c>
      <c r="BA254" s="70" t="e">
        <f>ReviewCalcs[[#This Row],[Fixture Proposed Demand (kW)]]+ReviewCalcs[[#This Row],[Control Proposed Demand (kW)]]</f>
        <v>#VALUE!</v>
      </c>
      <c r="BB254" s="118">
        <f>ReviewCalcs[[#This Row],[Fixture Demand Savings (kW)]]+ReviewCalcs[[#This Row],[Control Demand Savings (kW)]]</f>
        <v>0</v>
      </c>
      <c r="BC254" s="118">
        <f>ReviewCalcs[[#This Row],[Fixture Existing Energy (kWh)]]+ReviewCalcs[[#This Row],[Control Existing Energy (kWh)]]</f>
        <v>0</v>
      </c>
      <c r="BD254" s="118">
        <f>ReviewCalcs[[#This Row],[Fixture Proposed Energy (kWh)]]+ReviewCalcs[[#This Row],[Control Proposed Energy (kWh)]]</f>
        <v>0</v>
      </c>
      <c r="BE254" s="118">
        <f>ReviewCalcs[[#This Row],[Fixture Energy Savings]]+ReviewCalcs[[#This Row],[Control Energy Savings (kWh)]]</f>
        <v>0</v>
      </c>
      <c r="BF254" s="118">
        <f>ReviewCalcs[[#This Row],[Fixture Existing Cost ($)]]+ReviewCalcs[[#This Row],[Control Existing Cost ($)]]</f>
        <v>0</v>
      </c>
      <c r="BG254" s="118">
        <f>ReviewCalcs[[#This Row],[Fixture Proposed Cost ($)]]+ReviewCalcs[[#This Row],[Controls Proposed Cost ($)]]</f>
        <v>0</v>
      </c>
      <c r="BH254" s="70">
        <f>ReviewCalcs[[#This Row],[Total Energy Savings (kWh)]]*Avg_KWh_Rate</f>
        <v>0</v>
      </c>
      <c r="BI25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4" s="70">
        <f>ReviewCalcs[[#This Row],[Retrofit Cost]]</f>
        <v>0</v>
      </c>
      <c r="BK254" s="70">
        <f>ReviewCalcs[[#This Row],[Retrofit Cost]]-ReviewCalcs[[#This Row],[Incentive ($)]]</f>
        <v>0</v>
      </c>
      <c r="BL254" s="118" t="e">
        <f>IFERROR(ReviewCalcs[[#This Row],[Net Project Cost ($)]]/ReviewCalcs[[#This Row],[Fixture Energy Cost Savings ($)]], #N/A)</f>
        <v>#N/A</v>
      </c>
      <c r="BM254" s="118" t="e">
        <f>IF(VLOOKUP(ReviewCalcs[[#This Row],[Existing Fixture Code]], Table7[[FIXTURE CODE]:[Baseline Fixture Code]], 8, FALSE)="N", VLOOKUP(ReviewCalcs[[#This Row],[Existing Fixture Code]], Table7[[FIXTURE CODE]:[Baseline Fixture Code]], 9, FALSE), ReviewCalcs[[#This Row],[Existing Fixture Code]])</f>
        <v>#N/A</v>
      </c>
      <c r="BN254" s="118" t="e">
        <f>INDEX(Table7[WATT/ FIXT], MATCH(ReviewCalcs[Baseline Fixture Code], Table7[FIXTURE CODE], 0))</f>
        <v>#N/A</v>
      </c>
      <c r="BO254" s="118">
        <f>IFERROR((ReviewCalcs[[#This Row],[Existing Fixture Quantity]]*ReviewCalcs[[#This Row],[Baseline Fixture Watts]]/1000-ReviewCalcs[[#This Row],[Proposed Fixture Quantity]]*ReviewCalcs[[#This Row],[Proposed Fixture Watts]]/1000)*ReviewCalcs[[#This Row],[Existing CF]]*ReviewCalcs[[#This Row],[IEFD]], 0)</f>
        <v>0</v>
      </c>
      <c r="BP25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4" s="118">
        <f>IF(ReviewCalcs[[#This Row],[Existing CF]]=ReviewCalcs[[#This Row],[Proposed CF]], 0, ReviewCalcs[[#This Row],[Proposed Fixture Quantity]]*ReviewCalcs[[#This Row],[Proposed Fixture Watts]]/1000*ReviewCalcs[[#This Row],[Proposed CF]]*ReviewCalcs[[#This Row],[IEFD]])</f>
        <v>0</v>
      </c>
      <c r="BR254" s="118">
        <f>IFERROR(ReviewCalcs[[#This Row],[Proposed Fixture Quantity]]*ReviewCalcs[[#This Row],[Proposed Fixture Watts]]/1000*(ReviewCalcs[[#This Row],[Existing PAF]]-ReviewCalcs[[#This Row],[Proposed PAF]])*ReviewCalcs[[#This Row],[AOH]]*ReviewCalcs[[#This Row],[IEFE]],0)</f>
        <v>0</v>
      </c>
      <c r="BS254" s="118">
        <f>ReviewCalcs[[#This Row],[Incentive Fixture Demand Savings (kW)]]+ReviewCalcs[[#This Row],[Incentive Control Demand Savings (kW)]]</f>
        <v>0</v>
      </c>
      <c r="BT254" s="118">
        <f>ReviewCalcs[[#This Row],[Incentive Fixture Energy Savings (kWh)]]+ReviewCalcs[[#This Row],[Incentive Control Energy Savings (kWh)]]</f>
        <v>0</v>
      </c>
      <c r="BU254" s="73"/>
    </row>
    <row r="255" spans="1:73" ht="30" customHeight="1">
      <c r="A255" s="68">
        <v>252</v>
      </c>
      <c r="B255" s="96">
        <f>VLOOKUP(ReviewCalcs[[#This Row],[Project Index]], ProjectInput[], D$1, FALSE)</f>
        <v>0</v>
      </c>
      <c r="C255" s="97">
        <f>VLOOKUP(ReviewCalcs[[#This Row],[Project Index]], ProjectInput[], E$1, FALSE)</f>
        <v>0</v>
      </c>
      <c r="D255" s="97">
        <f>VLOOKUP(ReviewCalcs[[#This Row],[Project Index]], ProjectInput[], F$1, FALSE)</f>
        <v>0</v>
      </c>
      <c r="E255" s="97">
        <f>VLOOKUP(ReviewCalcs[[#This Row],[Project Index]], ProjectInput[], G$1, FALSE)</f>
        <v>0</v>
      </c>
      <c r="F255" s="97">
        <f>VLOOKUP(ReviewCalcs[[#This Row],[Project Index]], ProjectInput[], H$1, FALSE)</f>
        <v>0</v>
      </c>
      <c r="G255" s="98" t="str">
        <f>VLOOKUP(ReviewCalcs[[#This Row],[Project Index]], ProjectInput[], I$1, FALSE)</f>
        <v/>
      </c>
      <c r="H255" s="96">
        <f>VLOOKUP(ReviewCalcs[[#This Row],[Project Index]], ProjectInput[], J$1, FALSE)</f>
        <v>0</v>
      </c>
      <c r="I255" s="97">
        <f>VLOOKUP(ReviewCalcs[[#This Row],[Project Index]], ProjectInput[], K$1, FALSE)</f>
        <v>0</v>
      </c>
      <c r="J255" s="97">
        <f>VLOOKUP(ReviewCalcs[[#This Row],[Project Index]], ProjectInput[], L$1, FALSE)</f>
        <v>0</v>
      </c>
      <c r="K255" s="97">
        <f>VLOOKUP(ReviewCalcs[[#This Row],[Project Index]], ProjectInput[], M$1, FALSE)</f>
        <v>0</v>
      </c>
      <c r="L255" s="97">
        <f>VLOOKUP(ReviewCalcs[[#This Row],[Project Index]], ProjectInput[], N$1, FALSE)</f>
        <v>0</v>
      </c>
      <c r="M255" s="98" t="str">
        <f>VLOOKUP(ReviewCalcs[[#This Row],[Project Index]], ProjectInput[], O$1, FALSE)</f>
        <v/>
      </c>
      <c r="N255" s="96">
        <f>VLOOKUP(ReviewCalcs[[#This Row],[Project Index]], ProjectInput[], P$1, FALSE)</f>
        <v>0</v>
      </c>
      <c r="O255" s="97">
        <f>VLOOKUP(ReviewCalcs[[#This Row],[Project Index]], ProjectInput[], Q$1, FALSE)</f>
        <v>0</v>
      </c>
      <c r="P255" s="97">
        <f>VLOOKUP(ReviewCalcs[[#This Row],[Project Index]], ProjectInput[], R$1, FALSE)</f>
        <v>0</v>
      </c>
      <c r="Q255" s="97">
        <f>VLOOKUP(ReviewCalcs[[#This Row],[Project Index]], ProjectInput[], S$1, FALSE)</f>
        <v>0</v>
      </c>
      <c r="R255" s="97">
        <f>VLOOKUP(ReviewCalcs[[#This Row],[Project Index]], ProjectInput[], T$1, FALSE)</f>
        <v>0</v>
      </c>
      <c r="S255" s="97">
        <f>VLOOKUP(ReviewCalcs[[#This Row],[Project Index]], ProjectInput[], U$1, FALSE)</f>
        <v>0</v>
      </c>
      <c r="T255" s="97">
        <f>VLOOKUP(ReviewCalcs[[#This Row],[Project Index]], ProjectInput[], V$1, FALSE)</f>
        <v>0</v>
      </c>
      <c r="U255" s="97">
        <f>VLOOKUP(ReviewCalcs[[#This Row],[Project Index]], ProjectInput[], W$1, FALSE)</f>
        <v>0</v>
      </c>
      <c r="V255" s="98" t="str">
        <f>VLOOKUP(ReviewCalcs[[#This Row],[Project Index]], ProjectInput[], X$1, FALSE)</f>
        <v/>
      </c>
      <c r="W25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5" s="75" t="e">
        <f>IF(VLOOKUP(ReviewCalcs[[#This Row],[Proposed Fixture Code]], Table7[[FIXTURE CODE]:[Baseline Fixture Code]], 8, FALSE)="N", "ERROR", "PASS")</f>
        <v>#N/A</v>
      </c>
      <c r="Y25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5" s="75" t="e">
        <f>IF(OR(ReviewCalcs[[#This Row],[Baseline Fixture Watts]]&gt;=ReviewCalcs[[#This Row],[Proposed Fixture Watts]],ReviewCalcs[[#This Row],[Existing Fixture Watts]]&gt;=ReviewCalcs[[#This Row],[Proposed Fixture Watts]] ), "PASS", "ERROR")</f>
        <v>#N/A</v>
      </c>
      <c r="AA255" s="69" t="e">
        <f>VLOOKUP(ReviewCalcs[[#This Row],[Space Conditions]], Table_365[], 5, FALSE)</f>
        <v>#N/A</v>
      </c>
      <c r="AB255" s="68" t="str">
        <f>ReviewCalcs[[#This Row],[Annual Hours]]</f>
        <v/>
      </c>
      <c r="AC255" s="68" t="e">
        <f>VLOOKUP(ReviewCalcs[[#This Row],[Space Conditions]], Table_365[], 6, FALSE)</f>
        <v>#N/A</v>
      </c>
      <c r="AD255" s="68">
        <f>IF(ReviewCalcs[[#This Row],[Existing Control(s)]]='Tables &amp; Ranges'!$A$25, VLOOKUP(ReviewCalcs[[#This Row],[Building/Space Type]], Table_364[], 3, FALSE), CF_Contols)</f>
        <v>0.26</v>
      </c>
      <c r="AE255" s="68" t="e">
        <f>VLOOKUP(ReviewCalcs[[#This Row],[Existing Control(s)]], Table_358[], 2, FALSE)</f>
        <v>#N/A</v>
      </c>
      <c r="AF255" s="68">
        <f>IF(ReviewCalcs[[#This Row],[Proposed Control(s)]]='Tables &amp; Ranges'!$A$25, VLOOKUP(ReviewCalcs[[#This Row],[Building/Space Type]], Table_364[], 3, FALSE), CF_Contols)</f>
        <v>0.26</v>
      </c>
      <c r="AG255" s="68" t="e">
        <f>VLOOKUP(ReviewCalcs[[#This Row],[Proposed Control(s)]], Table_358[], 2, FALSE)</f>
        <v>#N/A</v>
      </c>
      <c r="AH255" s="68">
        <f>IFERROR((ReviewCalcs[[#This Row],[Existing Fixture Quantity]]*ReviewCalcs[[#This Row],[Existing Fixture Watts]]/1000)*ReviewCalcs[[#This Row],[Existing CF]]*ReviewCalcs[[#This Row],[IEFD]], 0)</f>
        <v>0</v>
      </c>
      <c r="AI255" s="68">
        <f>IFERROR((ReviewCalcs[[#This Row],[Proposed Fixture Quantity]]*ReviewCalcs[[#This Row],[Proposed Fixture Watts]]/1000)*ReviewCalcs[[#This Row],[Existing CF]]*ReviewCalcs[[#This Row],[IEFD]], 0)</f>
        <v>0</v>
      </c>
      <c r="AJ255" s="118">
        <f>IFERROR((ReviewCalcs[[#This Row],[Existing Fixture Quantity]]*ReviewCalcs[[#This Row],[Existing Fixture Watts]]/1000-ReviewCalcs[[#This Row],[Proposed Fixture Quantity]]*ReviewCalcs[[#This Row],[Proposed Fixture Watts]]/1000)*ReviewCalcs[[#This Row],[Existing CF]]*ReviewCalcs[[#This Row],[IEFD]], 0)</f>
        <v>0</v>
      </c>
      <c r="AK255" s="118">
        <f>IFERROR((ReviewCalcs[[#This Row],[Existing Fixture Quantity]]*ReviewCalcs[[#This Row],[Existing Fixture Watts]]/1000)*ReviewCalcs[[#This Row],[AOH]]*ReviewCalcs[[#This Row],[IEFE]]*ReviewCalcs[[#This Row],[Existing PAF]], 0)</f>
        <v>0</v>
      </c>
      <c r="AL255" s="118">
        <f>IFERROR((ReviewCalcs[[#This Row],[Proposed Fixture Quantity]]*ReviewCalcs[[#This Row],[Proposed Fixture Watts]]/1000)*ReviewCalcs[[#This Row],[AOH]]*ReviewCalcs[[#This Row],[IEFE]]*ReviewCalcs[[#This Row],[Existing PAF]], 0)</f>
        <v>0</v>
      </c>
      <c r="AM25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5" s="118">
        <f>ReviewCalcs[[#This Row],[Fixture Existing Energy (kWh)]]*Avg_KWh_Rate</f>
        <v>0</v>
      </c>
      <c r="AO255" s="118">
        <f>ReviewCalcs[[#This Row],[Fixture Proposed Energy (kWh)]]*Avg_KWh_Rate</f>
        <v>0</v>
      </c>
      <c r="AP255" s="70">
        <f>ReviewCalcs[[#This Row],[Fixture Energy Savings]]*Avg_KWh_Rate</f>
        <v>0</v>
      </c>
      <c r="AQ255" s="129" t="e">
        <f>ReviewCalcs[[#This Row],[Existing Fixture Quantity]]*ReviewCalcs[[#This Row],[Existing Fixture Watts]]/1000*ReviewCalcs[[#This Row],[Existing CF]]*ReviewCalcs[[#This Row],[IEFD]]</f>
        <v>#VALUE!</v>
      </c>
      <c r="AR255" s="129" t="e">
        <f>ReviewCalcs[[#This Row],[Proposed Fixture Quantity]]*ReviewCalcs[[#This Row],[Proposed Fixture Watts]]/1000*ReviewCalcs[[#This Row],[Proposed CF]]*ReviewCalcs[[#This Row],[IEFD]]</f>
        <v>#VALUE!</v>
      </c>
      <c r="AS255" s="118">
        <f>IF(ReviewCalcs[[#This Row],[Existing CF]]=ReviewCalcs[[#This Row],[Proposed CF]], 0, ReviewCalcs[[#This Row],[Proposed Fixture Quantity]]*ReviewCalcs[[#This Row],[Proposed Fixture Watts]]/1000*ReviewCalcs[[#This Row],[Proposed CF]]*ReviewCalcs[[#This Row],[IEFD]])</f>
        <v>0</v>
      </c>
      <c r="AT255" s="118">
        <f>IFERROR(ReviewCalcs[[#This Row],[Existing Fixture Quantity]]*ReviewCalcs[[#This Row],[Existing Fixture Watts]]/1000*ReviewCalcs[[#This Row],[Existing PAF]]*ReviewCalcs[[#This Row],[AOH]]*ReviewCalcs[[#This Row],[IEFE]], 0)</f>
        <v>0</v>
      </c>
      <c r="AU255" s="118">
        <f>IFERROR(ReviewCalcs[[#This Row],[Proposed Fixture Quantity]]*ReviewCalcs[[#This Row],[Proposed Fixture Watts]]/1000*ReviewCalcs[[#This Row],[Proposed PAF]]*ReviewCalcs[[#This Row],[AOH]]*ReviewCalcs[[#This Row],[IEFE]], 0)</f>
        <v>0</v>
      </c>
      <c r="AV255" s="118">
        <f>IFERROR(ReviewCalcs[[#This Row],[Proposed Fixture Quantity]]*ReviewCalcs[[#This Row],[Proposed Fixture Watts]]/1000*(ReviewCalcs[[#This Row],[Existing PAF]]-ReviewCalcs[[#This Row],[Proposed PAF]])*ReviewCalcs[[#This Row],[AOH]]*ReviewCalcs[[#This Row],[IEFE]], 0)</f>
        <v>0</v>
      </c>
      <c r="AW255" s="118">
        <f>ReviewCalcs[[#This Row],[Control Existing Energy (kWh)]]*kWh_Incentive_Rate</f>
        <v>0</v>
      </c>
      <c r="AX255" s="118">
        <f>ReviewCalcs[[#This Row],[Control Proposed Energy (kWh)]]*kWh_Incentive_Rate</f>
        <v>0</v>
      </c>
      <c r="AY255" s="70">
        <f>ReviewCalcs[[#This Row],[Control Energy Savings (kWh)]]*kWh_Incentive_Rate</f>
        <v>0</v>
      </c>
      <c r="AZ255" s="70" t="e">
        <f>ReviewCalcs[[#This Row],[Fixture Existing Demand (kW)]]+ReviewCalcs[[#This Row],[Control Existing Demand (kW)]]</f>
        <v>#VALUE!</v>
      </c>
      <c r="BA255" s="70" t="e">
        <f>ReviewCalcs[[#This Row],[Fixture Proposed Demand (kW)]]+ReviewCalcs[[#This Row],[Control Proposed Demand (kW)]]</f>
        <v>#VALUE!</v>
      </c>
      <c r="BB255" s="118">
        <f>ReviewCalcs[[#This Row],[Fixture Demand Savings (kW)]]+ReviewCalcs[[#This Row],[Control Demand Savings (kW)]]</f>
        <v>0</v>
      </c>
      <c r="BC255" s="118">
        <f>ReviewCalcs[[#This Row],[Fixture Existing Energy (kWh)]]+ReviewCalcs[[#This Row],[Control Existing Energy (kWh)]]</f>
        <v>0</v>
      </c>
      <c r="BD255" s="118">
        <f>ReviewCalcs[[#This Row],[Fixture Proposed Energy (kWh)]]+ReviewCalcs[[#This Row],[Control Proposed Energy (kWh)]]</f>
        <v>0</v>
      </c>
      <c r="BE255" s="118">
        <f>ReviewCalcs[[#This Row],[Fixture Energy Savings]]+ReviewCalcs[[#This Row],[Control Energy Savings (kWh)]]</f>
        <v>0</v>
      </c>
      <c r="BF255" s="118">
        <f>ReviewCalcs[[#This Row],[Fixture Existing Cost ($)]]+ReviewCalcs[[#This Row],[Control Existing Cost ($)]]</f>
        <v>0</v>
      </c>
      <c r="BG255" s="118">
        <f>ReviewCalcs[[#This Row],[Fixture Proposed Cost ($)]]+ReviewCalcs[[#This Row],[Controls Proposed Cost ($)]]</f>
        <v>0</v>
      </c>
      <c r="BH255" s="70">
        <f>ReviewCalcs[[#This Row],[Total Energy Savings (kWh)]]*Avg_KWh_Rate</f>
        <v>0</v>
      </c>
      <c r="BI25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5" s="70">
        <f>ReviewCalcs[[#This Row],[Retrofit Cost]]</f>
        <v>0</v>
      </c>
      <c r="BK255" s="70">
        <f>ReviewCalcs[[#This Row],[Retrofit Cost]]-ReviewCalcs[[#This Row],[Incentive ($)]]</f>
        <v>0</v>
      </c>
      <c r="BL255" s="118" t="e">
        <f>IFERROR(ReviewCalcs[[#This Row],[Net Project Cost ($)]]/ReviewCalcs[[#This Row],[Fixture Energy Cost Savings ($)]], #N/A)</f>
        <v>#N/A</v>
      </c>
      <c r="BM255" s="118" t="e">
        <f>IF(VLOOKUP(ReviewCalcs[[#This Row],[Existing Fixture Code]], Table7[[FIXTURE CODE]:[Baseline Fixture Code]], 8, FALSE)="N", VLOOKUP(ReviewCalcs[[#This Row],[Existing Fixture Code]], Table7[[FIXTURE CODE]:[Baseline Fixture Code]], 9, FALSE), ReviewCalcs[[#This Row],[Existing Fixture Code]])</f>
        <v>#N/A</v>
      </c>
      <c r="BN255" s="118" t="e">
        <f>INDEX(Table7[WATT/ FIXT], MATCH(ReviewCalcs[Baseline Fixture Code], Table7[FIXTURE CODE], 0))</f>
        <v>#N/A</v>
      </c>
      <c r="BO255" s="118">
        <f>IFERROR((ReviewCalcs[[#This Row],[Existing Fixture Quantity]]*ReviewCalcs[[#This Row],[Baseline Fixture Watts]]/1000-ReviewCalcs[[#This Row],[Proposed Fixture Quantity]]*ReviewCalcs[[#This Row],[Proposed Fixture Watts]]/1000)*ReviewCalcs[[#This Row],[Existing CF]]*ReviewCalcs[[#This Row],[IEFD]], 0)</f>
        <v>0</v>
      </c>
      <c r="BP25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5" s="118">
        <f>IF(ReviewCalcs[[#This Row],[Existing CF]]=ReviewCalcs[[#This Row],[Proposed CF]], 0, ReviewCalcs[[#This Row],[Proposed Fixture Quantity]]*ReviewCalcs[[#This Row],[Proposed Fixture Watts]]/1000*ReviewCalcs[[#This Row],[Proposed CF]]*ReviewCalcs[[#This Row],[IEFD]])</f>
        <v>0</v>
      </c>
      <c r="BR255" s="118">
        <f>IFERROR(ReviewCalcs[[#This Row],[Proposed Fixture Quantity]]*ReviewCalcs[[#This Row],[Proposed Fixture Watts]]/1000*(ReviewCalcs[[#This Row],[Existing PAF]]-ReviewCalcs[[#This Row],[Proposed PAF]])*ReviewCalcs[[#This Row],[AOH]]*ReviewCalcs[[#This Row],[IEFE]],0)</f>
        <v>0</v>
      </c>
      <c r="BS255" s="118">
        <f>ReviewCalcs[[#This Row],[Incentive Fixture Demand Savings (kW)]]+ReviewCalcs[[#This Row],[Incentive Control Demand Savings (kW)]]</f>
        <v>0</v>
      </c>
      <c r="BT255" s="118">
        <f>ReviewCalcs[[#This Row],[Incentive Fixture Energy Savings (kWh)]]+ReviewCalcs[[#This Row],[Incentive Control Energy Savings (kWh)]]</f>
        <v>0</v>
      </c>
      <c r="BU255" s="73"/>
    </row>
    <row r="256" spans="1:73" ht="30" customHeight="1">
      <c r="A256" s="68">
        <v>253</v>
      </c>
      <c r="B256" s="96">
        <f>VLOOKUP(ReviewCalcs[[#This Row],[Project Index]], ProjectInput[], D$1, FALSE)</f>
        <v>0</v>
      </c>
      <c r="C256" s="97">
        <f>VLOOKUP(ReviewCalcs[[#This Row],[Project Index]], ProjectInput[], E$1, FALSE)</f>
        <v>0</v>
      </c>
      <c r="D256" s="97">
        <f>VLOOKUP(ReviewCalcs[[#This Row],[Project Index]], ProjectInput[], F$1, FALSE)</f>
        <v>0</v>
      </c>
      <c r="E256" s="97">
        <f>VLOOKUP(ReviewCalcs[[#This Row],[Project Index]], ProjectInput[], G$1, FALSE)</f>
        <v>0</v>
      </c>
      <c r="F256" s="97">
        <f>VLOOKUP(ReviewCalcs[[#This Row],[Project Index]], ProjectInput[], H$1, FALSE)</f>
        <v>0</v>
      </c>
      <c r="G256" s="98" t="str">
        <f>VLOOKUP(ReviewCalcs[[#This Row],[Project Index]], ProjectInput[], I$1, FALSE)</f>
        <v/>
      </c>
      <c r="H256" s="96">
        <f>VLOOKUP(ReviewCalcs[[#This Row],[Project Index]], ProjectInput[], J$1, FALSE)</f>
        <v>0</v>
      </c>
      <c r="I256" s="97">
        <f>VLOOKUP(ReviewCalcs[[#This Row],[Project Index]], ProjectInput[], K$1, FALSE)</f>
        <v>0</v>
      </c>
      <c r="J256" s="97">
        <f>VLOOKUP(ReviewCalcs[[#This Row],[Project Index]], ProjectInput[], L$1, FALSE)</f>
        <v>0</v>
      </c>
      <c r="K256" s="97">
        <f>VLOOKUP(ReviewCalcs[[#This Row],[Project Index]], ProjectInput[], M$1, FALSE)</f>
        <v>0</v>
      </c>
      <c r="L256" s="97">
        <f>VLOOKUP(ReviewCalcs[[#This Row],[Project Index]], ProjectInput[], N$1, FALSE)</f>
        <v>0</v>
      </c>
      <c r="M256" s="98" t="str">
        <f>VLOOKUP(ReviewCalcs[[#This Row],[Project Index]], ProjectInput[], O$1, FALSE)</f>
        <v/>
      </c>
      <c r="N256" s="96">
        <f>VLOOKUP(ReviewCalcs[[#This Row],[Project Index]], ProjectInput[], P$1, FALSE)</f>
        <v>0</v>
      </c>
      <c r="O256" s="97">
        <f>VLOOKUP(ReviewCalcs[[#This Row],[Project Index]], ProjectInput[], Q$1, FALSE)</f>
        <v>0</v>
      </c>
      <c r="P256" s="97">
        <f>VLOOKUP(ReviewCalcs[[#This Row],[Project Index]], ProjectInput[], R$1, FALSE)</f>
        <v>0</v>
      </c>
      <c r="Q256" s="97">
        <f>VLOOKUP(ReviewCalcs[[#This Row],[Project Index]], ProjectInput[], S$1, FALSE)</f>
        <v>0</v>
      </c>
      <c r="R256" s="97">
        <f>VLOOKUP(ReviewCalcs[[#This Row],[Project Index]], ProjectInput[], T$1, FALSE)</f>
        <v>0</v>
      </c>
      <c r="S256" s="97">
        <f>VLOOKUP(ReviewCalcs[[#This Row],[Project Index]], ProjectInput[], U$1, FALSE)</f>
        <v>0</v>
      </c>
      <c r="T256" s="97">
        <f>VLOOKUP(ReviewCalcs[[#This Row],[Project Index]], ProjectInput[], V$1, FALSE)</f>
        <v>0</v>
      </c>
      <c r="U256" s="97">
        <f>VLOOKUP(ReviewCalcs[[#This Row],[Project Index]], ProjectInput[], W$1, FALSE)</f>
        <v>0</v>
      </c>
      <c r="V256" s="98" t="str">
        <f>VLOOKUP(ReviewCalcs[[#This Row],[Project Index]], ProjectInput[], X$1, FALSE)</f>
        <v/>
      </c>
      <c r="W25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6" s="75" t="e">
        <f>IF(VLOOKUP(ReviewCalcs[[#This Row],[Proposed Fixture Code]], Table7[[FIXTURE CODE]:[Baseline Fixture Code]], 8, FALSE)="N", "ERROR", "PASS")</f>
        <v>#N/A</v>
      </c>
      <c r="Y25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6" s="75" t="e">
        <f>IF(OR(ReviewCalcs[[#This Row],[Baseline Fixture Watts]]&gt;=ReviewCalcs[[#This Row],[Proposed Fixture Watts]],ReviewCalcs[[#This Row],[Existing Fixture Watts]]&gt;=ReviewCalcs[[#This Row],[Proposed Fixture Watts]] ), "PASS", "ERROR")</f>
        <v>#N/A</v>
      </c>
      <c r="AA256" s="69" t="e">
        <f>VLOOKUP(ReviewCalcs[[#This Row],[Space Conditions]], Table_365[], 5, FALSE)</f>
        <v>#N/A</v>
      </c>
      <c r="AB256" s="68" t="str">
        <f>ReviewCalcs[[#This Row],[Annual Hours]]</f>
        <v/>
      </c>
      <c r="AC256" s="68" t="e">
        <f>VLOOKUP(ReviewCalcs[[#This Row],[Space Conditions]], Table_365[], 6, FALSE)</f>
        <v>#N/A</v>
      </c>
      <c r="AD256" s="68">
        <f>IF(ReviewCalcs[[#This Row],[Existing Control(s)]]='Tables &amp; Ranges'!$A$25, VLOOKUP(ReviewCalcs[[#This Row],[Building/Space Type]], Table_364[], 3, FALSE), CF_Contols)</f>
        <v>0.26</v>
      </c>
      <c r="AE256" s="68" t="e">
        <f>VLOOKUP(ReviewCalcs[[#This Row],[Existing Control(s)]], Table_358[], 2, FALSE)</f>
        <v>#N/A</v>
      </c>
      <c r="AF256" s="68">
        <f>IF(ReviewCalcs[[#This Row],[Proposed Control(s)]]='Tables &amp; Ranges'!$A$25, VLOOKUP(ReviewCalcs[[#This Row],[Building/Space Type]], Table_364[], 3, FALSE), CF_Contols)</f>
        <v>0.26</v>
      </c>
      <c r="AG256" s="68" t="e">
        <f>VLOOKUP(ReviewCalcs[[#This Row],[Proposed Control(s)]], Table_358[], 2, FALSE)</f>
        <v>#N/A</v>
      </c>
      <c r="AH256" s="68">
        <f>IFERROR((ReviewCalcs[[#This Row],[Existing Fixture Quantity]]*ReviewCalcs[[#This Row],[Existing Fixture Watts]]/1000)*ReviewCalcs[[#This Row],[Existing CF]]*ReviewCalcs[[#This Row],[IEFD]], 0)</f>
        <v>0</v>
      </c>
      <c r="AI256" s="68">
        <f>IFERROR((ReviewCalcs[[#This Row],[Proposed Fixture Quantity]]*ReviewCalcs[[#This Row],[Proposed Fixture Watts]]/1000)*ReviewCalcs[[#This Row],[Existing CF]]*ReviewCalcs[[#This Row],[IEFD]], 0)</f>
        <v>0</v>
      </c>
      <c r="AJ256" s="118">
        <f>IFERROR((ReviewCalcs[[#This Row],[Existing Fixture Quantity]]*ReviewCalcs[[#This Row],[Existing Fixture Watts]]/1000-ReviewCalcs[[#This Row],[Proposed Fixture Quantity]]*ReviewCalcs[[#This Row],[Proposed Fixture Watts]]/1000)*ReviewCalcs[[#This Row],[Existing CF]]*ReviewCalcs[[#This Row],[IEFD]], 0)</f>
        <v>0</v>
      </c>
      <c r="AK256" s="118">
        <f>IFERROR((ReviewCalcs[[#This Row],[Existing Fixture Quantity]]*ReviewCalcs[[#This Row],[Existing Fixture Watts]]/1000)*ReviewCalcs[[#This Row],[AOH]]*ReviewCalcs[[#This Row],[IEFE]]*ReviewCalcs[[#This Row],[Existing PAF]], 0)</f>
        <v>0</v>
      </c>
      <c r="AL256" s="118">
        <f>IFERROR((ReviewCalcs[[#This Row],[Proposed Fixture Quantity]]*ReviewCalcs[[#This Row],[Proposed Fixture Watts]]/1000)*ReviewCalcs[[#This Row],[AOH]]*ReviewCalcs[[#This Row],[IEFE]]*ReviewCalcs[[#This Row],[Existing PAF]], 0)</f>
        <v>0</v>
      </c>
      <c r="AM25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6" s="118">
        <f>ReviewCalcs[[#This Row],[Fixture Existing Energy (kWh)]]*Avg_KWh_Rate</f>
        <v>0</v>
      </c>
      <c r="AO256" s="118">
        <f>ReviewCalcs[[#This Row],[Fixture Proposed Energy (kWh)]]*Avg_KWh_Rate</f>
        <v>0</v>
      </c>
      <c r="AP256" s="70">
        <f>ReviewCalcs[[#This Row],[Fixture Energy Savings]]*Avg_KWh_Rate</f>
        <v>0</v>
      </c>
      <c r="AQ256" s="129" t="e">
        <f>ReviewCalcs[[#This Row],[Existing Fixture Quantity]]*ReviewCalcs[[#This Row],[Existing Fixture Watts]]/1000*ReviewCalcs[[#This Row],[Existing CF]]*ReviewCalcs[[#This Row],[IEFD]]</f>
        <v>#VALUE!</v>
      </c>
      <c r="AR256" s="129" t="e">
        <f>ReviewCalcs[[#This Row],[Proposed Fixture Quantity]]*ReviewCalcs[[#This Row],[Proposed Fixture Watts]]/1000*ReviewCalcs[[#This Row],[Proposed CF]]*ReviewCalcs[[#This Row],[IEFD]]</f>
        <v>#VALUE!</v>
      </c>
      <c r="AS256" s="118">
        <f>IF(ReviewCalcs[[#This Row],[Existing CF]]=ReviewCalcs[[#This Row],[Proposed CF]], 0, ReviewCalcs[[#This Row],[Proposed Fixture Quantity]]*ReviewCalcs[[#This Row],[Proposed Fixture Watts]]/1000*ReviewCalcs[[#This Row],[Proposed CF]]*ReviewCalcs[[#This Row],[IEFD]])</f>
        <v>0</v>
      </c>
      <c r="AT256" s="118">
        <f>IFERROR(ReviewCalcs[[#This Row],[Existing Fixture Quantity]]*ReviewCalcs[[#This Row],[Existing Fixture Watts]]/1000*ReviewCalcs[[#This Row],[Existing PAF]]*ReviewCalcs[[#This Row],[AOH]]*ReviewCalcs[[#This Row],[IEFE]], 0)</f>
        <v>0</v>
      </c>
      <c r="AU256" s="118">
        <f>IFERROR(ReviewCalcs[[#This Row],[Proposed Fixture Quantity]]*ReviewCalcs[[#This Row],[Proposed Fixture Watts]]/1000*ReviewCalcs[[#This Row],[Proposed PAF]]*ReviewCalcs[[#This Row],[AOH]]*ReviewCalcs[[#This Row],[IEFE]], 0)</f>
        <v>0</v>
      </c>
      <c r="AV256" s="118">
        <f>IFERROR(ReviewCalcs[[#This Row],[Proposed Fixture Quantity]]*ReviewCalcs[[#This Row],[Proposed Fixture Watts]]/1000*(ReviewCalcs[[#This Row],[Existing PAF]]-ReviewCalcs[[#This Row],[Proposed PAF]])*ReviewCalcs[[#This Row],[AOH]]*ReviewCalcs[[#This Row],[IEFE]], 0)</f>
        <v>0</v>
      </c>
      <c r="AW256" s="118">
        <f>ReviewCalcs[[#This Row],[Control Existing Energy (kWh)]]*kWh_Incentive_Rate</f>
        <v>0</v>
      </c>
      <c r="AX256" s="118">
        <f>ReviewCalcs[[#This Row],[Control Proposed Energy (kWh)]]*kWh_Incentive_Rate</f>
        <v>0</v>
      </c>
      <c r="AY256" s="70">
        <f>ReviewCalcs[[#This Row],[Control Energy Savings (kWh)]]*kWh_Incentive_Rate</f>
        <v>0</v>
      </c>
      <c r="AZ256" s="70" t="e">
        <f>ReviewCalcs[[#This Row],[Fixture Existing Demand (kW)]]+ReviewCalcs[[#This Row],[Control Existing Demand (kW)]]</f>
        <v>#VALUE!</v>
      </c>
      <c r="BA256" s="70" t="e">
        <f>ReviewCalcs[[#This Row],[Fixture Proposed Demand (kW)]]+ReviewCalcs[[#This Row],[Control Proposed Demand (kW)]]</f>
        <v>#VALUE!</v>
      </c>
      <c r="BB256" s="118">
        <f>ReviewCalcs[[#This Row],[Fixture Demand Savings (kW)]]+ReviewCalcs[[#This Row],[Control Demand Savings (kW)]]</f>
        <v>0</v>
      </c>
      <c r="BC256" s="118">
        <f>ReviewCalcs[[#This Row],[Fixture Existing Energy (kWh)]]+ReviewCalcs[[#This Row],[Control Existing Energy (kWh)]]</f>
        <v>0</v>
      </c>
      <c r="BD256" s="118">
        <f>ReviewCalcs[[#This Row],[Fixture Proposed Energy (kWh)]]+ReviewCalcs[[#This Row],[Control Proposed Energy (kWh)]]</f>
        <v>0</v>
      </c>
      <c r="BE256" s="118">
        <f>ReviewCalcs[[#This Row],[Fixture Energy Savings]]+ReviewCalcs[[#This Row],[Control Energy Savings (kWh)]]</f>
        <v>0</v>
      </c>
      <c r="BF256" s="118">
        <f>ReviewCalcs[[#This Row],[Fixture Existing Cost ($)]]+ReviewCalcs[[#This Row],[Control Existing Cost ($)]]</f>
        <v>0</v>
      </c>
      <c r="BG256" s="118">
        <f>ReviewCalcs[[#This Row],[Fixture Proposed Cost ($)]]+ReviewCalcs[[#This Row],[Controls Proposed Cost ($)]]</f>
        <v>0</v>
      </c>
      <c r="BH256" s="70">
        <f>ReviewCalcs[[#This Row],[Total Energy Savings (kWh)]]*Avg_KWh_Rate</f>
        <v>0</v>
      </c>
      <c r="BI25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6" s="70">
        <f>ReviewCalcs[[#This Row],[Retrofit Cost]]</f>
        <v>0</v>
      </c>
      <c r="BK256" s="70">
        <f>ReviewCalcs[[#This Row],[Retrofit Cost]]-ReviewCalcs[[#This Row],[Incentive ($)]]</f>
        <v>0</v>
      </c>
      <c r="BL256" s="118" t="e">
        <f>IFERROR(ReviewCalcs[[#This Row],[Net Project Cost ($)]]/ReviewCalcs[[#This Row],[Fixture Energy Cost Savings ($)]], #N/A)</f>
        <v>#N/A</v>
      </c>
      <c r="BM256" s="118" t="e">
        <f>IF(VLOOKUP(ReviewCalcs[[#This Row],[Existing Fixture Code]], Table7[[FIXTURE CODE]:[Baseline Fixture Code]], 8, FALSE)="N", VLOOKUP(ReviewCalcs[[#This Row],[Existing Fixture Code]], Table7[[FIXTURE CODE]:[Baseline Fixture Code]], 9, FALSE), ReviewCalcs[[#This Row],[Existing Fixture Code]])</f>
        <v>#N/A</v>
      </c>
      <c r="BN256" s="118" t="e">
        <f>INDEX(Table7[WATT/ FIXT], MATCH(ReviewCalcs[Baseline Fixture Code], Table7[FIXTURE CODE], 0))</f>
        <v>#N/A</v>
      </c>
      <c r="BO256" s="118">
        <f>IFERROR((ReviewCalcs[[#This Row],[Existing Fixture Quantity]]*ReviewCalcs[[#This Row],[Baseline Fixture Watts]]/1000-ReviewCalcs[[#This Row],[Proposed Fixture Quantity]]*ReviewCalcs[[#This Row],[Proposed Fixture Watts]]/1000)*ReviewCalcs[[#This Row],[Existing CF]]*ReviewCalcs[[#This Row],[IEFD]], 0)</f>
        <v>0</v>
      </c>
      <c r="BP25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6" s="118">
        <f>IF(ReviewCalcs[[#This Row],[Existing CF]]=ReviewCalcs[[#This Row],[Proposed CF]], 0, ReviewCalcs[[#This Row],[Proposed Fixture Quantity]]*ReviewCalcs[[#This Row],[Proposed Fixture Watts]]/1000*ReviewCalcs[[#This Row],[Proposed CF]]*ReviewCalcs[[#This Row],[IEFD]])</f>
        <v>0</v>
      </c>
      <c r="BR256" s="118">
        <f>IFERROR(ReviewCalcs[[#This Row],[Proposed Fixture Quantity]]*ReviewCalcs[[#This Row],[Proposed Fixture Watts]]/1000*(ReviewCalcs[[#This Row],[Existing PAF]]-ReviewCalcs[[#This Row],[Proposed PAF]])*ReviewCalcs[[#This Row],[AOH]]*ReviewCalcs[[#This Row],[IEFE]],0)</f>
        <v>0</v>
      </c>
      <c r="BS256" s="118">
        <f>ReviewCalcs[[#This Row],[Incentive Fixture Demand Savings (kW)]]+ReviewCalcs[[#This Row],[Incentive Control Demand Savings (kW)]]</f>
        <v>0</v>
      </c>
      <c r="BT256" s="118">
        <f>ReviewCalcs[[#This Row],[Incentive Fixture Energy Savings (kWh)]]+ReviewCalcs[[#This Row],[Incentive Control Energy Savings (kWh)]]</f>
        <v>0</v>
      </c>
      <c r="BU256" s="73"/>
    </row>
    <row r="257" spans="1:73" ht="30" customHeight="1">
      <c r="A257" s="68">
        <v>254</v>
      </c>
      <c r="B257" s="96">
        <f>VLOOKUP(ReviewCalcs[[#This Row],[Project Index]], ProjectInput[], D$1, FALSE)</f>
        <v>0</v>
      </c>
      <c r="C257" s="97">
        <f>VLOOKUP(ReviewCalcs[[#This Row],[Project Index]], ProjectInput[], E$1, FALSE)</f>
        <v>0</v>
      </c>
      <c r="D257" s="97">
        <f>VLOOKUP(ReviewCalcs[[#This Row],[Project Index]], ProjectInput[], F$1, FALSE)</f>
        <v>0</v>
      </c>
      <c r="E257" s="97">
        <f>VLOOKUP(ReviewCalcs[[#This Row],[Project Index]], ProjectInput[], G$1, FALSE)</f>
        <v>0</v>
      </c>
      <c r="F257" s="97">
        <f>VLOOKUP(ReviewCalcs[[#This Row],[Project Index]], ProjectInput[], H$1, FALSE)</f>
        <v>0</v>
      </c>
      <c r="G257" s="98" t="str">
        <f>VLOOKUP(ReviewCalcs[[#This Row],[Project Index]], ProjectInput[], I$1, FALSE)</f>
        <v/>
      </c>
      <c r="H257" s="96">
        <f>VLOOKUP(ReviewCalcs[[#This Row],[Project Index]], ProjectInput[], J$1, FALSE)</f>
        <v>0</v>
      </c>
      <c r="I257" s="97">
        <f>VLOOKUP(ReviewCalcs[[#This Row],[Project Index]], ProjectInput[], K$1, FALSE)</f>
        <v>0</v>
      </c>
      <c r="J257" s="97">
        <f>VLOOKUP(ReviewCalcs[[#This Row],[Project Index]], ProjectInput[], L$1, FALSE)</f>
        <v>0</v>
      </c>
      <c r="K257" s="97">
        <f>VLOOKUP(ReviewCalcs[[#This Row],[Project Index]], ProjectInput[], M$1, FALSE)</f>
        <v>0</v>
      </c>
      <c r="L257" s="97">
        <f>VLOOKUP(ReviewCalcs[[#This Row],[Project Index]], ProjectInput[], N$1, FALSE)</f>
        <v>0</v>
      </c>
      <c r="M257" s="98" t="str">
        <f>VLOOKUP(ReviewCalcs[[#This Row],[Project Index]], ProjectInput[], O$1, FALSE)</f>
        <v/>
      </c>
      <c r="N257" s="96">
        <f>VLOOKUP(ReviewCalcs[[#This Row],[Project Index]], ProjectInput[], P$1, FALSE)</f>
        <v>0</v>
      </c>
      <c r="O257" s="97">
        <f>VLOOKUP(ReviewCalcs[[#This Row],[Project Index]], ProjectInput[], Q$1, FALSE)</f>
        <v>0</v>
      </c>
      <c r="P257" s="97">
        <f>VLOOKUP(ReviewCalcs[[#This Row],[Project Index]], ProjectInput[], R$1, FALSE)</f>
        <v>0</v>
      </c>
      <c r="Q257" s="97">
        <f>VLOOKUP(ReviewCalcs[[#This Row],[Project Index]], ProjectInput[], S$1, FALSE)</f>
        <v>0</v>
      </c>
      <c r="R257" s="97">
        <f>VLOOKUP(ReviewCalcs[[#This Row],[Project Index]], ProjectInput[], T$1, FALSE)</f>
        <v>0</v>
      </c>
      <c r="S257" s="97">
        <f>VLOOKUP(ReviewCalcs[[#This Row],[Project Index]], ProjectInput[], U$1, FALSE)</f>
        <v>0</v>
      </c>
      <c r="T257" s="97">
        <f>VLOOKUP(ReviewCalcs[[#This Row],[Project Index]], ProjectInput[], V$1, FALSE)</f>
        <v>0</v>
      </c>
      <c r="U257" s="97">
        <f>VLOOKUP(ReviewCalcs[[#This Row],[Project Index]], ProjectInput[], W$1, FALSE)</f>
        <v>0</v>
      </c>
      <c r="V257" s="98" t="str">
        <f>VLOOKUP(ReviewCalcs[[#This Row],[Project Index]], ProjectInput[], X$1, FALSE)</f>
        <v/>
      </c>
      <c r="W25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7" s="75" t="e">
        <f>IF(VLOOKUP(ReviewCalcs[[#This Row],[Proposed Fixture Code]], Table7[[FIXTURE CODE]:[Baseline Fixture Code]], 8, FALSE)="N", "ERROR", "PASS")</f>
        <v>#N/A</v>
      </c>
      <c r="Y25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7" s="75" t="e">
        <f>IF(OR(ReviewCalcs[[#This Row],[Baseline Fixture Watts]]&gt;=ReviewCalcs[[#This Row],[Proposed Fixture Watts]],ReviewCalcs[[#This Row],[Existing Fixture Watts]]&gt;=ReviewCalcs[[#This Row],[Proposed Fixture Watts]] ), "PASS", "ERROR")</f>
        <v>#N/A</v>
      </c>
      <c r="AA257" s="69" t="e">
        <f>VLOOKUP(ReviewCalcs[[#This Row],[Space Conditions]], Table_365[], 5, FALSE)</f>
        <v>#N/A</v>
      </c>
      <c r="AB257" s="68" t="str">
        <f>ReviewCalcs[[#This Row],[Annual Hours]]</f>
        <v/>
      </c>
      <c r="AC257" s="68" t="e">
        <f>VLOOKUP(ReviewCalcs[[#This Row],[Space Conditions]], Table_365[], 6, FALSE)</f>
        <v>#N/A</v>
      </c>
      <c r="AD257" s="68">
        <f>IF(ReviewCalcs[[#This Row],[Existing Control(s)]]='Tables &amp; Ranges'!$A$25, VLOOKUP(ReviewCalcs[[#This Row],[Building/Space Type]], Table_364[], 3, FALSE), CF_Contols)</f>
        <v>0.26</v>
      </c>
      <c r="AE257" s="68" t="e">
        <f>VLOOKUP(ReviewCalcs[[#This Row],[Existing Control(s)]], Table_358[], 2, FALSE)</f>
        <v>#N/A</v>
      </c>
      <c r="AF257" s="68">
        <f>IF(ReviewCalcs[[#This Row],[Proposed Control(s)]]='Tables &amp; Ranges'!$A$25, VLOOKUP(ReviewCalcs[[#This Row],[Building/Space Type]], Table_364[], 3, FALSE), CF_Contols)</f>
        <v>0.26</v>
      </c>
      <c r="AG257" s="68" t="e">
        <f>VLOOKUP(ReviewCalcs[[#This Row],[Proposed Control(s)]], Table_358[], 2, FALSE)</f>
        <v>#N/A</v>
      </c>
      <c r="AH257" s="68">
        <f>IFERROR((ReviewCalcs[[#This Row],[Existing Fixture Quantity]]*ReviewCalcs[[#This Row],[Existing Fixture Watts]]/1000)*ReviewCalcs[[#This Row],[Existing CF]]*ReviewCalcs[[#This Row],[IEFD]], 0)</f>
        <v>0</v>
      </c>
      <c r="AI257" s="68">
        <f>IFERROR((ReviewCalcs[[#This Row],[Proposed Fixture Quantity]]*ReviewCalcs[[#This Row],[Proposed Fixture Watts]]/1000)*ReviewCalcs[[#This Row],[Existing CF]]*ReviewCalcs[[#This Row],[IEFD]], 0)</f>
        <v>0</v>
      </c>
      <c r="AJ257" s="118">
        <f>IFERROR((ReviewCalcs[[#This Row],[Existing Fixture Quantity]]*ReviewCalcs[[#This Row],[Existing Fixture Watts]]/1000-ReviewCalcs[[#This Row],[Proposed Fixture Quantity]]*ReviewCalcs[[#This Row],[Proposed Fixture Watts]]/1000)*ReviewCalcs[[#This Row],[Existing CF]]*ReviewCalcs[[#This Row],[IEFD]], 0)</f>
        <v>0</v>
      </c>
      <c r="AK257" s="118">
        <f>IFERROR((ReviewCalcs[[#This Row],[Existing Fixture Quantity]]*ReviewCalcs[[#This Row],[Existing Fixture Watts]]/1000)*ReviewCalcs[[#This Row],[AOH]]*ReviewCalcs[[#This Row],[IEFE]]*ReviewCalcs[[#This Row],[Existing PAF]], 0)</f>
        <v>0</v>
      </c>
      <c r="AL257" s="118">
        <f>IFERROR((ReviewCalcs[[#This Row],[Proposed Fixture Quantity]]*ReviewCalcs[[#This Row],[Proposed Fixture Watts]]/1000)*ReviewCalcs[[#This Row],[AOH]]*ReviewCalcs[[#This Row],[IEFE]]*ReviewCalcs[[#This Row],[Existing PAF]], 0)</f>
        <v>0</v>
      </c>
      <c r="AM25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7" s="118">
        <f>ReviewCalcs[[#This Row],[Fixture Existing Energy (kWh)]]*Avg_KWh_Rate</f>
        <v>0</v>
      </c>
      <c r="AO257" s="118">
        <f>ReviewCalcs[[#This Row],[Fixture Proposed Energy (kWh)]]*Avg_KWh_Rate</f>
        <v>0</v>
      </c>
      <c r="AP257" s="70">
        <f>ReviewCalcs[[#This Row],[Fixture Energy Savings]]*Avg_KWh_Rate</f>
        <v>0</v>
      </c>
      <c r="AQ257" s="129" t="e">
        <f>ReviewCalcs[[#This Row],[Existing Fixture Quantity]]*ReviewCalcs[[#This Row],[Existing Fixture Watts]]/1000*ReviewCalcs[[#This Row],[Existing CF]]*ReviewCalcs[[#This Row],[IEFD]]</f>
        <v>#VALUE!</v>
      </c>
      <c r="AR257" s="129" t="e">
        <f>ReviewCalcs[[#This Row],[Proposed Fixture Quantity]]*ReviewCalcs[[#This Row],[Proposed Fixture Watts]]/1000*ReviewCalcs[[#This Row],[Proposed CF]]*ReviewCalcs[[#This Row],[IEFD]]</f>
        <v>#VALUE!</v>
      </c>
      <c r="AS257" s="118">
        <f>IF(ReviewCalcs[[#This Row],[Existing CF]]=ReviewCalcs[[#This Row],[Proposed CF]], 0, ReviewCalcs[[#This Row],[Proposed Fixture Quantity]]*ReviewCalcs[[#This Row],[Proposed Fixture Watts]]/1000*ReviewCalcs[[#This Row],[Proposed CF]]*ReviewCalcs[[#This Row],[IEFD]])</f>
        <v>0</v>
      </c>
      <c r="AT257" s="118">
        <f>IFERROR(ReviewCalcs[[#This Row],[Existing Fixture Quantity]]*ReviewCalcs[[#This Row],[Existing Fixture Watts]]/1000*ReviewCalcs[[#This Row],[Existing PAF]]*ReviewCalcs[[#This Row],[AOH]]*ReviewCalcs[[#This Row],[IEFE]], 0)</f>
        <v>0</v>
      </c>
      <c r="AU257" s="118">
        <f>IFERROR(ReviewCalcs[[#This Row],[Proposed Fixture Quantity]]*ReviewCalcs[[#This Row],[Proposed Fixture Watts]]/1000*ReviewCalcs[[#This Row],[Proposed PAF]]*ReviewCalcs[[#This Row],[AOH]]*ReviewCalcs[[#This Row],[IEFE]], 0)</f>
        <v>0</v>
      </c>
      <c r="AV257" s="118">
        <f>IFERROR(ReviewCalcs[[#This Row],[Proposed Fixture Quantity]]*ReviewCalcs[[#This Row],[Proposed Fixture Watts]]/1000*(ReviewCalcs[[#This Row],[Existing PAF]]-ReviewCalcs[[#This Row],[Proposed PAF]])*ReviewCalcs[[#This Row],[AOH]]*ReviewCalcs[[#This Row],[IEFE]], 0)</f>
        <v>0</v>
      </c>
      <c r="AW257" s="118">
        <f>ReviewCalcs[[#This Row],[Control Existing Energy (kWh)]]*kWh_Incentive_Rate</f>
        <v>0</v>
      </c>
      <c r="AX257" s="118">
        <f>ReviewCalcs[[#This Row],[Control Proposed Energy (kWh)]]*kWh_Incentive_Rate</f>
        <v>0</v>
      </c>
      <c r="AY257" s="70">
        <f>ReviewCalcs[[#This Row],[Control Energy Savings (kWh)]]*kWh_Incentive_Rate</f>
        <v>0</v>
      </c>
      <c r="AZ257" s="70" t="e">
        <f>ReviewCalcs[[#This Row],[Fixture Existing Demand (kW)]]+ReviewCalcs[[#This Row],[Control Existing Demand (kW)]]</f>
        <v>#VALUE!</v>
      </c>
      <c r="BA257" s="70" t="e">
        <f>ReviewCalcs[[#This Row],[Fixture Proposed Demand (kW)]]+ReviewCalcs[[#This Row],[Control Proposed Demand (kW)]]</f>
        <v>#VALUE!</v>
      </c>
      <c r="BB257" s="118">
        <f>ReviewCalcs[[#This Row],[Fixture Demand Savings (kW)]]+ReviewCalcs[[#This Row],[Control Demand Savings (kW)]]</f>
        <v>0</v>
      </c>
      <c r="BC257" s="118">
        <f>ReviewCalcs[[#This Row],[Fixture Existing Energy (kWh)]]+ReviewCalcs[[#This Row],[Control Existing Energy (kWh)]]</f>
        <v>0</v>
      </c>
      <c r="BD257" s="118">
        <f>ReviewCalcs[[#This Row],[Fixture Proposed Energy (kWh)]]+ReviewCalcs[[#This Row],[Control Proposed Energy (kWh)]]</f>
        <v>0</v>
      </c>
      <c r="BE257" s="118">
        <f>ReviewCalcs[[#This Row],[Fixture Energy Savings]]+ReviewCalcs[[#This Row],[Control Energy Savings (kWh)]]</f>
        <v>0</v>
      </c>
      <c r="BF257" s="118">
        <f>ReviewCalcs[[#This Row],[Fixture Existing Cost ($)]]+ReviewCalcs[[#This Row],[Control Existing Cost ($)]]</f>
        <v>0</v>
      </c>
      <c r="BG257" s="118">
        <f>ReviewCalcs[[#This Row],[Fixture Proposed Cost ($)]]+ReviewCalcs[[#This Row],[Controls Proposed Cost ($)]]</f>
        <v>0</v>
      </c>
      <c r="BH257" s="70">
        <f>ReviewCalcs[[#This Row],[Total Energy Savings (kWh)]]*Avg_KWh_Rate</f>
        <v>0</v>
      </c>
      <c r="BI25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7" s="70">
        <f>ReviewCalcs[[#This Row],[Retrofit Cost]]</f>
        <v>0</v>
      </c>
      <c r="BK257" s="70">
        <f>ReviewCalcs[[#This Row],[Retrofit Cost]]-ReviewCalcs[[#This Row],[Incentive ($)]]</f>
        <v>0</v>
      </c>
      <c r="BL257" s="118" t="e">
        <f>IFERROR(ReviewCalcs[[#This Row],[Net Project Cost ($)]]/ReviewCalcs[[#This Row],[Fixture Energy Cost Savings ($)]], #N/A)</f>
        <v>#N/A</v>
      </c>
      <c r="BM257" s="118" t="e">
        <f>IF(VLOOKUP(ReviewCalcs[[#This Row],[Existing Fixture Code]], Table7[[FIXTURE CODE]:[Baseline Fixture Code]], 8, FALSE)="N", VLOOKUP(ReviewCalcs[[#This Row],[Existing Fixture Code]], Table7[[FIXTURE CODE]:[Baseline Fixture Code]], 9, FALSE), ReviewCalcs[[#This Row],[Existing Fixture Code]])</f>
        <v>#N/A</v>
      </c>
      <c r="BN257" s="118" t="e">
        <f>INDEX(Table7[WATT/ FIXT], MATCH(ReviewCalcs[Baseline Fixture Code], Table7[FIXTURE CODE], 0))</f>
        <v>#N/A</v>
      </c>
      <c r="BO257" s="118">
        <f>IFERROR((ReviewCalcs[[#This Row],[Existing Fixture Quantity]]*ReviewCalcs[[#This Row],[Baseline Fixture Watts]]/1000-ReviewCalcs[[#This Row],[Proposed Fixture Quantity]]*ReviewCalcs[[#This Row],[Proposed Fixture Watts]]/1000)*ReviewCalcs[[#This Row],[Existing CF]]*ReviewCalcs[[#This Row],[IEFD]], 0)</f>
        <v>0</v>
      </c>
      <c r="BP25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7" s="118">
        <f>IF(ReviewCalcs[[#This Row],[Existing CF]]=ReviewCalcs[[#This Row],[Proposed CF]], 0, ReviewCalcs[[#This Row],[Proposed Fixture Quantity]]*ReviewCalcs[[#This Row],[Proposed Fixture Watts]]/1000*ReviewCalcs[[#This Row],[Proposed CF]]*ReviewCalcs[[#This Row],[IEFD]])</f>
        <v>0</v>
      </c>
      <c r="BR257" s="118">
        <f>IFERROR(ReviewCalcs[[#This Row],[Proposed Fixture Quantity]]*ReviewCalcs[[#This Row],[Proposed Fixture Watts]]/1000*(ReviewCalcs[[#This Row],[Existing PAF]]-ReviewCalcs[[#This Row],[Proposed PAF]])*ReviewCalcs[[#This Row],[AOH]]*ReviewCalcs[[#This Row],[IEFE]],0)</f>
        <v>0</v>
      </c>
      <c r="BS257" s="118">
        <f>ReviewCalcs[[#This Row],[Incentive Fixture Demand Savings (kW)]]+ReviewCalcs[[#This Row],[Incentive Control Demand Savings (kW)]]</f>
        <v>0</v>
      </c>
      <c r="BT257" s="118">
        <f>ReviewCalcs[[#This Row],[Incentive Fixture Energy Savings (kWh)]]+ReviewCalcs[[#This Row],[Incentive Control Energy Savings (kWh)]]</f>
        <v>0</v>
      </c>
      <c r="BU257" s="73"/>
    </row>
    <row r="258" spans="1:73" ht="30" customHeight="1">
      <c r="A258" s="68">
        <v>255</v>
      </c>
      <c r="B258" s="96">
        <f>VLOOKUP(ReviewCalcs[[#This Row],[Project Index]], ProjectInput[], D$1, FALSE)</f>
        <v>0</v>
      </c>
      <c r="C258" s="97">
        <f>VLOOKUP(ReviewCalcs[[#This Row],[Project Index]], ProjectInput[], E$1, FALSE)</f>
        <v>0</v>
      </c>
      <c r="D258" s="97">
        <f>VLOOKUP(ReviewCalcs[[#This Row],[Project Index]], ProjectInput[], F$1, FALSE)</f>
        <v>0</v>
      </c>
      <c r="E258" s="97">
        <f>VLOOKUP(ReviewCalcs[[#This Row],[Project Index]], ProjectInput[], G$1, FALSE)</f>
        <v>0</v>
      </c>
      <c r="F258" s="97">
        <f>VLOOKUP(ReviewCalcs[[#This Row],[Project Index]], ProjectInput[], H$1, FALSE)</f>
        <v>0</v>
      </c>
      <c r="G258" s="98" t="str">
        <f>VLOOKUP(ReviewCalcs[[#This Row],[Project Index]], ProjectInput[], I$1, FALSE)</f>
        <v/>
      </c>
      <c r="H258" s="96">
        <f>VLOOKUP(ReviewCalcs[[#This Row],[Project Index]], ProjectInput[], J$1, FALSE)</f>
        <v>0</v>
      </c>
      <c r="I258" s="97">
        <f>VLOOKUP(ReviewCalcs[[#This Row],[Project Index]], ProjectInput[], K$1, FALSE)</f>
        <v>0</v>
      </c>
      <c r="J258" s="97">
        <f>VLOOKUP(ReviewCalcs[[#This Row],[Project Index]], ProjectInput[], L$1, FALSE)</f>
        <v>0</v>
      </c>
      <c r="K258" s="97">
        <f>VLOOKUP(ReviewCalcs[[#This Row],[Project Index]], ProjectInput[], M$1, FALSE)</f>
        <v>0</v>
      </c>
      <c r="L258" s="97">
        <f>VLOOKUP(ReviewCalcs[[#This Row],[Project Index]], ProjectInput[], N$1, FALSE)</f>
        <v>0</v>
      </c>
      <c r="M258" s="98" t="str">
        <f>VLOOKUP(ReviewCalcs[[#This Row],[Project Index]], ProjectInput[], O$1, FALSE)</f>
        <v/>
      </c>
      <c r="N258" s="96">
        <f>VLOOKUP(ReviewCalcs[[#This Row],[Project Index]], ProjectInput[], P$1, FALSE)</f>
        <v>0</v>
      </c>
      <c r="O258" s="97">
        <f>VLOOKUP(ReviewCalcs[[#This Row],[Project Index]], ProjectInput[], Q$1, FALSE)</f>
        <v>0</v>
      </c>
      <c r="P258" s="97">
        <f>VLOOKUP(ReviewCalcs[[#This Row],[Project Index]], ProjectInput[], R$1, FALSE)</f>
        <v>0</v>
      </c>
      <c r="Q258" s="97">
        <f>VLOOKUP(ReviewCalcs[[#This Row],[Project Index]], ProjectInput[], S$1, FALSE)</f>
        <v>0</v>
      </c>
      <c r="R258" s="97">
        <f>VLOOKUP(ReviewCalcs[[#This Row],[Project Index]], ProjectInput[], T$1, FALSE)</f>
        <v>0</v>
      </c>
      <c r="S258" s="97">
        <f>VLOOKUP(ReviewCalcs[[#This Row],[Project Index]], ProjectInput[], U$1, FALSE)</f>
        <v>0</v>
      </c>
      <c r="T258" s="97">
        <f>VLOOKUP(ReviewCalcs[[#This Row],[Project Index]], ProjectInput[], V$1, FALSE)</f>
        <v>0</v>
      </c>
      <c r="U258" s="97">
        <f>VLOOKUP(ReviewCalcs[[#This Row],[Project Index]], ProjectInput[], W$1, FALSE)</f>
        <v>0</v>
      </c>
      <c r="V258" s="98" t="str">
        <f>VLOOKUP(ReviewCalcs[[#This Row],[Project Index]], ProjectInput[], X$1, FALSE)</f>
        <v/>
      </c>
      <c r="W25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8" s="75" t="e">
        <f>IF(VLOOKUP(ReviewCalcs[[#This Row],[Proposed Fixture Code]], Table7[[FIXTURE CODE]:[Baseline Fixture Code]], 8, FALSE)="N", "ERROR", "PASS")</f>
        <v>#N/A</v>
      </c>
      <c r="Y25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8" s="75" t="e">
        <f>IF(OR(ReviewCalcs[[#This Row],[Baseline Fixture Watts]]&gt;=ReviewCalcs[[#This Row],[Proposed Fixture Watts]],ReviewCalcs[[#This Row],[Existing Fixture Watts]]&gt;=ReviewCalcs[[#This Row],[Proposed Fixture Watts]] ), "PASS", "ERROR")</f>
        <v>#N/A</v>
      </c>
      <c r="AA258" s="69" t="e">
        <f>VLOOKUP(ReviewCalcs[[#This Row],[Space Conditions]], Table_365[], 5, FALSE)</f>
        <v>#N/A</v>
      </c>
      <c r="AB258" s="68" t="str">
        <f>ReviewCalcs[[#This Row],[Annual Hours]]</f>
        <v/>
      </c>
      <c r="AC258" s="68" t="e">
        <f>VLOOKUP(ReviewCalcs[[#This Row],[Space Conditions]], Table_365[], 6, FALSE)</f>
        <v>#N/A</v>
      </c>
      <c r="AD258" s="68">
        <f>IF(ReviewCalcs[[#This Row],[Existing Control(s)]]='Tables &amp; Ranges'!$A$25, VLOOKUP(ReviewCalcs[[#This Row],[Building/Space Type]], Table_364[], 3, FALSE), CF_Contols)</f>
        <v>0.26</v>
      </c>
      <c r="AE258" s="68" t="e">
        <f>VLOOKUP(ReviewCalcs[[#This Row],[Existing Control(s)]], Table_358[], 2, FALSE)</f>
        <v>#N/A</v>
      </c>
      <c r="AF258" s="68">
        <f>IF(ReviewCalcs[[#This Row],[Proposed Control(s)]]='Tables &amp; Ranges'!$A$25, VLOOKUP(ReviewCalcs[[#This Row],[Building/Space Type]], Table_364[], 3, FALSE), CF_Contols)</f>
        <v>0.26</v>
      </c>
      <c r="AG258" s="68" t="e">
        <f>VLOOKUP(ReviewCalcs[[#This Row],[Proposed Control(s)]], Table_358[], 2, FALSE)</f>
        <v>#N/A</v>
      </c>
      <c r="AH258" s="68">
        <f>IFERROR((ReviewCalcs[[#This Row],[Existing Fixture Quantity]]*ReviewCalcs[[#This Row],[Existing Fixture Watts]]/1000)*ReviewCalcs[[#This Row],[Existing CF]]*ReviewCalcs[[#This Row],[IEFD]], 0)</f>
        <v>0</v>
      </c>
      <c r="AI258" s="68">
        <f>IFERROR((ReviewCalcs[[#This Row],[Proposed Fixture Quantity]]*ReviewCalcs[[#This Row],[Proposed Fixture Watts]]/1000)*ReviewCalcs[[#This Row],[Existing CF]]*ReviewCalcs[[#This Row],[IEFD]], 0)</f>
        <v>0</v>
      </c>
      <c r="AJ258" s="118">
        <f>IFERROR((ReviewCalcs[[#This Row],[Existing Fixture Quantity]]*ReviewCalcs[[#This Row],[Existing Fixture Watts]]/1000-ReviewCalcs[[#This Row],[Proposed Fixture Quantity]]*ReviewCalcs[[#This Row],[Proposed Fixture Watts]]/1000)*ReviewCalcs[[#This Row],[Existing CF]]*ReviewCalcs[[#This Row],[IEFD]], 0)</f>
        <v>0</v>
      </c>
      <c r="AK258" s="118">
        <f>IFERROR((ReviewCalcs[[#This Row],[Existing Fixture Quantity]]*ReviewCalcs[[#This Row],[Existing Fixture Watts]]/1000)*ReviewCalcs[[#This Row],[AOH]]*ReviewCalcs[[#This Row],[IEFE]]*ReviewCalcs[[#This Row],[Existing PAF]], 0)</f>
        <v>0</v>
      </c>
      <c r="AL258" s="118">
        <f>IFERROR((ReviewCalcs[[#This Row],[Proposed Fixture Quantity]]*ReviewCalcs[[#This Row],[Proposed Fixture Watts]]/1000)*ReviewCalcs[[#This Row],[AOH]]*ReviewCalcs[[#This Row],[IEFE]]*ReviewCalcs[[#This Row],[Existing PAF]], 0)</f>
        <v>0</v>
      </c>
      <c r="AM25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8" s="118">
        <f>ReviewCalcs[[#This Row],[Fixture Existing Energy (kWh)]]*Avg_KWh_Rate</f>
        <v>0</v>
      </c>
      <c r="AO258" s="118">
        <f>ReviewCalcs[[#This Row],[Fixture Proposed Energy (kWh)]]*Avg_KWh_Rate</f>
        <v>0</v>
      </c>
      <c r="AP258" s="70">
        <f>ReviewCalcs[[#This Row],[Fixture Energy Savings]]*Avg_KWh_Rate</f>
        <v>0</v>
      </c>
      <c r="AQ258" s="129" t="e">
        <f>ReviewCalcs[[#This Row],[Existing Fixture Quantity]]*ReviewCalcs[[#This Row],[Existing Fixture Watts]]/1000*ReviewCalcs[[#This Row],[Existing CF]]*ReviewCalcs[[#This Row],[IEFD]]</f>
        <v>#VALUE!</v>
      </c>
      <c r="AR258" s="129" t="e">
        <f>ReviewCalcs[[#This Row],[Proposed Fixture Quantity]]*ReviewCalcs[[#This Row],[Proposed Fixture Watts]]/1000*ReviewCalcs[[#This Row],[Proposed CF]]*ReviewCalcs[[#This Row],[IEFD]]</f>
        <v>#VALUE!</v>
      </c>
      <c r="AS258" s="118">
        <f>IF(ReviewCalcs[[#This Row],[Existing CF]]=ReviewCalcs[[#This Row],[Proposed CF]], 0, ReviewCalcs[[#This Row],[Proposed Fixture Quantity]]*ReviewCalcs[[#This Row],[Proposed Fixture Watts]]/1000*ReviewCalcs[[#This Row],[Proposed CF]]*ReviewCalcs[[#This Row],[IEFD]])</f>
        <v>0</v>
      </c>
      <c r="AT258" s="118">
        <f>IFERROR(ReviewCalcs[[#This Row],[Existing Fixture Quantity]]*ReviewCalcs[[#This Row],[Existing Fixture Watts]]/1000*ReviewCalcs[[#This Row],[Existing PAF]]*ReviewCalcs[[#This Row],[AOH]]*ReviewCalcs[[#This Row],[IEFE]], 0)</f>
        <v>0</v>
      </c>
      <c r="AU258" s="118">
        <f>IFERROR(ReviewCalcs[[#This Row],[Proposed Fixture Quantity]]*ReviewCalcs[[#This Row],[Proposed Fixture Watts]]/1000*ReviewCalcs[[#This Row],[Proposed PAF]]*ReviewCalcs[[#This Row],[AOH]]*ReviewCalcs[[#This Row],[IEFE]], 0)</f>
        <v>0</v>
      </c>
      <c r="AV258" s="118">
        <f>IFERROR(ReviewCalcs[[#This Row],[Proposed Fixture Quantity]]*ReviewCalcs[[#This Row],[Proposed Fixture Watts]]/1000*(ReviewCalcs[[#This Row],[Existing PAF]]-ReviewCalcs[[#This Row],[Proposed PAF]])*ReviewCalcs[[#This Row],[AOH]]*ReviewCalcs[[#This Row],[IEFE]], 0)</f>
        <v>0</v>
      </c>
      <c r="AW258" s="118">
        <f>ReviewCalcs[[#This Row],[Control Existing Energy (kWh)]]*kWh_Incentive_Rate</f>
        <v>0</v>
      </c>
      <c r="AX258" s="118">
        <f>ReviewCalcs[[#This Row],[Control Proposed Energy (kWh)]]*kWh_Incentive_Rate</f>
        <v>0</v>
      </c>
      <c r="AY258" s="70">
        <f>ReviewCalcs[[#This Row],[Control Energy Savings (kWh)]]*kWh_Incentive_Rate</f>
        <v>0</v>
      </c>
      <c r="AZ258" s="70" t="e">
        <f>ReviewCalcs[[#This Row],[Fixture Existing Demand (kW)]]+ReviewCalcs[[#This Row],[Control Existing Demand (kW)]]</f>
        <v>#VALUE!</v>
      </c>
      <c r="BA258" s="70" t="e">
        <f>ReviewCalcs[[#This Row],[Fixture Proposed Demand (kW)]]+ReviewCalcs[[#This Row],[Control Proposed Demand (kW)]]</f>
        <v>#VALUE!</v>
      </c>
      <c r="BB258" s="118">
        <f>ReviewCalcs[[#This Row],[Fixture Demand Savings (kW)]]+ReviewCalcs[[#This Row],[Control Demand Savings (kW)]]</f>
        <v>0</v>
      </c>
      <c r="BC258" s="118">
        <f>ReviewCalcs[[#This Row],[Fixture Existing Energy (kWh)]]+ReviewCalcs[[#This Row],[Control Existing Energy (kWh)]]</f>
        <v>0</v>
      </c>
      <c r="BD258" s="118">
        <f>ReviewCalcs[[#This Row],[Fixture Proposed Energy (kWh)]]+ReviewCalcs[[#This Row],[Control Proposed Energy (kWh)]]</f>
        <v>0</v>
      </c>
      <c r="BE258" s="118">
        <f>ReviewCalcs[[#This Row],[Fixture Energy Savings]]+ReviewCalcs[[#This Row],[Control Energy Savings (kWh)]]</f>
        <v>0</v>
      </c>
      <c r="BF258" s="118">
        <f>ReviewCalcs[[#This Row],[Fixture Existing Cost ($)]]+ReviewCalcs[[#This Row],[Control Existing Cost ($)]]</f>
        <v>0</v>
      </c>
      <c r="BG258" s="118">
        <f>ReviewCalcs[[#This Row],[Fixture Proposed Cost ($)]]+ReviewCalcs[[#This Row],[Controls Proposed Cost ($)]]</f>
        <v>0</v>
      </c>
      <c r="BH258" s="70">
        <f>ReviewCalcs[[#This Row],[Total Energy Savings (kWh)]]*Avg_KWh_Rate</f>
        <v>0</v>
      </c>
      <c r="BI25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8" s="70">
        <f>ReviewCalcs[[#This Row],[Retrofit Cost]]</f>
        <v>0</v>
      </c>
      <c r="BK258" s="70">
        <f>ReviewCalcs[[#This Row],[Retrofit Cost]]-ReviewCalcs[[#This Row],[Incentive ($)]]</f>
        <v>0</v>
      </c>
      <c r="BL258" s="118" t="e">
        <f>IFERROR(ReviewCalcs[[#This Row],[Net Project Cost ($)]]/ReviewCalcs[[#This Row],[Fixture Energy Cost Savings ($)]], #N/A)</f>
        <v>#N/A</v>
      </c>
      <c r="BM258" s="118" t="e">
        <f>IF(VLOOKUP(ReviewCalcs[[#This Row],[Existing Fixture Code]], Table7[[FIXTURE CODE]:[Baseline Fixture Code]], 8, FALSE)="N", VLOOKUP(ReviewCalcs[[#This Row],[Existing Fixture Code]], Table7[[FIXTURE CODE]:[Baseline Fixture Code]], 9, FALSE), ReviewCalcs[[#This Row],[Existing Fixture Code]])</f>
        <v>#N/A</v>
      </c>
      <c r="BN258" s="118" t="e">
        <f>INDEX(Table7[WATT/ FIXT], MATCH(ReviewCalcs[Baseline Fixture Code], Table7[FIXTURE CODE], 0))</f>
        <v>#N/A</v>
      </c>
      <c r="BO258" s="118">
        <f>IFERROR((ReviewCalcs[[#This Row],[Existing Fixture Quantity]]*ReviewCalcs[[#This Row],[Baseline Fixture Watts]]/1000-ReviewCalcs[[#This Row],[Proposed Fixture Quantity]]*ReviewCalcs[[#This Row],[Proposed Fixture Watts]]/1000)*ReviewCalcs[[#This Row],[Existing CF]]*ReviewCalcs[[#This Row],[IEFD]], 0)</f>
        <v>0</v>
      </c>
      <c r="BP25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8" s="118">
        <f>IF(ReviewCalcs[[#This Row],[Existing CF]]=ReviewCalcs[[#This Row],[Proposed CF]], 0, ReviewCalcs[[#This Row],[Proposed Fixture Quantity]]*ReviewCalcs[[#This Row],[Proposed Fixture Watts]]/1000*ReviewCalcs[[#This Row],[Proposed CF]]*ReviewCalcs[[#This Row],[IEFD]])</f>
        <v>0</v>
      </c>
      <c r="BR258" s="118">
        <f>IFERROR(ReviewCalcs[[#This Row],[Proposed Fixture Quantity]]*ReviewCalcs[[#This Row],[Proposed Fixture Watts]]/1000*(ReviewCalcs[[#This Row],[Existing PAF]]-ReviewCalcs[[#This Row],[Proposed PAF]])*ReviewCalcs[[#This Row],[AOH]]*ReviewCalcs[[#This Row],[IEFE]],0)</f>
        <v>0</v>
      </c>
      <c r="BS258" s="118">
        <f>ReviewCalcs[[#This Row],[Incentive Fixture Demand Savings (kW)]]+ReviewCalcs[[#This Row],[Incentive Control Demand Savings (kW)]]</f>
        <v>0</v>
      </c>
      <c r="BT258" s="118">
        <f>ReviewCalcs[[#This Row],[Incentive Fixture Energy Savings (kWh)]]+ReviewCalcs[[#This Row],[Incentive Control Energy Savings (kWh)]]</f>
        <v>0</v>
      </c>
      <c r="BU258" s="73"/>
    </row>
    <row r="259" spans="1:73" ht="30" customHeight="1">
      <c r="A259" s="68">
        <v>256</v>
      </c>
      <c r="B259" s="96">
        <f>VLOOKUP(ReviewCalcs[[#This Row],[Project Index]], ProjectInput[], D$1, FALSE)</f>
        <v>0</v>
      </c>
      <c r="C259" s="97">
        <f>VLOOKUP(ReviewCalcs[[#This Row],[Project Index]], ProjectInput[], E$1, FALSE)</f>
        <v>0</v>
      </c>
      <c r="D259" s="97">
        <f>VLOOKUP(ReviewCalcs[[#This Row],[Project Index]], ProjectInput[], F$1, FALSE)</f>
        <v>0</v>
      </c>
      <c r="E259" s="97">
        <f>VLOOKUP(ReviewCalcs[[#This Row],[Project Index]], ProjectInput[], G$1, FALSE)</f>
        <v>0</v>
      </c>
      <c r="F259" s="97">
        <f>VLOOKUP(ReviewCalcs[[#This Row],[Project Index]], ProjectInput[], H$1, FALSE)</f>
        <v>0</v>
      </c>
      <c r="G259" s="98" t="str">
        <f>VLOOKUP(ReviewCalcs[[#This Row],[Project Index]], ProjectInput[], I$1, FALSE)</f>
        <v/>
      </c>
      <c r="H259" s="96">
        <f>VLOOKUP(ReviewCalcs[[#This Row],[Project Index]], ProjectInput[], J$1, FALSE)</f>
        <v>0</v>
      </c>
      <c r="I259" s="97">
        <f>VLOOKUP(ReviewCalcs[[#This Row],[Project Index]], ProjectInput[], K$1, FALSE)</f>
        <v>0</v>
      </c>
      <c r="J259" s="97">
        <f>VLOOKUP(ReviewCalcs[[#This Row],[Project Index]], ProjectInput[], L$1, FALSE)</f>
        <v>0</v>
      </c>
      <c r="K259" s="97">
        <f>VLOOKUP(ReviewCalcs[[#This Row],[Project Index]], ProjectInput[], M$1, FALSE)</f>
        <v>0</v>
      </c>
      <c r="L259" s="97">
        <f>VLOOKUP(ReviewCalcs[[#This Row],[Project Index]], ProjectInput[], N$1, FALSE)</f>
        <v>0</v>
      </c>
      <c r="M259" s="98" t="str">
        <f>VLOOKUP(ReviewCalcs[[#This Row],[Project Index]], ProjectInput[], O$1, FALSE)</f>
        <v/>
      </c>
      <c r="N259" s="96">
        <f>VLOOKUP(ReviewCalcs[[#This Row],[Project Index]], ProjectInput[], P$1, FALSE)</f>
        <v>0</v>
      </c>
      <c r="O259" s="97">
        <f>VLOOKUP(ReviewCalcs[[#This Row],[Project Index]], ProjectInput[], Q$1, FALSE)</f>
        <v>0</v>
      </c>
      <c r="P259" s="97">
        <f>VLOOKUP(ReviewCalcs[[#This Row],[Project Index]], ProjectInput[], R$1, FALSE)</f>
        <v>0</v>
      </c>
      <c r="Q259" s="97">
        <f>VLOOKUP(ReviewCalcs[[#This Row],[Project Index]], ProjectInput[], S$1, FALSE)</f>
        <v>0</v>
      </c>
      <c r="R259" s="97">
        <f>VLOOKUP(ReviewCalcs[[#This Row],[Project Index]], ProjectInput[], T$1, FALSE)</f>
        <v>0</v>
      </c>
      <c r="S259" s="97">
        <f>VLOOKUP(ReviewCalcs[[#This Row],[Project Index]], ProjectInput[], U$1, FALSE)</f>
        <v>0</v>
      </c>
      <c r="T259" s="97">
        <f>VLOOKUP(ReviewCalcs[[#This Row],[Project Index]], ProjectInput[], V$1, FALSE)</f>
        <v>0</v>
      </c>
      <c r="U259" s="97">
        <f>VLOOKUP(ReviewCalcs[[#This Row],[Project Index]], ProjectInput[], W$1, FALSE)</f>
        <v>0</v>
      </c>
      <c r="V259" s="98" t="str">
        <f>VLOOKUP(ReviewCalcs[[#This Row],[Project Index]], ProjectInput[], X$1, FALSE)</f>
        <v/>
      </c>
      <c r="W25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59" s="75" t="e">
        <f>IF(VLOOKUP(ReviewCalcs[[#This Row],[Proposed Fixture Code]], Table7[[FIXTURE CODE]:[Baseline Fixture Code]], 8, FALSE)="N", "ERROR", "PASS")</f>
        <v>#N/A</v>
      </c>
      <c r="Y25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59" s="75" t="e">
        <f>IF(OR(ReviewCalcs[[#This Row],[Baseline Fixture Watts]]&gt;=ReviewCalcs[[#This Row],[Proposed Fixture Watts]],ReviewCalcs[[#This Row],[Existing Fixture Watts]]&gt;=ReviewCalcs[[#This Row],[Proposed Fixture Watts]] ), "PASS", "ERROR")</f>
        <v>#N/A</v>
      </c>
      <c r="AA259" s="69" t="e">
        <f>VLOOKUP(ReviewCalcs[[#This Row],[Space Conditions]], Table_365[], 5, FALSE)</f>
        <v>#N/A</v>
      </c>
      <c r="AB259" s="68" t="str">
        <f>ReviewCalcs[[#This Row],[Annual Hours]]</f>
        <v/>
      </c>
      <c r="AC259" s="68" t="e">
        <f>VLOOKUP(ReviewCalcs[[#This Row],[Space Conditions]], Table_365[], 6, FALSE)</f>
        <v>#N/A</v>
      </c>
      <c r="AD259" s="68">
        <f>IF(ReviewCalcs[[#This Row],[Existing Control(s)]]='Tables &amp; Ranges'!$A$25, VLOOKUP(ReviewCalcs[[#This Row],[Building/Space Type]], Table_364[], 3, FALSE), CF_Contols)</f>
        <v>0.26</v>
      </c>
      <c r="AE259" s="68" t="e">
        <f>VLOOKUP(ReviewCalcs[[#This Row],[Existing Control(s)]], Table_358[], 2, FALSE)</f>
        <v>#N/A</v>
      </c>
      <c r="AF259" s="68">
        <f>IF(ReviewCalcs[[#This Row],[Proposed Control(s)]]='Tables &amp; Ranges'!$A$25, VLOOKUP(ReviewCalcs[[#This Row],[Building/Space Type]], Table_364[], 3, FALSE), CF_Contols)</f>
        <v>0.26</v>
      </c>
      <c r="AG259" s="68" t="e">
        <f>VLOOKUP(ReviewCalcs[[#This Row],[Proposed Control(s)]], Table_358[], 2, FALSE)</f>
        <v>#N/A</v>
      </c>
      <c r="AH259" s="68">
        <f>IFERROR((ReviewCalcs[[#This Row],[Existing Fixture Quantity]]*ReviewCalcs[[#This Row],[Existing Fixture Watts]]/1000)*ReviewCalcs[[#This Row],[Existing CF]]*ReviewCalcs[[#This Row],[IEFD]], 0)</f>
        <v>0</v>
      </c>
      <c r="AI259" s="68">
        <f>IFERROR((ReviewCalcs[[#This Row],[Proposed Fixture Quantity]]*ReviewCalcs[[#This Row],[Proposed Fixture Watts]]/1000)*ReviewCalcs[[#This Row],[Existing CF]]*ReviewCalcs[[#This Row],[IEFD]], 0)</f>
        <v>0</v>
      </c>
      <c r="AJ259" s="118">
        <f>IFERROR((ReviewCalcs[[#This Row],[Existing Fixture Quantity]]*ReviewCalcs[[#This Row],[Existing Fixture Watts]]/1000-ReviewCalcs[[#This Row],[Proposed Fixture Quantity]]*ReviewCalcs[[#This Row],[Proposed Fixture Watts]]/1000)*ReviewCalcs[[#This Row],[Existing CF]]*ReviewCalcs[[#This Row],[IEFD]], 0)</f>
        <v>0</v>
      </c>
      <c r="AK259" s="118">
        <f>IFERROR((ReviewCalcs[[#This Row],[Existing Fixture Quantity]]*ReviewCalcs[[#This Row],[Existing Fixture Watts]]/1000)*ReviewCalcs[[#This Row],[AOH]]*ReviewCalcs[[#This Row],[IEFE]]*ReviewCalcs[[#This Row],[Existing PAF]], 0)</f>
        <v>0</v>
      </c>
      <c r="AL259" s="118">
        <f>IFERROR((ReviewCalcs[[#This Row],[Proposed Fixture Quantity]]*ReviewCalcs[[#This Row],[Proposed Fixture Watts]]/1000)*ReviewCalcs[[#This Row],[AOH]]*ReviewCalcs[[#This Row],[IEFE]]*ReviewCalcs[[#This Row],[Existing PAF]], 0)</f>
        <v>0</v>
      </c>
      <c r="AM25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59" s="118">
        <f>ReviewCalcs[[#This Row],[Fixture Existing Energy (kWh)]]*Avg_KWh_Rate</f>
        <v>0</v>
      </c>
      <c r="AO259" s="118">
        <f>ReviewCalcs[[#This Row],[Fixture Proposed Energy (kWh)]]*Avg_KWh_Rate</f>
        <v>0</v>
      </c>
      <c r="AP259" s="70">
        <f>ReviewCalcs[[#This Row],[Fixture Energy Savings]]*Avg_KWh_Rate</f>
        <v>0</v>
      </c>
      <c r="AQ259" s="129" t="e">
        <f>ReviewCalcs[[#This Row],[Existing Fixture Quantity]]*ReviewCalcs[[#This Row],[Existing Fixture Watts]]/1000*ReviewCalcs[[#This Row],[Existing CF]]*ReviewCalcs[[#This Row],[IEFD]]</f>
        <v>#VALUE!</v>
      </c>
      <c r="AR259" s="129" t="e">
        <f>ReviewCalcs[[#This Row],[Proposed Fixture Quantity]]*ReviewCalcs[[#This Row],[Proposed Fixture Watts]]/1000*ReviewCalcs[[#This Row],[Proposed CF]]*ReviewCalcs[[#This Row],[IEFD]]</f>
        <v>#VALUE!</v>
      </c>
      <c r="AS259" s="118">
        <f>IF(ReviewCalcs[[#This Row],[Existing CF]]=ReviewCalcs[[#This Row],[Proposed CF]], 0, ReviewCalcs[[#This Row],[Proposed Fixture Quantity]]*ReviewCalcs[[#This Row],[Proposed Fixture Watts]]/1000*ReviewCalcs[[#This Row],[Proposed CF]]*ReviewCalcs[[#This Row],[IEFD]])</f>
        <v>0</v>
      </c>
      <c r="AT259" s="118">
        <f>IFERROR(ReviewCalcs[[#This Row],[Existing Fixture Quantity]]*ReviewCalcs[[#This Row],[Existing Fixture Watts]]/1000*ReviewCalcs[[#This Row],[Existing PAF]]*ReviewCalcs[[#This Row],[AOH]]*ReviewCalcs[[#This Row],[IEFE]], 0)</f>
        <v>0</v>
      </c>
      <c r="AU259" s="118">
        <f>IFERROR(ReviewCalcs[[#This Row],[Proposed Fixture Quantity]]*ReviewCalcs[[#This Row],[Proposed Fixture Watts]]/1000*ReviewCalcs[[#This Row],[Proposed PAF]]*ReviewCalcs[[#This Row],[AOH]]*ReviewCalcs[[#This Row],[IEFE]], 0)</f>
        <v>0</v>
      </c>
      <c r="AV259" s="118">
        <f>IFERROR(ReviewCalcs[[#This Row],[Proposed Fixture Quantity]]*ReviewCalcs[[#This Row],[Proposed Fixture Watts]]/1000*(ReviewCalcs[[#This Row],[Existing PAF]]-ReviewCalcs[[#This Row],[Proposed PAF]])*ReviewCalcs[[#This Row],[AOH]]*ReviewCalcs[[#This Row],[IEFE]], 0)</f>
        <v>0</v>
      </c>
      <c r="AW259" s="118">
        <f>ReviewCalcs[[#This Row],[Control Existing Energy (kWh)]]*kWh_Incentive_Rate</f>
        <v>0</v>
      </c>
      <c r="AX259" s="118">
        <f>ReviewCalcs[[#This Row],[Control Proposed Energy (kWh)]]*kWh_Incentive_Rate</f>
        <v>0</v>
      </c>
      <c r="AY259" s="70">
        <f>ReviewCalcs[[#This Row],[Control Energy Savings (kWh)]]*kWh_Incentive_Rate</f>
        <v>0</v>
      </c>
      <c r="AZ259" s="70" t="e">
        <f>ReviewCalcs[[#This Row],[Fixture Existing Demand (kW)]]+ReviewCalcs[[#This Row],[Control Existing Demand (kW)]]</f>
        <v>#VALUE!</v>
      </c>
      <c r="BA259" s="70" t="e">
        <f>ReviewCalcs[[#This Row],[Fixture Proposed Demand (kW)]]+ReviewCalcs[[#This Row],[Control Proposed Demand (kW)]]</f>
        <v>#VALUE!</v>
      </c>
      <c r="BB259" s="118">
        <f>ReviewCalcs[[#This Row],[Fixture Demand Savings (kW)]]+ReviewCalcs[[#This Row],[Control Demand Savings (kW)]]</f>
        <v>0</v>
      </c>
      <c r="BC259" s="118">
        <f>ReviewCalcs[[#This Row],[Fixture Existing Energy (kWh)]]+ReviewCalcs[[#This Row],[Control Existing Energy (kWh)]]</f>
        <v>0</v>
      </c>
      <c r="BD259" s="118">
        <f>ReviewCalcs[[#This Row],[Fixture Proposed Energy (kWh)]]+ReviewCalcs[[#This Row],[Control Proposed Energy (kWh)]]</f>
        <v>0</v>
      </c>
      <c r="BE259" s="118">
        <f>ReviewCalcs[[#This Row],[Fixture Energy Savings]]+ReviewCalcs[[#This Row],[Control Energy Savings (kWh)]]</f>
        <v>0</v>
      </c>
      <c r="BF259" s="118">
        <f>ReviewCalcs[[#This Row],[Fixture Existing Cost ($)]]+ReviewCalcs[[#This Row],[Control Existing Cost ($)]]</f>
        <v>0</v>
      </c>
      <c r="BG259" s="118">
        <f>ReviewCalcs[[#This Row],[Fixture Proposed Cost ($)]]+ReviewCalcs[[#This Row],[Controls Proposed Cost ($)]]</f>
        <v>0</v>
      </c>
      <c r="BH259" s="70">
        <f>ReviewCalcs[[#This Row],[Total Energy Savings (kWh)]]*Avg_KWh_Rate</f>
        <v>0</v>
      </c>
      <c r="BI25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59" s="70">
        <f>ReviewCalcs[[#This Row],[Retrofit Cost]]</f>
        <v>0</v>
      </c>
      <c r="BK259" s="70">
        <f>ReviewCalcs[[#This Row],[Retrofit Cost]]-ReviewCalcs[[#This Row],[Incentive ($)]]</f>
        <v>0</v>
      </c>
      <c r="BL259" s="118" t="e">
        <f>IFERROR(ReviewCalcs[[#This Row],[Net Project Cost ($)]]/ReviewCalcs[[#This Row],[Fixture Energy Cost Savings ($)]], #N/A)</f>
        <v>#N/A</v>
      </c>
      <c r="BM259" s="118" t="e">
        <f>IF(VLOOKUP(ReviewCalcs[[#This Row],[Existing Fixture Code]], Table7[[FIXTURE CODE]:[Baseline Fixture Code]], 8, FALSE)="N", VLOOKUP(ReviewCalcs[[#This Row],[Existing Fixture Code]], Table7[[FIXTURE CODE]:[Baseline Fixture Code]], 9, FALSE), ReviewCalcs[[#This Row],[Existing Fixture Code]])</f>
        <v>#N/A</v>
      </c>
      <c r="BN259" s="118" t="e">
        <f>INDEX(Table7[WATT/ FIXT], MATCH(ReviewCalcs[Baseline Fixture Code], Table7[FIXTURE CODE], 0))</f>
        <v>#N/A</v>
      </c>
      <c r="BO259" s="118">
        <f>IFERROR((ReviewCalcs[[#This Row],[Existing Fixture Quantity]]*ReviewCalcs[[#This Row],[Baseline Fixture Watts]]/1000-ReviewCalcs[[#This Row],[Proposed Fixture Quantity]]*ReviewCalcs[[#This Row],[Proposed Fixture Watts]]/1000)*ReviewCalcs[[#This Row],[Existing CF]]*ReviewCalcs[[#This Row],[IEFD]], 0)</f>
        <v>0</v>
      </c>
      <c r="BP25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59" s="118">
        <f>IF(ReviewCalcs[[#This Row],[Existing CF]]=ReviewCalcs[[#This Row],[Proposed CF]], 0, ReviewCalcs[[#This Row],[Proposed Fixture Quantity]]*ReviewCalcs[[#This Row],[Proposed Fixture Watts]]/1000*ReviewCalcs[[#This Row],[Proposed CF]]*ReviewCalcs[[#This Row],[IEFD]])</f>
        <v>0</v>
      </c>
      <c r="BR259" s="118">
        <f>IFERROR(ReviewCalcs[[#This Row],[Proposed Fixture Quantity]]*ReviewCalcs[[#This Row],[Proposed Fixture Watts]]/1000*(ReviewCalcs[[#This Row],[Existing PAF]]-ReviewCalcs[[#This Row],[Proposed PAF]])*ReviewCalcs[[#This Row],[AOH]]*ReviewCalcs[[#This Row],[IEFE]],0)</f>
        <v>0</v>
      </c>
      <c r="BS259" s="118">
        <f>ReviewCalcs[[#This Row],[Incentive Fixture Demand Savings (kW)]]+ReviewCalcs[[#This Row],[Incentive Control Demand Savings (kW)]]</f>
        <v>0</v>
      </c>
      <c r="BT259" s="118">
        <f>ReviewCalcs[[#This Row],[Incentive Fixture Energy Savings (kWh)]]+ReviewCalcs[[#This Row],[Incentive Control Energy Savings (kWh)]]</f>
        <v>0</v>
      </c>
      <c r="BU259" s="73"/>
    </row>
    <row r="260" spans="1:73" ht="30" customHeight="1">
      <c r="A260" s="68">
        <v>257</v>
      </c>
      <c r="B260" s="96">
        <f>VLOOKUP(ReviewCalcs[[#This Row],[Project Index]], ProjectInput[], D$1, FALSE)</f>
        <v>0</v>
      </c>
      <c r="C260" s="97">
        <f>VLOOKUP(ReviewCalcs[[#This Row],[Project Index]], ProjectInput[], E$1, FALSE)</f>
        <v>0</v>
      </c>
      <c r="D260" s="97">
        <f>VLOOKUP(ReviewCalcs[[#This Row],[Project Index]], ProjectInput[], F$1, FALSE)</f>
        <v>0</v>
      </c>
      <c r="E260" s="97">
        <f>VLOOKUP(ReviewCalcs[[#This Row],[Project Index]], ProjectInput[], G$1, FALSE)</f>
        <v>0</v>
      </c>
      <c r="F260" s="97">
        <f>VLOOKUP(ReviewCalcs[[#This Row],[Project Index]], ProjectInput[], H$1, FALSE)</f>
        <v>0</v>
      </c>
      <c r="G260" s="98" t="str">
        <f>VLOOKUP(ReviewCalcs[[#This Row],[Project Index]], ProjectInput[], I$1, FALSE)</f>
        <v/>
      </c>
      <c r="H260" s="96">
        <f>VLOOKUP(ReviewCalcs[[#This Row],[Project Index]], ProjectInput[], J$1, FALSE)</f>
        <v>0</v>
      </c>
      <c r="I260" s="97">
        <f>VLOOKUP(ReviewCalcs[[#This Row],[Project Index]], ProjectInput[], K$1, FALSE)</f>
        <v>0</v>
      </c>
      <c r="J260" s="97">
        <f>VLOOKUP(ReviewCalcs[[#This Row],[Project Index]], ProjectInput[], L$1, FALSE)</f>
        <v>0</v>
      </c>
      <c r="K260" s="97">
        <f>VLOOKUP(ReviewCalcs[[#This Row],[Project Index]], ProjectInput[], M$1, FALSE)</f>
        <v>0</v>
      </c>
      <c r="L260" s="97">
        <f>VLOOKUP(ReviewCalcs[[#This Row],[Project Index]], ProjectInput[], N$1, FALSE)</f>
        <v>0</v>
      </c>
      <c r="M260" s="98" t="str">
        <f>VLOOKUP(ReviewCalcs[[#This Row],[Project Index]], ProjectInput[], O$1, FALSE)</f>
        <v/>
      </c>
      <c r="N260" s="96">
        <f>VLOOKUP(ReviewCalcs[[#This Row],[Project Index]], ProjectInput[], P$1, FALSE)</f>
        <v>0</v>
      </c>
      <c r="O260" s="97">
        <f>VLOOKUP(ReviewCalcs[[#This Row],[Project Index]], ProjectInput[], Q$1, FALSE)</f>
        <v>0</v>
      </c>
      <c r="P260" s="97">
        <f>VLOOKUP(ReviewCalcs[[#This Row],[Project Index]], ProjectInput[], R$1, FALSE)</f>
        <v>0</v>
      </c>
      <c r="Q260" s="97">
        <f>VLOOKUP(ReviewCalcs[[#This Row],[Project Index]], ProjectInput[], S$1, FALSE)</f>
        <v>0</v>
      </c>
      <c r="R260" s="97">
        <f>VLOOKUP(ReviewCalcs[[#This Row],[Project Index]], ProjectInput[], T$1, FALSE)</f>
        <v>0</v>
      </c>
      <c r="S260" s="97">
        <f>VLOOKUP(ReviewCalcs[[#This Row],[Project Index]], ProjectInput[], U$1, FALSE)</f>
        <v>0</v>
      </c>
      <c r="T260" s="97">
        <f>VLOOKUP(ReviewCalcs[[#This Row],[Project Index]], ProjectInput[], V$1, FALSE)</f>
        <v>0</v>
      </c>
      <c r="U260" s="97">
        <f>VLOOKUP(ReviewCalcs[[#This Row],[Project Index]], ProjectInput[], W$1, FALSE)</f>
        <v>0</v>
      </c>
      <c r="V260" s="98" t="str">
        <f>VLOOKUP(ReviewCalcs[[#This Row],[Project Index]], ProjectInput[], X$1, FALSE)</f>
        <v/>
      </c>
      <c r="W26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0" s="75" t="e">
        <f>IF(VLOOKUP(ReviewCalcs[[#This Row],[Proposed Fixture Code]], Table7[[FIXTURE CODE]:[Baseline Fixture Code]], 8, FALSE)="N", "ERROR", "PASS")</f>
        <v>#N/A</v>
      </c>
      <c r="Y26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0" s="75" t="e">
        <f>IF(OR(ReviewCalcs[[#This Row],[Baseline Fixture Watts]]&gt;=ReviewCalcs[[#This Row],[Proposed Fixture Watts]],ReviewCalcs[[#This Row],[Existing Fixture Watts]]&gt;=ReviewCalcs[[#This Row],[Proposed Fixture Watts]] ), "PASS", "ERROR")</f>
        <v>#N/A</v>
      </c>
      <c r="AA260" s="69" t="e">
        <f>VLOOKUP(ReviewCalcs[[#This Row],[Space Conditions]], Table_365[], 5, FALSE)</f>
        <v>#N/A</v>
      </c>
      <c r="AB260" s="68" t="str">
        <f>ReviewCalcs[[#This Row],[Annual Hours]]</f>
        <v/>
      </c>
      <c r="AC260" s="68" t="e">
        <f>VLOOKUP(ReviewCalcs[[#This Row],[Space Conditions]], Table_365[], 6, FALSE)</f>
        <v>#N/A</v>
      </c>
      <c r="AD260" s="68">
        <f>IF(ReviewCalcs[[#This Row],[Existing Control(s)]]='Tables &amp; Ranges'!$A$25, VLOOKUP(ReviewCalcs[[#This Row],[Building/Space Type]], Table_364[], 3, FALSE), CF_Contols)</f>
        <v>0.26</v>
      </c>
      <c r="AE260" s="68" t="e">
        <f>VLOOKUP(ReviewCalcs[[#This Row],[Existing Control(s)]], Table_358[], 2, FALSE)</f>
        <v>#N/A</v>
      </c>
      <c r="AF260" s="68">
        <f>IF(ReviewCalcs[[#This Row],[Proposed Control(s)]]='Tables &amp; Ranges'!$A$25, VLOOKUP(ReviewCalcs[[#This Row],[Building/Space Type]], Table_364[], 3, FALSE), CF_Contols)</f>
        <v>0.26</v>
      </c>
      <c r="AG260" s="68" t="e">
        <f>VLOOKUP(ReviewCalcs[[#This Row],[Proposed Control(s)]], Table_358[], 2, FALSE)</f>
        <v>#N/A</v>
      </c>
      <c r="AH260" s="68">
        <f>IFERROR((ReviewCalcs[[#This Row],[Existing Fixture Quantity]]*ReviewCalcs[[#This Row],[Existing Fixture Watts]]/1000)*ReviewCalcs[[#This Row],[Existing CF]]*ReviewCalcs[[#This Row],[IEFD]], 0)</f>
        <v>0</v>
      </c>
      <c r="AI260" s="68">
        <f>IFERROR((ReviewCalcs[[#This Row],[Proposed Fixture Quantity]]*ReviewCalcs[[#This Row],[Proposed Fixture Watts]]/1000)*ReviewCalcs[[#This Row],[Existing CF]]*ReviewCalcs[[#This Row],[IEFD]], 0)</f>
        <v>0</v>
      </c>
      <c r="AJ260" s="118">
        <f>IFERROR((ReviewCalcs[[#This Row],[Existing Fixture Quantity]]*ReviewCalcs[[#This Row],[Existing Fixture Watts]]/1000-ReviewCalcs[[#This Row],[Proposed Fixture Quantity]]*ReviewCalcs[[#This Row],[Proposed Fixture Watts]]/1000)*ReviewCalcs[[#This Row],[Existing CF]]*ReviewCalcs[[#This Row],[IEFD]], 0)</f>
        <v>0</v>
      </c>
      <c r="AK260" s="118">
        <f>IFERROR((ReviewCalcs[[#This Row],[Existing Fixture Quantity]]*ReviewCalcs[[#This Row],[Existing Fixture Watts]]/1000)*ReviewCalcs[[#This Row],[AOH]]*ReviewCalcs[[#This Row],[IEFE]]*ReviewCalcs[[#This Row],[Existing PAF]], 0)</f>
        <v>0</v>
      </c>
      <c r="AL260" s="118">
        <f>IFERROR((ReviewCalcs[[#This Row],[Proposed Fixture Quantity]]*ReviewCalcs[[#This Row],[Proposed Fixture Watts]]/1000)*ReviewCalcs[[#This Row],[AOH]]*ReviewCalcs[[#This Row],[IEFE]]*ReviewCalcs[[#This Row],[Existing PAF]], 0)</f>
        <v>0</v>
      </c>
      <c r="AM26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0" s="118">
        <f>ReviewCalcs[[#This Row],[Fixture Existing Energy (kWh)]]*Avg_KWh_Rate</f>
        <v>0</v>
      </c>
      <c r="AO260" s="118">
        <f>ReviewCalcs[[#This Row],[Fixture Proposed Energy (kWh)]]*Avg_KWh_Rate</f>
        <v>0</v>
      </c>
      <c r="AP260" s="70">
        <f>ReviewCalcs[[#This Row],[Fixture Energy Savings]]*Avg_KWh_Rate</f>
        <v>0</v>
      </c>
      <c r="AQ260" s="129" t="e">
        <f>ReviewCalcs[[#This Row],[Existing Fixture Quantity]]*ReviewCalcs[[#This Row],[Existing Fixture Watts]]/1000*ReviewCalcs[[#This Row],[Existing CF]]*ReviewCalcs[[#This Row],[IEFD]]</f>
        <v>#VALUE!</v>
      </c>
      <c r="AR260" s="129" t="e">
        <f>ReviewCalcs[[#This Row],[Proposed Fixture Quantity]]*ReviewCalcs[[#This Row],[Proposed Fixture Watts]]/1000*ReviewCalcs[[#This Row],[Proposed CF]]*ReviewCalcs[[#This Row],[IEFD]]</f>
        <v>#VALUE!</v>
      </c>
      <c r="AS260" s="118">
        <f>IF(ReviewCalcs[[#This Row],[Existing CF]]=ReviewCalcs[[#This Row],[Proposed CF]], 0, ReviewCalcs[[#This Row],[Proposed Fixture Quantity]]*ReviewCalcs[[#This Row],[Proposed Fixture Watts]]/1000*ReviewCalcs[[#This Row],[Proposed CF]]*ReviewCalcs[[#This Row],[IEFD]])</f>
        <v>0</v>
      </c>
      <c r="AT260" s="118">
        <f>IFERROR(ReviewCalcs[[#This Row],[Existing Fixture Quantity]]*ReviewCalcs[[#This Row],[Existing Fixture Watts]]/1000*ReviewCalcs[[#This Row],[Existing PAF]]*ReviewCalcs[[#This Row],[AOH]]*ReviewCalcs[[#This Row],[IEFE]], 0)</f>
        <v>0</v>
      </c>
      <c r="AU260" s="118">
        <f>IFERROR(ReviewCalcs[[#This Row],[Proposed Fixture Quantity]]*ReviewCalcs[[#This Row],[Proposed Fixture Watts]]/1000*ReviewCalcs[[#This Row],[Proposed PAF]]*ReviewCalcs[[#This Row],[AOH]]*ReviewCalcs[[#This Row],[IEFE]], 0)</f>
        <v>0</v>
      </c>
      <c r="AV260" s="118">
        <f>IFERROR(ReviewCalcs[[#This Row],[Proposed Fixture Quantity]]*ReviewCalcs[[#This Row],[Proposed Fixture Watts]]/1000*(ReviewCalcs[[#This Row],[Existing PAF]]-ReviewCalcs[[#This Row],[Proposed PAF]])*ReviewCalcs[[#This Row],[AOH]]*ReviewCalcs[[#This Row],[IEFE]], 0)</f>
        <v>0</v>
      </c>
      <c r="AW260" s="118">
        <f>ReviewCalcs[[#This Row],[Control Existing Energy (kWh)]]*kWh_Incentive_Rate</f>
        <v>0</v>
      </c>
      <c r="AX260" s="118">
        <f>ReviewCalcs[[#This Row],[Control Proposed Energy (kWh)]]*kWh_Incentive_Rate</f>
        <v>0</v>
      </c>
      <c r="AY260" s="70">
        <f>ReviewCalcs[[#This Row],[Control Energy Savings (kWh)]]*kWh_Incentive_Rate</f>
        <v>0</v>
      </c>
      <c r="AZ260" s="70" t="e">
        <f>ReviewCalcs[[#This Row],[Fixture Existing Demand (kW)]]+ReviewCalcs[[#This Row],[Control Existing Demand (kW)]]</f>
        <v>#VALUE!</v>
      </c>
      <c r="BA260" s="70" t="e">
        <f>ReviewCalcs[[#This Row],[Fixture Proposed Demand (kW)]]+ReviewCalcs[[#This Row],[Control Proposed Demand (kW)]]</f>
        <v>#VALUE!</v>
      </c>
      <c r="BB260" s="118">
        <f>ReviewCalcs[[#This Row],[Fixture Demand Savings (kW)]]+ReviewCalcs[[#This Row],[Control Demand Savings (kW)]]</f>
        <v>0</v>
      </c>
      <c r="BC260" s="118">
        <f>ReviewCalcs[[#This Row],[Fixture Existing Energy (kWh)]]+ReviewCalcs[[#This Row],[Control Existing Energy (kWh)]]</f>
        <v>0</v>
      </c>
      <c r="BD260" s="118">
        <f>ReviewCalcs[[#This Row],[Fixture Proposed Energy (kWh)]]+ReviewCalcs[[#This Row],[Control Proposed Energy (kWh)]]</f>
        <v>0</v>
      </c>
      <c r="BE260" s="118">
        <f>ReviewCalcs[[#This Row],[Fixture Energy Savings]]+ReviewCalcs[[#This Row],[Control Energy Savings (kWh)]]</f>
        <v>0</v>
      </c>
      <c r="BF260" s="118">
        <f>ReviewCalcs[[#This Row],[Fixture Existing Cost ($)]]+ReviewCalcs[[#This Row],[Control Existing Cost ($)]]</f>
        <v>0</v>
      </c>
      <c r="BG260" s="118">
        <f>ReviewCalcs[[#This Row],[Fixture Proposed Cost ($)]]+ReviewCalcs[[#This Row],[Controls Proposed Cost ($)]]</f>
        <v>0</v>
      </c>
      <c r="BH260" s="70">
        <f>ReviewCalcs[[#This Row],[Total Energy Savings (kWh)]]*Avg_KWh_Rate</f>
        <v>0</v>
      </c>
      <c r="BI26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0" s="70">
        <f>ReviewCalcs[[#This Row],[Retrofit Cost]]</f>
        <v>0</v>
      </c>
      <c r="BK260" s="70">
        <f>ReviewCalcs[[#This Row],[Retrofit Cost]]-ReviewCalcs[[#This Row],[Incentive ($)]]</f>
        <v>0</v>
      </c>
      <c r="BL260" s="118" t="e">
        <f>IFERROR(ReviewCalcs[[#This Row],[Net Project Cost ($)]]/ReviewCalcs[[#This Row],[Fixture Energy Cost Savings ($)]], #N/A)</f>
        <v>#N/A</v>
      </c>
      <c r="BM260" s="118" t="e">
        <f>IF(VLOOKUP(ReviewCalcs[[#This Row],[Existing Fixture Code]], Table7[[FIXTURE CODE]:[Baseline Fixture Code]], 8, FALSE)="N", VLOOKUP(ReviewCalcs[[#This Row],[Existing Fixture Code]], Table7[[FIXTURE CODE]:[Baseline Fixture Code]], 9, FALSE), ReviewCalcs[[#This Row],[Existing Fixture Code]])</f>
        <v>#N/A</v>
      </c>
      <c r="BN260" s="118" t="e">
        <f>INDEX(Table7[WATT/ FIXT], MATCH(ReviewCalcs[Baseline Fixture Code], Table7[FIXTURE CODE], 0))</f>
        <v>#N/A</v>
      </c>
      <c r="BO260" s="118">
        <f>IFERROR((ReviewCalcs[[#This Row],[Existing Fixture Quantity]]*ReviewCalcs[[#This Row],[Baseline Fixture Watts]]/1000-ReviewCalcs[[#This Row],[Proposed Fixture Quantity]]*ReviewCalcs[[#This Row],[Proposed Fixture Watts]]/1000)*ReviewCalcs[[#This Row],[Existing CF]]*ReviewCalcs[[#This Row],[IEFD]], 0)</f>
        <v>0</v>
      </c>
      <c r="BP26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0" s="118">
        <f>IF(ReviewCalcs[[#This Row],[Existing CF]]=ReviewCalcs[[#This Row],[Proposed CF]], 0, ReviewCalcs[[#This Row],[Proposed Fixture Quantity]]*ReviewCalcs[[#This Row],[Proposed Fixture Watts]]/1000*ReviewCalcs[[#This Row],[Proposed CF]]*ReviewCalcs[[#This Row],[IEFD]])</f>
        <v>0</v>
      </c>
      <c r="BR260" s="118">
        <f>IFERROR(ReviewCalcs[[#This Row],[Proposed Fixture Quantity]]*ReviewCalcs[[#This Row],[Proposed Fixture Watts]]/1000*(ReviewCalcs[[#This Row],[Existing PAF]]-ReviewCalcs[[#This Row],[Proposed PAF]])*ReviewCalcs[[#This Row],[AOH]]*ReviewCalcs[[#This Row],[IEFE]],0)</f>
        <v>0</v>
      </c>
      <c r="BS260" s="118">
        <f>ReviewCalcs[[#This Row],[Incentive Fixture Demand Savings (kW)]]+ReviewCalcs[[#This Row],[Incentive Control Demand Savings (kW)]]</f>
        <v>0</v>
      </c>
      <c r="BT260" s="118">
        <f>ReviewCalcs[[#This Row],[Incentive Fixture Energy Savings (kWh)]]+ReviewCalcs[[#This Row],[Incentive Control Energy Savings (kWh)]]</f>
        <v>0</v>
      </c>
      <c r="BU260" s="73"/>
    </row>
    <row r="261" spans="1:73" ht="30" customHeight="1">
      <c r="A261" s="68">
        <v>258</v>
      </c>
      <c r="B261" s="96">
        <f>VLOOKUP(ReviewCalcs[[#This Row],[Project Index]], ProjectInput[], D$1, FALSE)</f>
        <v>0</v>
      </c>
      <c r="C261" s="97">
        <f>VLOOKUP(ReviewCalcs[[#This Row],[Project Index]], ProjectInput[], E$1, FALSE)</f>
        <v>0</v>
      </c>
      <c r="D261" s="97">
        <f>VLOOKUP(ReviewCalcs[[#This Row],[Project Index]], ProjectInput[], F$1, FALSE)</f>
        <v>0</v>
      </c>
      <c r="E261" s="97">
        <f>VLOOKUP(ReviewCalcs[[#This Row],[Project Index]], ProjectInput[], G$1, FALSE)</f>
        <v>0</v>
      </c>
      <c r="F261" s="97">
        <f>VLOOKUP(ReviewCalcs[[#This Row],[Project Index]], ProjectInput[], H$1, FALSE)</f>
        <v>0</v>
      </c>
      <c r="G261" s="98" t="str">
        <f>VLOOKUP(ReviewCalcs[[#This Row],[Project Index]], ProjectInput[], I$1, FALSE)</f>
        <v/>
      </c>
      <c r="H261" s="96">
        <f>VLOOKUP(ReviewCalcs[[#This Row],[Project Index]], ProjectInput[], J$1, FALSE)</f>
        <v>0</v>
      </c>
      <c r="I261" s="97">
        <f>VLOOKUP(ReviewCalcs[[#This Row],[Project Index]], ProjectInput[], K$1, FALSE)</f>
        <v>0</v>
      </c>
      <c r="J261" s="97">
        <f>VLOOKUP(ReviewCalcs[[#This Row],[Project Index]], ProjectInput[], L$1, FALSE)</f>
        <v>0</v>
      </c>
      <c r="K261" s="97">
        <f>VLOOKUP(ReviewCalcs[[#This Row],[Project Index]], ProjectInput[], M$1, FALSE)</f>
        <v>0</v>
      </c>
      <c r="L261" s="97">
        <f>VLOOKUP(ReviewCalcs[[#This Row],[Project Index]], ProjectInput[], N$1, FALSE)</f>
        <v>0</v>
      </c>
      <c r="M261" s="98" t="str">
        <f>VLOOKUP(ReviewCalcs[[#This Row],[Project Index]], ProjectInput[], O$1, FALSE)</f>
        <v/>
      </c>
      <c r="N261" s="96">
        <f>VLOOKUP(ReviewCalcs[[#This Row],[Project Index]], ProjectInput[], P$1, FALSE)</f>
        <v>0</v>
      </c>
      <c r="O261" s="97">
        <f>VLOOKUP(ReviewCalcs[[#This Row],[Project Index]], ProjectInput[], Q$1, FALSE)</f>
        <v>0</v>
      </c>
      <c r="P261" s="97">
        <f>VLOOKUP(ReviewCalcs[[#This Row],[Project Index]], ProjectInput[], R$1, FALSE)</f>
        <v>0</v>
      </c>
      <c r="Q261" s="97">
        <f>VLOOKUP(ReviewCalcs[[#This Row],[Project Index]], ProjectInput[], S$1, FALSE)</f>
        <v>0</v>
      </c>
      <c r="R261" s="97">
        <f>VLOOKUP(ReviewCalcs[[#This Row],[Project Index]], ProjectInput[], T$1, FALSE)</f>
        <v>0</v>
      </c>
      <c r="S261" s="97">
        <f>VLOOKUP(ReviewCalcs[[#This Row],[Project Index]], ProjectInput[], U$1, FALSE)</f>
        <v>0</v>
      </c>
      <c r="T261" s="97">
        <f>VLOOKUP(ReviewCalcs[[#This Row],[Project Index]], ProjectInput[], V$1, FALSE)</f>
        <v>0</v>
      </c>
      <c r="U261" s="97">
        <f>VLOOKUP(ReviewCalcs[[#This Row],[Project Index]], ProjectInput[], W$1, FALSE)</f>
        <v>0</v>
      </c>
      <c r="V261" s="98" t="str">
        <f>VLOOKUP(ReviewCalcs[[#This Row],[Project Index]], ProjectInput[], X$1, FALSE)</f>
        <v/>
      </c>
      <c r="W26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1" s="75" t="e">
        <f>IF(VLOOKUP(ReviewCalcs[[#This Row],[Proposed Fixture Code]], Table7[[FIXTURE CODE]:[Baseline Fixture Code]], 8, FALSE)="N", "ERROR", "PASS")</f>
        <v>#N/A</v>
      </c>
      <c r="Y26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1" s="75" t="e">
        <f>IF(OR(ReviewCalcs[[#This Row],[Baseline Fixture Watts]]&gt;=ReviewCalcs[[#This Row],[Proposed Fixture Watts]],ReviewCalcs[[#This Row],[Existing Fixture Watts]]&gt;=ReviewCalcs[[#This Row],[Proposed Fixture Watts]] ), "PASS", "ERROR")</f>
        <v>#N/A</v>
      </c>
      <c r="AA261" s="69" t="e">
        <f>VLOOKUP(ReviewCalcs[[#This Row],[Space Conditions]], Table_365[], 5, FALSE)</f>
        <v>#N/A</v>
      </c>
      <c r="AB261" s="68" t="str">
        <f>ReviewCalcs[[#This Row],[Annual Hours]]</f>
        <v/>
      </c>
      <c r="AC261" s="68" t="e">
        <f>VLOOKUP(ReviewCalcs[[#This Row],[Space Conditions]], Table_365[], 6, FALSE)</f>
        <v>#N/A</v>
      </c>
      <c r="AD261" s="68">
        <f>IF(ReviewCalcs[[#This Row],[Existing Control(s)]]='Tables &amp; Ranges'!$A$25, VLOOKUP(ReviewCalcs[[#This Row],[Building/Space Type]], Table_364[], 3, FALSE), CF_Contols)</f>
        <v>0.26</v>
      </c>
      <c r="AE261" s="68" t="e">
        <f>VLOOKUP(ReviewCalcs[[#This Row],[Existing Control(s)]], Table_358[], 2, FALSE)</f>
        <v>#N/A</v>
      </c>
      <c r="AF261" s="68">
        <f>IF(ReviewCalcs[[#This Row],[Proposed Control(s)]]='Tables &amp; Ranges'!$A$25, VLOOKUP(ReviewCalcs[[#This Row],[Building/Space Type]], Table_364[], 3, FALSE), CF_Contols)</f>
        <v>0.26</v>
      </c>
      <c r="AG261" s="68" t="e">
        <f>VLOOKUP(ReviewCalcs[[#This Row],[Proposed Control(s)]], Table_358[], 2, FALSE)</f>
        <v>#N/A</v>
      </c>
      <c r="AH261" s="68">
        <f>IFERROR((ReviewCalcs[[#This Row],[Existing Fixture Quantity]]*ReviewCalcs[[#This Row],[Existing Fixture Watts]]/1000)*ReviewCalcs[[#This Row],[Existing CF]]*ReviewCalcs[[#This Row],[IEFD]], 0)</f>
        <v>0</v>
      </c>
      <c r="AI261" s="68">
        <f>IFERROR((ReviewCalcs[[#This Row],[Proposed Fixture Quantity]]*ReviewCalcs[[#This Row],[Proposed Fixture Watts]]/1000)*ReviewCalcs[[#This Row],[Existing CF]]*ReviewCalcs[[#This Row],[IEFD]], 0)</f>
        <v>0</v>
      </c>
      <c r="AJ261" s="118">
        <f>IFERROR((ReviewCalcs[[#This Row],[Existing Fixture Quantity]]*ReviewCalcs[[#This Row],[Existing Fixture Watts]]/1000-ReviewCalcs[[#This Row],[Proposed Fixture Quantity]]*ReviewCalcs[[#This Row],[Proposed Fixture Watts]]/1000)*ReviewCalcs[[#This Row],[Existing CF]]*ReviewCalcs[[#This Row],[IEFD]], 0)</f>
        <v>0</v>
      </c>
      <c r="AK261" s="118">
        <f>IFERROR((ReviewCalcs[[#This Row],[Existing Fixture Quantity]]*ReviewCalcs[[#This Row],[Existing Fixture Watts]]/1000)*ReviewCalcs[[#This Row],[AOH]]*ReviewCalcs[[#This Row],[IEFE]]*ReviewCalcs[[#This Row],[Existing PAF]], 0)</f>
        <v>0</v>
      </c>
      <c r="AL261" s="118">
        <f>IFERROR((ReviewCalcs[[#This Row],[Proposed Fixture Quantity]]*ReviewCalcs[[#This Row],[Proposed Fixture Watts]]/1000)*ReviewCalcs[[#This Row],[AOH]]*ReviewCalcs[[#This Row],[IEFE]]*ReviewCalcs[[#This Row],[Existing PAF]], 0)</f>
        <v>0</v>
      </c>
      <c r="AM26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1" s="118">
        <f>ReviewCalcs[[#This Row],[Fixture Existing Energy (kWh)]]*Avg_KWh_Rate</f>
        <v>0</v>
      </c>
      <c r="AO261" s="118">
        <f>ReviewCalcs[[#This Row],[Fixture Proposed Energy (kWh)]]*Avg_KWh_Rate</f>
        <v>0</v>
      </c>
      <c r="AP261" s="70">
        <f>ReviewCalcs[[#This Row],[Fixture Energy Savings]]*Avg_KWh_Rate</f>
        <v>0</v>
      </c>
      <c r="AQ261" s="129" t="e">
        <f>ReviewCalcs[[#This Row],[Existing Fixture Quantity]]*ReviewCalcs[[#This Row],[Existing Fixture Watts]]/1000*ReviewCalcs[[#This Row],[Existing CF]]*ReviewCalcs[[#This Row],[IEFD]]</f>
        <v>#VALUE!</v>
      </c>
      <c r="AR261" s="129" t="e">
        <f>ReviewCalcs[[#This Row],[Proposed Fixture Quantity]]*ReviewCalcs[[#This Row],[Proposed Fixture Watts]]/1000*ReviewCalcs[[#This Row],[Proposed CF]]*ReviewCalcs[[#This Row],[IEFD]]</f>
        <v>#VALUE!</v>
      </c>
      <c r="AS261" s="118">
        <f>IF(ReviewCalcs[[#This Row],[Existing CF]]=ReviewCalcs[[#This Row],[Proposed CF]], 0, ReviewCalcs[[#This Row],[Proposed Fixture Quantity]]*ReviewCalcs[[#This Row],[Proposed Fixture Watts]]/1000*ReviewCalcs[[#This Row],[Proposed CF]]*ReviewCalcs[[#This Row],[IEFD]])</f>
        <v>0</v>
      </c>
      <c r="AT261" s="118">
        <f>IFERROR(ReviewCalcs[[#This Row],[Existing Fixture Quantity]]*ReviewCalcs[[#This Row],[Existing Fixture Watts]]/1000*ReviewCalcs[[#This Row],[Existing PAF]]*ReviewCalcs[[#This Row],[AOH]]*ReviewCalcs[[#This Row],[IEFE]], 0)</f>
        <v>0</v>
      </c>
      <c r="AU261" s="118">
        <f>IFERROR(ReviewCalcs[[#This Row],[Proposed Fixture Quantity]]*ReviewCalcs[[#This Row],[Proposed Fixture Watts]]/1000*ReviewCalcs[[#This Row],[Proposed PAF]]*ReviewCalcs[[#This Row],[AOH]]*ReviewCalcs[[#This Row],[IEFE]], 0)</f>
        <v>0</v>
      </c>
      <c r="AV261" s="118">
        <f>IFERROR(ReviewCalcs[[#This Row],[Proposed Fixture Quantity]]*ReviewCalcs[[#This Row],[Proposed Fixture Watts]]/1000*(ReviewCalcs[[#This Row],[Existing PAF]]-ReviewCalcs[[#This Row],[Proposed PAF]])*ReviewCalcs[[#This Row],[AOH]]*ReviewCalcs[[#This Row],[IEFE]], 0)</f>
        <v>0</v>
      </c>
      <c r="AW261" s="118">
        <f>ReviewCalcs[[#This Row],[Control Existing Energy (kWh)]]*kWh_Incentive_Rate</f>
        <v>0</v>
      </c>
      <c r="AX261" s="118">
        <f>ReviewCalcs[[#This Row],[Control Proposed Energy (kWh)]]*kWh_Incentive_Rate</f>
        <v>0</v>
      </c>
      <c r="AY261" s="70">
        <f>ReviewCalcs[[#This Row],[Control Energy Savings (kWh)]]*kWh_Incentive_Rate</f>
        <v>0</v>
      </c>
      <c r="AZ261" s="70" t="e">
        <f>ReviewCalcs[[#This Row],[Fixture Existing Demand (kW)]]+ReviewCalcs[[#This Row],[Control Existing Demand (kW)]]</f>
        <v>#VALUE!</v>
      </c>
      <c r="BA261" s="70" t="e">
        <f>ReviewCalcs[[#This Row],[Fixture Proposed Demand (kW)]]+ReviewCalcs[[#This Row],[Control Proposed Demand (kW)]]</f>
        <v>#VALUE!</v>
      </c>
      <c r="BB261" s="118">
        <f>ReviewCalcs[[#This Row],[Fixture Demand Savings (kW)]]+ReviewCalcs[[#This Row],[Control Demand Savings (kW)]]</f>
        <v>0</v>
      </c>
      <c r="BC261" s="118">
        <f>ReviewCalcs[[#This Row],[Fixture Existing Energy (kWh)]]+ReviewCalcs[[#This Row],[Control Existing Energy (kWh)]]</f>
        <v>0</v>
      </c>
      <c r="BD261" s="118">
        <f>ReviewCalcs[[#This Row],[Fixture Proposed Energy (kWh)]]+ReviewCalcs[[#This Row],[Control Proposed Energy (kWh)]]</f>
        <v>0</v>
      </c>
      <c r="BE261" s="118">
        <f>ReviewCalcs[[#This Row],[Fixture Energy Savings]]+ReviewCalcs[[#This Row],[Control Energy Savings (kWh)]]</f>
        <v>0</v>
      </c>
      <c r="BF261" s="118">
        <f>ReviewCalcs[[#This Row],[Fixture Existing Cost ($)]]+ReviewCalcs[[#This Row],[Control Existing Cost ($)]]</f>
        <v>0</v>
      </c>
      <c r="BG261" s="118">
        <f>ReviewCalcs[[#This Row],[Fixture Proposed Cost ($)]]+ReviewCalcs[[#This Row],[Controls Proposed Cost ($)]]</f>
        <v>0</v>
      </c>
      <c r="BH261" s="70">
        <f>ReviewCalcs[[#This Row],[Total Energy Savings (kWh)]]*Avg_KWh_Rate</f>
        <v>0</v>
      </c>
      <c r="BI26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1" s="70">
        <f>ReviewCalcs[[#This Row],[Retrofit Cost]]</f>
        <v>0</v>
      </c>
      <c r="BK261" s="70">
        <f>ReviewCalcs[[#This Row],[Retrofit Cost]]-ReviewCalcs[[#This Row],[Incentive ($)]]</f>
        <v>0</v>
      </c>
      <c r="BL261" s="118" t="e">
        <f>IFERROR(ReviewCalcs[[#This Row],[Net Project Cost ($)]]/ReviewCalcs[[#This Row],[Fixture Energy Cost Savings ($)]], #N/A)</f>
        <v>#N/A</v>
      </c>
      <c r="BM261" s="118" t="e">
        <f>IF(VLOOKUP(ReviewCalcs[[#This Row],[Existing Fixture Code]], Table7[[FIXTURE CODE]:[Baseline Fixture Code]], 8, FALSE)="N", VLOOKUP(ReviewCalcs[[#This Row],[Existing Fixture Code]], Table7[[FIXTURE CODE]:[Baseline Fixture Code]], 9, FALSE), ReviewCalcs[[#This Row],[Existing Fixture Code]])</f>
        <v>#N/A</v>
      </c>
      <c r="BN261" s="118" t="e">
        <f>INDEX(Table7[WATT/ FIXT], MATCH(ReviewCalcs[Baseline Fixture Code], Table7[FIXTURE CODE], 0))</f>
        <v>#N/A</v>
      </c>
      <c r="BO261" s="118">
        <f>IFERROR((ReviewCalcs[[#This Row],[Existing Fixture Quantity]]*ReviewCalcs[[#This Row],[Baseline Fixture Watts]]/1000-ReviewCalcs[[#This Row],[Proposed Fixture Quantity]]*ReviewCalcs[[#This Row],[Proposed Fixture Watts]]/1000)*ReviewCalcs[[#This Row],[Existing CF]]*ReviewCalcs[[#This Row],[IEFD]], 0)</f>
        <v>0</v>
      </c>
      <c r="BP26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1" s="118">
        <f>IF(ReviewCalcs[[#This Row],[Existing CF]]=ReviewCalcs[[#This Row],[Proposed CF]], 0, ReviewCalcs[[#This Row],[Proposed Fixture Quantity]]*ReviewCalcs[[#This Row],[Proposed Fixture Watts]]/1000*ReviewCalcs[[#This Row],[Proposed CF]]*ReviewCalcs[[#This Row],[IEFD]])</f>
        <v>0</v>
      </c>
      <c r="BR261" s="118">
        <f>IFERROR(ReviewCalcs[[#This Row],[Proposed Fixture Quantity]]*ReviewCalcs[[#This Row],[Proposed Fixture Watts]]/1000*(ReviewCalcs[[#This Row],[Existing PAF]]-ReviewCalcs[[#This Row],[Proposed PAF]])*ReviewCalcs[[#This Row],[AOH]]*ReviewCalcs[[#This Row],[IEFE]],0)</f>
        <v>0</v>
      </c>
      <c r="BS261" s="118">
        <f>ReviewCalcs[[#This Row],[Incentive Fixture Demand Savings (kW)]]+ReviewCalcs[[#This Row],[Incentive Control Demand Savings (kW)]]</f>
        <v>0</v>
      </c>
      <c r="BT261" s="118">
        <f>ReviewCalcs[[#This Row],[Incentive Fixture Energy Savings (kWh)]]+ReviewCalcs[[#This Row],[Incentive Control Energy Savings (kWh)]]</f>
        <v>0</v>
      </c>
      <c r="BU261" s="73"/>
    </row>
    <row r="262" spans="1:73" ht="30" customHeight="1">
      <c r="A262" s="68">
        <v>259</v>
      </c>
      <c r="B262" s="96">
        <f>VLOOKUP(ReviewCalcs[[#This Row],[Project Index]], ProjectInput[], D$1, FALSE)</f>
        <v>0</v>
      </c>
      <c r="C262" s="97">
        <f>VLOOKUP(ReviewCalcs[[#This Row],[Project Index]], ProjectInput[], E$1, FALSE)</f>
        <v>0</v>
      </c>
      <c r="D262" s="97">
        <f>VLOOKUP(ReviewCalcs[[#This Row],[Project Index]], ProjectInput[], F$1, FALSE)</f>
        <v>0</v>
      </c>
      <c r="E262" s="97">
        <f>VLOOKUP(ReviewCalcs[[#This Row],[Project Index]], ProjectInput[], G$1, FALSE)</f>
        <v>0</v>
      </c>
      <c r="F262" s="97">
        <f>VLOOKUP(ReviewCalcs[[#This Row],[Project Index]], ProjectInput[], H$1, FALSE)</f>
        <v>0</v>
      </c>
      <c r="G262" s="98" t="str">
        <f>VLOOKUP(ReviewCalcs[[#This Row],[Project Index]], ProjectInput[], I$1, FALSE)</f>
        <v/>
      </c>
      <c r="H262" s="96">
        <f>VLOOKUP(ReviewCalcs[[#This Row],[Project Index]], ProjectInput[], J$1, FALSE)</f>
        <v>0</v>
      </c>
      <c r="I262" s="97">
        <f>VLOOKUP(ReviewCalcs[[#This Row],[Project Index]], ProjectInput[], K$1, FALSE)</f>
        <v>0</v>
      </c>
      <c r="J262" s="97">
        <f>VLOOKUP(ReviewCalcs[[#This Row],[Project Index]], ProjectInput[], L$1, FALSE)</f>
        <v>0</v>
      </c>
      <c r="K262" s="97">
        <f>VLOOKUP(ReviewCalcs[[#This Row],[Project Index]], ProjectInput[], M$1, FALSE)</f>
        <v>0</v>
      </c>
      <c r="L262" s="97">
        <f>VLOOKUP(ReviewCalcs[[#This Row],[Project Index]], ProjectInput[], N$1, FALSE)</f>
        <v>0</v>
      </c>
      <c r="M262" s="98" t="str">
        <f>VLOOKUP(ReviewCalcs[[#This Row],[Project Index]], ProjectInput[], O$1, FALSE)</f>
        <v/>
      </c>
      <c r="N262" s="96">
        <f>VLOOKUP(ReviewCalcs[[#This Row],[Project Index]], ProjectInput[], P$1, FALSE)</f>
        <v>0</v>
      </c>
      <c r="O262" s="97">
        <f>VLOOKUP(ReviewCalcs[[#This Row],[Project Index]], ProjectInput[], Q$1, FALSE)</f>
        <v>0</v>
      </c>
      <c r="P262" s="97">
        <f>VLOOKUP(ReviewCalcs[[#This Row],[Project Index]], ProjectInput[], R$1, FALSE)</f>
        <v>0</v>
      </c>
      <c r="Q262" s="97">
        <f>VLOOKUP(ReviewCalcs[[#This Row],[Project Index]], ProjectInput[], S$1, FALSE)</f>
        <v>0</v>
      </c>
      <c r="R262" s="97">
        <f>VLOOKUP(ReviewCalcs[[#This Row],[Project Index]], ProjectInput[], T$1, FALSE)</f>
        <v>0</v>
      </c>
      <c r="S262" s="97">
        <f>VLOOKUP(ReviewCalcs[[#This Row],[Project Index]], ProjectInput[], U$1, FALSE)</f>
        <v>0</v>
      </c>
      <c r="T262" s="97">
        <f>VLOOKUP(ReviewCalcs[[#This Row],[Project Index]], ProjectInput[], V$1, FALSE)</f>
        <v>0</v>
      </c>
      <c r="U262" s="97">
        <f>VLOOKUP(ReviewCalcs[[#This Row],[Project Index]], ProjectInput[], W$1, FALSE)</f>
        <v>0</v>
      </c>
      <c r="V262" s="98" t="str">
        <f>VLOOKUP(ReviewCalcs[[#This Row],[Project Index]], ProjectInput[], X$1, FALSE)</f>
        <v/>
      </c>
      <c r="W26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2" s="75" t="e">
        <f>IF(VLOOKUP(ReviewCalcs[[#This Row],[Proposed Fixture Code]], Table7[[FIXTURE CODE]:[Baseline Fixture Code]], 8, FALSE)="N", "ERROR", "PASS")</f>
        <v>#N/A</v>
      </c>
      <c r="Y26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2" s="75" t="e">
        <f>IF(OR(ReviewCalcs[[#This Row],[Baseline Fixture Watts]]&gt;=ReviewCalcs[[#This Row],[Proposed Fixture Watts]],ReviewCalcs[[#This Row],[Existing Fixture Watts]]&gt;=ReviewCalcs[[#This Row],[Proposed Fixture Watts]] ), "PASS", "ERROR")</f>
        <v>#N/A</v>
      </c>
      <c r="AA262" s="69" t="e">
        <f>VLOOKUP(ReviewCalcs[[#This Row],[Space Conditions]], Table_365[], 5, FALSE)</f>
        <v>#N/A</v>
      </c>
      <c r="AB262" s="68" t="str">
        <f>ReviewCalcs[[#This Row],[Annual Hours]]</f>
        <v/>
      </c>
      <c r="AC262" s="68" t="e">
        <f>VLOOKUP(ReviewCalcs[[#This Row],[Space Conditions]], Table_365[], 6, FALSE)</f>
        <v>#N/A</v>
      </c>
      <c r="AD262" s="68">
        <f>IF(ReviewCalcs[[#This Row],[Existing Control(s)]]='Tables &amp; Ranges'!$A$25, VLOOKUP(ReviewCalcs[[#This Row],[Building/Space Type]], Table_364[], 3, FALSE), CF_Contols)</f>
        <v>0.26</v>
      </c>
      <c r="AE262" s="68" t="e">
        <f>VLOOKUP(ReviewCalcs[[#This Row],[Existing Control(s)]], Table_358[], 2, FALSE)</f>
        <v>#N/A</v>
      </c>
      <c r="AF262" s="68">
        <f>IF(ReviewCalcs[[#This Row],[Proposed Control(s)]]='Tables &amp; Ranges'!$A$25, VLOOKUP(ReviewCalcs[[#This Row],[Building/Space Type]], Table_364[], 3, FALSE), CF_Contols)</f>
        <v>0.26</v>
      </c>
      <c r="AG262" s="68" t="e">
        <f>VLOOKUP(ReviewCalcs[[#This Row],[Proposed Control(s)]], Table_358[], 2, FALSE)</f>
        <v>#N/A</v>
      </c>
      <c r="AH262" s="68">
        <f>IFERROR((ReviewCalcs[[#This Row],[Existing Fixture Quantity]]*ReviewCalcs[[#This Row],[Existing Fixture Watts]]/1000)*ReviewCalcs[[#This Row],[Existing CF]]*ReviewCalcs[[#This Row],[IEFD]], 0)</f>
        <v>0</v>
      </c>
      <c r="AI262" s="68">
        <f>IFERROR((ReviewCalcs[[#This Row],[Proposed Fixture Quantity]]*ReviewCalcs[[#This Row],[Proposed Fixture Watts]]/1000)*ReviewCalcs[[#This Row],[Existing CF]]*ReviewCalcs[[#This Row],[IEFD]], 0)</f>
        <v>0</v>
      </c>
      <c r="AJ262" s="118">
        <f>IFERROR((ReviewCalcs[[#This Row],[Existing Fixture Quantity]]*ReviewCalcs[[#This Row],[Existing Fixture Watts]]/1000-ReviewCalcs[[#This Row],[Proposed Fixture Quantity]]*ReviewCalcs[[#This Row],[Proposed Fixture Watts]]/1000)*ReviewCalcs[[#This Row],[Existing CF]]*ReviewCalcs[[#This Row],[IEFD]], 0)</f>
        <v>0</v>
      </c>
      <c r="AK262" s="118">
        <f>IFERROR((ReviewCalcs[[#This Row],[Existing Fixture Quantity]]*ReviewCalcs[[#This Row],[Existing Fixture Watts]]/1000)*ReviewCalcs[[#This Row],[AOH]]*ReviewCalcs[[#This Row],[IEFE]]*ReviewCalcs[[#This Row],[Existing PAF]], 0)</f>
        <v>0</v>
      </c>
      <c r="AL262" s="118">
        <f>IFERROR((ReviewCalcs[[#This Row],[Proposed Fixture Quantity]]*ReviewCalcs[[#This Row],[Proposed Fixture Watts]]/1000)*ReviewCalcs[[#This Row],[AOH]]*ReviewCalcs[[#This Row],[IEFE]]*ReviewCalcs[[#This Row],[Existing PAF]], 0)</f>
        <v>0</v>
      </c>
      <c r="AM26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2" s="118">
        <f>ReviewCalcs[[#This Row],[Fixture Existing Energy (kWh)]]*Avg_KWh_Rate</f>
        <v>0</v>
      </c>
      <c r="AO262" s="118">
        <f>ReviewCalcs[[#This Row],[Fixture Proposed Energy (kWh)]]*Avg_KWh_Rate</f>
        <v>0</v>
      </c>
      <c r="AP262" s="70">
        <f>ReviewCalcs[[#This Row],[Fixture Energy Savings]]*Avg_KWh_Rate</f>
        <v>0</v>
      </c>
      <c r="AQ262" s="129" t="e">
        <f>ReviewCalcs[[#This Row],[Existing Fixture Quantity]]*ReviewCalcs[[#This Row],[Existing Fixture Watts]]/1000*ReviewCalcs[[#This Row],[Existing CF]]*ReviewCalcs[[#This Row],[IEFD]]</f>
        <v>#VALUE!</v>
      </c>
      <c r="AR262" s="129" t="e">
        <f>ReviewCalcs[[#This Row],[Proposed Fixture Quantity]]*ReviewCalcs[[#This Row],[Proposed Fixture Watts]]/1000*ReviewCalcs[[#This Row],[Proposed CF]]*ReviewCalcs[[#This Row],[IEFD]]</f>
        <v>#VALUE!</v>
      </c>
      <c r="AS262" s="118">
        <f>IF(ReviewCalcs[[#This Row],[Existing CF]]=ReviewCalcs[[#This Row],[Proposed CF]], 0, ReviewCalcs[[#This Row],[Proposed Fixture Quantity]]*ReviewCalcs[[#This Row],[Proposed Fixture Watts]]/1000*ReviewCalcs[[#This Row],[Proposed CF]]*ReviewCalcs[[#This Row],[IEFD]])</f>
        <v>0</v>
      </c>
      <c r="AT262" s="118">
        <f>IFERROR(ReviewCalcs[[#This Row],[Existing Fixture Quantity]]*ReviewCalcs[[#This Row],[Existing Fixture Watts]]/1000*ReviewCalcs[[#This Row],[Existing PAF]]*ReviewCalcs[[#This Row],[AOH]]*ReviewCalcs[[#This Row],[IEFE]], 0)</f>
        <v>0</v>
      </c>
      <c r="AU262" s="118">
        <f>IFERROR(ReviewCalcs[[#This Row],[Proposed Fixture Quantity]]*ReviewCalcs[[#This Row],[Proposed Fixture Watts]]/1000*ReviewCalcs[[#This Row],[Proposed PAF]]*ReviewCalcs[[#This Row],[AOH]]*ReviewCalcs[[#This Row],[IEFE]], 0)</f>
        <v>0</v>
      </c>
      <c r="AV262" s="118">
        <f>IFERROR(ReviewCalcs[[#This Row],[Proposed Fixture Quantity]]*ReviewCalcs[[#This Row],[Proposed Fixture Watts]]/1000*(ReviewCalcs[[#This Row],[Existing PAF]]-ReviewCalcs[[#This Row],[Proposed PAF]])*ReviewCalcs[[#This Row],[AOH]]*ReviewCalcs[[#This Row],[IEFE]], 0)</f>
        <v>0</v>
      </c>
      <c r="AW262" s="118">
        <f>ReviewCalcs[[#This Row],[Control Existing Energy (kWh)]]*kWh_Incentive_Rate</f>
        <v>0</v>
      </c>
      <c r="AX262" s="118">
        <f>ReviewCalcs[[#This Row],[Control Proposed Energy (kWh)]]*kWh_Incentive_Rate</f>
        <v>0</v>
      </c>
      <c r="AY262" s="70">
        <f>ReviewCalcs[[#This Row],[Control Energy Savings (kWh)]]*kWh_Incentive_Rate</f>
        <v>0</v>
      </c>
      <c r="AZ262" s="70" t="e">
        <f>ReviewCalcs[[#This Row],[Fixture Existing Demand (kW)]]+ReviewCalcs[[#This Row],[Control Existing Demand (kW)]]</f>
        <v>#VALUE!</v>
      </c>
      <c r="BA262" s="70" t="e">
        <f>ReviewCalcs[[#This Row],[Fixture Proposed Demand (kW)]]+ReviewCalcs[[#This Row],[Control Proposed Demand (kW)]]</f>
        <v>#VALUE!</v>
      </c>
      <c r="BB262" s="118">
        <f>ReviewCalcs[[#This Row],[Fixture Demand Savings (kW)]]+ReviewCalcs[[#This Row],[Control Demand Savings (kW)]]</f>
        <v>0</v>
      </c>
      <c r="BC262" s="118">
        <f>ReviewCalcs[[#This Row],[Fixture Existing Energy (kWh)]]+ReviewCalcs[[#This Row],[Control Existing Energy (kWh)]]</f>
        <v>0</v>
      </c>
      <c r="BD262" s="118">
        <f>ReviewCalcs[[#This Row],[Fixture Proposed Energy (kWh)]]+ReviewCalcs[[#This Row],[Control Proposed Energy (kWh)]]</f>
        <v>0</v>
      </c>
      <c r="BE262" s="118">
        <f>ReviewCalcs[[#This Row],[Fixture Energy Savings]]+ReviewCalcs[[#This Row],[Control Energy Savings (kWh)]]</f>
        <v>0</v>
      </c>
      <c r="BF262" s="118">
        <f>ReviewCalcs[[#This Row],[Fixture Existing Cost ($)]]+ReviewCalcs[[#This Row],[Control Existing Cost ($)]]</f>
        <v>0</v>
      </c>
      <c r="BG262" s="118">
        <f>ReviewCalcs[[#This Row],[Fixture Proposed Cost ($)]]+ReviewCalcs[[#This Row],[Controls Proposed Cost ($)]]</f>
        <v>0</v>
      </c>
      <c r="BH262" s="70">
        <f>ReviewCalcs[[#This Row],[Total Energy Savings (kWh)]]*Avg_KWh_Rate</f>
        <v>0</v>
      </c>
      <c r="BI26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2" s="70">
        <f>ReviewCalcs[[#This Row],[Retrofit Cost]]</f>
        <v>0</v>
      </c>
      <c r="BK262" s="70">
        <f>ReviewCalcs[[#This Row],[Retrofit Cost]]-ReviewCalcs[[#This Row],[Incentive ($)]]</f>
        <v>0</v>
      </c>
      <c r="BL262" s="118" t="e">
        <f>IFERROR(ReviewCalcs[[#This Row],[Net Project Cost ($)]]/ReviewCalcs[[#This Row],[Fixture Energy Cost Savings ($)]], #N/A)</f>
        <v>#N/A</v>
      </c>
      <c r="BM262" s="118" t="e">
        <f>IF(VLOOKUP(ReviewCalcs[[#This Row],[Existing Fixture Code]], Table7[[FIXTURE CODE]:[Baseline Fixture Code]], 8, FALSE)="N", VLOOKUP(ReviewCalcs[[#This Row],[Existing Fixture Code]], Table7[[FIXTURE CODE]:[Baseline Fixture Code]], 9, FALSE), ReviewCalcs[[#This Row],[Existing Fixture Code]])</f>
        <v>#N/A</v>
      </c>
      <c r="BN262" s="118" t="e">
        <f>INDEX(Table7[WATT/ FIXT], MATCH(ReviewCalcs[Baseline Fixture Code], Table7[FIXTURE CODE], 0))</f>
        <v>#N/A</v>
      </c>
      <c r="BO262" s="118">
        <f>IFERROR((ReviewCalcs[[#This Row],[Existing Fixture Quantity]]*ReviewCalcs[[#This Row],[Baseline Fixture Watts]]/1000-ReviewCalcs[[#This Row],[Proposed Fixture Quantity]]*ReviewCalcs[[#This Row],[Proposed Fixture Watts]]/1000)*ReviewCalcs[[#This Row],[Existing CF]]*ReviewCalcs[[#This Row],[IEFD]], 0)</f>
        <v>0</v>
      </c>
      <c r="BP26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2" s="118">
        <f>IF(ReviewCalcs[[#This Row],[Existing CF]]=ReviewCalcs[[#This Row],[Proposed CF]], 0, ReviewCalcs[[#This Row],[Proposed Fixture Quantity]]*ReviewCalcs[[#This Row],[Proposed Fixture Watts]]/1000*ReviewCalcs[[#This Row],[Proposed CF]]*ReviewCalcs[[#This Row],[IEFD]])</f>
        <v>0</v>
      </c>
      <c r="BR262" s="118">
        <f>IFERROR(ReviewCalcs[[#This Row],[Proposed Fixture Quantity]]*ReviewCalcs[[#This Row],[Proposed Fixture Watts]]/1000*(ReviewCalcs[[#This Row],[Existing PAF]]-ReviewCalcs[[#This Row],[Proposed PAF]])*ReviewCalcs[[#This Row],[AOH]]*ReviewCalcs[[#This Row],[IEFE]],0)</f>
        <v>0</v>
      </c>
      <c r="BS262" s="118">
        <f>ReviewCalcs[[#This Row],[Incentive Fixture Demand Savings (kW)]]+ReviewCalcs[[#This Row],[Incentive Control Demand Savings (kW)]]</f>
        <v>0</v>
      </c>
      <c r="BT262" s="118">
        <f>ReviewCalcs[[#This Row],[Incentive Fixture Energy Savings (kWh)]]+ReviewCalcs[[#This Row],[Incentive Control Energy Savings (kWh)]]</f>
        <v>0</v>
      </c>
      <c r="BU262" s="73"/>
    </row>
    <row r="263" spans="1:73" ht="30" customHeight="1">
      <c r="A263" s="68">
        <v>260</v>
      </c>
      <c r="B263" s="96">
        <f>VLOOKUP(ReviewCalcs[[#This Row],[Project Index]], ProjectInput[], D$1, FALSE)</f>
        <v>0</v>
      </c>
      <c r="C263" s="97">
        <f>VLOOKUP(ReviewCalcs[[#This Row],[Project Index]], ProjectInput[], E$1, FALSE)</f>
        <v>0</v>
      </c>
      <c r="D263" s="97">
        <f>VLOOKUP(ReviewCalcs[[#This Row],[Project Index]], ProjectInput[], F$1, FALSE)</f>
        <v>0</v>
      </c>
      <c r="E263" s="97">
        <f>VLOOKUP(ReviewCalcs[[#This Row],[Project Index]], ProjectInput[], G$1, FALSE)</f>
        <v>0</v>
      </c>
      <c r="F263" s="97">
        <f>VLOOKUP(ReviewCalcs[[#This Row],[Project Index]], ProjectInput[], H$1, FALSE)</f>
        <v>0</v>
      </c>
      <c r="G263" s="98" t="str">
        <f>VLOOKUP(ReviewCalcs[[#This Row],[Project Index]], ProjectInput[], I$1, FALSE)</f>
        <v/>
      </c>
      <c r="H263" s="96">
        <f>VLOOKUP(ReviewCalcs[[#This Row],[Project Index]], ProjectInput[], J$1, FALSE)</f>
        <v>0</v>
      </c>
      <c r="I263" s="97">
        <f>VLOOKUP(ReviewCalcs[[#This Row],[Project Index]], ProjectInput[], K$1, FALSE)</f>
        <v>0</v>
      </c>
      <c r="J263" s="97">
        <f>VLOOKUP(ReviewCalcs[[#This Row],[Project Index]], ProjectInput[], L$1, FALSE)</f>
        <v>0</v>
      </c>
      <c r="K263" s="97">
        <f>VLOOKUP(ReviewCalcs[[#This Row],[Project Index]], ProjectInput[], M$1, FALSE)</f>
        <v>0</v>
      </c>
      <c r="L263" s="97">
        <f>VLOOKUP(ReviewCalcs[[#This Row],[Project Index]], ProjectInput[], N$1, FALSE)</f>
        <v>0</v>
      </c>
      <c r="M263" s="98" t="str">
        <f>VLOOKUP(ReviewCalcs[[#This Row],[Project Index]], ProjectInput[], O$1, FALSE)</f>
        <v/>
      </c>
      <c r="N263" s="96">
        <f>VLOOKUP(ReviewCalcs[[#This Row],[Project Index]], ProjectInput[], P$1, FALSE)</f>
        <v>0</v>
      </c>
      <c r="O263" s="97">
        <f>VLOOKUP(ReviewCalcs[[#This Row],[Project Index]], ProjectInput[], Q$1, FALSE)</f>
        <v>0</v>
      </c>
      <c r="P263" s="97">
        <f>VLOOKUP(ReviewCalcs[[#This Row],[Project Index]], ProjectInput[], R$1, FALSE)</f>
        <v>0</v>
      </c>
      <c r="Q263" s="97">
        <f>VLOOKUP(ReviewCalcs[[#This Row],[Project Index]], ProjectInput[], S$1, FALSE)</f>
        <v>0</v>
      </c>
      <c r="R263" s="97">
        <f>VLOOKUP(ReviewCalcs[[#This Row],[Project Index]], ProjectInput[], T$1, FALSE)</f>
        <v>0</v>
      </c>
      <c r="S263" s="97">
        <f>VLOOKUP(ReviewCalcs[[#This Row],[Project Index]], ProjectInput[], U$1, FALSE)</f>
        <v>0</v>
      </c>
      <c r="T263" s="97">
        <f>VLOOKUP(ReviewCalcs[[#This Row],[Project Index]], ProjectInput[], V$1, FALSE)</f>
        <v>0</v>
      </c>
      <c r="U263" s="97">
        <f>VLOOKUP(ReviewCalcs[[#This Row],[Project Index]], ProjectInput[], W$1, FALSE)</f>
        <v>0</v>
      </c>
      <c r="V263" s="98" t="str">
        <f>VLOOKUP(ReviewCalcs[[#This Row],[Project Index]], ProjectInput[], X$1, FALSE)</f>
        <v/>
      </c>
      <c r="W26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3" s="75" t="e">
        <f>IF(VLOOKUP(ReviewCalcs[[#This Row],[Proposed Fixture Code]], Table7[[FIXTURE CODE]:[Baseline Fixture Code]], 8, FALSE)="N", "ERROR", "PASS")</f>
        <v>#N/A</v>
      </c>
      <c r="Y26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3" s="75" t="e">
        <f>IF(OR(ReviewCalcs[[#This Row],[Baseline Fixture Watts]]&gt;=ReviewCalcs[[#This Row],[Proposed Fixture Watts]],ReviewCalcs[[#This Row],[Existing Fixture Watts]]&gt;=ReviewCalcs[[#This Row],[Proposed Fixture Watts]] ), "PASS", "ERROR")</f>
        <v>#N/A</v>
      </c>
      <c r="AA263" s="69" t="e">
        <f>VLOOKUP(ReviewCalcs[[#This Row],[Space Conditions]], Table_365[], 5, FALSE)</f>
        <v>#N/A</v>
      </c>
      <c r="AB263" s="68" t="str">
        <f>ReviewCalcs[[#This Row],[Annual Hours]]</f>
        <v/>
      </c>
      <c r="AC263" s="68" t="e">
        <f>VLOOKUP(ReviewCalcs[[#This Row],[Space Conditions]], Table_365[], 6, FALSE)</f>
        <v>#N/A</v>
      </c>
      <c r="AD263" s="68">
        <f>IF(ReviewCalcs[[#This Row],[Existing Control(s)]]='Tables &amp; Ranges'!$A$25, VLOOKUP(ReviewCalcs[[#This Row],[Building/Space Type]], Table_364[], 3, FALSE), CF_Contols)</f>
        <v>0.26</v>
      </c>
      <c r="AE263" s="68" t="e">
        <f>VLOOKUP(ReviewCalcs[[#This Row],[Existing Control(s)]], Table_358[], 2, FALSE)</f>
        <v>#N/A</v>
      </c>
      <c r="AF263" s="68">
        <f>IF(ReviewCalcs[[#This Row],[Proposed Control(s)]]='Tables &amp; Ranges'!$A$25, VLOOKUP(ReviewCalcs[[#This Row],[Building/Space Type]], Table_364[], 3, FALSE), CF_Contols)</f>
        <v>0.26</v>
      </c>
      <c r="AG263" s="68" t="e">
        <f>VLOOKUP(ReviewCalcs[[#This Row],[Proposed Control(s)]], Table_358[], 2, FALSE)</f>
        <v>#N/A</v>
      </c>
      <c r="AH263" s="68">
        <f>IFERROR((ReviewCalcs[[#This Row],[Existing Fixture Quantity]]*ReviewCalcs[[#This Row],[Existing Fixture Watts]]/1000)*ReviewCalcs[[#This Row],[Existing CF]]*ReviewCalcs[[#This Row],[IEFD]], 0)</f>
        <v>0</v>
      </c>
      <c r="AI263" s="68">
        <f>IFERROR((ReviewCalcs[[#This Row],[Proposed Fixture Quantity]]*ReviewCalcs[[#This Row],[Proposed Fixture Watts]]/1000)*ReviewCalcs[[#This Row],[Existing CF]]*ReviewCalcs[[#This Row],[IEFD]], 0)</f>
        <v>0</v>
      </c>
      <c r="AJ263" s="118">
        <f>IFERROR((ReviewCalcs[[#This Row],[Existing Fixture Quantity]]*ReviewCalcs[[#This Row],[Existing Fixture Watts]]/1000-ReviewCalcs[[#This Row],[Proposed Fixture Quantity]]*ReviewCalcs[[#This Row],[Proposed Fixture Watts]]/1000)*ReviewCalcs[[#This Row],[Existing CF]]*ReviewCalcs[[#This Row],[IEFD]], 0)</f>
        <v>0</v>
      </c>
      <c r="AK263" s="118">
        <f>IFERROR((ReviewCalcs[[#This Row],[Existing Fixture Quantity]]*ReviewCalcs[[#This Row],[Existing Fixture Watts]]/1000)*ReviewCalcs[[#This Row],[AOH]]*ReviewCalcs[[#This Row],[IEFE]]*ReviewCalcs[[#This Row],[Existing PAF]], 0)</f>
        <v>0</v>
      </c>
      <c r="AL263" s="118">
        <f>IFERROR((ReviewCalcs[[#This Row],[Proposed Fixture Quantity]]*ReviewCalcs[[#This Row],[Proposed Fixture Watts]]/1000)*ReviewCalcs[[#This Row],[AOH]]*ReviewCalcs[[#This Row],[IEFE]]*ReviewCalcs[[#This Row],[Existing PAF]], 0)</f>
        <v>0</v>
      </c>
      <c r="AM26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3" s="118">
        <f>ReviewCalcs[[#This Row],[Fixture Existing Energy (kWh)]]*Avg_KWh_Rate</f>
        <v>0</v>
      </c>
      <c r="AO263" s="118">
        <f>ReviewCalcs[[#This Row],[Fixture Proposed Energy (kWh)]]*Avg_KWh_Rate</f>
        <v>0</v>
      </c>
      <c r="AP263" s="70">
        <f>ReviewCalcs[[#This Row],[Fixture Energy Savings]]*Avg_KWh_Rate</f>
        <v>0</v>
      </c>
      <c r="AQ263" s="129" t="e">
        <f>ReviewCalcs[[#This Row],[Existing Fixture Quantity]]*ReviewCalcs[[#This Row],[Existing Fixture Watts]]/1000*ReviewCalcs[[#This Row],[Existing CF]]*ReviewCalcs[[#This Row],[IEFD]]</f>
        <v>#VALUE!</v>
      </c>
      <c r="AR263" s="129" t="e">
        <f>ReviewCalcs[[#This Row],[Proposed Fixture Quantity]]*ReviewCalcs[[#This Row],[Proposed Fixture Watts]]/1000*ReviewCalcs[[#This Row],[Proposed CF]]*ReviewCalcs[[#This Row],[IEFD]]</f>
        <v>#VALUE!</v>
      </c>
      <c r="AS263" s="118">
        <f>IF(ReviewCalcs[[#This Row],[Existing CF]]=ReviewCalcs[[#This Row],[Proposed CF]], 0, ReviewCalcs[[#This Row],[Proposed Fixture Quantity]]*ReviewCalcs[[#This Row],[Proposed Fixture Watts]]/1000*ReviewCalcs[[#This Row],[Proposed CF]]*ReviewCalcs[[#This Row],[IEFD]])</f>
        <v>0</v>
      </c>
      <c r="AT263" s="118">
        <f>IFERROR(ReviewCalcs[[#This Row],[Existing Fixture Quantity]]*ReviewCalcs[[#This Row],[Existing Fixture Watts]]/1000*ReviewCalcs[[#This Row],[Existing PAF]]*ReviewCalcs[[#This Row],[AOH]]*ReviewCalcs[[#This Row],[IEFE]], 0)</f>
        <v>0</v>
      </c>
      <c r="AU263" s="118">
        <f>IFERROR(ReviewCalcs[[#This Row],[Proposed Fixture Quantity]]*ReviewCalcs[[#This Row],[Proposed Fixture Watts]]/1000*ReviewCalcs[[#This Row],[Proposed PAF]]*ReviewCalcs[[#This Row],[AOH]]*ReviewCalcs[[#This Row],[IEFE]], 0)</f>
        <v>0</v>
      </c>
      <c r="AV263" s="118">
        <f>IFERROR(ReviewCalcs[[#This Row],[Proposed Fixture Quantity]]*ReviewCalcs[[#This Row],[Proposed Fixture Watts]]/1000*(ReviewCalcs[[#This Row],[Existing PAF]]-ReviewCalcs[[#This Row],[Proposed PAF]])*ReviewCalcs[[#This Row],[AOH]]*ReviewCalcs[[#This Row],[IEFE]], 0)</f>
        <v>0</v>
      </c>
      <c r="AW263" s="118">
        <f>ReviewCalcs[[#This Row],[Control Existing Energy (kWh)]]*kWh_Incentive_Rate</f>
        <v>0</v>
      </c>
      <c r="AX263" s="118">
        <f>ReviewCalcs[[#This Row],[Control Proposed Energy (kWh)]]*kWh_Incentive_Rate</f>
        <v>0</v>
      </c>
      <c r="AY263" s="70">
        <f>ReviewCalcs[[#This Row],[Control Energy Savings (kWh)]]*kWh_Incentive_Rate</f>
        <v>0</v>
      </c>
      <c r="AZ263" s="70" t="e">
        <f>ReviewCalcs[[#This Row],[Fixture Existing Demand (kW)]]+ReviewCalcs[[#This Row],[Control Existing Demand (kW)]]</f>
        <v>#VALUE!</v>
      </c>
      <c r="BA263" s="70" t="e">
        <f>ReviewCalcs[[#This Row],[Fixture Proposed Demand (kW)]]+ReviewCalcs[[#This Row],[Control Proposed Demand (kW)]]</f>
        <v>#VALUE!</v>
      </c>
      <c r="BB263" s="118">
        <f>ReviewCalcs[[#This Row],[Fixture Demand Savings (kW)]]+ReviewCalcs[[#This Row],[Control Demand Savings (kW)]]</f>
        <v>0</v>
      </c>
      <c r="BC263" s="118">
        <f>ReviewCalcs[[#This Row],[Fixture Existing Energy (kWh)]]+ReviewCalcs[[#This Row],[Control Existing Energy (kWh)]]</f>
        <v>0</v>
      </c>
      <c r="BD263" s="118">
        <f>ReviewCalcs[[#This Row],[Fixture Proposed Energy (kWh)]]+ReviewCalcs[[#This Row],[Control Proposed Energy (kWh)]]</f>
        <v>0</v>
      </c>
      <c r="BE263" s="118">
        <f>ReviewCalcs[[#This Row],[Fixture Energy Savings]]+ReviewCalcs[[#This Row],[Control Energy Savings (kWh)]]</f>
        <v>0</v>
      </c>
      <c r="BF263" s="118">
        <f>ReviewCalcs[[#This Row],[Fixture Existing Cost ($)]]+ReviewCalcs[[#This Row],[Control Existing Cost ($)]]</f>
        <v>0</v>
      </c>
      <c r="BG263" s="118">
        <f>ReviewCalcs[[#This Row],[Fixture Proposed Cost ($)]]+ReviewCalcs[[#This Row],[Controls Proposed Cost ($)]]</f>
        <v>0</v>
      </c>
      <c r="BH263" s="70">
        <f>ReviewCalcs[[#This Row],[Total Energy Savings (kWh)]]*Avg_KWh_Rate</f>
        <v>0</v>
      </c>
      <c r="BI26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3" s="70">
        <f>ReviewCalcs[[#This Row],[Retrofit Cost]]</f>
        <v>0</v>
      </c>
      <c r="BK263" s="70">
        <f>ReviewCalcs[[#This Row],[Retrofit Cost]]-ReviewCalcs[[#This Row],[Incentive ($)]]</f>
        <v>0</v>
      </c>
      <c r="BL263" s="118" t="e">
        <f>IFERROR(ReviewCalcs[[#This Row],[Net Project Cost ($)]]/ReviewCalcs[[#This Row],[Fixture Energy Cost Savings ($)]], #N/A)</f>
        <v>#N/A</v>
      </c>
      <c r="BM263" s="118" t="e">
        <f>IF(VLOOKUP(ReviewCalcs[[#This Row],[Existing Fixture Code]], Table7[[FIXTURE CODE]:[Baseline Fixture Code]], 8, FALSE)="N", VLOOKUP(ReviewCalcs[[#This Row],[Existing Fixture Code]], Table7[[FIXTURE CODE]:[Baseline Fixture Code]], 9, FALSE), ReviewCalcs[[#This Row],[Existing Fixture Code]])</f>
        <v>#N/A</v>
      </c>
      <c r="BN263" s="118" t="e">
        <f>INDEX(Table7[WATT/ FIXT], MATCH(ReviewCalcs[Baseline Fixture Code], Table7[FIXTURE CODE], 0))</f>
        <v>#N/A</v>
      </c>
      <c r="BO263" s="118">
        <f>IFERROR((ReviewCalcs[[#This Row],[Existing Fixture Quantity]]*ReviewCalcs[[#This Row],[Baseline Fixture Watts]]/1000-ReviewCalcs[[#This Row],[Proposed Fixture Quantity]]*ReviewCalcs[[#This Row],[Proposed Fixture Watts]]/1000)*ReviewCalcs[[#This Row],[Existing CF]]*ReviewCalcs[[#This Row],[IEFD]], 0)</f>
        <v>0</v>
      </c>
      <c r="BP26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3" s="118">
        <f>IF(ReviewCalcs[[#This Row],[Existing CF]]=ReviewCalcs[[#This Row],[Proposed CF]], 0, ReviewCalcs[[#This Row],[Proposed Fixture Quantity]]*ReviewCalcs[[#This Row],[Proposed Fixture Watts]]/1000*ReviewCalcs[[#This Row],[Proposed CF]]*ReviewCalcs[[#This Row],[IEFD]])</f>
        <v>0</v>
      </c>
      <c r="BR263" s="118">
        <f>IFERROR(ReviewCalcs[[#This Row],[Proposed Fixture Quantity]]*ReviewCalcs[[#This Row],[Proposed Fixture Watts]]/1000*(ReviewCalcs[[#This Row],[Existing PAF]]-ReviewCalcs[[#This Row],[Proposed PAF]])*ReviewCalcs[[#This Row],[AOH]]*ReviewCalcs[[#This Row],[IEFE]],0)</f>
        <v>0</v>
      </c>
      <c r="BS263" s="118">
        <f>ReviewCalcs[[#This Row],[Incentive Fixture Demand Savings (kW)]]+ReviewCalcs[[#This Row],[Incentive Control Demand Savings (kW)]]</f>
        <v>0</v>
      </c>
      <c r="BT263" s="118">
        <f>ReviewCalcs[[#This Row],[Incentive Fixture Energy Savings (kWh)]]+ReviewCalcs[[#This Row],[Incentive Control Energy Savings (kWh)]]</f>
        <v>0</v>
      </c>
      <c r="BU263" s="73"/>
    </row>
    <row r="264" spans="1:73" ht="30" customHeight="1">
      <c r="A264" s="68">
        <v>261</v>
      </c>
      <c r="B264" s="96">
        <f>VLOOKUP(ReviewCalcs[[#This Row],[Project Index]], ProjectInput[], D$1, FALSE)</f>
        <v>0</v>
      </c>
      <c r="C264" s="97">
        <f>VLOOKUP(ReviewCalcs[[#This Row],[Project Index]], ProjectInput[], E$1, FALSE)</f>
        <v>0</v>
      </c>
      <c r="D264" s="97">
        <f>VLOOKUP(ReviewCalcs[[#This Row],[Project Index]], ProjectInput[], F$1, FALSE)</f>
        <v>0</v>
      </c>
      <c r="E264" s="97">
        <f>VLOOKUP(ReviewCalcs[[#This Row],[Project Index]], ProjectInput[], G$1, FALSE)</f>
        <v>0</v>
      </c>
      <c r="F264" s="97">
        <f>VLOOKUP(ReviewCalcs[[#This Row],[Project Index]], ProjectInput[], H$1, FALSE)</f>
        <v>0</v>
      </c>
      <c r="G264" s="98" t="str">
        <f>VLOOKUP(ReviewCalcs[[#This Row],[Project Index]], ProjectInput[], I$1, FALSE)</f>
        <v/>
      </c>
      <c r="H264" s="96">
        <f>VLOOKUP(ReviewCalcs[[#This Row],[Project Index]], ProjectInput[], J$1, FALSE)</f>
        <v>0</v>
      </c>
      <c r="I264" s="97">
        <f>VLOOKUP(ReviewCalcs[[#This Row],[Project Index]], ProjectInput[], K$1, FALSE)</f>
        <v>0</v>
      </c>
      <c r="J264" s="97">
        <f>VLOOKUP(ReviewCalcs[[#This Row],[Project Index]], ProjectInput[], L$1, FALSE)</f>
        <v>0</v>
      </c>
      <c r="K264" s="97">
        <f>VLOOKUP(ReviewCalcs[[#This Row],[Project Index]], ProjectInput[], M$1, FALSE)</f>
        <v>0</v>
      </c>
      <c r="L264" s="97">
        <f>VLOOKUP(ReviewCalcs[[#This Row],[Project Index]], ProjectInput[], N$1, FALSE)</f>
        <v>0</v>
      </c>
      <c r="M264" s="98" t="str">
        <f>VLOOKUP(ReviewCalcs[[#This Row],[Project Index]], ProjectInput[], O$1, FALSE)</f>
        <v/>
      </c>
      <c r="N264" s="96">
        <f>VLOOKUP(ReviewCalcs[[#This Row],[Project Index]], ProjectInput[], P$1, FALSE)</f>
        <v>0</v>
      </c>
      <c r="O264" s="97">
        <f>VLOOKUP(ReviewCalcs[[#This Row],[Project Index]], ProjectInput[], Q$1, FALSE)</f>
        <v>0</v>
      </c>
      <c r="P264" s="97">
        <f>VLOOKUP(ReviewCalcs[[#This Row],[Project Index]], ProjectInput[], R$1, FALSE)</f>
        <v>0</v>
      </c>
      <c r="Q264" s="97">
        <f>VLOOKUP(ReviewCalcs[[#This Row],[Project Index]], ProjectInput[], S$1, FALSE)</f>
        <v>0</v>
      </c>
      <c r="R264" s="97">
        <f>VLOOKUP(ReviewCalcs[[#This Row],[Project Index]], ProjectInput[], T$1, FALSE)</f>
        <v>0</v>
      </c>
      <c r="S264" s="97">
        <f>VLOOKUP(ReviewCalcs[[#This Row],[Project Index]], ProjectInput[], U$1, FALSE)</f>
        <v>0</v>
      </c>
      <c r="T264" s="97">
        <f>VLOOKUP(ReviewCalcs[[#This Row],[Project Index]], ProjectInput[], V$1, FALSE)</f>
        <v>0</v>
      </c>
      <c r="U264" s="97">
        <f>VLOOKUP(ReviewCalcs[[#This Row],[Project Index]], ProjectInput[], W$1, FALSE)</f>
        <v>0</v>
      </c>
      <c r="V264" s="98" t="str">
        <f>VLOOKUP(ReviewCalcs[[#This Row],[Project Index]], ProjectInput[], X$1, FALSE)</f>
        <v/>
      </c>
      <c r="W26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4" s="75" t="e">
        <f>IF(VLOOKUP(ReviewCalcs[[#This Row],[Proposed Fixture Code]], Table7[[FIXTURE CODE]:[Baseline Fixture Code]], 8, FALSE)="N", "ERROR", "PASS")</f>
        <v>#N/A</v>
      </c>
      <c r="Y26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4" s="75" t="e">
        <f>IF(OR(ReviewCalcs[[#This Row],[Baseline Fixture Watts]]&gt;=ReviewCalcs[[#This Row],[Proposed Fixture Watts]],ReviewCalcs[[#This Row],[Existing Fixture Watts]]&gt;=ReviewCalcs[[#This Row],[Proposed Fixture Watts]] ), "PASS", "ERROR")</f>
        <v>#N/A</v>
      </c>
      <c r="AA264" s="69" t="e">
        <f>VLOOKUP(ReviewCalcs[[#This Row],[Space Conditions]], Table_365[], 5, FALSE)</f>
        <v>#N/A</v>
      </c>
      <c r="AB264" s="68" t="str">
        <f>ReviewCalcs[[#This Row],[Annual Hours]]</f>
        <v/>
      </c>
      <c r="AC264" s="68" t="e">
        <f>VLOOKUP(ReviewCalcs[[#This Row],[Space Conditions]], Table_365[], 6, FALSE)</f>
        <v>#N/A</v>
      </c>
      <c r="AD264" s="68">
        <f>IF(ReviewCalcs[[#This Row],[Existing Control(s)]]='Tables &amp; Ranges'!$A$25, VLOOKUP(ReviewCalcs[[#This Row],[Building/Space Type]], Table_364[], 3, FALSE), CF_Contols)</f>
        <v>0.26</v>
      </c>
      <c r="AE264" s="68" t="e">
        <f>VLOOKUP(ReviewCalcs[[#This Row],[Existing Control(s)]], Table_358[], 2, FALSE)</f>
        <v>#N/A</v>
      </c>
      <c r="AF264" s="68">
        <f>IF(ReviewCalcs[[#This Row],[Proposed Control(s)]]='Tables &amp; Ranges'!$A$25, VLOOKUP(ReviewCalcs[[#This Row],[Building/Space Type]], Table_364[], 3, FALSE), CF_Contols)</f>
        <v>0.26</v>
      </c>
      <c r="AG264" s="68" t="e">
        <f>VLOOKUP(ReviewCalcs[[#This Row],[Proposed Control(s)]], Table_358[], 2, FALSE)</f>
        <v>#N/A</v>
      </c>
      <c r="AH264" s="68">
        <f>IFERROR((ReviewCalcs[[#This Row],[Existing Fixture Quantity]]*ReviewCalcs[[#This Row],[Existing Fixture Watts]]/1000)*ReviewCalcs[[#This Row],[Existing CF]]*ReviewCalcs[[#This Row],[IEFD]], 0)</f>
        <v>0</v>
      </c>
      <c r="AI264" s="68">
        <f>IFERROR((ReviewCalcs[[#This Row],[Proposed Fixture Quantity]]*ReviewCalcs[[#This Row],[Proposed Fixture Watts]]/1000)*ReviewCalcs[[#This Row],[Existing CF]]*ReviewCalcs[[#This Row],[IEFD]], 0)</f>
        <v>0</v>
      </c>
      <c r="AJ264" s="118">
        <f>IFERROR((ReviewCalcs[[#This Row],[Existing Fixture Quantity]]*ReviewCalcs[[#This Row],[Existing Fixture Watts]]/1000-ReviewCalcs[[#This Row],[Proposed Fixture Quantity]]*ReviewCalcs[[#This Row],[Proposed Fixture Watts]]/1000)*ReviewCalcs[[#This Row],[Existing CF]]*ReviewCalcs[[#This Row],[IEFD]], 0)</f>
        <v>0</v>
      </c>
      <c r="AK264" s="118">
        <f>IFERROR((ReviewCalcs[[#This Row],[Existing Fixture Quantity]]*ReviewCalcs[[#This Row],[Existing Fixture Watts]]/1000)*ReviewCalcs[[#This Row],[AOH]]*ReviewCalcs[[#This Row],[IEFE]]*ReviewCalcs[[#This Row],[Existing PAF]], 0)</f>
        <v>0</v>
      </c>
      <c r="AL264" s="118">
        <f>IFERROR((ReviewCalcs[[#This Row],[Proposed Fixture Quantity]]*ReviewCalcs[[#This Row],[Proposed Fixture Watts]]/1000)*ReviewCalcs[[#This Row],[AOH]]*ReviewCalcs[[#This Row],[IEFE]]*ReviewCalcs[[#This Row],[Existing PAF]], 0)</f>
        <v>0</v>
      </c>
      <c r="AM26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4" s="118">
        <f>ReviewCalcs[[#This Row],[Fixture Existing Energy (kWh)]]*Avg_KWh_Rate</f>
        <v>0</v>
      </c>
      <c r="AO264" s="118">
        <f>ReviewCalcs[[#This Row],[Fixture Proposed Energy (kWh)]]*Avg_KWh_Rate</f>
        <v>0</v>
      </c>
      <c r="AP264" s="70">
        <f>ReviewCalcs[[#This Row],[Fixture Energy Savings]]*Avg_KWh_Rate</f>
        <v>0</v>
      </c>
      <c r="AQ264" s="129" t="e">
        <f>ReviewCalcs[[#This Row],[Existing Fixture Quantity]]*ReviewCalcs[[#This Row],[Existing Fixture Watts]]/1000*ReviewCalcs[[#This Row],[Existing CF]]*ReviewCalcs[[#This Row],[IEFD]]</f>
        <v>#VALUE!</v>
      </c>
      <c r="AR264" s="129" t="e">
        <f>ReviewCalcs[[#This Row],[Proposed Fixture Quantity]]*ReviewCalcs[[#This Row],[Proposed Fixture Watts]]/1000*ReviewCalcs[[#This Row],[Proposed CF]]*ReviewCalcs[[#This Row],[IEFD]]</f>
        <v>#VALUE!</v>
      </c>
      <c r="AS264" s="118">
        <f>IF(ReviewCalcs[[#This Row],[Existing CF]]=ReviewCalcs[[#This Row],[Proposed CF]], 0, ReviewCalcs[[#This Row],[Proposed Fixture Quantity]]*ReviewCalcs[[#This Row],[Proposed Fixture Watts]]/1000*ReviewCalcs[[#This Row],[Proposed CF]]*ReviewCalcs[[#This Row],[IEFD]])</f>
        <v>0</v>
      </c>
      <c r="AT264" s="118">
        <f>IFERROR(ReviewCalcs[[#This Row],[Existing Fixture Quantity]]*ReviewCalcs[[#This Row],[Existing Fixture Watts]]/1000*ReviewCalcs[[#This Row],[Existing PAF]]*ReviewCalcs[[#This Row],[AOH]]*ReviewCalcs[[#This Row],[IEFE]], 0)</f>
        <v>0</v>
      </c>
      <c r="AU264" s="118">
        <f>IFERROR(ReviewCalcs[[#This Row],[Proposed Fixture Quantity]]*ReviewCalcs[[#This Row],[Proposed Fixture Watts]]/1000*ReviewCalcs[[#This Row],[Proposed PAF]]*ReviewCalcs[[#This Row],[AOH]]*ReviewCalcs[[#This Row],[IEFE]], 0)</f>
        <v>0</v>
      </c>
      <c r="AV264" s="118">
        <f>IFERROR(ReviewCalcs[[#This Row],[Proposed Fixture Quantity]]*ReviewCalcs[[#This Row],[Proposed Fixture Watts]]/1000*(ReviewCalcs[[#This Row],[Existing PAF]]-ReviewCalcs[[#This Row],[Proposed PAF]])*ReviewCalcs[[#This Row],[AOH]]*ReviewCalcs[[#This Row],[IEFE]], 0)</f>
        <v>0</v>
      </c>
      <c r="AW264" s="118">
        <f>ReviewCalcs[[#This Row],[Control Existing Energy (kWh)]]*kWh_Incentive_Rate</f>
        <v>0</v>
      </c>
      <c r="AX264" s="118">
        <f>ReviewCalcs[[#This Row],[Control Proposed Energy (kWh)]]*kWh_Incentive_Rate</f>
        <v>0</v>
      </c>
      <c r="AY264" s="70">
        <f>ReviewCalcs[[#This Row],[Control Energy Savings (kWh)]]*kWh_Incentive_Rate</f>
        <v>0</v>
      </c>
      <c r="AZ264" s="70" t="e">
        <f>ReviewCalcs[[#This Row],[Fixture Existing Demand (kW)]]+ReviewCalcs[[#This Row],[Control Existing Demand (kW)]]</f>
        <v>#VALUE!</v>
      </c>
      <c r="BA264" s="70" t="e">
        <f>ReviewCalcs[[#This Row],[Fixture Proposed Demand (kW)]]+ReviewCalcs[[#This Row],[Control Proposed Demand (kW)]]</f>
        <v>#VALUE!</v>
      </c>
      <c r="BB264" s="118">
        <f>ReviewCalcs[[#This Row],[Fixture Demand Savings (kW)]]+ReviewCalcs[[#This Row],[Control Demand Savings (kW)]]</f>
        <v>0</v>
      </c>
      <c r="BC264" s="118">
        <f>ReviewCalcs[[#This Row],[Fixture Existing Energy (kWh)]]+ReviewCalcs[[#This Row],[Control Existing Energy (kWh)]]</f>
        <v>0</v>
      </c>
      <c r="BD264" s="118">
        <f>ReviewCalcs[[#This Row],[Fixture Proposed Energy (kWh)]]+ReviewCalcs[[#This Row],[Control Proposed Energy (kWh)]]</f>
        <v>0</v>
      </c>
      <c r="BE264" s="118">
        <f>ReviewCalcs[[#This Row],[Fixture Energy Savings]]+ReviewCalcs[[#This Row],[Control Energy Savings (kWh)]]</f>
        <v>0</v>
      </c>
      <c r="BF264" s="118">
        <f>ReviewCalcs[[#This Row],[Fixture Existing Cost ($)]]+ReviewCalcs[[#This Row],[Control Existing Cost ($)]]</f>
        <v>0</v>
      </c>
      <c r="BG264" s="118">
        <f>ReviewCalcs[[#This Row],[Fixture Proposed Cost ($)]]+ReviewCalcs[[#This Row],[Controls Proposed Cost ($)]]</f>
        <v>0</v>
      </c>
      <c r="BH264" s="70">
        <f>ReviewCalcs[[#This Row],[Total Energy Savings (kWh)]]*Avg_KWh_Rate</f>
        <v>0</v>
      </c>
      <c r="BI26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4" s="70">
        <f>ReviewCalcs[[#This Row],[Retrofit Cost]]</f>
        <v>0</v>
      </c>
      <c r="BK264" s="70">
        <f>ReviewCalcs[[#This Row],[Retrofit Cost]]-ReviewCalcs[[#This Row],[Incentive ($)]]</f>
        <v>0</v>
      </c>
      <c r="BL264" s="118" t="e">
        <f>IFERROR(ReviewCalcs[[#This Row],[Net Project Cost ($)]]/ReviewCalcs[[#This Row],[Fixture Energy Cost Savings ($)]], #N/A)</f>
        <v>#N/A</v>
      </c>
      <c r="BM264" s="118" t="e">
        <f>IF(VLOOKUP(ReviewCalcs[[#This Row],[Existing Fixture Code]], Table7[[FIXTURE CODE]:[Baseline Fixture Code]], 8, FALSE)="N", VLOOKUP(ReviewCalcs[[#This Row],[Existing Fixture Code]], Table7[[FIXTURE CODE]:[Baseline Fixture Code]], 9, FALSE), ReviewCalcs[[#This Row],[Existing Fixture Code]])</f>
        <v>#N/A</v>
      </c>
      <c r="BN264" s="118" t="e">
        <f>INDEX(Table7[WATT/ FIXT], MATCH(ReviewCalcs[Baseline Fixture Code], Table7[FIXTURE CODE], 0))</f>
        <v>#N/A</v>
      </c>
      <c r="BO264" s="118">
        <f>IFERROR((ReviewCalcs[[#This Row],[Existing Fixture Quantity]]*ReviewCalcs[[#This Row],[Baseline Fixture Watts]]/1000-ReviewCalcs[[#This Row],[Proposed Fixture Quantity]]*ReviewCalcs[[#This Row],[Proposed Fixture Watts]]/1000)*ReviewCalcs[[#This Row],[Existing CF]]*ReviewCalcs[[#This Row],[IEFD]], 0)</f>
        <v>0</v>
      </c>
      <c r="BP26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4" s="118">
        <f>IF(ReviewCalcs[[#This Row],[Existing CF]]=ReviewCalcs[[#This Row],[Proposed CF]], 0, ReviewCalcs[[#This Row],[Proposed Fixture Quantity]]*ReviewCalcs[[#This Row],[Proposed Fixture Watts]]/1000*ReviewCalcs[[#This Row],[Proposed CF]]*ReviewCalcs[[#This Row],[IEFD]])</f>
        <v>0</v>
      </c>
      <c r="BR264" s="118">
        <f>IFERROR(ReviewCalcs[[#This Row],[Proposed Fixture Quantity]]*ReviewCalcs[[#This Row],[Proposed Fixture Watts]]/1000*(ReviewCalcs[[#This Row],[Existing PAF]]-ReviewCalcs[[#This Row],[Proposed PAF]])*ReviewCalcs[[#This Row],[AOH]]*ReviewCalcs[[#This Row],[IEFE]],0)</f>
        <v>0</v>
      </c>
      <c r="BS264" s="118">
        <f>ReviewCalcs[[#This Row],[Incentive Fixture Demand Savings (kW)]]+ReviewCalcs[[#This Row],[Incentive Control Demand Savings (kW)]]</f>
        <v>0</v>
      </c>
      <c r="BT264" s="118">
        <f>ReviewCalcs[[#This Row],[Incentive Fixture Energy Savings (kWh)]]+ReviewCalcs[[#This Row],[Incentive Control Energy Savings (kWh)]]</f>
        <v>0</v>
      </c>
      <c r="BU264" s="73"/>
    </row>
    <row r="265" spans="1:73" ht="30" customHeight="1">
      <c r="A265" s="68">
        <v>262</v>
      </c>
      <c r="B265" s="96">
        <f>VLOOKUP(ReviewCalcs[[#This Row],[Project Index]], ProjectInput[], D$1, FALSE)</f>
        <v>0</v>
      </c>
      <c r="C265" s="97">
        <f>VLOOKUP(ReviewCalcs[[#This Row],[Project Index]], ProjectInput[], E$1, FALSE)</f>
        <v>0</v>
      </c>
      <c r="D265" s="97">
        <f>VLOOKUP(ReviewCalcs[[#This Row],[Project Index]], ProjectInput[], F$1, FALSE)</f>
        <v>0</v>
      </c>
      <c r="E265" s="97">
        <f>VLOOKUP(ReviewCalcs[[#This Row],[Project Index]], ProjectInput[], G$1, FALSE)</f>
        <v>0</v>
      </c>
      <c r="F265" s="97">
        <f>VLOOKUP(ReviewCalcs[[#This Row],[Project Index]], ProjectInput[], H$1, FALSE)</f>
        <v>0</v>
      </c>
      <c r="G265" s="98" t="str">
        <f>VLOOKUP(ReviewCalcs[[#This Row],[Project Index]], ProjectInput[], I$1, FALSE)</f>
        <v/>
      </c>
      <c r="H265" s="96">
        <f>VLOOKUP(ReviewCalcs[[#This Row],[Project Index]], ProjectInput[], J$1, FALSE)</f>
        <v>0</v>
      </c>
      <c r="I265" s="97">
        <f>VLOOKUP(ReviewCalcs[[#This Row],[Project Index]], ProjectInput[], K$1, FALSE)</f>
        <v>0</v>
      </c>
      <c r="J265" s="97">
        <f>VLOOKUP(ReviewCalcs[[#This Row],[Project Index]], ProjectInput[], L$1, FALSE)</f>
        <v>0</v>
      </c>
      <c r="K265" s="97">
        <f>VLOOKUP(ReviewCalcs[[#This Row],[Project Index]], ProjectInput[], M$1, FALSE)</f>
        <v>0</v>
      </c>
      <c r="L265" s="97">
        <f>VLOOKUP(ReviewCalcs[[#This Row],[Project Index]], ProjectInput[], N$1, FALSE)</f>
        <v>0</v>
      </c>
      <c r="M265" s="98" t="str">
        <f>VLOOKUP(ReviewCalcs[[#This Row],[Project Index]], ProjectInput[], O$1, FALSE)</f>
        <v/>
      </c>
      <c r="N265" s="96">
        <f>VLOOKUP(ReviewCalcs[[#This Row],[Project Index]], ProjectInput[], P$1, FALSE)</f>
        <v>0</v>
      </c>
      <c r="O265" s="97">
        <f>VLOOKUP(ReviewCalcs[[#This Row],[Project Index]], ProjectInput[], Q$1, FALSE)</f>
        <v>0</v>
      </c>
      <c r="P265" s="97">
        <f>VLOOKUP(ReviewCalcs[[#This Row],[Project Index]], ProjectInput[], R$1, FALSE)</f>
        <v>0</v>
      </c>
      <c r="Q265" s="97">
        <f>VLOOKUP(ReviewCalcs[[#This Row],[Project Index]], ProjectInput[], S$1, FALSE)</f>
        <v>0</v>
      </c>
      <c r="R265" s="97">
        <f>VLOOKUP(ReviewCalcs[[#This Row],[Project Index]], ProjectInput[], T$1, FALSE)</f>
        <v>0</v>
      </c>
      <c r="S265" s="97">
        <f>VLOOKUP(ReviewCalcs[[#This Row],[Project Index]], ProjectInput[], U$1, FALSE)</f>
        <v>0</v>
      </c>
      <c r="T265" s="97">
        <f>VLOOKUP(ReviewCalcs[[#This Row],[Project Index]], ProjectInput[], V$1, FALSE)</f>
        <v>0</v>
      </c>
      <c r="U265" s="97">
        <f>VLOOKUP(ReviewCalcs[[#This Row],[Project Index]], ProjectInput[], W$1, FALSE)</f>
        <v>0</v>
      </c>
      <c r="V265" s="98" t="str">
        <f>VLOOKUP(ReviewCalcs[[#This Row],[Project Index]], ProjectInput[], X$1, FALSE)</f>
        <v/>
      </c>
      <c r="W26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5" s="75" t="e">
        <f>IF(VLOOKUP(ReviewCalcs[[#This Row],[Proposed Fixture Code]], Table7[[FIXTURE CODE]:[Baseline Fixture Code]], 8, FALSE)="N", "ERROR", "PASS")</f>
        <v>#N/A</v>
      </c>
      <c r="Y26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5" s="75" t="e">
        <f>IF(OR(ReviewCalcs[[#This Row],[Baseline Fixture Watts]]&gt;=ReviewCalcs[[#This Row],[Proposed Fixture Watts]],ReviewCalcs[[#This Row],[Existing Fixture Watts]]&gt;=ReviewCalcs[[#This Row],[Proposed Fixture Watts]] ), "PASS", "ERROR")</f>
        <v>#N/A</v>
      </c>
      <c r="AA265" s="69" t="e">
        <f>VLOOKUP(ReviewCalcs[[#This Row],[Space Conditions]], Table_365[], 5, FALSE)</f>
        <v>#N/A</v>
      </c>
      <c r="AB265" s="68" t="str">
        <f>ReviewCalcs[[#This Row],[Annual Hours]]</f>
        <v/>
      </c>
      <c r="AC265" s="68" t="e">
        <f>VLOOKUP(ReviewCalcs[[#This Row],[Space Conditions]], Table_365[], 6, FALSE)</f>
        <v>#N/A</v>
      </c>
      <c r="AD265" s="68">
        <f>IF(ReviewCalcs[[#This Row],[Existing Control(s)]]='Tables &amp; Ranges'!$A$25, VLOOKUP(ReviewCalcs[[#This Row],[Building/Space Type]], Table_364[], 3, FALSE), CF_Contols)</f>
        <v>0.26</v>
      </c>
      <c r="AE265" s="68" t="e">
        <f>VLOOKUP(ReviewCalcs[[#This Row],[Existing Control(s)]], Table_358[], 2, FALSE)</f>
        <v>#N/A</v>
      </c>
      <c r="AF265" s="68">
        <f>IF(ReviewCalcs[[#This Row],[Proposed Control(s)]]='Tables &amp; Ranges'!$A$25, VLOOKUP(ReviewCalcs[[#This Row],[Building/Space Type]], Table_364[], 3, FALSE), CF_Contols)</f>
        <v>0.26</v>
      </c>
      <c r="AG265" s="68" t="e">
        <f>VLOOKUP(ReviewCalcs[[#This Row],[Proposed Control(s)]], Table_358[], 2, FALSE)</f>
        <v>#N/A</v>
      </c>
      <c r="AH265" s="68">
        <f>IFERROR((ReviewCalcs[[#This Row],[Existing Fixture Quantity]]*ReviewCalcs[[#This Row],[Existing Fixture Watts]]/1000)*ReviewCalcs[[#This Row],[Existing CF]]*ReviewCalcs[[#This Row],[IEFD]], 0)</f>
        <v>0</v>
      </c>
      <c r="AI265" s="68">
        <f>IFERROR((ReviewCalcs[[#This Row],[Proposed Fixture Quantity]]*ReviewCalcs[[#This Row],[Proposed Fixture Watts]]/1000)*ReviewCalcs[[#This Row],[Existing CF]]*ReviewCalcs[[#This Row],[IEFD]], 0)</f>
        <v>0</v>
      </c>
      <c r="AJ265" s="118">
        <f>IFERROR((ReviewCalcs[[#This Row],[Existing Fixture Quantity]]*ReviewCalcs[[#This Row],[Existing Fixture Watts]]/1000-ReviewCalcs[[#This Row],[Proposed Fixture Quantity]]*ReviewCalcs[[#This Row],[Proposed Fixture Watts]]/1000)*ReviewCalcs[[#This Row],[Existing CF]]*ReviewCalcs[[#This Row],[IEFD]], 0)</f>
        <v>0</v>
      </c>
      <c r="AK265" s="118">
        <f>IFERROR((ReviewCalcs[[#This Row],[Existing Fixture Quantity]]*ReviewCalcs[[#This Row],[Existing Fixture Watts]]/1000)*ReviewCalcs[[#This Row],[AOH]]*ReviewCalcs[[#This Row],[IEFE]]*ReviewCalcs[[#This Row],[Existing PAF]], 0)</f>
        <v>0</v>
      </c>
      <c r="AL265" s="118">
        <f>IFERROR((ReviewCalcs[[#This Row],[Proposed Fixture Quantity]]*ReviewCalcs[[#This Row],[Proposed Fixture Watts]]/1000)*ReviewCalcs[[#This Row],[AOH]]*ReviewCalcs[[#This Row],[IEFE]]*ReviewCalcs[[#This Row],[Existing PAF]], 0)</f>
        <v>0</v>
      </c>
      <c r="AM26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5" s="118">
        <f>ReviewCalcs[[#This Row],[Fixture Existing Energy (kWh)]]*Avg_KWh_Rate</f>
        <v>0</v>
      </c>
      <c r="AO265" s="118">
        <f>ReviewCalcs[[#This Row],[Fixture Proposed Energy (kWh)]]*Avg_KWh_Rate</f>
        <v>0</v>
      </c>
      <c r="AP265" s="70">
        <f>ReviewCalcs[[#This Row],[Fixture Energy Savings]]*Avg_KWh_Rate</f>
        <v>0</v>
      </c>
      <c r="AQ265" s="129" t="e">
        <f>ReviewCalcs[[#This Row],[Existing Fixture Quantity]]*ReviewCalcs[[#This Row],[Existing Fixture Watts]]/1000*ReviewCalcs[[#This Row],[Existing CF]]*ReviewCalcs[[#This Row],[IEFD]]</f>
        <v>#VALUE!</v>
      </c>
      <c r="AR265" s="129" t="e">
        <f>ReviewCalcs[[#This Row],[Proposed Fixture Quantity]]*ReviewCalcs[[#This Row],[Proposed Fixture Watts]]/1000*ReviewCalcs[[#This Row],[Proposed CF]]*ReviewCalcs[[#This Row],[IEFD]]</f>
        <v>#VALUE!</v>
      </c>
      <c r="AS265" s="118">
        <f>IF(ReviewCalcs[[#This Row],[Existing CF]]=ReviewCalcs[[#This Row],[Proposed CF]], 0, ReviewCalcs[[#This Row],[Proposed Fixture Quantity]]*ReviewCalcs[[#This Row],[Proposed Fixture Watts]]/1000*ReviewCalcs[[#This Row],[Proposed CF]]*ReviewCalcs[[#This Row],[IEFD]])</f>
        <v>0</v>
      </c>
      <c r="AT265" s="118">
        <f>IFERROR(ReviewCalcs[[#This Row],[Existing Fixture Quantity]]*ReviewCalcs[[#This Row],[Existing Fixture Watts]]/1000*ReviewCalcs[[#This Row],[Existing PAF]]*ReviewCalcs[[#This Row],[AOH]]*ReviewCalcs[[#This Row],[IEFE]], 0)</f>
        <v>0</v>
      </c>
      <c r="AU265" s="118">
        <f>IFERROR(ReviewCalcs[[#This Row],[Proposed Fixture Quantity]]*ReviewCalcs[[#This Row],[Proposed Fixture Watts]]/1000*ReviewCalcs[[#This Row],[Proposed PAF]]*ReviewCalcs[[#This Row],[AOH]]*ReviewCalcs[[#This Row],[IEFE]], 0)</f>
        <v>0</v>
      </c>
      <c r="AV265" s="118">
        <f>IFERROR(ReviewCalcs[[#This Row],[Proposed Fixture Quantity]]*ReviewCalcs[[#This Row],[Proposed Fixture Watts]]/1000*(ReviewCalcs[[#This Row],[Existing PAF]]-ReviewCalcs[[#This Row],[Proposed PAF]])*ReviewCalcs[[#This Row],[AOH]]*ReviewCalcs[[#This Row],[IEFE]], 0)</f>
        <v>0</v>
      </c>
      <c r="AW265" s="118">
        <f>ReviewCalcs[[#This Row],[Control Existing Energy (kWh)]]*kWh_Incentive_Rate</f>
        <v>0</v>
      </c>
      <c r="AX265" s="118">
        <f>ReviewCalcs[[#This Row],[Control Proposed Energy (kWh)]]*kWh_Incentive_Rate</f>
        <v>0</v>
      </c>
      <c r="AY265" s="70">
        <f>ReviewCalcs[[#This Row],[Control Energy Savings (kWh)]]*kWh_Incentive_Rate</f>
        <v>0</v>
      </c>
      <c r="AZ265" s="70" t="e">
        <f>ReviewCalcs[[#This Row],[Fixture Existing Demand (kW)]]+ReviewCalcs[[#This Row],[Control Existing Demand (kW)]]</f>
        <v>#VALUE!</v>
      </c>
      <c r="BA265" s="70" t="e">
        <f>ReviewCalcs[[#This Row],[Fixture Proposed Demand (kW)]]+ReviewCalcs[[#This Row],[Control Proposed Demand (kW)]]</f>
        <v>#VALUE!</v>
      </c>
      <c r="BB265" s="118">
        <f>ReviewCalcs[[#This Row],[Fixture Demand Savings (kW)]]+ReviewCalcs[[#This Row],[Control Demand Savings (kW)]]</f>
        <v>0</v>
      </c>
      <c r="BC265" s="118">
        <f>ReviewCalcs[[#This Row],[Fixture Existing Energy (kWh)]]+ReviewCalcs[[#This Row],[Control Existing Energy (kWh)]]</f>
        <v>0</v>
      </c>
      <c r="BD265" s="118">
        <f>ReviewCalcs[[#This Row],[Fixture Proposed Energy (kWh)]]+ReviewCalcs[[#This Row],[Control Proposed Energy (kWh)]]</f>
        <v>0</v>
      </c>
      <c r="BE265" s="118">
        <f>ReviewCalcs[[#This Row],[Fixture Energy Savings]]+ReviewCalcs[[#This Row],[Control Energy Savings (kWh)]]</f>
        <v>0</v>
      </c>
      <c r="BF265" s="118">
        <f>ReviewCalcs[[#This Row],[Fixture Existing Cost ($)]]+ReviewCalcs[[#This Row],[Control Existing Cost ($)]]</f>
        <v>0</v>
      </c>
      <c r="BG265" s="118">
        <f>ReviewCalcs[[#This Row],[Fixture Proposed Cost ($)]]+ReviewCalcs[[#This Row],[Controls Proposed Cost ($)]]</f>
        <v>0</v>
      </c>
      <c r="BH265" s="70">
        <f>ReviewCalcs[[#This Row],[Total Energy Savings (kWh)]]*Avg_KWh_Rate</f>
        <v>0</v>
      </c>
      <c r="BI26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5" s="70">
        <f>ReviewCalcs[[#This Row],[Retrofit Cost]]</f>
        <v>0</v>
      </c>
      <c r="BK265" s="70">
        <f>ReviewCalcs[[#This Row],[Retrofit Cost]]-ReviewCalcs[[#This Row],[Incentive ($)]]</f>
        <v>0</v>
      </c>
      <c r="BL265" s="118" t="e">
        <f>IFERROR(ReviewCalcs[[#This Row],[Net Project Cost ($)]]/ReviewCalcs[[#This Row],[Fixture Energy Cost Savings ($)]], #N/A)</f>
        <v>#N/A</v>
      </c>
      <c r="BM265" s="118" t="e">
        <f>IF(VLOOKUP(ReviewCalcs[[#This Row],[Existing Fixture Code]], Table7[[FIXTURE CODE]:[Baseline Fixture Code]], 8, FALSE)="N", VLOOKUP(ReviewCalcs[[#This Row],[Existing Fixture Code]], Table7[[FIXTURE CODE]:[Baseline Fixture Code]], 9, FALSE), ReviewCalcs[[#This Row],[Existing Fixture Code]])</f>
        <v>#N/A</v>
      </c>
      <c r="BN265" s="118" t="e">
        <f>INDEX(Table7[WATT/ FIXT], MATCH(ReviewCalcs[Baseline Fixture Code], Table7[FIXTURE CODE], 0))</f>
        <v>#N/A</v>
      </c>
      <c r="BO265" s="118">
        <f>IFERROR((ReviewCalcs[[#This Row],[Existing Fixture Quantity]]*ReviewCalcs[[#This Row],[Baseline Fixture Watts]]/1000-ReviewCalcs[[#This Row],[Proposed Fixture Quantity]]*ReviewCalcs[[#This Row],[Proposed Fixture Watts]]/1000)*ReviewCalcs[[#This Row],[Existing CF]]*ReviewCalcs[[#This Row],[IEFD]], 0)</f>
        <v>0</v>
      </c>
      <c r="BP26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5" s="118">
        <f>IF(ReviewCalcs[[#This Row],[Existing CF]]=ReviewCalcs[[#This Row],[Proposed CF]], 0, ReviewCalcs[[#This Row],[Proposed Fixture Quantity]]*ReviewCalcs[[#This Row],[Proposed Fixture Watts]]/1000*ReviewCalcs[[#This Row],[Proposed CF]]*ReviewCalcs[[#This Row],[IEFD]])</f>
        <v>0</v>
      </c>
      <c r="BR265" s="118">
        <f>IFERROR(ReviewCalcs[[#This Row],[Proposed Fixture Quantity]]*ReviewCalcs[[#This Row],[Proposed Fixture Watts]]/1000*(ReviewCalcs[[#This Row],[Existing PAF]]-ReviewCalcs[[#This Row],[Proposed PAF]])*ReviewCalcs[[#This Row],[AOH]]*ReviewCalcs[[#This Row],[IEFE]],0)</f>
        <v>0</v>
      </c>
      <c r="BS265" s="118">
        <f>ReviewCalcs[[#This Row],[Incentive Fixture Demand Savings (kW)]]+ReviewCalcs[[#This Row],[Incentive Control Demand Savings (kW)]]</f>
        <v>0</v>
      </c>
      <c r="BT265" s="118">
        <f>ReviewCalcs[[#This Row],[Incentive Fixture Energy Savings (kWh)]]+ReviewCalcs[[#This Row],[Incentive Control Energy Savings (kWh)]]</f>
        <v>0</v>
      </c>
      <c r="BU265" s="73"/>
    </row>
    <row r="266" spans="1:73" ht="30" customHeight="1">
      <c r="A266" s="68">
        <v>263</v>
      </c>
      <c r="B266" s="96">
        <f>VLOOKUP(ReviewCalcs[[#This Row],[Project Index]], ProjectInput[], D$1, FALSE)</f>
        <v>0</v>
      </c>
      <c r="C266" s="97">
        <f>VLOOKUP(ReviewCalcs[[#This Row],[Project Index]], ProjectInput[], E$1, FALSE)</f>
        <v>0</v>
      </c>
      <c r="D266" s="97">
        <f>VLOOKUP(ReviewCalcs[[#This Row],[Project Index]], ProjectInput[], F$1, FALSE)</f>
        <v>0</v>
      </c>
      <c r="E266" s="97">
        <f>VLOOKUP(ReviewCalcs[[#This Row],[Project Index]], ProjectInput[], G$1, FALSE)</f>
        <v>0</v>
      </c>
      <c r="F266" s="97">
        <f>VLOOKUP(ReviewCalcs[[#This Row],[Project Index]], ProjectInput[], H$1, FALSE)</f>
        <v>0</v>
      </c>
      <c r="G266" s="98" t="str">
        <f>VLOOKUP(ReviewCalcs[[#This Row],[Project Index]], ProjectInput[], I$1, FALSE)</f>
        <v/>
      </c>
      <c r="H266" s="96">
        <f>VLOOKUP(ReviewCalcs[[#This Row],[Project Index]], ProjectInput[], J$1, FALSE)</f>
        <v>0</v>
      </c>
      <c r="I266" s="97">
        <f>VLOOKUP(ReviewCalcs[[#This Row],[Project Index]], ProjectInput[], K$1, FALSE)</f>
        <v>0</v>
      </c>
      <c r="J266" s="97">
        <f>VLOOKUP(ReviewCalcs[[#This Row],[Project Index]], ProjectInput[], L$1, FALSE)</f>
        <v>0</v>
      </c>
      <c r="K266" s="97">
        <f>VLOOKUP(ReviewCalcs[[#This Row],[Project Index]], ProjectInput[], M$1, FALSE)</f>
        <v>0</v>
      </c>
      <c r="L266" s="97">
        <f>VLOOKUP(ReviewCalcs[[#This Row],[Project Index]], ProjectInput[], N$1, FALSE)</f>
        <v>0</v>
      </c>
      <c r="M266" s="98" t="str">
        <f>VLOOKUP(ReviewCalcs[[#This Row],[Project Index]], ProjectInput[], O$1, FALSE)</f>
        <v/>
      </c>
      <c r="N266" s="96">
        <f>VLOOKUP(ReviewCalcs[[#This Row],[Project Index]], ProjectInput[], P$1, FALSE)</f>
        <v>0</v>
      </c>
      <c r="O266" s="97">
        <f>VLOOKUP(ReviewCalcs[[#This Row],[Project Index]], ProjectInput[], Q$1, FALSE)</f>
        <v>0</v>
      </c>
      <c r="P266" s="97">
        <f>VLOOKUP(ReviewCalcs[[#This Row],[Project Index]], ProjectInput[], R$1, FALSE)</f>
        <v>0</v>
      </c>
      <c r="Q266" s="97">
        <f>VLOOKUP(ReviewCalcs[[#This Row],[Project Index]], ProjectInput[], S$1, FALSE)</f>
        <v>0</v>
      </c>
      <c r="R266" s="97">
        <f>VLOOKUP(ReviewCalcs[[#This Row],[Project Index]], ProjectInput[], T$1, FALSE)</f>
        <v>0</v>
      </c>
      <c r="S266" s="97">
        <f>VLOOKUP(ReviewCalcs[[#This Row],[Project Index]], ProjectInput[], U$1, FALSE)</f>
        <v>0</v>
      </c>
      <c r="T266" s="97">
        <f>VLOOKUP(ReviewCalcs[[#This Row],[Project Index]], ProjectInput[], V$1, FALSE)</f>
        <v>0</v>
      </c>
      <c r="U266" s="97">
        <f>VLOOKUP(ReviewCalcs[[#This Row],[Project Index]], ProjectInput[], W$1, FALSE)</f>
        <v>0</v>
      </c>
      <c r="V266" s="98" t="str">
        <f>VLOOKUP(ReviewCalcs[[#This Row],[Project Index]], ProjectInput[], X$1, FALSE)</f>
        <v/>
      </c>
      <c r="W26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6" s="75" t="e">
        <f>IF(VLOOKUP(ReviewCalcs[[#This Row],[Proposed Fixture Code]], Table7[[FIXTURE CODE]:[Baseline Fixture Code]], 8, FALSE)="N", "ERROR", "PASS")</f>
        <v>#N/A</v>
      </c>
      <c r="Y26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6" s="75" t="e">
        <f>IF(OR(ReviewCalcs[[#This Row],[Baseline Fixture Watts]]&gt;=ReviewCalcs[[#This Row],[Proposed Fixture Watts]],ReviewCalcs[[#This Row],[Existing Fixture Watts]]&gt;=ReviewCalcs[[#This Row],[Proposed Fixture Watts]] ), "PASS", "ERROR")</f>
        <v>#N/A</v>
      </c>
      <c r="AA266" s="69" t="e">
        <f>VLOOKUP(ReviewCalcs[[#This Row],[Space Conditions]], Table_365[], 5, FALSE)</f>
        <v>#N/A</v>
      </c>
      <c r="AB266" s="68" t="str">
        <f>ReviewCalcs[[#This Row],[Annual Hours]]</f>
        <v/>
      </c>
      <c r="AC266" s="68" t="e">
        <f>VLOOKUP(ReviewCalcs[[#This Row],[Space Conditions]], Table_365[], 6, FALSE)</f>
        <v>#N/A</v>
      </c>
      <c r="AD266" s="68">
        <f>IF(ReviewCalcs[[#This Row],[Existing Control(s)]]='Tables &amp; Ranges'!$A$25, VLOOKUP(ReviewCalcs[[#This Row],[Building/Space Type]], Table_364[], 3, FALSE), CF_Contols)</f>
        <v>0.26</v>
      </c>
      <c r="AE266" s="68" t="e">
        <f>VLOOKUP(ReviewCalcs[[#This Row],[Existing Control(s)]], Table_358[], 2, FALSE)</f>
        <v>#N/A</v>
      </c>
      <c r="AF266" s="68">
        <f>IF(ReviewCalcs[[#This Row],[Proposed Control(s)]]='Tables &amp; Ranges'!$A$25, VLOOKUP(ReviewCalcs[[#This Row],[Building/Space Type]], Table_364[], 3, FALSE), CF_Contols)</f>
        <v>0.26</v>
      </c>
      <c r="AG266" s="68" t="e">
        <f>VLOOKUP(ReviewCalcs[[#This Row],[Proposed Control(s)]], Table_358[], 2, FALSE)</f>
        <v>#N/A</v>
      </c>
      <c r="AH266" s="68">
        <f>IFERROR((ReviewCalcs[[#This Row],[Existing Fixture Quantity]]*ReviewCalcs[[#This Row],[Existing Fixture Watts]]/1000)*ReviewCalcs[[#This Row],[Existing CF]]*ReviewCalcs[[#This Row],[IEFD]], 0)</f>
        <v>0</v>
      </c>
      <c r="AI266" s="68">
        <f>IFERROR((ReviewCalcs[[#This Row],[Proposed Fixture Quantity]]*ReviewCalcs[[#This Row],[Proposed Fixture Watts]]/1000)*ReviewCalcs[[#This Row],[Existing CF]]*ReviewCalcs[[#This Row],[IEFD]], 0)</f>
        <v>0</v>
      </c>
      <c r="AJ266" s="118">
        <f>IFERROR((ReviewCalcs[[#This Row],[Existing Fixture Quantity]]*ReviewCalcs[[#This Row],[Existing Fixture Watts]]/1000-ReviewCalcs[[#This Row],[Proposed Fixture Quantity]]*ReviewCalcs[[#This Row],[Proposed Fixture Watts]]/1000)*ReviewCalcs[[#This Row],[Existing CF]]*ReviewCalcs[[#This Row],[IEFD]], 0)</f>
        <v>0</v>
      </c>
      <c r="AK266" s="118">
        <f>IFERROR((ReviewCalcs[[#This Row],[Existing Fixture Quantity]]*ReviewCalcs[[#This Row],[Existing Fixture Watts]]/1000)*ReviewCalcs[[#This Row],[AOH]]*ReviewCalcs[[#This Row],[IEFE]]*ReviewCalcs[[#This Row],[Existing PAF]], 0)</f>
        <v>0</v>
      </c>
      <c r="AL266" s="118">
        <f>IFERROR((ReviewCalcs[[#This Row],[Proposed Fixture Quantity]]*ReviewCalcs[[#This Row],[Proposed Fixture Watts]]/1000)*ReviewCalcs[[#This Row],[AOH]]*ReviewCalcs[[#This Row],[IEFE]]*ReviewCalcs[[#This Row],[Existing PAF]], 0)</f>
        <v>0</v>
      </c>
      <c r="AM26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6" s="118">
        <f>ReviewCalcs[[#This Row],[Fixture Existing Energy (kWh)]]*Avg_KWh_Rate</f>
        <v>0</v>
      </c>
      <c r="AO266" s="118">
        <f>ReviewCalcs[[#This Row],[Fixture Proposed Energy (kWh)]]*Avg_KWh_Rate</f>
        <v>0</v>
      </c>
      <c r="AP266" s="70">
        <f>ReviewCalcs[[#This Row],[Fixture Energy Savings]]*Avg_KWh_Rate</f>
        <v>0</v>
      </c>
      <c r="AQ266" s="129" t="e">
        <f>ReviewCalcs[[#This Row],[Existing Fixture Quantity]]*ReviewCalcs[[#This Row],[Existing Fixture Watts]]/1000*ReviewCalcs[[#This Row],[Existing CF]]*ReviewCalcs[[#This Row],[IEFD]]</f>
        <v>#VALUE!</v>
      </c>
      <c r="AR266" s="129" t="e">
        <f>ReviewCalcs[[#This Row],[Proposed Fixture Quantity]]*ReviewCalcs[[#This Row],[Proposed Fixture Watts]]/1000*ReviewCalcs[[#This Row],[Proposed CF]]*ReviewCalcs[[#This Row],[IEFD]]</f>
        <v>#VALUE!</v>
      </c>
      <c r="AS266" s="118">
        <f>IF(ReviewCalcs[[#This Row],[Existing CF]]=ReviewCalcs[[#This Row],[Proposed CF]], 0, ReviewCalcs[[#This Row],[Proposed Fixture Quantity]]*ReviewCalcs[[#This Row],[Proposed Fixture Watts]]/1000*ReviewCalcs[[#This Row],[Proposed CF]]*ReviewCalcs[[#This Row],[IEFD]])</f>
        <v>0</v>
      </c>
      <c r="AT266" s="118">
        <f>IFERROR(ReviewCalcs[[#This Row],[Existing Fixture Quantity]]*ReviewCalcs[[#This Row],[Existing Fixture Watts]]/1000*ReviewCalcs[[#This Row],[Existing PAF]]*ReviewCalcs[[#This Row],[AOH]]*ReviewCalcs[[#This Row],[IEFE]], 0)</f>
        <v>0</v>
      </c>
      <c r="AU266" s="118">
        <f>IFERROR(ReviewCalcs[[#This Row],[Proposed Fixture Quantity]]*ReviewCalcs[[#This Row],[Proposed Fixture Watts]]/1000*ReviewCalcs[[#This Row],[Proposed PAF]]*ReviewCalcs[[#This Row],[AOH]]*ReviewCalcs[[#This Row],[IEFE]], 0)</f>
        <v>0</v>
      </c>
      <c r="AV266" s="118">
        <f>IFERROR(ReviewCalcs[[#This Row],[Proposed Fixture Quantity]]*ReviewCalcs[[#This Row],[Proposed Fixture Watts]]/1000*(ReviewCalcs[[#This Row],[Existing PAF]]-ReviewCalcs[[#This Row],[Proposed PAF]])*ReviewCalcs[[#This Row],[AOH]]*ReviewCalcs[[#This Row],[IEFE]], 0)</f>
        <v>0</v>
      </c>
      <c r="AW266" s="118">
        <f>ReviewCalcs[[#This Row],[Control Existing Energy (kWh)]]*kWh_Incentive_Rate</f>
        <v>0</v>
      </c>
      <c r="AX266" s="118">
        <f>ReviewCalcs[[#This Row],[Control Proposed Energy (kWh)]]*kWh_Incentive_Rate</f>
        <v>0</v>
      </c>
      <c r="AY266" s="70">
        <f>ReviewCalcs[[#This Row],[Control Energy Savings (kWh)]]*kWh_Incentive_Rate</f>
        <v>0</v>
      </c>
      <c r="AZ266" s="70" t="e">
        <f>ReviewCalcs[[#This Row],[Fixture Existing Demand (kW)]]+ReviewCalcs[[#This Row],[Control Existing Demand (kW)]]</f>
        <v>#VALUE!</v>
      </c>
      <c r="BA266" s="70" t="e">
        <f>ReviewCalcs[[#This Row],[Fixture Proposed Demand (kW)]]+ReviewCalcs[[#This Row],[Control Proposed Demand (kW)]]</f>
        <v>#VALUE!</v>
      </c>
      <c r="BB266" s="118">
        <f>ReviewCalcs[[#This Row],[Fixture Demand Savings (kW)]]+ReviewCalcs[[#This Row],[Control Demand Savings (kW)]]</f>
        <v>0</v>
      </c>
      <c r="BC266" s="118">
        <f>ReviewCalcs[[#This Row],[Fixture Existing Energy (kWh)]]+ReviewCalcs[[#This Row],[Control Existing Energy (kWh)]]</f>
        <v>0</v>
      </c>
      <c r="BD266" s="118">
        <f>ReviewCalcs[[#This Row],[Fixture Proposed Energy (kWh)]]+ReviewCalcs[[#This Row],[Control Proposed Energy (kWh)]]</f>
        <v>0</v>
      </c>
      <c r="BE266" s="118">
        <f>ReviewCalcs[[#This Row],[Fixture Energy Savings]]+ReviewCalcs[[#This Row],[Control Energy Savings (kWh)]]</f>
        <v>0</v>
      </c>
      <c r="BF266" s="118">
        <f>ReviewCalcs[[#This Row],[Fixture Existing Cost ($)]]+ReviewCalcs[[#This Row],[Control Existing Cost ($)]]</f>
        <v>0</v>
      </c>
      <c r="BG266" s="118">
        <f>ReviewCalcs[[#This Row],[Fixture Proposed Cost ($)]]+ReviewCalcs[[#This Row],[Controls Proposed Cost ($)]]</f>
        <v>0</v>
      </c>
      <c r="BH266" s="70">
        <f>ReviewCalcs[[#This Row],[Total Energy Savings (kWh)]]*Avg_KWh_Rate</f>
        <v>0</v>
      </c>
      <c r="BI26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6" s="70">
        <f>ReviewCalcs[[#This Row],[Retrofit Cost]]</f>
        <v>0</v>
      </c>
      <c r="BK266" s="70">
        <f>ReviewCalcs[[#This Row],[Retrofit Cost]]-ReviewCalcs[[#This Row],[Incentive ($)]]</f>
        <v>0</v>
      </c>
      <c r="BL266" s="118" t="e">
        <f>IFERROR(ReviewCalcs[[#This Row],[Net Project Cost ($)]]/ReviewCalcs[[#This Row],[Fixture Energy Cost Savings ($)]], #N/A)</f>
        <v>#N/A</v>
      </c>
      <c r="BM266" s="118" t="e">
        <f>IF(VLOOKUP(ReviewCalcs[[#This Row],[Existing Fixture Code]], Table7[[FIXTURE CODE]:[Baseline Fixture Code]], 8, FALSE)="N", VLOOKUP(ReviewCalcs[[#This Row],[Existing Fixture Code]], Table7[[FIXTURE CODE]:[Baseline Fixture Code]], 9, FALSE), ReviewCalcs[[#This Row],[Existing Fixture Code]])</f>
        <v>#N/A</v>
      </c>
      <c r="BN266" s="118" t="e">
        <f>INDEX(Table7[WATT/ FIXT], MATCH(ReviewCalcs[Baseline Fixture Code], Table7[FIXTURE CODE], 0))</f>
        <v>#N/A</v>
      </c>
      <c r="BO266" s="118">
        <f>IFERROR((ReviewCalcs[[#This Row],[Existing Fixture Quantity]]*ReviewCalcs[[#This Row],[Baseline Fixture Watts]]/1000-ReviewCalcs[[#This Row],[Proposed Fixture Quantity]]*ReviewCalcs[[#This Row],[Proposed Fixture Watts]]/1000)*ReviewCalcs[[#This Row],[Existing CF]]*ReviewCalcs[[#This Row],[IEFD]], 0)</f>
        <v>0</v>
      </c>
      <c r="BP26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6" s="118">
        <f>IF(ReviewCalcs[[#This Row],[Existing CF]]=ReviewCalcs[[#This Row],[Proposed CF]], 0, ReviewCalcs[[#This Row],[Proposed Fixture Quantity]]*ReviewCalcs[[#This Row],[Proposed Fixture Watts]]/1000*ReviewCalcs[[#This Row],[Proposed CF]]*ReviewCalcs[[#This Row],[IEFD]])</f>
        <v>0</v>
      </c>
      <c r="BR266" s="118">
        <f>IFERROR(ReviewCalcs[[#This Row],[Proposed Fixture Quantity]]*ReviewCalcs[[#This Row],[Proposed Fixture Watts]]/1000*(ReviewCalcs[[#This Row],[Existing PAF]]-ReviewCalcs[[#This Row],[Proposed PAF]])*ReviewCalcs[[#This Row],[AOH]]*ReviewCalcs[[#This Row],[IEFE]],0)</f>
        <v>0</v>
      </c>
      <c r="BS266" s="118">
        <f>ReviewCalcs[[#This Row],[Incentive Fixture Demand Savings (kW)]]+ReviewCalcs[[#This Row],[Incentive Control Demand Savings (kW)]]</f>
        <v>0</v>
      </c>
      <c r="BT266" s="118">
        <f>ReviewCalcs[[#This Row],[Incentive Fixture Energy Savings (kWh)]]+ReviewCalcs[[#This Row],[Incentive Control Energy Savings (kWh)]]</f>
        <v>0</v>
      </c>
      <c r="BU266" s="73"/>
    </row>
    <row r="267" spans="1:73" ht="30" customHeight="1">
      <c r="A267" s="68">
        <v>264</v>
      </c>
      <c r="B267" s="96">
        <f>VLOOKUP(ReviewCalcs[[#This Row],[Project Index]], ProjectInput[], D$1, FALSE)</f>
        <v>0</v>
      </c>
      <c r="C267" s="97">
        <f>VLOOKUP(ReviewCalcs[[#This Row],[Project Index]], ProjectInput[], E$1, FALSE)</f>
        <v>0</v>
      </c>
      <c r="D267" s="97">
        <f>VLOOKUP(ReviewCalcs[[#This Row],[Project Index]], ProjectInput[], F$1, FALSE)</f>
        <v>0</v>
      </c>
      <c r="E267" s="97">
        <f>VLOOKUP(ReviewCalcs[[#This Row],[Project Index]], ProjectInput[], G$1, FALSE)</f>
        <v>0</v>
      </c>
      <c r="F267" s="97">
        <f>VLOOKUP(ReviewCalcs[[#This Row],[Project Index]], ProjectInput[], H$1, FALSE)</f>
        <v>0</v>
      </c>
      <c r="G267" s="98" t="str">
        <f>VLOOKUP(ReviewCalcs[[#This Row],[Project Index]], ProjectInput[], I$1, FALSE)</f>
        <v/>
      </c>
      <c r="H267" s="96">
        <f>VLOOKUP(ReviewCalcs[[#This Row],[Project Index]], ProjectInput[], J$1, FALSE)</f>
        <v>0</v>
      </c>
      <c r="I267" s="97">
        <f>VLOOKUP(ReviewCalcs[[#This Row],[Project Index]], ProjectInput[], K$1, FALSE)</f>
        <v>0</v>
      </c>
      <c r="J267" s="97">
        <f>VLOOKUP(ReviewCalcs[[#This Row],[Project Index]], ProjectInput[], L$1, FALSE)</f>
        <v>0</v>
      </c>
      <c r="K267" s="97">
        <f>VLOOKUP(ReviewCalcs[[#This Row],[Project Index]], ProjectInput[], M$1, FALSE)</f>
        <v>0</v>
      </c>
      <c r="L267" s="97">
        <f>VLOOKUP(ReviewCalcs[[#This Row],[Project Index]], ProjectInput[], N$1, FALSE)</f>
        <v>0</v>
      </c>
      <c r="M267" s="98" t="str">
        <f>VLOOKUP(ReviewCalcs[[#This Row],[Project Index]], ProjectInput[], O$1, FALSE)</f>
        <v/>
      </c>
      <c r="N267" s="96">
        <f>VLOOKUP(ReviewCalcs[[#This Row],[Project Index]], ProjectInput[], P$1, FALSE)</f>
        <v>0</v>
      </c>
      <c r="O267" s="97">
        <f>VLOOKUP(ReviewCalcs[[#This Row],[Project Index]], ProjectInput[], Q$1, FALSE)</f>
        <v>0</v>
      </c>
      <c r="P267" s="97">
        <f>VLOOKUP(ReviewCalcs[[#This Row],[Project Index]], ProjectInput[], R$1, FALSE)</f>
        <v>0</v>
      </c>
      <c r="Q267" s="97">
        <f>VLOOKUP(ReviewCalcs[[#This Row],[Project Index]], ProjectInput[], S$1, FALSE)</f>
        <v>0</v>
      </c>
      <c r="R267" s="97">
        <f>VLOOKUP(ReviewCalcs[[#This Row],[Project Index]], ProjectInput[], T$1, FALSE)</f>
        <v>0</v>
      </c>
      <c r="S267" s="97">
        <f>VLOOKUP(ReviewCalcs[[#This Row],[Project Index]], ProjectInput[], U$1, FALSE)</f>
        <v>0</v>
      </c>
      <c r="T267" s="97">
        <f>VLOOKUP(ReviewCalcs[[#This Row],[Project Index]], ProjectInput[], V$1, FALSE)</f>
        <v>0</v>
      </c>
      <c r="U267" s="97">
        <f>VLOOKUP(ReviewCalcs[[#This Row],[Project Index]], ProjectInput[], W$1, FALSE)</f>
        <v>0</v>
      </c>
      <c r="V267" s="98" t="str">
        <f>VLOOKUP(ReviewCalcs[[#This Row],[Project Index]], ProjectInput[], X$1, FALSE)</f>
        <v/>
      </c>
      <c r="W26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7" s="75" t="e">
        <f>IF(VLOOKUP(ReviewCalcs[[#This Row],[Proposed Fixture Code]], Table7[[FIXTURE CODE]:[Baseline Fixture Code]], 8, FALSE)="N", "ERROR", "PASS")</f>
        <v>#N/A</v>
      </c>
      <c r="Y26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7" s="75" t="e">
        <f>IF(OR(ReviewCalcs[[#This Row],[Baseline Fixture Watts]]&gt;=ReviewCalcs[[#This Row],[Proposed Fixture Watts]],ReviewCalcs[[#This Row],[Existing Fixture Watts]]&gt;=ReviewCalcs[[#This Row],[Proposed Fixture Watts]] ), "PASS", "ERROR")</f>
        <v>#N/A</v>
      </c>
      <c r="AA267" s="69" t="e">
        <f>VLOOKUP(ReviewCalcs[[#This Row],[Space Conditions]], Table_365[], 5, FALSE)</f>
        <v>#N/A</v>
      </c>
      <c r="AB267" s="68" t="str">
        <f>ReviewCalcs[[#This Row],[Annual Hours]]</f>
        <v/>
      </c>
      <c r="AC267" s="68" t="e">
        <f>VLOOKUP(ReviewCalcs[[#This Row],[Space Conditions]], Table_365[], 6, FALSE)</f>
        <v>#N/A</v>
      </c>
      <c r="AD267" s="68">
        <f>IF(ReviewCalcs[[#This Row],[Existing Control(s)]]='Tables &amp; Ranges'!$A$25, VLOOKUP(ReviewCalcs[[#This Row],[Building/Space Type]], Table_364[], 3, FALSE), CF_Contols)</f>
        <v>0.26</v>
      </c>
      <c r="AE267" s="68" t="e">
        <f>VLOOKUP(ReviewCalcs[[#This Row],[Existing Control(s)]], Table_358[], 2, FALSE)</f>
        <v>#N/A</v>
      </c>
      <c r="AF267" s="68">
        <f>IF(ReviewCalcs[[#This Row],[Proposed Control(s)]]='Tables &amp; Ranges'!$A$25, VLOOKUP(ReviewCalcs[[#This Row],[Building/Space Type]], Table_364[], 3, FALSE), CF_Contols)</f>
        <v>0.26</v>
      </c>
      <c r="AG267" s="68" t="e">
        <f>VLOOKUP(ReviewCalcs[[#This Row],[Proposed Control(s)]], Table_358[], 2, FALSE)</f>
        <v>#N/A</v>
      </c>
      <c r="AH267" s="68">
        <f>IFERROR((ReviewCalcs[[#This Row],[Existing Fixture Quantity]]*ReviewCalcs[[#This Row],[Existing Fixture Watts]]/1000)*ReviewCalcs[[#This Row],[Existing CF]]*ReviewCalcs[[#This Row],[IEFD]], 0)</f>
        <v>0</v>
      </c>
      <c r="AI267" s="68">
        <f>IFERROR((ReviewCalcs[[#This Row],[Proposed Fixture Quantity]]*ReviewCalcs[[#This Row],[Proposed Fixture Watts]]/1000)*ReviewCalcs[[#This Row],[Existing CF]]*ReviewCalcs[[#This Row],[IEFD]], 0)</f>
        <v>0</v>
      </c>
      <c r="AJ267" s="118">
        <f>IFERROR((ReviewCalcs[[#This Row],[Existing Fixture Quantity]]*ReviewCalcs[[#This Row],[Existing Fixture Watts]]/1000-ReviewCalcs[[#This Row],[Proposed Fixture Quantity]]*ReviewCalcs[[#This Row],[Proposed Fixture Watts]]/1000)*ReviewCalcs[[#This Row],[Existing CF]]*ReviewCalcs[[#This Row],[IEFD]], 0)</f>
        <v>0</v>
      </c>
      <c r="AK267" s="118">
        <f>IFERROR((ReviewCalcs[[#This Row],[Existing Fixture Quantity]]*ReviewCalcs[[#This Row],[Existing Fixture Watts]]/1000)*ReviewCalcs[[#This Row],[AOH]]*ReviewCalcs[[#This Row],[IEFE]]*ReviewCalcs[[#This Row],[Existing PAF]], 0)</f>
        <v>0</v>
      </c>
      <c r="AL267" s="118">
        <f>IFERROR((ReviewCalcs[[#This Row],[Proposed Fixture Quantity]]*ReviewCalcs[[#This Row],[Proposed Fixture Watts]]/1000)*ReviewCalcs[[#This Row],[AOH]]*ReviewCalcs[[#This Row],[IEFE]]*ReviewCalcs[[#This Row],[Existing PAF]], 0)</f>
        <v>0</v>
      </c>
      <c r="AM26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7" s="118">
        <f>ReviewCalcs[[#This Row],[Fixture Existing Energy (kWh)]]*Avg_KWh_Rate</f>
        <v>0</v>
      </c>
      <c r="AO267" s="118">
        <f>ReviewCalcs[[#This Row],[Fixture Proposed Energy (kWh)]]*Avg_KWh_Rate</f>
        <v>0</v>
      </c>
      <c r="AP267" s="70">
        <f>ReviewCalcs[[#This Row],[Fixture Energy Savings]]*Avg_KWh_Rate</f>
        <v>0</v>
      </c>
      <c r="AQ267" s="129" t="e">
        <f>ReviewCalcs[[#This Row],[Existing Fixture Quantity]]*ReviewCalcs[[#This Row],[Existing Fixture Watts]]/1000*ReviewCalcs[[#This Row],[Existing CF]]*ReviewCalcs[[#This Row],[IEFD]]</f>
        <v>#VALUE!</v>
      </c>
      <c r="AR267" s="129" t="e">
        <f>ReviewCalcs[[#This Row],[Proposed Fixture Quantity]]*ReviewCalcs[[#This Row],[Proposed Fixture Watts]]/1000*ReviewCalcs[[#This Row],[Proposed CF]]*ReviewCalcs[[#This Row],[IEFD]]</f>
        <v>#VALUE!</v>
      </c>
      <c r="AS267" s="118">
        <f>IF(ReviewCalcs[[#This Row],[Existing CF]]=ReviewCalcs[[#This Row],[Proposed CF]], 0, ReviewCalcs[[#This Row],[Proposed Fixture Quantity]]*ReviewCalcs[[#This Row],[Proposed Fixture Watts]]/1000*ReviewCalcs[[#This Row],[Proposed CF]]*ReviewCalcs[[#This Row],[IEFD]])</f>
        <v>0</v>
      </c>
      <c r="AT267" s="118">
        <f>IFERROR(ReviewCalcs[[#This Row],[Existing Fixture Quantity]]*ReviewCalcs[[#This Row],[Existing Fixture Watts]]/1000*ReviewCalcs[[#This Row],[Existing PAF]]*ReviewCalcs[[#This Row],[AOH]]*ReviewCalcs[[#This Row],[IEFE]], 0)</f>
        <v>0</v>
      </c>
      <c r="AU267" s="118">
        <f>IFERROR(ReviewCalcs[[#This Row],[Proposed Fixture Quantity]]*ReviewCalcs[[#This Row],[Proposed Fixture Watts]]/1000*ReviewCalcs[[#This Row],[Proposed PAF]]*ReviewCalcs[[#This Row],[AOH]]*ReviewCalcs[[#This Row],[IEFE]], 0)</f>
        <v>0</v>
      </c>
      <c r="AV267" s="118">
        <f>IFERROR(ReviewCalcs[[#This Row],[Proposed Fixture Quantity]]*ReviewCalcs[[#This Row],[Proposed Fixture Watts]]/1000*(ReviewCalcs[[#This Row],[Existing PAF]]-ReviewCalcs[[#This Row],[Proposed PAF]])*ReviewCalcs[[#This Row],[AOH]]*ReviewCalcs[[#This Row],[IEFE]], 0)</f>
        <v>0</v>
      </c>
      <c r="AW267" s="118">
        <f>ReviewCalcs[[#This Row],[Control Existing Energy (kWh)]]*kWh_Incentive_Rate</f>
        <v>0</v>
      </c>
      <c r="AX267" s="118">
        <f>ReviewCalcs[[#This Row],[Control Proposed Energy (kWh)]]*kWh_Incentive_Rate</f>
        <v>0</v>
      </c>
      <c r="AY267" s="70">
        <f>ReviewCalcs[[#This Row],[Control Energy Savings (kWh)]]*kWh_Incentive_Rate</f>
        <v>0</v>
      </c>
      <c r="AZ267" s="70" t="e">
        <f>ReviewCalcs[[#This Row],[Fixture Existing Demand (kW)]]+ReviewCalcs[[#This Row],[Control Existing Demand (kW)]]</f>
        <v>#VALUE!</v>
      </c>
      <c r="BA267" s="70" t="e">
        <f>ReviewCalcs[[#This Row],[Fixture Proposed Demand (kW)]]+ReviewCalcs[[#This Row],[Control Proposed Demand (kW)]]</f>
        <v>#VALUE!</v>
      </c>
      <c r="BB267" s="118">
        <f>ReviewCalcs[[#This Row],[Fixture Demand Savings (kW)]]+ReviewCalcs[[#This Row],[Control Demand Savings (kW)]]</f>
        <v>0</v>
      </c>
      <c r="BC267" s="118">
        <f>ReviewCalcs[[#This Row],[Fixture Existing Energy (kWh)]]+ReviewCalcs[[#This Row],[Control Existing Energy (kWh)]]</f>
        <v>0</v>
      </c>
      <c r="BD267" s="118">
        <f>ReviewCalcs[[#This Row],[Fixture Proposed Energy (kWh)]]+ReviewCalcs[[#This Row],[Control Proposed Energy (kWh)]]</f>
        <v>0</v>
      </c>
      <c r="BE267" s="118">
        <f>ReviewCalcs[[#This Row],[Fixture Energy Savings]]+ReviewCalcs[[#This Row],[Control Energy Savings (kWh)]]</f>
        <v>0</v>
      </c>
      <c r="BF267" s="118">
        <f>ReviewCalcs[[#This Row],[Fixture Existing Cost ($)]]+ReviewCalcs[[#This Row],[Control Existing Cost ($)]]</f>
        <v>0</v>
      </c>
      <c r="BG267" s="118">
        <f>ReviewCalcs[[#This Row],[Fixture Proposed Cost ($)]]+ReviewCalcs[[#This Row],[Controls Proposed Cost ($)]]</f>
        <v>0</v>
      </c>
      <c r="BH267" s="70">
        <f>ReviewCalcs[[#This Row],[Total Energy Savings (kWh)]]*Avg_KWh_Rate</f>
        <v>0</v>
      </c>
      <c r="BI26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7" s="70">
        <f>ReviewCalcs[[#This Row],[Retrofit Cost]]</f>
        <v>0</v>
      </c>
      <c r="BK267" s="70">
        <f>ReviewCalcs[[#This Row],[Retrofit Cost]]-ReviewCalcs[[#This Row],[Incentive ($)]]</f>
        <v>0</v>
      </c>
      <c r="BL267" s="118" t="e">
        <f>IFERROR(ReviewCalcs[[#This Row],[Net Project Cost ($)]]/ReviewCalcs[[#This Row],[Fixture Energy Cost Savings ($)]], #N/A)</f>
        <v>#N/A</v>
      </c>
      <c r="BM267" s="118" t="e">
        <f>IF(VLOOKUP(ReviewCalcs[[#This Row],[Existing Fixture Code]], Table7[[FIXTURE CODE]:[Baseline Fixture Code]], 8, FALSE)="N", VLOOKUP(ReviewCalcs[[#This Row],[Existing Fixture Code]], Table7[[FIXTURE CODE]:[Baseline Fixture Code]], 9, FALSE), ReviewCalcs[[#This Row],[Existing Fixture Code]])</f>
        <v>#N/A</v>
      </c>
      <c r="BN267" s="118" t="e">
        <f>INDEX(Table7[WATT/ FIXT], MATCH(ReviewCalcs[Baseline Fixture Code], Table7[FIXTURE CODE], 0))</f>
        <v>#N/A</v>
      </c>
      <c r="BO267" s="118">
        <f>IFERROR((ReviewCalcs[[#This Row],[Existing Fixture Quantity]]*ReviewCalcs[[#This Row],[Baseline Fixture Watts]]/1000-ReviewCalcs[[#This Row],[Proposed Fixture Quantity]]*ReviewCalcs[[#This Row],[Proposed Fixture Watts]]/1000)*ReviewCalcs[[#This Row],[Existing CF]]*ReviewCalcs[[#This Row],[IEFD]], 0)</f>
        <v>0</v>
      </c>
      <c r="BP26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7" s="118">
        <f>IF(ReviewCalcs[[#This Row],[Existing CF]]=ReviewCalcs[[#This Row],[Proposed CF]], 0, ReviewCalcs[[#This Row],[Proposed Fixture Quantity]]*ReviewCalcs[[#This Row],[Proposed Fixture Watts]]/1000*ReviewCalcs[[#This Row],[Proposed CF]]*ReviewCalcs[[#This Row],[IEFD]])</f>
        <v>0</v>
      </c>
      <c r="BR267" s="118">
        <f>IFERROR(ReviewCalcs[[#This Row],[Proposed Fixture Quantity]]*ReviewCalcs[[#This Row],[Proposed Fixture Watts]]/1000*(ReviewCalcs[[#This Row],[Existing PAF]]-ReviewCalcs[[#This Row],[Proposed PAF]])*ReviewCalcs[[#This Row],[AOH]]*ReviewCalcs[[#This Row],[IEFE]],0)</f>
        <v>0</v>
      </c>
      <c r="BS267" s="118">
        <f>ReviewCalcs[[#This Row],[Incentive Fixture Demand Savings (kW)]]+ReviewCalcs[[#This Row],[Incentive Control Demand Savings (kW)]]</f>
        <v>0</v>
      </c>
      <c r="BT267" s="118">
        <f>ReviewCalcs[[#This Row],[Incentive Fixture Energy Savings (kWh)]]+ReviewCalcs[[#This Row],[Incentive Control Energy Savings (kWh)]]</f>
        <v>0</v>
      </c>
      <c r="BU267" s="73"/>
    </row>
    <row r="268" spans="1:73" ht="30" customHeight="1">
      <c r="A268" s="68">
        <v>265</v>
      </c>
      <c r="B268" s="96">
        <f>VLOOKUP(ReviewCalcs[[#This Row],[Project Index]], ProjectInput[], D$1, FALSE)</f>
        <v>0</v>
      </c>
      <c r="C268" s="97">
        <f>VLOOKUP(ReviewCalcs[[#This Row],[Project Index]], ProjectInput[], E$1, FALSE)</f>
        <v>0</v>
      </c>
      <c r="D268" s="97">
        <f>VLOOKUP(ReviewCalcs[[#This Row],[Project Index]], ProjectInput[], F$1, FALSE)</f>
        <v>0</v>
      </c>
      <c r="E268" s="97">
        <f>VLOOKUP(ReviewCalcs[[#This Row],[Project Index]], ProjectInput[], G$1, FALSE)</f>
        <v>0</v>
      </c>
      <c r="F268" s="97">
        <f>VLOOKUP(ReviewCalcs[[#This Row],[Project Index]], ProjectInput[], H$1, FALSE)</f>
        <v>0</v>
      </c>
      <c r="G268" s="98" t="str">
        <f>VLOOKUP(ReviewCalcs[[#This Row],[Project Index]], ProjectInput[], I$1, FALSE)</f>
        <v/>
      </c>
      <c r="H268" s="96">
        <f>VLOOKUP(ReviewCalcs[[#This Row],[Project Index]], ProjectInput[], J$1, FALSE)</f>
        <v>0</v>
      </c>
      <c r="I268" s="97">
        <f>VLOOKUP(ReviewCalcs[[#This Row],[Project Index]], ProjectInput[], K$1, FALSE)</f>
        <v>0</v>
      </c>
      <c r="J268" s="97">
        <f>VLOOKUP(ReviewCalcs[[#This Row],[Project Index]], ProjectInput[], L$1, FALSE)</f>
        <v>0</v>
      </c>
      <c r="K268" s="97">
        <f>VLOOKUP(ReviewCalcs[[#This Row],[Project Index]], ProjectInput[], M$1, FALSE)</f>
        <v>0</v>
      </c>
      <c r="L268" s="97">
        <f>VLOOKUP(ReviewCalcs[[#This Row],[Project Index]], ProjectInput[], N$1, FALSE)</f>
        <v>0</v>
      </c>
      <c r="M268" s="98" t="str">
        <f>VLOOKUP(ReviewCalcs[[#This Row],[Project Index]], ProjectInput[], O$1, FALSE)</f>
        <v/>
      </c>
      <c r="N268" s="96">
        <f>VLOOKUP(ReviewCalcs[[#This Row],[Project Index]], ProjectInput[], P$1, FALSE)</f>
        <v>0</v>
      </c>
      <c r="O268" s="97">
        <f>VLOOKUP(ReviewCalcs[[#This Row],[Project Index]], ProjectInput[], Q$1, FALSE)</f>
        <v>0</v>
      </c>
      <c r="P268" s="97">
        <f>VLOOKUP(ReviewCalcs[[#This Row],[Project Index]], ProjectInput[], R$1, FALSE)</f>
        <v>0</v>
      </c>
      <c r="Q268" s="97">
        <f>VLOOKUP(ReviewCalcs[[#This Row],[Project Index]], ProjectInput[], S$1, FALSE)</f>
        <v>0</v>
      </c>
      <c r="R268" s="97">
        <f>VLOOKUP(ReviewCalcs[[#This Row],[Project Index]], ProjectInput[], T$1, FALSE)</f>
        <v>0</v>
      </c>
      <c r="S268" s="97">
        <f>VLOOKUP(ReviewCalcs[[#This Row],[Project Index]], ProjectInput[], U$1, FALSE)</f>
        <v>0</v>
      </c>
      <c r="T268" s="97">
        <f>VLOOKUP(ReviewCalcs[[#This Row],[Project Index]], ProjectInput[], V$1, FALSE)</f>
        <v>0</v>
      </c>
      <c r="U268" s="97">
        <f>VLOOKUP(ReviewCalcs[[#This Row],[Project Index]], ProjectInput[], W$1, FALSE)</f>
        <v>0</v>
      </c>
      <c r="V268" s="98" t="str">
        <f>VLOOKUP(ReviewCalcs[[#This Row],[Project Index]], ProjectInput[], X$1, FALSE)</f>
        <v/>
      </c>
      <c r="W26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8" s="75" t="e">
        <f>IF(VLOOKUP(ReviewCalcs[[#This Row],[Proposed Fixture Code]], Table7[[FIXTURE CODE]:[Baseline Fixture Code]], 8, FALSE)="N", "ERROR", "PASS")</f>
        <v>#N/A</v>
      </c>
      <c r="Y26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8" s="75" t="e">
        <f>IF(OR(ReviewCalcs[[#This Row],[Baseline Fixture Watts]]&gt;=ReviewCalcs[[#This Row],[Proposed Fixture Watts]],ReviewCalcs[[#This Row],[Existing Fixture Watts]]&gt;=ReviewCalcs[[#This Row],[Proposed Fixture Watts]] ), "PASS", "ERROR")</f>
        <v>#N/A</v>
      </c>
      <c r="AA268" s="69" t="e">
        <f>VLOOKUP(ReviewCalcs[[#This Row],[Space Conditions]], Table_365[], 5, FALSE)</f>
        <v>#N/A</v>
      </c>
      <c r="AB268" s="68" t="str">
        <f>ReviewCalcs[[#This Row],[Annual Hours]]</f>
        <v/>
      </c>
      <c r="AC268" s="68" t="e">
        <f>VLOOKUP(ReviewCalcs[[#This Row],[Space Conditions]], Table_365[], 6, FALSE)</f>
        <v>#N/A</v>
      </c>
      <c r="AD268" s="68">
        <f>IF(ReviewCalcs[[#This Row],[Existing Control(s)]]='Tables &amp; Ranges'!$A$25, VLOOKUP(ReviewCalcs[[#This Row],[Building/Space Type]], Table_364[], 3, FALSE), CF_Contols)</f>
        <v>0.26</v>
      </c>
      <c r="AE268" s="68" t="e">
        <f>VLOOKUP(ReviewCalcs[[#This Row],[Existing Control(s)]], Table_358[], 2, FALSE)</f>
        <v>#N/A</v>
      </c>
      <c r="AF268" s="68">
        <f>IF(ReviewCalcs[[#This Row],[Proposed Control(s)]]='Tables &amp; Ranges'!$A$25, VLOOKUP(ReviewCalcs[[#This Row],[Building/Space Type]], Table_364[], 3, FALSE), CF_Contols)</f>
        <v>0.26</v>
      </c>
      <c r="AG268" s="68" t="e">
        <f>VLOOKUP(ReviewCalcs[[#This Row],[Proposed Control(s)]], Table_358[], 2, FALSE)</f>
        <v>#N/A</v>
      </c>
      <c r="AH268" s="68">
        <f>IFERROR((ReviewCalcs[[#This Row],[Existing Fixture Quantity]]*ReviewCalcs[[#This Row],[Existing Fixture Watts]]/1000)*ReviewCalcs[[#This Row],[Existing CF]]*ReviewCalcs[[#This Row],[IEFD]], 0)</f>
        <v>0</v>
      </c>
      <c r="AI268" s="68">
        <f>IFERROR((ReviewCalcs[[#This Row],[Proposed Fixture Quantity]]*ReviewCalcs[[#This Row],[Proposed Fixture Watts]]/1000)*ReviewCalcs[[#This Row],[Existing CF]]*ReviewCalcs[[#This Row],[IEFD]], 0)</f>
        <v>0</v>
      </c>
      <c r="AJ268" s="118">
        <f>IFERROR((ReviewCalcs[[#This Row],[Existing Fixture Quantity]]*ReviewCalcs[[#This Row],[Existing Fixture Watts]]/1000-ReviewCalcs[[#This Row],[Proposed Fixture Quantity]]*ReviewCalcs[[#This Row],[Proposed Fixture Watts]]/1000)*ReviewCalcs[[#This Row],[Existing CF]]*ReviewCalcs[[#This Row],[IEFD]], 0)</f>
        <v>0</v>
      </c>
      <c r="AK268" s="118">
        <f>IFERROR((ReviewCalcs[[#This Row],[Existing Fixture Quantity]]*ReviewCalcs[[#This Row],[Existing Fixture Watts]]/1000)*ReviewCalcs[[#This Row],[AOH]]*ReviewCalcs[[#This Row],[IEFE]]*ReviewCalcs[[#This Row],[Existing PAF]], 0)</f>
        <v>0</v>
      </c>
      <c r="AL268" s="118">
        <f>IFERROR((ReviewCalcs[[#This Row],[Proposed Fixture Quantity]]*ReviewCalcs[[#This Row],[Proposed Fixture Watts]]/1000)*ReviewCalcs[[#This Row],[AOH]]*ReviewCalcs[[#This Row],[IEFE]]*ReviewCalcs[[#This Row],[Existing PAF]], 0)</f>
        <v>0</v>
      </c>
      <c r="AM26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8" s="118">
        <f>ReviewCalcs[[#This Row],[Fixture Existing Energy (kWh)]]*Avg_KWh_Rate</f>
        <v>0</v>
      </c>
      <c r="AO268" s="118">
        <f>ReviewCalcs[[#This Row],[Fixture Proposed Energy (kWh)]]*Avg_KWh_Rate</f>
        <v>0</v>
      </c>
      <c r="AP268" s="70">
        <f>ReviewCalcs[[#This Row],[Fixture Energy Savings]]*Avg_KWh_Rate</f>
        <v>0</v>
      </c>
      <c r="AQ268" s="129" t="e">
        <f>ReviewCalcs[[#This Row],[Existing Fixture Quantity]]*ReviewCalcs[[#This Row],[Existing Fixture Watts]]/1000*ReviewCalcs[[#This Row],[Existing CF]]*ReviewCalcs[[#This Row],[IEFD]]</f>
        <v>#VALUE!</v>
      </c>
      <c r="AR268" s="129" t="e">
        <f>ReviewCalcs[[#This Row],[Proposed Fixture Quantity]]*ReviewCalcs[[#This Row],[Proposed Fixture Watts]]/1000*ReviewCalcs[[#This Row],[Proposed CF]]*ReviewCalcs[[#This Row],[IEFD]]</f>
        <v>#VALUE!</v>
      </c>
      <c r="AS268" s="118">
        <f>IF(ReviewCalcs[[#This Row],[Existing CF]]=ReviewCalcs[[#This Row],[Proposed CF]], 0, ReviewCalcs[[#This Row],[Proposed Fixture Quantity]]*ReviewCalcs[[#This Row],[Proposed Fixture Watts]]/1000*ReviewCalcs[[#This Row],[Proposed CF]]*ReviewCalcs[[#This Row],[IEFD]])</f>
        <v>0</v>
      </c>
      <c r="AT268" s="118">
        <f>IFERROR(ReviewCalcs[[#This Row],[Existing Fixture Quantity]]*ReviewCalcs[[#This Row],[Existing Fixture Watts]]/1000*ReviewCalcs[[#This Row],[Existing PAF]]*ReviewCalcs[[#This Row],[AOH]]*ReviewCalcs[[#This Row],[IEFE]], 0)</f>
        <v>0</v>
      </c>
      <c r="AU268" s="118">
        <f>IFERROR(ReviewCalcs[[#This Row],[Proposed Fixture Quantity]]*ReviewCalcs[[#This Row],[Proposed Fixture Watts]]/1000*ReviewCalcs[[#This Row],[Proposed PAF]]*ReviewCalcs[[#This Row],[AOH]]*ReviewCalcs[[#This Row],[IEFE]], 0)</f>
        <v>0</v>
      </c>
      <c r="AV268" s="118">
        <f>IFERROR(ReviewCalcs[[#This Row],[Proposed Fixture Quantity]]*ReviewCalcs[[#This Row],[Proposed Fixture Watts]]/1000*(ReviewCalcs[[#This Row],[Existing PAF]]-ReviewCalcs[[#This Row],[Proposed PAF]])*ReviewCalcs[[#This Row],[AOH]]*ReviewCalcs[[#This Row],[IEFE]], 0)</f>
        <v>0</v>
      </c>
      <c r="AW268" s="118">
        <f>ReviewCalcs[[#This Row],[Control Existing Energy (kWh)]]*kWh_Incentive_Rate</f>
        <v>0</v>
      </c>
      <c r="AX268" s="118">
        <f>ReviewCalcs[[#This Row],[Control Proposed Energy (kWh)]]*kWh_Incentive_Rate</f>
        <v>0</v>
      </c>
      <c r="AY268" s="70">
        <f>ReviewCalcs[[#This Row],[Control Energy Savings (kWh)]]*kWh_Incentive_Rate</f>
        <v>0</v>
      </c>
      <c r="AZ268" s="70" t="e">
        <f>ReviewCalcs[[#This Row],[Fixture Existing Demand (kW)]]+ReviewCalcs[[#This Row],[Control Existing Demand (kW)]]</f>
        <v>#VALUE!</v>
      </c>
      <c r="BA268" s="70" t="e">
        <f>ReviewCalcs[[#This Row],[Fixture Proposed Demand (kW)]]+ReviewCalcs[[#This Row],[Control Proposed Demand (kW)]]</f>
        <v>#VALUE!</v>
      </c>
      <c r="BB268" s="118">
        <f>ReviewCalcs[[#This Row],[Fixture Demand Savings (kW)]]+ReviewCalcs[[#This Row],[Control Demand Savings (kW)]]</f>
        <v>0</v>
      </c>
      <c r="BC268" s="118">
        <f>ReviewCalcs[[#This Row],[Fixture Existing Energy (kWh)]]+ReviewCalcs[[#This Row],[Control Existing Energy (kWh)]]</f>
        <v>0</v>
      </c>
      <c r="BD268" s="118">
        <f>ReviewCalcs[[#This Row],[Fixture Proposed Energy (kWh)]]+ReviewCalcs[[#This Row],[Control Proposed Energy (kWh)]]</f>
        <v>0</v>
      </c>
      <c r="BE268" s="118">
        <f>ReviewCalcs[[#This Row],[Fixture Energy Savings]]+ReviewCalcs[[#This Row],[Control Energy Savings (kWh)]]</f>
        <v>0</v>
      </c>
      <c r="BF268" s="118">
        <f>ReviewCalcs[[#This Row],[Fixture Existing Cost ($)]]+ReviewCalcs[[#This Row],[Control Existing Cost ($)]]</f>
        <v>0</v>
      </c>
      <c r="BG268" s="118">
        <f>ReviewCalcs[[#This Row],[Fixture Proposed Cost ($)]]+ReviewCalcs[[#This Row],[Controls Proposed Cost ($)]]</f>
        <v>0</v>
      </c>
      <c r="BH268" s="70">
        <f>ReviewCalcs[[#This Row],[Total Energy Savings (kWh)]]*Avg_KWh_Rate</f>
        <v>0</v>
      </c>
      <c r="BI26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8" s="70">
        <f>ReviewCalcs[[#This Row],[Retrofit Cost]]</f>
        <v>0</v>
      </c>
      <c r="BK268" s="70">
        <f>ReviewCalcs[[#This Row],[Retrofit Cost]]-ReviewCalcs[[#This Row],[Incentive ($)]]</f>
        <v>0</v>
      </c>
      <c r="BL268" s="118" t="e">
        <f>IFERROR(ReviewCalcs[[#This Row],[Net Project Cost ($)]]/ReviewCalcs[[#This Row],[Fixture Energy Cost Savings ($)]], #N/A)</f>
        <v>#N/A</v>
      </c>
      <c r="BM268" s="118" t="e">
        <f>IF(VLOOKUP(ReviewCalcs[[#This Row],[Existing Fixture Code]], Table7[[FIXTURE CODE]:[Baseline Fixture Code]], 8, FALSE)="N", VLOOKUP(ReviewCalcs[[#This Row],[Existing Fixture Code]], Table7[[FIXTURE CODE]:[Baseline Fixture Code]], 9, FALSE), ReviewCalcs[[#This Row],[Existing Fixture Code]])</f>
        <v>#N/A</v>
      </c>
      <c r="BN268" s="118" t="e">
        <f>INDEX(Table7[WATT/ FIXT], MATCH(ReviewCalcs[Baseline Fixture Code], Table7[FIXTURE CODE], 0))</f>
        <v>#N/A</v>
      </c>
      <c r="BO268" s="118">
        <f>IFERROR((ReviewCalcs[[#This Row],[Existing Fixture Quantity]]*ReviewCalcs[[#This Row],[Baseline Fixture Watts]]/1000-ReviewCalcs[[#This Row],[Proposed Fixture Quantity]]*ReviewCalcs[[#This Row],[Proposed Fixture Watts]]/1000)*ReviewCalcs[[#This Row],[Existing CF]]*ReviewCalcs[[#This Row],[IEFD]], 0)</f>
        <v>0</v>
      </c>
      <c r="BP26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8" s="118">
        <f>IF(ReviewCalcs[[#This Row],[Existing CF]]=ReviewCalcs[[#This Row],[Proposed CF]], 0, ReviewCalcs[[#This Row],[Proposed Fixture Quantity]]*ReviewCalcs[[#This Row],[Proposed Fixture Watts]]/1000*ReviewCalcs[[#This Row],[Proposed CF]]*ReviewCalcs[[#This Row],[IEFD]])</f>
        <v>0</v>
      </c>
      <c r="BR268" s="118">
        <f>IFERROR(ReviewCalcs[[#This Row],[Proposed Fixture Quantity]]*ReviewCalcs[[#This Row],[Proposed Fixture Watts]]/1000*(ReviewCalcs[[#This Row],[Existing PAF]]-ReviewCalcs[[#This Row],[Proposed PAF]])*ReviewCalcs[[#This Row],[AOH]]*ReviewCalcs[[#This Row],[IEFE]],0)</f>
        <v>0</v>
      </c>
      <c r="BS268" s="118">
        <f>ReviewCalcs[[#This Row],[Incentive Fixture Demand Savings (kW)]]+ReviewCalcs[[#This Row],[Incentive Control Demand Savings (kW)]]</f>
        <v>0</v>
      </c>
      <c r="BT268" s="118">
        <f>ReviewCalcs[[#This Row],[Incentive Fixture Energy Savings (kWh)]]+ReviewCalcs[[#This Row],[Incentive Control Energy Savings (kWh)]]</f>
        <v>0</v>
      </c>
      <c r="BU268" s="73"/>
    </row>
    <row r="269" spans="1:73" ht="30" customHeight="1">
      <c r="A269" s="68">
        <v>266</v>
      </c>
      <c r="B269" s="96">
        <f>VLOOKUP(ReviewCalcs[[#This Row],[Project Index]], ProjectInput[], D$1, FALSE)</f>
        <v>0</v>
      </c>
      <c r="C269" s="97">
        <f>VLOOKUP(ReviewCalcs[[#This Row],[Project Index]], ProjectInput[], E$1, FALSE)</f>
        <v>0</v>
      </c>
      <c r="D269" s="97">
        <f>VLOOKUP(ReviewCalcs[[#This Row],[Project Index]], ProjectInput[], F$1, FALSE)</f>
        <v>0</v>
      </c>
      <c r="E269" s="97">
        <f>VLOOKUP(ReviewCalcs[[#This Row],[Project Index]], ProjectInput[], G$1, FALSE)</f>
        <v>0</v>
      </c>
      <c r="F269" s="97">
        <f>VLOOKUP(ReviewCalcs[[#This Row],[Project Index]], ProjectInput[], H$1, FALSE)</f>
        <v>0</v>
      </c>
      <c r="G269" s="98" t="str">
        <f>VLOOKUP(ReviewCalcs[[#This Row],[Project Index]], ProjectInput[], I$1, FALSE)</f>
        <v/>
      </c>
      <c r="H269" s="96">
        <f>VLOOKUP(ReviewCalcs[[#This Row],[Project Index]], ProjectInput[], J$1, FALSE)</f>
        <v>0</v>
      </c>
      <c r="I269" s="97">
        <f>VLOOKUP(ReviewCalcs[[#This Row],[Project Index]], ProjectInput[], K$1, FALSE)</f>
        <v>0</v>
      </c>
      <c r="J269" s="97">
        <f>VLOOKUP(ReviewCalcs[[#This Row],[Project Index]], ProjectInput[], L$1, FALSE)</f>
        <v>0</v>
      </c>
      <c r="K269" s="97">
        <f>VLOOKUP(ReviewCalcs[[#This Row],[Project Index]], ProjectInput[], M$1, FALSE)</f>
        <v>0</v>
      </c>
      <c r="L269" s="97">
        <f>VLOOKUP(ReviewCalcs[[#This Row],[Project Index]], ProjectInput[], N$1, FALSE)</f>
        <v>0</v>
      </c>
      <c r="M269" s="98" t="str">
        <f>VLOOKUP(ReviewCalcs[[#This Row],[Project Index]], ProjectInput[], O$1, FALSE)</f>
        <v/>
      </c>
      <c r="N269" s="96">
        <f>VLOOKUP(ReviewCalcs[[#This Row],[Project Index]], ProjectInput[], P$1, FALSE)</f>
        <v>0</v>
      </c>
      <c r="O269" s="97">
        <f>VLOOKUP(ReviewCalcs[[#This Row],[Project Index]], ProjectInput[], Q$1, FALSE)</f>
        <v>0</v>
      </c>
      <c r="P269" s="97">
        <f>VLOOKUP(ReviewCalcs[[#This Row],[Project Index]], ProjectInput[], R$1, FALSE)</f>
        <v>0</v>
      </c>
      <c r="Q269" s="97">
        <f>VLOOKUP(ReviewCalcs[[#This Row],[Project Index]], ProjectInput[], S$1, FALSE)</f>
        <v>0</v>
      </c>
      <c r="R269" s="97">
        <f>VLOOKUP(ReviewCalcs[[#This Row],[Project Index]], ProjectInput[], T$1, FALSE)</f>
        <v>0</v>
      </c>
      <c r="S269" s="97">
        <f>VLOOKUP(ReviewCalcs[[#This Row],[Project Index]], ProjectInput[], U$1, FALSE)</f>
        <v>0</v>
      </c>
      <c r="T269" s="97">
        <f>VLOOKUP(ReviewCalcs[[#This Row],[Project Index]], ProjectInput[], V$1, FALSE)</f>
        <v>0</v>
      </c>
      <c r="U269" s="97">
        <f>VLOOKUP(ReviewCalcs[[#This Row],[Project Index]], ProjectInput[], W$1, FALSE)</f>
        <v>0</v>
      </c>
      <c r="V269" s="98" t="str">
        <f>VLOOKUP(ReviewCalcs[[#This Row],[Project Index]], ProjectInput[], X$1, FALSE)</f>
        <v/>
      </c>
      <c r="W26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69" s="75" t="e">
        <f>IF(VLOOKUP(ReviewCalcs[[#This Row],[Proposed Fixture Code]], Table7[[FIXTURE CODE]:[Baseline Fixture Code]], 8, FALSE)="N", "ERROR", "PASS")</f>
        <v>#N/A</v>
      </c>
      <c r="Y26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69" s="75" t="e">
        <f>IF(OR(ReviewCalcs[[#This Row],[Baseline Fixture Watts]]&gt;=ReviewCalcs[[#This Row],[Proposed Fixture Watts]],ReviewCalcs[[#This Row],[Existing Fixture Watts]]&gt;=ReviewCalcs[[#This Row],[Proposed Fixture Watts]] ), "PASS", "ERROR")</f>
        <v>#N/A</v>
      </c>
      <c r="AA269" s="69" t="e">
        <f>VLOOKUP(ReviewCalcs[[#This Row],[Space Conditions]], Table_365[], 5, FALSE)</f>
        <v>#N/A</v>
      </c>
      <c r="AB269" s="68" t="str">
        <f>ReviewCalcs[[#This Row],[Annual Hours]]</f>
        <v/>
      </c>
      <c r="AC269" s="68" t="e">
        <f>VLOOKUP(ReviewCalcs[[#This Row],[Space Conditions]], Table_365[], 6, FALSE)</f>
        <v>#N/A</v>
      </c>
      <c r="AD269" s="68">
        <f>IF(ReviewCalcs[[#This Row],[Existing Control(s)]]='Tables &amp; Ranges'!$A$25, VLOOKUP(ReviewCalcs[[#This Row],[Building/Space Type]], Table_364[], 3, FALSE), CF_Contols)</f>
        <v>0.26</v>
      </c>
      <c r="AE269" s="68" t="e">
        <f>VLOOKUP(ReviewCalcs[[#This Row],[Existing Control(s)]], Table_358[], 2, FALSE)</f>
        <v>#N/A</v>
      </c>
      <c r="AF269" s="68">
        <f>IF(ReviewCalcs[[#This Row],[Proposed Control(s)]]='Tables &amp; Ranges'!$A$25, VLOOKUP(ReviewCalcs[[#This Row],[Building/Space Type]], Table_364[], 3, FALSE), CF_Contols)</f>
        <v>0.26</v>
      </c>
      <c r="AG269" s="68" t="e">
        <f>VLOOKUP(ReviewCalcs[[#This Row],[Proposed Control(s)]], Table_358[], 2, FALSE)</f>
        <v>#N/A</v>
      </c>
      <c r="AH269" s="68">
        <f>IFERROR((ReviewCalcs[[#This Row],[Existing Fixture Quantity]]*ReviewCalcs[[#This Row],[Existing Fixture Watts]]/1000)*ReviewCalcs[[#This Row],[Existing CF]]*ReviewCalcs[[#This Row],[IEFD]], 0)</f>
        <v>0</v>
      </c>
      <c r="AI269" s="68">
        <f>IFERROR((ReviewCalcs[[#This Row],[Proposed Fixture Quantity]]*ReviewCalcs[[#This Row],[Proposed Fixture Watts]]/1000)*ReviewCalcs[[#This Row],[Existing CF]]*ReviewCalcs[[#This Row],[IEFD]], 0)</f>
        <v>0</v>
      </c>
      <c r="AJ269" s="118">
        <f>IFERROR((ReviewCalcs[[#This Row],[Existing Fixture Quantity]]*ReviewCalcs[[#This Row],[Existing Fixture Watts]]/1000-ReviewCalcs[[#This Row],[Proposed Fixture Quantity]]*ReviewCalcs[[#This Row],[Proposed Fixture Watts]]/1000)*ReviewCalcs[[#This Row],[Existing CF]]*ReviewCalcs[[#This Row],[IEFD]], 0)</f>
        <v>0</v>
      </c>
      <c r="AK269" s="118">
        <f>IFERROR((ReviewCalcs[[#This Row],[Existing Fixture Quantity]]*ReviewCalcs[[#This Row],[Existing Fixture Watts]]/1000)*ReviewCalcs[[#This Row],[AOH]]*ReviewCalcs[[#This Row],[IEFE]]*ReviewCalcs[[#This Row],[Existing PAF]], 0)</f>
        <v>0</v>
      </c>
      <c r="AL269" s="118">
        <f>IFERROR((ReviewCalcs[[#This Row],[Proposed Fixture Quantity]]*ReviewCalcs[[#This Row],[Proposed Fixture Watts]]/1000)*ReviewCalcs[[#This Row],[AOH]]*ReviewCalcs[[#This Row],[IEFE]]*ReviewCalcs[[#This Row],[Existing PAF]], 0)</f>
        <v>0</v>
      </c>
      <c r="AM26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69" s="118">
        <f>ReviewCalcs[[#This Row],[Fixture Existing Energy (kWh)]]*Avg_KWh_Rate</f>
        <v>0</v>
      </c>
      <c r="AO269" s="118">
        <f>ReviewCalcs[[#This Row],[Fixture Proposed Energy (kWh)]]*Avg_KWh_Rate</f>
        <v>0</v>
      </c>
      <c r="AP269" s="70">
        <f>ReviewCalcs[[#This Row],[Fixture Energy Savings]]*Avg_KWh_Rate</f>
        <v>0</v>
      </c>
      <c r="AQ269" s="129" t="e">
        <f>ReviewCalcs[[#This Row],[Existing Fixture Quantity]]*ReviewCalcs[[#This Row],[Existing Fixture Watts]]/1000*ReviewCalcs[[#This Row],[Existing CF]]*ReviewCalcs[[#This Row],[IEFD]]</f>
        <v>#VALUE!</v>
      </c>
      <c r="AR269" s="129" t="e">
        <f>ReviewCalcs[[#This Row],[Proposed Fixture Quantity]]*ReviewCalcs[[#This Row],[Proposed Fixture Watts]]/1000*ReviewCalcs[[#This Row],[Proposed CF]]*ReviewCalcs[[#This Row],[IEFD]]</f>
        <v>#VALUE!</v>
      </c>
      <c r="AS269" s="118">
        <f>IF(ReviewCalcs[[#This Row],[Existing CF]]=ReviewCalcs[[#This Row],[Proposed CF]], 0, ReviewCalcs[[#This Row],[Proposed Fixture Quantity]]*ReviewCalcs[[#This Row],[Proposed Fixture Watts]]/1000*ReviewCalcs[[#This Row],[Proposed CF]]*ReviewCalcs[[#This Row],[IEFD]])</f>
        <v>0</v>
      </c>
      <c r="AT269" s="118">
        <f>IFERROR(ReviewCalcs[[#This Row],[Existing Fixture Quantity]]*ReviewCalcs[[#This Row],[Existing Fixture Watts]]/1000*ReviewCalcs[[#This Row],[Existing PAF]]*ReviewCalcs[[#This Row],[AOH]]*ReviewCalcs[[#This Row],[IEFE]], 0)</f>
        <v>0</v>
      </c>
      <c r="AU269" s="118">
        <f>IFERROR(ReviewCalcs[[#This Row],[Proposed Fixture Quantity]]*ReviewCalcs[[#This Row],[Proposed Fixture Watts]]/1000*ReviewCalcs[[#This Row],[Proposed PAF]]*ReviewCalcs[[#This Row],[AOH]]*ReviewCalcs[[#This Row],[IEFE]], 0)</f>
        <v>0</v>
      </c>
      <c r="AV269" s="118">
        <f>IFERROR(ReviewCalcs[[#This Row],[Proposed Fixture Quantity]]*ReviewCalcs[[#This Row],[Proposed Fixture Watts]]/1000*(ReviewCalcs[[#This Row],[Existing PAF]]-ReviewCalcs[[#This Row],[Proposed PAF]])*ReviewCalcs[[#This Row],[AOH]]*ReviewCalcs[[#This Row],[IEFE]], 0)</f>
        <v>0</v>
      </c>
      <c r="AW269" s="118">
        <f>ReviewCalcs[[#This Row],[Control Existing Energy (kWh)]]*kWh_Incentive_Rate</f>
        <v>0</v>
      </c>
      <c r="AX269" s="118">
        <f>ReviewCalcs[[#This Row],[Control Proposed Energy (kWh)]]*kWh_Incentive_Rate</f>
        <v>0</v>
      </c>
      <c r="AY269" s="70">
        <f>ReviewCalcs[[#This Row],[Control Energy Savings (kWh)]]*kWh_Incentive_Rate</f>
        <v>0</v>
      </c>
      <c r="AZ269" s="70" t="e">
        <f>ReviewCalcs[[#This Row],[Fixture Existing Demand (kW)]]+ReviewCalcs[[#This Row],[Control Existing Demand (kW)]]</f>
        <v>#VALUE!</v>
      </c>
      <c r="BA269" s="70" t="e">
        <f>ReviewCalcs[[#This Row],[Fixture Proposed Demand (kW)]]+ReviewCalcs[[#This Row],[Control Proposed Demand (kW)]]</f>
        <v>#VALUE!</v>
      </c>
      <c r="BB269" s="118">
        <f>ReviewCalcs[[#This Row],[Fixture Demand Savings (kW)]]+ReviewCalcs[[#This Row],[Control Demand Savings (kW)]]</f>
        <v>0</v>
      </c>
      <c r="BC269" s="118">
        <f>ReviewCalcs[[#This Row],[Fixture Existing Energy (kWh)]]+ReviewCalcs[[#This Row],[Control Existing Energy (kWh)]]</f>
        <v>0</v>
      </c>
      <c r="BD269" s="118">
        <f>ReviewCalcs[[#This Row],[Fixture Proposed Energy (kWh)]]+ReviewCalcs[[#This Row],[Control Proposed Energy (kWh)]]</f>
        <v>0</v>
      </c>
      <c r="BE269" s="118">
        <f>ReviewCalcs[[#This Row],[Fixture Energy Savings]]+ReviewCalcs[[#This Row],[Control Energy Savings (kWh)]]</f>
        <v>0</v>
      </c>
      <c r="BF269" s="118">
        <f>ReviewCalcs[[#This Row],[Fixture Existing Cost ($)]]+ReviewCalcs[[#This Row],[Control Existing Cost ($)]]</f>
        <v>0</v>
      </c>
      <c r="BG269" s="118">
        <f>ReviewCalcs[[#This Row],[Fixture Proposed Cost ($)]]+ReviewCalcs[[#This Row],[Controls Proposed Cost ($)]]</f>
        <v>0</v>
      </c>
      <c r="BH269" s="70">
        <f>ReviewCalcs[[#This Row],[Total Energy Savings (kWh)]]*Avg_KWh_Rate</f>
        <v>0</v>
      </c>
      <c r="BI26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69" s="70">
        <f>ReviewCalcs[[#This Row],[Retrofit Cost]]</f>
        <v>0</v>
      </c>
      <c r="BK269" s="70">
        <f>ReviewCalcs[[#This Row],[Retrofit Cost]]-ReviewCalcs[[#This Row],[Incentive ($)]]</f>
        <v>0</v>
      </c>
      <c r="BL269" s="118" t="e">
        <f>IFERROR(ReviewCalcs[[#This Row],[Net Project Cost ($)]]/ReviewCalcs[[#This Row],[Fixture Energy Cost Savings ($)]], #N/A)</f>
        <v>#N/A</v>
      </c>
      <c r="BM269" s="118" t="e">
        <f>IF(VLOOKUP(ReviewCalcs[[#This Row],[Existing Fixture Code]], Table7[[FIXTURE CODE]:[Baseline Fixture Code]], 8, FALSE)="N", VLOOKUP(ReviewCalcs[[#This Row],[Existing Fixture Code]], Table7[[FIXTURE CODE]:[Baseline Fixture Code]], 9, FALSE), ReviewCalcs[[#This Row],[Existing Fixture Code]])</f>
        <v>#N/A</v>
      </c>
      <c r="BN269" s="118" t="e">
        <f>INDEX(Table7[WATT/ FIXT], MATCH(ReviewCalcs[Baseline Fixture Code], Table7[FIXTURE CODE], 0))</f>
        <v>#N/A</v>
      </c>
      <c r="BO269" s="118">
        <f>IFERROR((ReviewCalcs[[#This Row],[Existing Fixture Quantity]]*ReviewCalcs[[#This Row],[Baseline Fixture Watts]]/1000-ReviewCalcs[[#This Row],[Proposed Fixture Quantity]]*ReviewCalcs[[#This Row],[Proposed Fixture Watts]]/1000)*ReviewCalcs[[#This Row],[Existing CF]]*ReviewCalcs[[#This Row],[IEFD]], 0)</f>
        <v>0</v>
      </c>
      <c r="BP26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69" s="118">
        <f>IF(ReviewCalcs[[#This Row],[Existing CF]]=ReviewCalcs[[#This Row],[Proposed CF]], 0, ReviewCalcs[[#This Row],[Proposed Fixture Quantity]]*ReviewCalcs[[#This Row],[Proposed Fixture Watts]]/1000*ReviewCalcs[[#This Row],[Proposed CF]]*ReviewCalcs[[#This Row],[IEFD]])</f>
        <v>0</v>
      </c>
      <c r="BR269" s="118">
        <f>IFERROR(ReviewCalcs[[#This Row],[Proposed Fixture Quantity]]*ReviewCalcs[[#This Row],[Proposed Fixture Watts]]/1000*(ReviewCalcs[[#This Row],[Existing PAF]]-ReviewCalcs[[#This Row],[Proposed PAF]])*ReviewCalcs[[#This Row],[AOH]]*ReviewCalcs[[#This Row],[IEFE]],0)</f>
        <v>0</v>
      </c>
      <c r="BS269" s="118">
        <f>ReviewCalcs[[#This Row],[Incentive Fixture Demand Savings (kW)]]+ReviewCalcs[[#This Row],[Incentive Control Demand Savings (kW)]]</f>
        <v>0</v>
      </c>
      <c r="BT269" s="118">
        <f>ReviewCalcs[[#This Row],[Incentive Fixture Energy Savings (kWh)]]+ReviewCalcs[[#This Row],[Incentive Control Energy Savings (kWh)]]</f>
        <v>0</v>
      </c>
      <c r="BU269" s="73"/>
    </row>
    <row r="270" spans="1:73" ht="30" customHeight="1">
      <c r="A270" s="68">
        <v>267</v>
      </c>
      <c r="B270" s="96">
        <f>VLOOKUP(ReviewCalcs[[#This Row],[Project Index]], ProjectInput[], D$1, FALSE)</f>
        <v>0</v>
      </c>
      <c r="C270" s="97">
        <f>VLOOKUP(ReviewCalcs[[#This Row],[Project Index]], ProjectInput[], E$1, FALSE)</f>
        <v>0</v>
      </c>
      <c r="D270" s="97">
        <f>VLOOKUP(ReviewCalcs[[#This Row],[Project Index]], ProjectInput[], F$1, FALSE)</f>
        <v>0</v>
      </c>
      <c r="E270" s="97">
        <f>VLOOKUP(ReviewCalcs[[#This Row],[Project Index]], ProjectInput[], G$1, FALSE)</f>
        <v>0</v>
      </c>
      <c r="F270" s="97">
        <f>VLOOKUP(ReviewCalcs[[#This Row],[Project Index]], ProjectInput[], H$1, FALSE)</f>
        <v>0</v>
      </c>
      <c r="G270" s="98" t="str">
        <f>VLOOKUP(ReviewCalcs[[#This Row],[Project Index]], ProjectInput[], I$1, FALSE)</f>
        <v/>
      </c>
      <c r="H270" s="96">
        <f>VLOOKUP(ReviewCalcs[[#This Row],[Project Index]], ProjectInput[], J$1, FALSE)</f>
        <v>0</v>
      </c>
      <c r="I270" s="97">
        <f>VLOOKUP(ReviewCalcs[[#This Row],[Project Index]], ProjectInput[], K$1, FALSE)</f>
        <v>0</v>
      </c>
      <c r="J270" s="97">
        <f>VLOOKUP(ReviewCalcs[[#This Row],[Project Index]], ProjectInput[], L$1, FALSE)</f>
        <v>0</v>
      </c>
      <c r="K270" s="97">
        <f>VLOOKUP(ReviewCalcs[[#This Row],[Project Index]], ProjectInput[], M$1, FALSE)</f>
        <v>0</v>
      </c>
      <c r="L270" s="97">
        <f>VLOOKUP(ReviewCalcs[[#This Row],[Project Index]], ProjectInput[], N$1, FALSE)</f>
        <v>0</v>
      </c>
      <c r="M270" s="98" t="str">
        <f>VLOOKUP(ReviewCalcs[[#This Row],[Project Index]], ProjectInput[], O$1, FALSE)</f>
        <v/>
      </c>
      <c r="N270" s="96">
        <f>VLOOKUP(ReviewCalcs[[#This Row],[Project Index]], ProjectInput[], P$1, FALSE)</f>
        <v>0</v>
      </c>
      <c r="O270" s="97">
        <f>VLOOKUP(ReviewCalcs[[#This Row],[Project Index]], ProjectInput[], Q$1, FALSE)</f>
        <v>0</v>
      </c>
      <c r="P270" s="97">
        <f>VLOOKUP(ReviewCalcs[[#This Row],[Project Index]], ProjectInput[], R$1, FALSE)</f>
        <v>0</v>
      </c>
      <c r="Q270" s="97">
        <f>VLOOKUP(ReviewCalcs[[#This Row],[Project Index]], ProjectInput[], S$1, FALSE)</f>
        <v>0</v>
      </c>
      <c r="R270" s="97">
        <f>VLOOKUP(ReviewCalcs[[#This Row],[Project Index]], ProjectInput[], T$1, FALSE)</f>
        <v>0</v>
      </c>
      <c r="S270" s="97">
        <f>VLOOKUP(ReviewCalcs[[#This Row],[Project Index]], ProjectInput[], U$1, FALSE)</f>
        <v>0</v>
      </c>
      <c r="T270" s="97">
        <f>VLOOKUP(ReviewCalcs[[#This Row],[Project Index]], ProjectInput[], V$1, FALSE)</f>
        <v>0</v>
      </c>
      <c r="U270" s="97">
        <f>VLOOKUP(ReviewCalcs[[#This Row],[Project Index]], ProjectInput[], W$1, FALSE)</f>
        <v>0</v>
      </c>
      <c r="V270" s="98" t="str">
        <f>VLOOKUP(ReviewCalcs[[#This Row],[Project Index]], ProjectInput[], X$1, FALSE)</f>
        <v/>
      </c>
      <c r="W27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0" s="75" t="e">
        <f>IF(VLOOKUP(ReviewCalcs[[#This Row],[Proposed Fixture Code]], Table7[[FIXTURE CODE]:[Baseline Fixture Code]], 8, FALSE)="N", "ERROR", "PASS")</f>
        <v>#N/A</v>
      </c>
      <c r="Y27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0" s="75" t="e">
        <f>IF(OR(ReviewCalcs[[#This Row],[Baseline Fixture Watts]]&gt;=ReviewCalcs[[#This Row],[Proposed Fixture Watts]],ReviewCalcs[[#This Row],[Existing Fixture Watts]]&gt;=ReviewCalcs[[#This Row],[Proposed Fixture Watts]] ), "PASS", "ERROR")</f>
        <v>#N/A</v>
      </c>
      <c r="AA270" s="69" t="e">
        <f>VLOOKUP(ReviewCalcs[[#This Row],[Space Conditions]], Table_365[], 5, FALSE)</f>
        <v>#N/A</v>
      </c>
      <c r="AB270" s="68" t="str">
        <f>ReviewCalcs[[#This Row],[Annual Hours]]</f>
        <v/>
      </c>
      <c r="AC270" s="68" t="e">
        <f>VLOOKUP(ReviewCalcs[[#This Row],[Space Conditions]], Table_365[], 6, FALSE)</f>
        <v>#N/A</v>
      </c>
      <c r="AD270" s="68">
        <f>IF(ReviewCalcs[[#This Row],[Existing Control(s)]]='Tables &amp; Ranges'!$A$25, VLOOKUP(ReviewCalcs[[#This Row],[Building/Space Type]], Table_364[], 3, FALSE), CF_Contols)</f>
        <v>0.26</v>
      </c>
      <c r="AE270" s="68" t="e">
        <f>VLOOKUP(ReviewCalcs[[#This Row],[Existing Control(s)]], Table_358[], 2, FALSE)</f>
        <v>#N/A</v>
      </c>
      <c r="AF270" s="68">
        <f>IF(ReviewCalcs[[#This Row],[Proposed Control(s)]]='Tables &amp; Ranges'!$A$25, VLOOKUP(ReviewCalcs[[#This Row],[Building/Space Type]], Table_364[], 3, FALSE), CF_Contols)</f>
        <v>0.26</v>
      </c>
      <c r="AG270" s="68" t="e">
        <f>VLOOKUP(ReviewCalcs[[#This Row],[Proposed Control(s)]], Table_358[], 2, FALSE)</f>
        <v>#N/A</v>
      </c>
      <c r="AH270" s="68">
        <f>IFERROR((ReviewCalcs[[#This Row],[Existing Fixture Quantity]]*ReviewCalcs[[#This Row],[Existing Fixture Watts]]/1000)*ReviewCalcs[[#This Row],[Existing CF]]*ReviewCalcs[[#This Row],[IEFD]], 0)</f>
        <v>0</v>
      </c>
      <c r="AI270" s="68">
        <f>IFERROR((ReviewCalcs[[#This Row],[Proposed Fixture Quantity]]*ReviewCalcs[[#This Row],[Proposed Fixture Watts]]/1000)*ReviewCalcs[[#This Row],[Existing CF]]*ReviewCalcs[[#This Row],[IEFD]], 0)</f>
        <v>0</v>
      </c>
      <c r="AJ270" s="118">
        <f>IFERROR((ReviewCalcs[[#This Row],[Existing Fixture Quantity]]*ReviewCalcs[[#This Row],[Existing Fixture Watts]]/1000-ReviewCalcs[[#This Row],[Proposed Fixture Quantity]]*ReviewCalcs[[#This Row],[Proposed Fixture Watts]]/1000)*ReviewCalcs[[#This Row],[Existing CF]]*ReviewCalcs[[#This Row],[IEFD]], 0)</f>
        <v>0</v>
      </c>
      <c r="AK270" s="118">
        <f>IFERROR((ReviewCalcs[[#This Row],[Existing Fixture Quantity]]*ReviewCalcs[[#This Row],[Existing Fixture Watts]]/1000)*ReviewCalcs[[#This Row],[AOH]]*ReviewCalcs[[#This Row],[IEFE]]*ReviewCalcs[[#This Row],[Existing PAF]], 0)</f>
        <v>0</v>
      </c>
      <c r="AL270" s="118">
        <f>IFERROR((ReviewCalcs[[#This Row],[Proposed Fixture Quantity]]*ReviewCalcs[[#This Row],[Proposed Fixture Watts]]/1000)*ReviewCalcs[[#This Row],[AOH]]*ReviewCalcs[[#This Row],[IEFE]]*ReviewCalcs[[#This Row],[Existing PAF]], 0)</f>
        <v>0</v>
      </c>
      <c r="AM27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0" s="118">
        <f>ReviewCalcs[[#This Row],[Fixture Existing Energy (kWh)]]*Avg_KWh_Rate</f>
        <v>0</v>
      </c>
      <c r="AO270" s="118">
        <f>ReviewCalcs[[#This Row],[Fixture Proposed Energy (kWh)]]*Avg_KWh_Rate</f>
        <v>0</v>
      </c>
      <c r="AP270" s="70">
        <f>ReviewCalcs[[#This Row],[Fixture Energy Savings]]*Avg_KWh_Rate</f>
        <v>0</v>
      </c>
      <c r="AQ270" s="129" t="e">
        <f>ReviewCalcs[[#This Row],[Existing Fixture Quantity]]*ReviewCalcs[[#This Row],[Existing Fixture Watts]]/1000*ReviewCalcs[[#This Row],[Existing CF]]*ReviewCalcs[[#This Row],[IEFD]]</f>
        <v>#VALUE!</v>
      </c>
      <c r="AR270" s="129" t="e">
        <f>ReviewCalcs[[#This Row],[Proposed Fixture Quantity]]*ReviewCalcs[[#This Row],[Proposed Fixture Watts]]/1000*ReviewCalcs[[#This Row],[Proposed CF]]*ReviewCalcs[[#This Row],[IEFD]]</f>
        <v>#VALUE!</v>
      </c>
      <c r="AS270" s="118">
        <f>IF(ReviewCalcs[[#This Row],[Existing CF]]=ReviewCalcs[[#This Row],[Proposed CF]], 0, ReviewCalcs[[#This Row],[Proposed Fixture Quantity]]*ReviewCalcs[[#This Row],[Proposed Fixture Watts]]/1000*ReviewCalcs[[#This Row],[Proposed CF]]*ReviewCalcs[[#This Row],[IEFD]])</f>
        <v>0</v>
      </c>
      <c r="AT270" s="118">
        <f>IFERROR(ReviewCalcs[[#This Row],[Existing Fixture Quantity]]*ReviewCalcs[[#This Row],[Existing Fixture Watts]]/1000*ReviewCalcs[[#This Row],[Existing PAF]]*ReviewCalcs[[#This Row],[AOH]]*ReviewCalcs[[#This Row],[IEFE]], 0)</f>
        <v>0</v>
      </c>
      <c r="AU270" s="118">
        <f>IFERROR(ReviewCalcs[[#This Row],[Proposed Fixture Quantity]]*ReviewCalcs[[#This Row],[Proposed Fixture Watts]]/1000*ReviewCalcs[[#This Row],[Proposed PAF]]*ReviewCalcs[[#This Row],[AOH]]*ReviewCalcs[[#This Row],[IEFE]], 0)</f>
        <v>0</v>
      </c>
      <c r="AV270" s="118">
        <f>IFERROR(ReviewCalcs[[#This Row],[Proposed Fixture Quantity]]*ReviewCalcs[[#This Row],[Proposed Fixture Watts]]/1000*(ReviewCalcs[[#This Row],[Existing PAF]]-ReviewCalcs[[#This Row],[Proposed PAF]])*ReviewCalcs[[#This Row],[AOH]]*ReviewCalcs[[#This Row],[IEFE]], 0)</f>
        <v>0</v>
      </c>
      <c r="AW270" s="118">
        <f>ReviewCalcs[[#This Row],[Control Existing Energy (kWh)]]*kWh_Incentive_Rate</f>
        <v>0</v>
      </c>
      <c r="AX270" s="118">
        <f>ReviewCalcs[[#This Row],[Control Proposed Energy (kWh)]]*kWh_Incentive_Rate</f>
        <v>0</v>
      </c>
      <c r="AY270" s="70">
        <f>ReviewCalcs[[#This Row],[Control Energy Savings (kWh)]]*kWh_Incentive_Rate</f>
        <v>0</v>
      </c>
      <c r="AZ270" s="70" t="e">
        <f>ReviewCalcs[[#This Row],[Fixture Existing Demand (kW)]]+ReviewCalcs[[#This Row],[Control Existing Demand (kW)]]</f>
        <v>#VALUE!</v>
      </c>
      <c r="BA270" s="70" t="e">
        <f>ReviewCalcs[[#This Row],[Fixture Proposed Demand (kW)]]+ReviewCalcs[[#This Row],[Control Proposed Demand (kW)]]</f>
        <v>#VALUE!</v>
      </c>
      <c r="BB270" s="118">
        <f>ReviewCalcs[[#This Row],[Fixture Demand Savings (kW)]]+ReviewCalcs[[#This Row],[Control Demand Savings (kW)]]</f>
        <v>0</v>
      </c>
      <c r="BC270" s="118">
        <f>ReviewCalcs[[#This Row],[Fixture Existing Energy (kWh)]]+ReviewCalcs[[#This Row],[Control Existing Energy (kWh)]]</f>
        <v>0</v>
      </c>
      <c r="BD270" s="118">
        <f>ReviewCalcs[[#This Row],[Fixture Proposed Energy (kWh)]]+ReviewCalcs[[#This Row],[Control Proposed Energy (kWh)]]</f>
        <v>0</v>
      </c>
      <c r="BE270" s="118">
        <f>ReviewCalcs[[#This Row],[Fixture Energy Savings]]+ReviewCalcs[[#This Row],[Control Energy Savings (kWh)]]</f>
        <v>0</v>
      </c>
      <c r="BF270" s="118">
        <f>ReviewCalcs[[#This Row],[Fixture Existing Cost ($)]]+ReviewCalcs[[#This Row],[Control Existing Cost ($)]]</f>
        <v>0</v>
      </c>
      <c r="BG270" s="118">
        <f>ReviewCalcs[[#This Row],[Fixture Proposed Cost ($)]]+ReviewCalcs[[#This Row],[Controls Proposed Cost ($)]]</f>
        <v>0</v>
      </c>
      <c r="BH270" s="70">
        <f>ReviewCalcs[[#This Row],[Total Energy Savings (kWh)]]*Avg_KWh_Rate</f>
        <v>0</v>
      </c>
      <c r="BI27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0" s="70">
        <f>ReviewCalcs[[#This Row],[Retrofit Cost]]</f>
        <v>0</v>
      </c>
      <c r="BK270" s="70">
        <f>ReviewCalcs[[#This Row],[Retrofit Cost]]-ReviewCalcs[[#This Row],[Incentive ($)]]</f>
        <v>0</v>
      </c>
      <c r="BL270" s="118" t="e">
        <f>IFERROR(ReviewCalcs[[#This Row],[Net Project Cost ($)]]/ReviewCalcs[[#This Row],[Fixture Energy Cost Savings ($)]], #N/A)</f>
        <v>#N/A</v>
      </c>
      <c r="BM270" s="118" t="e">
        <f>IF(VLOOKUP(ReviewCalcs[[#This Row],[Existing Fixture Code]], Table7[[FIXTURE CODE]:[Baseline Fixture Code]], 8, FALSE)="N", VLOOKUP(ReviewCalcs[[#This Row],[Existing Fixture Code]], Table7[[FIXTURE CODE]:[Baseline Fixture Code]], 9, FALSE), ReviewCalcs[[#This Row],[Existing Fixture Code]])</f>
        <v>#N/A</v>
      </c>
      <c r="BN270" s="118" t="e">
        <f>INDEX(Table7[WATT/ FIXT], MATCH(ReviewCalcs[Baseline Fixture Code], Table7[FIXTURE CODE], 0))</f>
        <v>#N/A</v>
      </c>
      <c r="BO270" s="118">
        <f>IFERROR((ReviewCalcs[[#This Row],[Existing Fixture Quantity]]*ReviewCalcs[[#This Row],[Baseline Fixture Watts]]/1000-ReviewCalcs[[#This Row],[Proposed Fixture Quantity]]*ReviewCalcs[[#This Row],[Proposed Fixture Watts]]/1000)*ReviewCalcs[[#This Row],[Existing CF]]*ReviewCalcs[[#This Row],[IEFD]], 0)</f>
        <v>0</v>
      </c>
      <c r="BP27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0" s="118">
        <f>IF(ReviewCalcs[[#This Row],[Existing CF]]=ReviewCalcs[[#This Row],[Proposed CF]], 0, ReviewCalcs[[#This Row],[Proposed Fixture Quantity]]*ReviewCalcs[[#This Row],[Proposed Fixture Watts]]/1000*ReviewCalcs[[#This Row],[Proposed CF]]*ReviewCalcs[[#This Row],[IEFD]])</f>
        <v>0</v>
      </c>
      <c r="BR270" s="118">
        <f>IFERROR(ReviewCalcs[[#This Row],[Proposed Fixture Quantity]]*ReviewCalcs[[#This Row],[Proposed Fixture Watts]]/1000*(ReviewCalcs[[#This Row],[Existing PAF]]-ReviewCalcs[[#This Row],[Proposed PAF]])*ReviewCalcs[[#This Row],[AOH]]*ReviewCalcs[[#This Row],[IEFE]],0)</f>
        <v>0</v>
      </c>
      <c r="BS270" s="118">
        <f>ReviewCalcs[[#This Row],[Incentive Fixture Demand Savings (kW)]]+ReviewCalcs[[#This Row],[Incentive Control Demand Savings (kW)]]</f>
        <v>0</v>
      </c>
      <c r="BT270" s="118">
        <f>ReviewCalcs[[#This Row],[Incentive Fixture Energy Savings (kWh)]]+ReviewCalcs[[#This Row],[Incentive Control Energy Savings (kWh)]]</f>
        <v>0</v>
      </c>
      <c r="BU270" s="73"/>
    </row>
    <row r="271" spans="1:73" ht="30" customHeight="1">
      <c r="A271" s="68">
        <v>268</v>
      </c>
      <c r="B271" s="96">
        <f>VLOOKUP(ReviewCalcs[[#This Row],[Project Index]], ProjectInput[], D$1, FALSE)</f>
        <v>0</v>
      </c>
      <c r="C271" s="97">
        <f>VLOOKUP(ReviewCalcs[[#This Row],[Project Index]], ProjectInput[], E$1, FALSE)</f>
        <v>0</v>
      </c>
      <c r="D271" s="97">
        <f>VLOOKUP(ReviewCalcs[[#This Row],[Project Index]], ProjectInput[], F$1, FALSE)</f>
        <v>0</v>
      </c>
      <c r="E271" s="97">
        <f>VLOOKUP(ReviewCalcs[[#This Row],[Project Index]], ProjectInput[], G$1, FALSE)</f>
        <v>0</v>
      </c>
      <c r="F271" s="97">
        <f>VLOOKUP(ReviewCalcs[[#This Row],[Project Index]], ProjectInput[], H$1, FALSE)</f>
        <v>0</v>
      </c>
      <c r="G271" s="98" t="str">
        <f>VLOOKUP(ReviewCalcs[[#This Row],[Project Index]], ProjectInput[], I$1, FALSE)</f>
        <v/>
      </c>
      <c r="H271" s="96">
        <f>VLOOKUP(ReviewCalcs[[#This Row],[Project Index]], ProjectInput[], J$1, FALSE)</f>
        <v>0</v>
      </c>
      <c r="I271" s="97">
        <f>VLOOKUP(ReviewCalcs[[#This Row],[Project Index]], ProjectInput[], K$1, FALSE)</f>
        <v>0</v>
      </c>
      <c r="J271" s="97">
        <f>VLOOKUP(ReviewCalcs[[#This Row],[Project Index]], ProjectInput[], L$1, FALSE)</f>
        <v>0</v>
      </c>
      <c r="K271" s="97">
        <f>VLOOKUP(ReviewCalcs[[#This Row],[Project Index]], ProjectInput[], M$1, FALSE)</f>
        <v>0</v>
      </c>
      <c r="L271" s="97">
        <f>VLOOKUP(ReviewCalcs[[#This Row],[Project Index]], ProjectInput[], N$1, FALSE)</f>
        <v>0</v>
      </c>
      <c r="M271" s="98" t="str">
        <f>VLOOKUP(ReviewCalcs[[#This Row],[Project Index]], ProjectInput[], O$1, FALSE)</f>
        <v/>
      </c>
      <c r="N271" s="96">
        <f>VLOOKUP(ReviewCalcs[[#This Row],[Project Index]], ProjectInput[], P$1, FALSE)</f>
        <v>0</v>
      </c>
      <c r="O271" s="97">
        <f>VLOOKUP(ReviewCalcs[[#This Row],[Project Index]], ProjectInput[], Q$1, FALSE)</f>
        <v>0</v>
      </c>
      <c r="P271" s="97">
        <f>VLOOKUP(ReviewCalcs[[#This Row],[Project Index]], ProjectInput[], R$1, FALSE)</f>
        <v>0</v>
      </c>
      <c r="Q271" s="97">
        <f>VLOOKUP(ReviewCalcs[[#This Row],[Project Index]], ProjectInput[], S$1, FALSE)</f>
        <v>0</v>
      </c>
      <c r="R271" s="97">
        <f>VLOOKUP(ReviewCalcs[[#This Row],[Project Index]], ProjectInput[], T$1, FALSE)</f>
        <v>0</v>
      </c>
      <c r="S271" s="97">
        <f>VLOOKUP(ReviewCalcs[[#This Row],[Project Index]], ProjectInput[], U$1, FALSE)</f>
        <v>0</v>
      </c>
      <c r="T271" s="97">
        <f>VLOOKUP(ReviewCalcs[[#This Row],[Project Index]], ProjectInput[], V$1, FALSE)</f>
        <v>0</v>
      </c>
      <c r="U271" s="97">
        <f>VLOOKUP(ReviewCalcs[[#This Row],[Project Index]], ProjectInput[], W$1, FALSE)</f>
        <v>0</v>
      </c>
      <c r="V271" s="98" t="str">
        <f>VLOOKUP(ReviewCalcs[[#This Row],[Project Index]], ProjectInput[], X$1, FALSE)</f>
        <v/>
      </c>
      <c r="W27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1" s="75" t="e">
        <f>IF(VLOOKUP(ReviewCalcs[[#This Row],[Proposed Fixture Code]], Table7[[FIXTURE CODE]:[Baseline Fixture Code]], 8, FALSE)="N", "ERROR", "PASS")</f>
        <v>#N/A</v>
      </c>
      <c r="Y27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1" s="75" t="e">
        <f>IF(OR(ReviewCalcs[[#This Row],[Baseline Fixture Watts]]&gt;=ReviewCalcs[[#This Row],[Proposed Fixture Watts]],ReviewCalcs[[#This Row],[Existing Fixture Watts]]&gt;=ReviewCalcs[[#This Row],[Proposed Fixture Watts]] ), "PASS", "ERROR")</f>
        <v>#N/A</v>
      </c>
      <c r="AA271" s="69" t="e">
        <f>VLOOKUP(ReviewCalcs[[#This Row],[Space Conditions]], Table_365[], 5, FALSE)</f>
        <v>#N/A</v>
      </c>
      <c r="AB271" s="68" t="str">
        <f>ReviewCalcs[[#This Row],[Annual Hours]]</f>
        <v/>
      </c>
      <c r="AC271" s="68" t="e">
        <f>VLOOKUP(ReviewCalcs[[#This Row],[Space Conditions]], Table_365[], 6, FALSE)</f>
        <v>#N/A</v>
      </c>
      <c r="AD271" s="68">
        <f>IF(ReviewCalcs[[#This Row],[Existing Control(s)]]='Tables &amp; Ranges'!$A$25, VLOOKUP(ReviewCalcs[[#This Row],[Building/Space Type]], Table_364[], 3, FALSE), CF_Contols)</f>
        <v>0.26</v>
      </c>
      <c r="AE271" s="68" t="e">
        <f>VLOOKUP(ReviewCalcs[[#This Row],[Existing Control(s)]], Table_358[], 2, FALSE)</f>
        <v>#N/A</v>
      </c>
      <c r="AF271" s="68">
        <f>IF(ReviewCalcs[[#This Row],[Proposed Control(s)]]='Tables &amp; Ranges'!$A$25, VLOOKUP(ReviewCalcs[[#This Row],[Building/Space Type]], Table_364[], 3, FALSE), CF_Contols)</f>
        <v>0.26</v>
      </c>
      <c r="AG271" s="68" t="e">
        <f>VLOOKUP(ReviewCalcs[[#This Row],[Proposed Control(s)]], Table_358[], 2, FALSE)</f>
        <v>#N/A</v>
      </c>
      <c r="AH271" s="68">
        <f>IFERROR((ReviewCalcs[[#This Row],[Existing Fixture Quantity]]*ReviewCalcs[[#This Row],[Existing Fixture Watts]]/1000)*ReviewCalcs[[#This Row],[Existing CF]]*ReviewCalcs[[#This Row],[IEFD]], 0)</f>
        <v>0</v>
      </c>
      <c r="AI271" s="68">
        <f>IFERROR((ReviewCalcs[[#This Row],[Proposed Fixture Quantity]]*ReviewCalcs[[#This Row],[Proposed Fixture Watts]]/1000)*ReviewCalcs[[#This Row],[Existing CF]]*ReviewCalcs[[#This Row],[IEFD]], 0)</f>
        <v>0</v>
      </c>
      <c r="AJ271" s="118">
        <f>IFERROR((ReviewCalcs[[#This Row],[Existing Fixture Quantity]]*ReviewCalcs[[#This Row],[Existing Fixture Watts]]/1000-ReviewCalcs[[#This Row],[Proposed Fixture Quantity]]*ReviewCalcs[[#This Row],[Proposed Fixture Watts]]/1000)*ReviewCalcs[[#This Row],[Existing CF]]*ReviewCalcs[[#This Row],[IEFD]], 0)</f>
        <v>0</v>
      </c>
      <c r="AK271" s="118">
        <f>IFERROR((ReviewCalcs[[#This Row],[Existing Fixture Quantity]]*ReviewCalcs[[#This Row],[Existing Fixture Watts]]/1000)*ReviewCalcs[[#This Row],[AOH]]*ReviewCalcs[[#This Row],[IEFE]]*ReviewCalcs[[#This Row],[Existing PAF]], 0)</f>
        <v>0</v>
      </c>
      <c r="AL271" s="118">
        <f>IFERROR((ReviewCalcs[[#This Row],[Proposed Fixture Quantity]]*ReviewCalcs[[#This Row],[Proposed Fixture Watts]]/1000)*ReviewCalcs[[#This Row],[AOH]]*ReviewCalcs[[#This Row],[IEFE]]*ReviewCalcs[[#This Row],[Existing PAF]], 0)</f>
        <v>0</v>
      </c>
      <c r="AM27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1" s="118">
        <f>ReviewCalcs[[#This Row],[Fixture Existing Energy (kWh)]]*Avg_KWh_Rate</f>
        <v>0</v>
      </c>
      <c r="AO271" s="118">
        <f>ReviewCalcs[[#This Row],[Fixture Proposed Energy (kWh)]]*Avg_KWh_Rate</f>
        <v>0</v>
      </c>
      <c r="AP271" s="70">
        <f>ReviewCalcs[[#This Row],[Fixture Energy Savings]]*Avg_KWh_Rate</f>
        <v>0</v>
      </c>
      <c r="AQ271" s="129" t="e">
        <f>ReviewCalcs[[#This Row],[Existing Fixture Quantity]]*ReviewCalcs[[#This Row],[Existing Fixture Watts]]/1000*ReviewCalcs[[#This Row],[Existing CF]]*ReviewCalcs[[#This Row],[IEFD]]</f>
        <v>#VALUE!</v>
      </c>
      <c r="AR271" s="129" t="e">
        <f>ReviewCalcs[[#This Row],[Proposed Fixture Quantity]]*ReviewCalcs[[#This Row],[Proposed Fixture Watts]]/1000*ReviewCalcs[[#This Row],[Proposed CF]]*ReviewCalcs[[#This Row],[IEFD]]</f>
        <v>#VALUE!</v>
      </c>
      <c r="AS271" s="118">
        <f>IF(ReviewCalcs[[#This Row],[Existing CF]]=ReviewCalcs[[#This Row],[Proposed CF]], 0, ReviewCalcs[[#This Row],[Proposed Fixture Quantity]]*ReviewCalcs[[#This Row],[Proposed Fixture Watts]]/1000*ReviewCalcs[[#This Row],[Proposed CF]]*ReviewCalcs[[#This Row],[IEFD]])</f>
        <v>0</v>
      </c>
      <c r="AT271" s="118">
        <f>IFERROR(ReviewCalcs[[#This Row],[Existing Fixture Quantity]]*ReviewCalcs[[#This Row],[Existing Fixture Watts]]/1000*ReviewCalcs[[#This Row],[Existing PAF]]*ReviewCalcs[[#This Row],[AOH]]*ReviewCalcs[[#This Row],[IEFE]], 0)</f>
        <v>0</v>
      </c>
      <c r="AU271" s="118">
        <f>IFERROR(ReviewCalcs[[#This Row],[Proposed Fixture Quantity]]*ReviewCalcs[[#This Row],[Proposed Fixture Watts]]/1000*ReviewCalcs[[#This Row],[Proposed PAF]]*ReviewCalcs[[#This Row],[AOH]]*ReviewCalcs[[#This Row],[IEFE]], 0)</f>
        <v>0</v>
      </c>
      <c r="AV271" s="118">
        <f>IFERROR(ReviewCalcs[[#This Row],[Proposed Fixture Quantity]]*ReviewCalcs[[#This Row],[Proposed Fixture Watts]]/1000*(ReviewCalcs[[#This Row],[Existing PAF]]-ReviewCalcs[[#This Row],[Proposed PAF]])*ReviewCalcs[[#This Row],[AOH]]*ReviewCalcs[[#This Row],[IEFE]], 0)</f>
        <v>0</v>
      </c>
      <c r="AW271" s="118">
        <f>ReviewCalcs[[#This Row],[Control Existing Energy (kWh)]]*kWh_Incentive_Rate</f>
        <v>0</v>
      </c>
      <c r="AX271" s="118">
        <f>ReviewCalcs[[#This Row],[Control Proposed Energy (kWh)]]*kWh_Incentive_Rate</f>
        <v>0</v>
      </c>
      <c r="AY271" s="70">
        <f>ReviewCalcs[[#This Row],[Control Energy Savings (kWh)]]*kWh_Incentive_Rate</f>
        <v>0</v>
      </c>
      <c r="AZ271" s="70" t="e">
        <f>ReviewCalcs[[#This Row],[Fixture Existing Demand (kW)]]+ReviewCalcs[[#This Row],[Control Existing Demand (kW)]]</f>
        <v>#VALUE!</v>
      </c>
      <c r="BA271" s="70" t="e">
        <f>ReviewCalcs[[#This Row],[Fixture Proposed Demand (kW)]]+ReviewCalcs[[#This Row],[Control Proposed Demand (kW)]]</f>
        <v>#VALUE!</v>
      </c>
      <c r="BB271" s="118">
        <f>ReviewCalcs[[#This Row],[Fixture Demand Savings (kW)]]+ReviewCalcs[[#This Row],[Control Demand Savings (kW)]]</f>
        <v>0</v>
      </c>
      <c r="BC271" s="118">
        <f>ReviewCalcs[[#This Row],[Fixture Existing Energy (kWh)]]+ReviewCalcs[[#This Row],[Control Existing Energy (kWh)]]</f>
        <v>0</v>
      </c>
      <c r="BD271" s="118">
        <f>ReviewCalcs[[#This Row],[Fixture Proposed Energy (kWh)]]+ReviewCalcs[[#This Row],[Control Proposed Energy (kWh)]]</f>
        <v>0</v>
      </c>
      <c r="BE271" s="118">
        <f>ReviewCalcs[[#This Row],[Fixture Energy Savings]]+ReviewCalcs[[#This Row],[Control Energy Savings (kWh)]]</f>
        <v>0</v>
      </c>
      <c r="BF271" s="118">
        <f>ReviewCalcs[[#This Row],[Fixture Existing Cost ($)]]+ReviewCalcs[[#This Row],[Control Existing Cost ($)]]</f>
        <v>0</v>
      </c>
      <c r="BG271" s="118">
        <f>ReviewCalcs[[#This Row],[Fixture Proposed Cost ($)]]+ReviewCalcs[[#This Row],[Controls Proposed Cost ($)]]</f>
        <v>0</v>
      </c>
      <c r="BH271" s="70">
        <f>ReviewCalcs[[#This Row],[Total Energy Savings (kWh)]]*Avg_KWh_Rate</f>
        <v>0</v>
      </c>
      <c r="BI27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1" s="70">
        <f>ReviewCalcs[[#This Row],[Retrofit Cost]]</f>
        <v>0</v>
      </c>
      <c r="BK271" s="70">
        <f>ReviewCalcs[[#This Row],[Retrofit Cost]]-ReviewCalcs[[#This Row],[Incentive ($)]]</f>
        <v>0</v>
      </c>
      <c r="BL271" s="118" t="e">
        <f>IFERROR(ReviewCalcs[[#This Row],[Net Project Cost ($)]]/ReviewCalcs[[#This Row],[Fixture Energy Cost Savings ($)]], #N/A)</f>
        <v>#N/A</v>
      </c>
      <c r="BM271" s="118" t="e">
        <f>IF(VLOOKUP(ReviewCalcs[[#This Row],[Existing Fixture Code]], Table7[[FIXTURE CODE]:[Baseline Fixture Code]], 8, FALSE)="N", VLOOKUP(ReviewCalcs[[#This Row],[Existing Fixture Code]], Table7[[FIXTURE CODE]:[Baseline Fixture Code]], 9, FALSE), ReviewCalcs[[#This Row],[Existing Fixture Code]])</f>
        <v>#N/A</v>
      </c>
      <c r="BN271" s="118" t="e">
        <f>INDEX(Table7[WATT/ FIXT], MATCH(ReviewCalcs[Baseline Fixture Code], Table7[FIXTURE CODE], 0))</f>
        <v>#N/A</v>
      </c>
      <c r="BO271" s="118">
        <f>IFERROR((ReviewCalcs[[#This Row],[Existing Fixture Quantity]]*ReviewCalcs[[#This Row],[Baseline Fixture Watts]]/1000-ReviewCalcs[[#This Row],[Proposed Fixture Quantity]]*ReviewCalcs[[#This Row],[Proposed Fixture Watts]]/1000)*ReviewCalcs[[#This Row],[Existing CF]]*ReviewCalcs[[#This Row],[IEFD]], 0)</f>
        <v>0</v>
      </c>
      <c r="BP27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1" s="118">
        <f>IF(ReviewCalcs[[#This Row],[Existing CF]]=ReviewCalcs[[#This Row],[Proposed CF]], 0, ReviewCalcs[[#This Row],[Proposed Fixture Quantity]]*ReviewCalcs[[#This Row],[Proposed Fixture Watts]]/1000*ReviewCalcs[[#This Row],[Proposed CF]]*ReviewCalcs[[#This Row],[IEFD]])</f>
        <v>0</v>
      </c>
      <c r="BR271" s="118">
        <f>IFERROR(ReviewCalcs[[#This Row],[Proposed Fixture Quantity]]*ReviewCalcs[[#This Row],[Proposed Fixture Watts]]/1000*(ReviewCalcs[[#This Row],[Existing PAF]]-ReviewCalcs[[#This Row],[Proposed PAF]])*ReviewCalcs[[#This Row],[AOH]]*ReviewCalcs[[#This Row],[IEFE]],0)</f>
        <v>0</v>
      </c>
      <c r="BS271" s="118">
        <f>ReviewCalcs[[#This Row],[Incentive Fixture Demand Savings (kW)]]+ReviewCalcs[[#This Row],[Incentive Control Demand Savings (kW)]]</f>
        <v>0</v>
      </c>
      <c r="BT271" s="118">
        <f>ReviewCalcs[[#This Row],[Incentive Fixture Energy Savings (kWh)]]+ReviewCalcs[[#This Row],[Incentive Control Energy Savings (kWh)]]</f>
        <v>0</v>
      </c>
      <c r="BU271" s="73"/>
    </row>
    <row r="272" spans="1:73" ht="30" customHeight="1">
      <c r="A272" s="68">
        <v>269</v>
      </c>
      <c r="B272" s="96">
        <f>VLOOKUP(ReviewCalcs[[#This Row],[Project Index]], ProjectInput[], D$1, FALSE)</f>
        <v>0</v>
      </c>
      <c r="C272" s="97">
        <f>VLOOKUP(ReviewCalcs[[#This Row],[Project Index]], ProjectInput[], E$1, FALSE)</f>
        <v>0</v>
      </c>
      <c r="D272" s="97">
        <f>VLOOKUP(ReviewCalcs[[#This Row],[Project Index]], ProjectInput[], F$1, FALSE)</f>
        <v>0</v>
      </c>
      <c r="E272" s="97">
        <f>VLOOKUP(ReviewCalcs[[#This Row],[Project Index]], ProjectInput[], G$1, FALSE)</f>
        <v>0</v>
      </c>
      <c r="F272" s="97">
        <f>VLOOKUP(ReviewCalcs[[#This Row],[Project Index]], ProjectInput[], H$1, FALSE)</f>
        <v>0</v>
      </c>
      <c r="G272" s="98" t="str">
        <f>VLOOKUP(ReviewCalcs[[#This Row],[Project Index]], ProjectInput[], I$1, FALSE)</f>
        <v/>
      </c>
      <c r="H272" s="96">
        <f>VLOOKUP(ReviewCalcs[[#This Row],[Project Index]], ProjectInput[], J$1, FALSE)</f>
        <v>0</v>
      </c>
      <c r="I272" s="97">
        <f>VLOOKUP(ReviewCalcs[[#This Row],[Project Index]], ProjectInput[], K$1, FALSE)</f>
        <v>0</v>
      </c>
      <c r="J272" s="97">
        <f>VLOOKUP(ReviewCalcs[[#This Row],[Project Index]], ProjectInput[], L$1, FALSE)</f>
        <v>0</v>
      </c>
      <c r="K272" s="97">
        <f>VLOOKUP(ReviewCalcs[[#This Row],[Project Index]], ProjectInput[], M$1, FALSE)</f>
        <v>0</v>
      </c>
      <c r="L272" s="97">
        <f>VLOOKUP(ReviewCalcs[[#This Row],[Project Index]], ProjectInput[], N$1, FALSE)</f>
        <v>0</v>
      </c>
      <c r="M272" s="98" t="str">
        <f>VLOOKUP(ReviewCalcs[[#This Row],[Project Index]], ProjectInput[], O$1, FALSE)</f>
        <v/>
      </c>
      <c r="N272" s="96">
        <f>VLOOKUP(ReviewCalcs[[#This Row],[Project Index]], ProjectInput[], P$1, FALSE)</f>
        <v>0</v>
      </c>
      <c r="O272" s="97">
        <f>VLOOKUP(ReviewCalcs[[#This Row],[Project Index]], ProjectInput[], Q$1, FALSE)</f>
        <v>0</v>
      </c>
      <c r="P272" s="97">
        <f>VLOOKUP(ReviewCalcs[[#This Row],[Project Index]], ProjectInput[], R$1, FALSE)</f>
        <v>0</v>
      </c>
      <c r="Q272" s="97">
        <f>VLOOKUP(ReviewCalcs[[#This Row],[Project Index]], ProjectInput[], S$1, FALSE)</f>
        <v>0</v>
      </c>
      <c r="R272" s="97">
        <f>VLOOKUP(ReviewCalcs[[#This Row],[Project Index]], ProjectInput[], T$1, FALSE)</f>
        <v>0</v>
      </c>
      <c r="S272" s="97">
        <f>VLOOKUP(ReviewCalcs[[#This Row],[Project Index]], ProjectInput[], U$1, FALSE)</f>
        <v>0</v>
      </c>
      <c r="T272" s="97">
        <f>VLOOKUP(ReviewCalcs[[#This Row],[Project Index]], ProjectInput[], V$1, FALSE)</f>
        <v>0</v>
      </c>
      <c r="U272" s="97">
        <f>VLOOKUP(ReviewCalcs[[#This Row],[Project Index]], ProjectInput[], W$1, FALSE)</f>
        <v>0</v>
      </c>
      <c r="V272" s="98" t="str">
        <f>VLOOKUP(ReviewCalcs[[#This Row],[Project Index]], ProjectInput[], X$1, FALSE)</f>
        <v/>
      </c>
      <c r="W27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2" s="75" t="e">
        <f>IF(VLOOKUP(ReviewCalcs[[#This Row],[Proposed Fixture Code]], Table7[[FIXTURE CODE]:[Baseline Fixture Code]], 8, FALSE)="N", "ERROR", "PASS")</f>
        <v>#N/A</v>
      </c>
      <c r="Y27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2" s="75" t="e">
        <f>IF(OR(ReviewCalcs[[#This Row],[Baseline Fixture Watts]]&gt;=ReviewCalcs[[#This Row],[Proposed Fixture Watts]],ReviewCalcs[[#This Row],[Existing Fixture Watts]]&gt;=ReviewCalcs[[#This Row],[Proposed Fixture Watts]] ), "PASS", "ERROR")</f>
        <v>#N/A</v>
      </c>
      <c r="AA272" s="69" t="e">
        <f>VLOOKUP(ReviewCalcs[[#This Row],[Space Conditions]], Table_365[], 5, FALSE)</f>
        <v>#N/A</v>
      </c>
      <c r="AB272" s="68" t="str">
        <f>ReviewCalcs[[#This Row],[Annual Hours]]</f>
        <v/>
      </c>
      <c r="AC272" s="68" t="e">
        <f>VLOOKUP(ReviewCalcs[[#This Row],[Space Conditions]], Table_365[], 6, FALSE)</f>
        <v>#N/A</v>
      </c>
      <c r="AD272" s="68">
        <f>IF(ReviewCalcs[[#This Row],[Existing Control(s)]]='Tables &amp; Ranges'!$A$25, VLOOKUP(ReviewCalcs[[#This Row],[Building/Space Type]], Table_364[], 3, FALSE), CF_Contols)</f>
        <v>0.26</v>
      </c>
      <c r="AE272" s="68" t="e">
        <f>VLOOKUP(ReviewCalcs[[#This Row],[Existing Control(s)]], Table_358[], 2, FALSE)</f>
        <v>#N/A</v>
      </c>
      <c r="AF272" s="68">
        <f>IF(ReviewCalcs[[#This Row],[Proposed Control(s)]]='Tables &amp; Ranges'!$A$25, VLOOKUP(ReviewCalcs[[#This Row],[Building/Space Type]], Table_364[], 3, FALSE), CF_Contols)</f>
        <v>0.26</v>
      </c>
      <c r="AG272" s="68" t="e">
        <f>VLOOKUP(ReviewCalcs[[#This Row],[Proposed Control(s)]], Table_358[], 2, FALSE)</f>
        <v>#N/A</v>
      </c>
      <c r="AH272" s="68">
        <f>IFERROR((ReviewCalcs[[#This Row],[Existing Fixture Quantity]]*ReviewCalcs[[#This Row],[Existing Fixture Watts]]/1000)*ReviewCalcs[[#This Row],[Existing CF]]*ReviewCalcs[[#This Row],[IEFD]], 0)</f>
        <v>0</v>
      </c>
      <c r="AI272" s="68">
        <f>IFERROR((ReviewCalcs[[#This Row],[Proposed Fixture Quantity]]*ReviewCalcs[[#This Row],[Proposed Fixture Watts]]/1000)*ReviewCalcs[[#This Row],[Existing CF]]*ReviewCalcs[[#This Row],[IEFD]], 0)</f>
        <v>0</v>
      </c>
      <c r="AJ272" s="118">
        <f>IFERROR((ReviewCalcs[[#This Row],[Existing Fixture Quantity]]*ReviewCalcs[[#This Row],[Existing Fixture Watts]]/1000-ReviewCalcs[[#This Row],[Proposed Fixture Quantity]]*ReviewCalcs[[#This Row],[Proposed Fixture Watts]]/1000)*ReviewCalcs[[#This Row],[Existing CF]]*ReviewCalcs[[#This Row],[IEFD]], 0)</f>
        <v>0</v>
      </c>
      <c r="AK272" s="118">
        <f>IFERROR((ReviewCalcs[[#This Row],[Existing Fixture Quantity]]*ReviewCalcs[[#This Row],[Existing Fixture Watts]]/1000)*ReviewCalcs[[#This Row],[AOH]]*ReviewCalcs[[#This Row],[IEFE]]*ReviewCalcs[[#This Row],[Existing PAF]], 0)</f>
        <v>0</v>
      </c>
      <c r="AL272" s="118">
        <f>IFERROR((ReviewCalcs[[#This Row],[Proposed Fixture Quantity]]*ReviewCalcs[[#This Row],[Proposed Fixture Watts]]/1000)*ReviewCalcs[[#This Row],[AOH]]*ReviewCalcs[[#This Row],[IEFE]]*ReviewCalcs[[#This Row],[Existing PAF]], 0)</f>
        <v>0</v>
      </c>
      <c r="AM27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2" s="118">
        <f>ReviewCalcs[[#This Row],[Fixture Existing Energy (kWh)]]*Avg_KWh_Rate</f>
        <v>0</v>
      </c>
      <c r="AO272" s="118">
        <f>ReviewCalcs[[#This Row],[Fixture Proposed Energy (kWh)]]*Avg_KWh_Rate</f>
        <v>0</v>
      </c>
      <c r="AP272" s="70">
        <f>ReviewCalcs[[#This Row],[Fixture Energy Savings]]*Avg_KWh_Rate</f>
        <v>0</v>
      </c>
      <c r="AQ272" s="129" t="e">
        <f>ReviewCalcs[[#This Row],[Existing Fixture Quantity]]*ReviewCalcs[[#This Row],[Existing Fixture Watts]]/1000*ReviewCalcs[[#This Row],[Existing CF]]*ReviewCalcs[[#This Row],[IEFD]]</f>
        <v>#VALUE!</v>
      </c>
      <c r="AR272" s="129" t="e">
        <f>ReviewCalcs[[#This Row],[Proposed Fixture Quantity]]*ReviewCalcs[[#This Row],[Proposed Fixture Watts]]/1000*ReviewCalcs[[#This Row],[Proposed CF]]*ReviewCalcs[[#This Row],[IEFD]]</f>
        <v>#VALUE!</v>
      </c>
      <c r="AS272" s="118">
        <f>IF(ReviewCalcs[[#This Row],[Existing CF]]=ReviewCalcs[[#This Row],[Proposed CF]], 0, ReviewCalcs[[#This Row],[Proposed Fixture Quantity]]*ReviewCalcs[[#This Row],[Proposed Fixture Watts]]/1000*ReviewCalcs[[#This Row],[Proposed CF]]*ReviewCalcs[[#This Row],[IEFD]])</f>
        <v>0</v>
      </c>
      <c r="AT272" s="118">
        <f>IFERROR(ReviewCalcs[[#This Row],[Existing Fixture Quantity]]*ReviewCalcs[[#This Row],[Existing Fixture Watts]]/1000*ReviewCalcs[[#This Row],[Existing PAF]]*ReviewCalcs[[#This Row],[AOH]]*ReviewCalcs[[#This Row],[IEFE]], 0)</f>
        <v>0</v>
      </c>
      <c r="AU272" s="118">
        <f>IFERROR(ReviewCalcs[[#This Row],[Proposed Fixture Quantity]]*ReviewCalcs[[#This Row],[Proposed Fixture Watts]]/1000*ReviewCalcs[[#This Row],[Proposed PAF]]*ReviewCalcs[[#This Row],[AOH]]*ReviewCalcs[[#This Row],[IEFE]], 0)</f>
        <v>0</v>
      </c>
      <c r="AV272" s="118">
        <f>IFERROR(ReviewCalcs[[#This Row],[Proposed Fixture Quantity]]*ReviewCalcs[[#This Row],[Proposed Fixture Watts]]/1000*(ReviewCalcs[[#This Row],[Existing PAF]]-ReviewCalcs[[#This Row],[Proposed PAF]])*ReviewCalcs[[#This Row],[AOH]]*ReviewCalcs[[#This Row],[IEFE]], 0)</f>
        <v>0</v>
      </c>
      <c r="AW272" s="118">
        <f>ReviewCalcs[[#This Row],[Control Existing Energy (kWh)]]*kWh_Incentive_Rate</f>
        <v>0</v>
      </c>
      <c r="AX272" s="118">
        <f>ReviewCalcs[[#This Row],[Control Proposed Energy (kWh)]]*kWh_Incentive_Rate</f>
        <v>0</v>
      </c>
      <c r="AY272" s="70">
        <f>ReviewCalcs[[#This Row],[Control Energy Savings (kWh)]]*kWh_Incentive_Rate</f>
        <v>0</v>
      </c>
      <c r="AZ272" s="70" t="e">
        <f>ReviewCalcs[[#This Row],[Fixture Existing Demand (kW)]]+ReviewCalcs[[#This Row],[Control Existing Demand (kW)]]</f>
        <v>#VALUE!</v>
      </c>
      <c r="BA272" s="70" t="e">
        <f>ReviewCalcs[[#This Row],[Fixture Proposed Demand (kW)]]+ReviewCalcs[[#This Row],[Control Proposed Demand (kW)]]</f>
        <v>#VALUE!</v>
      </c>
      <c r="BB272" s="118">
        <f>ReviewCalcs[[#This Row],[Fixture Demand Savings (kW)]]+ReviewCalcs[[#This Row],[Control Demand Savings (kW)]]</f>
        <v>0</v>
      </c>
      <c r="BC272" s="118">
        <f>ReviewCalcs[[#This Row],[Fixture Existing Energy (kWh)]]+ReviewCalcs[[#This Row],[Control Existing Energy (kWh)]]</f>
        <v>0</v>
      </c>
      <c r="BD272" s="118">
        <f>ReviewCalcs[[#This Row],[Fixture Proposed Energy (kWh)]]+ReviewCalcs[[#This Row],[Control Proposed Energy (kWh)]]</f>
        <v>0</v>
      </c>
      <c r="BE272" s="118">
        <f>ReviewCalcs[[#This Row],[Fixture Energy Savings]]+ReviewCalcs[[#This Row],[Control Energy Savings (kWh)]]</f>
        <v>0</v>
      </c>
      <c r="BF272" s="118">
        <f>ReviewCalcs[[#This Row],[Fixture Existing Cost ($)]]+ReviewCalcs[[#This Row],[Control Existing Cost ($)]]</f>
        <v>0</v>
      </c>
      <c r="BG272" s="118">
        <f>ReviewCalcs[[#This Row],[Fixture Proposed Cost ($)]]+ReviewCalcs[[#This Row],[Controls Proposed Cost ($)]]</f>
        <v>0</v>
      </c>
      <c r="BH272" s="70">
        <f>ReviewCalcs[[#This Row],[Total Energy Savings (kWh)]]*Avg_KWh_Rate</f>
        <v>0</v>
      </c>
      <c r="BI27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2" s="70">
        <f>ReviewCalcs[[#This Row],[Retrofit Cost]]</f>
        <v>0</v>
      </c>
      <c r="BK272" s="70">
        <f>ReviewCalcs[[#This Row],[Retrofit Cost]]-ReviewCalcs[[#This Row],[Incentive ($)]]</f>
        <v>0</v>
      </c>
      <c r="BL272" s="118" t="e">
        <f>IFERROR(ReviewCalcs[[#This Row],[Net Project Cost ($)]]/ReviewCalcs[[#This Row],[Fixture Energy Cost Savings ($)]], #N/A)</f>
        <v>#N/A</v>
      </c>
      <c r="BM272" s="118" t="e">
        <f>IF(VLOOKUP(ReviewCalcs[[#This Row],[Existing Fixture Code]], Table7[[FIXTURE CODE]:[Baseline Fixture Code]], 8, FALSE)="N", VLOOKUP(ReviewCalcs[[#This Row],[Existing Fixture Code]], Table7[[FIXTURE CODE]:[Baseline Fixture Code]], 9, FALSE), ReviewCalcs[[#This Row],[Existing Fixture Code]])</f>
        <v>#N/A</v>
      </c>
      <c r="BN272" s="118" t="e">
        <f>INDEX(Table7[WATT/ FIXT], MATCH(ReviewCalcs[Baseline Fixture Code], Table7[FIXTURE CODE], 0))</f>
        <v>#N/A</v>
      </c>
      <c r="BO272" s="118">
        <f>IFERROR((ReviewCalcs[[#This Row],[Existing Fixture Quantity]]*ReviewCalcs[[#This Row],[Baseline Fixture Watts]]/1000-ReviewCalcs[[#This Row],[Proposed Fixture Quantity]]*ReviewCalcs[[#This Row],[Proposed Fixture Watts]]/1000)*ReviewCalcs[[#This Row],[Existing CF]]*ReviewCalcs[[#This Row],[IEFD]], 0)</f>
        <v>0</v>
      </c>
      <c r="BP27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2" s="118">
        <f>IF(ReviewCalcs[[#This Row],[Existing CF]]=ReviewCalcs[[#This Row],[Proposed CF]], 0, ReviewCalcs[[#This Row],[Proposed Fixture Quantity]]*ReviewCalcs[[#This Row],[Proposed Fixture Watts]]/1000*ReviewCalcs[[#This Row],[Proposed CF]]*ReviewCalcs[[#This Row],[IEFD]])</f>
        <v>0</v>
      </c>
      <c r="BR272" s="118">
        <f>IFERROR(ReviewCalcs[[#This Row],[Proposed Fixture Quantity]]*ReviewCalcs[[#This Row],[Proposed Fixture Watts]]/1000*(ReviewCalcs[[#This Row],[Existing PAF]]-ReviewCalcs[[#This Row],[Proposed PAF]])*ReviewCalcs[[#This Row],[AOH]]*ReviewCalcs[[#This Row],[IEFE]],0)</f>
        <v>0</v>
      </c>
      <c r="BS272" s="118">
        <f>ReviewCalcs[[#This Row],[Incentive Fixture Demand Savings (kW)]]+ReviewCalcs[[#This Row],[Incentive Control Demand Savings (kW)]]</f>
        <v>0</v>
      </c>
      <c r="BT272" s="118">
        <f>ReviewCalcs[[#This Row],[Incentive Fixture Energy Savings (kWh)]]+ReviewCalcs[[#This Row],[Incentive Control Energy Savings (kWh)]]</f>
        <v>0</v>
      </c>
      <c r="BU272" s="73"/>
    </row>
    <row r="273" spans="1:73" ht="30" customHeight="1">
      <c r="A273" s="68">
        <v>270</v>
      </c>
      <c r="B273" s="96">
        <f>VLOOKUP(ReviewCalcs[[#This Row],[Project Index]], ProjectInput[], D$1, FALSE)</f>
        <v>0</v>
      </c>
      <c r="C273" s="97">
        <f>VLOOKUP(ReviewCalcs[[#This Row],[Project Index]], ProjectInput[], E$1, FALSE)</f>
        <v>0</v>
      </c>
      <c r="D273" s="97">
        <f>VLOOKUP(ReviewCalcs[[#This Row],[Project Index]], ProjectInput[], F$1, FALSE)</f>
        <v>0</v>
      </c>
      <c r="E273" s="97">
        <f>VLOOKUP(ReviewCalcs[[#This Row],[Project Index]], ProjectInput[], G$1, FALSE)</f>
        <v>0</v>
      </c>
      <c r="F273" s="97">
        <f>VLOOKUP(ReviewCalcs[[#This Row],[Project Index]], ProjectInput[], H$1, FALSE)</f>
        <v>0</v>
      </c>
      <c r="G273" s="98" t="str">
        <f>VLOOKUP(ReviewCalcs[[#This Row],[Project Index]], ProjectInput[], I$1, FALSE)</f>
        <v/>
      </c>
      <c r="H273" s="96">
        <f>VLOOKUP(ReviewCalcs[[#This Row],[Project Index]], ProjectInput[], J$1, FALSE)</f>
        <v>0</v>
      </c>
      <c r="I273" s="97">
        <f>VLOOKUP(ReviewCalcs[[#This Row],[Project Index]], ProjectInput[], K$1, FALSE)</f>
        <v>0</v>
      </c>
      <c r="J273" s="97">
        <f>VLOOKUP(ReviewCalcs[[#This Row],[Project Index]], ProjectInput[], L$1, FALSE)</f>
        <v>0</v>
      </c>
      <c r="K273" s="97">
        <f>VLOOKUP(ReviewCalcs[[#This Row],[Project Index]], ProjectInput[], M$1, FALSE)</f>
        <v>0</v>
      </c>
      <c r="L273" s="97">
        <f>VLOOKUP(ReviewCalcs[[#This Row],[Project Index]], ProjectInput[], N$1, FALSE)</f>
        <v>0</v>
      </c>
      <c r="M273" s="98" t="str">
        <f>VLOOKUP(ReviewCalcs[[#This Row],[Project Index]], ProjectInput[], O$1, FALSE)</f>
        <v/>
      </c>
      <c r="N273" s="96">
        <f>VLOOKUP(ReviewCalcs[[#This Row],[Project Index]], ProjectInput[], P$1, FALSE)</f>
        <v>0</v>
      </c>
      <c r="O273" s="97">
        <f>VLOOKUP(ReviewCalcs[[#This Row],[Project Index]], ProjectInput[], Q$1, FALSE)</f>
        <v>0</v>
      </c>
      <c r="P273" s="97">
        <f>VLOOKUP(ReviewCalcs[[#This Row],[Project Index]], ProjectInput[], R$1, FALSE)</f>
        <v>0</v>
      </c>
      <c r="Q273" s="97">
        <f>VLOOKUP(ReviewCalcs[[#This Row],[Project Index]], ProjectInput[], S$1, FALSE)</f>
        <v>0</v>
      </c>
      <c r="R273" s="97">
        <f>VLOOKUP(ReviewCalcs[[#This Row],[Project Index]], ProjectInput[], T$1, FALSE)</f>
        <v>0</v>
      </c>
      <c r="S273" s="97">
        <f>VLOOKUP(ReviewCalcs[[#This Row],[Project Index]], ProjectInput[], U$1, FALSE)</f>
        <v>0</v>
      </c>
      <c r="T273" s="97">
        <f>VLOOKUP(ReviewCalcs[[#This Row],[Project Index]], ProjectInput[], V$1, FALSE)</f>
        <v>0</v>
      </c>
      <c r="U273" s="97">
        <f>VLOOKUP(ReviewCalcs[[#This Row],[Project Index]], ProjectInput[], W$1, FALSE)</f>
        <v>0</v>
      </c>
      <c r="V273" s="98" t="str">
        <f>VLOOKUP(ReviewCalcs[[#This Row],[Project Index]], ProjectInput[], X$1, FALSE)</f>
        <v/>
      </c>
      <c r="W27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3" s="75" t="e">
        <f>IF(VLOOKUP(ReviewCalcs[[#This Row],[Proposed Fixture Code]], Table7[[FIXTURE CODE]:[Baseline Fixture Code]], 8, FALSE)="N", "ERROR", "PASS")</f>
        <v>#N/A</v>
      </c>
      <c r="Y27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3" s="75" t="e">
        <f>IF(OR(ReviewCalcs[[#This Row],[Baseline Fixture Watts]]&gt;=ReviewCalcs[[#This Row],[Proposed Fixture Watts]],ReviewCalcs[[#This Row],[Existing Fixture Watts]]&gt;=ReviewCalcs[[#This Row],[Proposed Fixture Watts]] ), "PASS", "ERROR")</f>
        <v>#N/A</v>
      </c>
      <c r="AA273" s="69" t="e">
        <f>VLOOKUP(ReviewCalcs[[#This Row],[Space Conditions]], Table_365[], 5, FALSE)</f>
        <v>#N/A</v>
      </c>
      <c r="AB273" s="68" t="str">
        <f>ReviewCalcs[[#This Row],[Annual Hours]]</f>
        <v/>
      </c>
      <c r="AC273" s="68" t="e">
        <f>VLOOKUP(ReviewCalcs[[#This Row],[Space Conditions]], Table_365[], 6, FALSE)</f>
        <v>#N/A</v>
      </c>
      <c r="AD273" s="68">
        <f>IF(ReviewCalcs[[#This Row],[Existing Control(s)]]='Tables &amp; Ranges'!$A$25, VLOOKUP(ReviewCalcs[[#This Row],[Building/Space Type]], Table_364[], 3, FALSE), CF_Contols)</f>
        <v>0.26</v>
      </c>
      <c r="AE273" s="68" t="e">
        <f>VLOOKUP(ReviewCalcs[[#This Row],[Existing Control(s)]], Table_358[], 2, FALSE)</f>
        <v>#N/A</v>
      </c>
      <c r="AF273" s="68">
        <f>IF(ReviewCalcs[[#This Row],[Proposed Control(s)]]='Tables &amp; Ranges'!$A$25, VLOOKUP(ReviewCalcs[[#This Row],[Building/Space Type]], Table_364[], 3, FALSE), CF_Contols)</f>
        <v>0.26</v>
      </c>
      <c r="AG273" s="68" t="e">
        <f>VLOOKUP(ReviewCalcs[[#This Row],[Proposed Control(s)]], Table_358[], 2, FALSE)</f>
        <v>#N/A</v>
      </c>
      <c r="AH273" s="68">
        <f>IFERROR((ReviewCalcs[[#This Row],[Existing Fixture Quantity]]*ReviewCalcs[[#This Row],[Existing Fixture Watts]]/1000)*ReviewCalcs[[#This Row],[Existing CF]]*ReviewCalcs[[#This Row],[IEFD]], 0)</f>
        <v>0</v>
      </c>
      <c r="AI273" s="68">
        <f>IFERROR((ReviewCalcs[[#This Row],[Proposed Fixture Quantity]]*ReviewCalcs[[#This Row],[Proposed Fixture Watts]]/1000)*ReviewCalcs[[#This Row],[Existing CF]]*ReviewCalcs[[#This Row],[IEFD]], 0)</f>
        <v>0</v>
      </c>
      <c r="AJ273" s="118">
        <f>IFERROR((ReviewCalcs[[#This Row],[Existing Fixture Quantity]]*ReviewCalcs[[#This Row],[Existing Fixture Watts]]/1000-ReviewCalcs[[#This Row],[Proposed Fixture Quantity]]*ReviewCalcs[[#This Row],[Proposed Fixture Watts]]/1000)*ReviewCalcs[[#This Row],[Existing CF]]*ReviewCalcs[[#This Row],[IEFD]], 0)</f>
        <v>0</v>
      </c>
      <c r="AK273" s="118">
        <f>IFERROR((ReviewCalcs[[#This Row],[Existing Fixture Quantity]]*ReviewCalcs[[#This Row],[Existing Fixture Watts]]/1000)*ReviewCalcs[[#This Row],[AOH]]*ReviewCalcs[[#This Row],[IEFE]]*ReviewCalcs[[#This Row],[Existing PAF]], 0)</f>
        <v>0</v>
      </c>
      <c r="AL273" s="118">
        <f>IFERROR((ReviewCalcs[[#This Row],[Proposed Fixture Quantity]]*ReviewCalcs[[#This Row],[Proposed Fixture Watts]]/1000)*ReviewCalcs[[#This Row],[AOH]]*ReviewCalcs[[#This Row],[IEFE]]*ReviewCalcs[[#This Row],[Existing PAF]], 0)</f>
        <v>0</v>
      </c>
      <c r="AM27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3" s="118">
        <f>ReviewCalcs[[#This Row],[Fixture Existing Energy (kWh)]]*Avg_KWh_Rate</f>
        <v>0</v>
      </c>
      <c r="AO273" s="118">
        <f>ReviewCalcs[[#This Row],[Fixture Proposed Energy (kWh)]]*Avg_KWh_Rate</f>
        <v>0</v>
      </c>
      <c r="AP273" s="70">
        <f>ReviewCalcs[[#This Row],[Fixture Energy Savings]]*Avg_KWh_Rate</f>
        <v>0</v>
      </c>
      <c r="AQ273" s="129" t="e">
        <f>ReviewCalcs[[#This Row],[Existing Fixture Quantity]]*ReviewCalcs[[#This Row],[Existing Fixture Watts]]/1000*ReviewCalcs[[#This Row],[Existing CF]]*ReviewCalcs[[#This Row],[IEFD]]</f>
        <v>#VALUE!</v>
      </c>
      <c r="AR273" s="129" t="e">
        <f>ReviewCalcs[[#This Row],[Proposed Fixture Quantity]]*ReviewCalcs[[#This Row],[Proposed Fixture Watts]]/1000*ReviewCalcs[[#This Row],[Proposed CF]]*ReviewCalcs[[#This Row],[IEFD]]</f>
        <v>#VALUE!</v>
      </c>
      <c r="AS273" s="118">
        <f>IF(ReviewCalcs[[#This Row],[Existing CF]]=ReviewCalcs[[#This Row],[Proposed CF]], 0, ReviewCalcs[[#This Row],[Proposed Fixture Quantity]]*ReviewCalcs[[#This Row],[Proposed Fixture Watts]]/1000*ReviewCalcs[[#This Row],[Proposed CF]]*ReviewCalcs[[#This Row],[IEFD]])</f>
        <v>0</v>
      </c>
      <c r="AT273" s="118">
        <f>IFERROR(ReviewCalcs[[#This Row],[Existing Fixture Quantity]]*ReviewCalcs[[#This Row],[Existing Fixture Watts]]/1000*ReviewCalcs[[#This Row],[Existing PAF]]*ReviewCalcs[[#This Row],[AOH]]*ReviewCalcs[[#This Row],[IEFE]], 0)</f>
        <v>0</v>
      </c>
      <c r="AU273" s="118">
        <f>IFERROR(ReviewCalcs[[#This Row],[Proposed Fixture Quantity]]*ReviewCalcs[[#This Row],[Proposed Fixture Watts]]/1000*ReviewCalcs[[#This Row],[Proposed PAF]]*ReviewCalcs[[#This Row],[AOH]]*ReviewCalcs[[#This Row],[IEFE]], 0)</f>
        <v>0</v>
      </c>
      <c r="AV273" s="118">
        <f>IFERROR(ReviewCalcs[[#This Row],[Proposed Fixture Quantity]]*ReviewCalcs[[#This Row],[Proposed Fixture Watts]]/1000*(ReviewCalcs[[#This Row],[Existing PAF]]-ReviewCalcs[[#This Row],[Proposed PAF]])*ReviewCalcs[[#This Row],[AOH]]*ReviewCalcs[[#This Row],[IEFE]], 0)</f>
        <v>0</v>
      </c>
      <c r="AW273" s="118">
        <f>ReviewCalcs[[#This Row],[Control Existing Energy (kWh)]]*kWh_Incentive_Rate</f>
        <v>0</v>
      </c>
      <c r="AX273" s="118">
        <f>ReviewCalcs[[#This Row],[Control Proposed Energy (kWh)]]*kWh_Incentive_Rate</f>
        <v>0</v>
      </c>
      <c r="AY273" s="70">
        <f>ReviewCalcs[[#This Row],[Control Energy Savings (kWh)]]*kWh_Incentive_Rate</f>
        <v>0</v>
      </c>
      <c r="AZ273" s="70" t="e">
        <f>ReviewCalcs[[#This Row],[Fixture Existing Demand (kW)]]+ReviewCalcs[[#This Row],[Control Existing Demand (kW)]]</f>
        <v>#VALUE!</v>
      </c>
      <c r="BA273" s="70" t="e">
        <f>ReviewCalcs[[#This Row],[Fixture Proposed Demand (kW)]]+ReviewCalcs[[#This Row],[Control Proposed Demand (kW)]]</f>
        <v>#VALUE!</v>
      </c>
      <c r="BB273" s="118">
        <f>ReviewCalcs[[#This Row],[Fixture Demand Savings (kW)]]+ReviewCalcs[[#This Row],[Control Demand Savings (kW)]]</f>
        <v>0</v>
      </c>
      <c r="BC273" s="118">
        <f>ReviewCalcs[[#This Row],[Fixture Existing Energy (kWh)]]+ReviewCalcs[[#This Row],[Control Existing Energy (kWh)]]</f>
        <v>0</v>
      </c>
      <c r="BD273" s="118">
        <f>ReviewCalcs[[#This Row],[Fixture Proposed Energy (kWh)]]+ReviewCalcs[[#This Row],[Control Proposed Energy (kWh)]]</f>
        <v>0</v>
      </c>
      <c r="BE273" s="118">
        <f>ReviewCalcs[[#This Row],[Fixture Energy Savings]]+ReviewCalcs[[#This Row],[Control Energy Savings (kWh)]]</f>
        <v>0</v>
      </c>
      <c r="BF273" s="118">
        <f>ReviewCalcs[[#This Row],[Fixture Existing Cost ($)]]+ReviewCalcs[[#This Row],[Control Existing Cost ($)]]</f>
        <v>0</v>
      </c>
      <c r="BG273" s="118">
        <f>ReviewCalcs[[#This Row],[Fixture Proposed Cost ($)]]+ReviewCalcs[[#This Row],[Controls Proposed Cost ($)]]</f>
        <v>0</v>
      </c>
      <c r="BH273" s="70">
        <f>ReviewCalcs[[#This Row],[Total Energy Savings (kWh)]]*Avg_KWh_Rate</f>
        <v>0</v>
      </c>
      <c r="BI27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3" s="70">
        <f>ReviewCalcs[[#This Row],[Retrofit Cost]]</f>
        <v>0</v>
      </c>
      <c r="BK273" s="70">
        <f>ReviewCalcs[[#This Row],[Retrofit Cost]]-ReviewCalcs[[#This Row],[Incentive ($)]]</f>
        <v>0</v>
      </c>
      <c r="BL273" s="118" t="e">
        <f>IFERROR(ReviewCalcs[[#This Row],[Net Project Cost ($)]]/ReviewCalcs[[#This Row],[Fixture Energy Cost Savings ($)]], #N/A)</f>
        <v>#N/A</v>
      </c>
      <c r="BM273" s="118" t="e">
        <f>IF(VLOOKUP(ReviewCalcs[[#This Row],[Existing Fixture Code]], Table7[[FIXTURE CODE]:[Baseline Fixture Code]], 8, FALSE)="N", VLOOKUP(ReviewCalcs[[#This Row],[Existing Fixture Code]], Table7[[FIXTURE CODE]:[Baseline Fixture Code]], 9, FALSE), ReviewCalcs[[#This Row],[Existing Fixture Code]])</f>
        <v>#N/A</v>
      </c>
      <c r="BN273" s="118" t="e">
        <f>INDEX(Table7[WATT/ FIXT], MATCH(ReviewCalcs[Baseline Fixture Code], Table7[FIXTURE CODE], 0))</f>
        <v>#N/A</v>
      </c>
      <c r="BO273" s="118">
        <f>IFERROR((ReviewCalcs[[#This Row],[Existing Fixture Quantity]]*ReviewCalcs[[#This Row],[Baseline Fixture Watts]]/1000-ReviewCalcs[[#This Row],[Proposed Fixture Quantity]]*ReviewCalcs[[#This Row],[Proposed Fixture Watts]]/1000)*ReviewCalcs[[#This Row],[Existing CF]]*ReviewCalcs[[#This Row],[IEFD]], 0)</f>
        <v>0</v>
      </c>
      <c r="BP27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3" s="118">
        <f>IF(ReviewCalcs[[#This Row],[Existing CF]]=ReviewCalcs[[#This Row],[Proposed CF]], 0, ReviewCalcs[[#This Row],[Proposed Fixture Quantity]]*ReviewCalcs[[#This Row],[Proposed Fixture Watts]]/1000*ReviewCalcs[[#This Row],[Proposed CF]]*ReviewCalcs[[#This Row],[IEFD]])</f>
        <v>0</v>
      </c>
      <c r="BR273" s="118">
        <f>IFERROR(ReviewCalcs[[#This Row],[Proposed Fixture Quantity]]*ReviewCalcs[[#This Row],[Proposed Fixture Watts]]/1000*(ReviewCalcs[[#This Row],[Existing PAF]]-ReviewCalcs[[#This Row],[Proposed PAF]])*ReviewCalcs[[#This Row],[AOH]]*ReviewCalcs[[#This Row],[IEFE]],0)</f>
        <v>0</v>
      </c>
      <c r="BS273" s="118">
        <f>ReviewCalcs[[#This Row],[Incentive Fixture Demand Savings (kW)]]+ReviewCalcs[[#This Row],[Incentive Control Demand Savings (kW)]]</f>
        <v>0</v>
      </c>
      <c r="BT273" s="118">
        <f>ReviewCalcs[[#This Row],[Incentive Fixture Energy Savings (kWh)]]+ReviewCalcs[[#This Row],[Incentive Control Energy Savings (kWh)]]</f>
        <v>0</v>
      </c>
      <c r="BU273" s="73"/>
    </row>
    <row r="274" spans="1:73" ht="30" customHeight="1">
      <c r="A274" s="68">
        <v>271</v>
      </c>
      <c r="B274" s="96">
        <f>VLOOKUP(ReviewCalcs[[#This Row],[Project Index]], ProjectInput[], D$1, FALSE)</f>
        <v>0</v>
      </c>
      <c r="C274" s="97">
        <f>VLOOKUP(ReviewCalcs[[#This Row],[Project Index]], ProjectInput[], E$1, FALSE)</f>
        <v>0</v>
      </c>
      <c r="D274" s="97">
        <f>VLOOKUP(ReviewCalcs[[#This Row],[Project Index]], ProjectInput[], F$1, FALSE)</f>
        <v>0</v>
      </c>
      <c r="E274" s="97">
        <f>VLOOKUP(ReviewCalcs[[#This Row],[Project Index]], ProjectInput[], G$1, FALSE)</f>
        <v>0</v>
      </c>
      <c r="F274" s="97">
        <f>VLOOKUP(ReviewCalcs[[#This Row],[Project Index]], ProjectInput[], H$1, FALSE)</f>
        <v>0</v>
      </c>
      <c r="G274" s="98" t="str">
        <f>VLOOKUP(ReviewCalcs[[#This Row],[Project Index]], ProjectInput[], I$1, FALSE)</f>
        <v/>
      </c>
      <c r="H274" s="96">
        <f>VLOOKUP(ReviewCalcs[[#This Row],[Project Index]], ProjectInput[], J$1, FALSE)</f>
        <v>0</v>
      </c>
      <c r="I274" s="97">
        <f>VLOOKUP(ReviewCalcs[[#This Row],[Project Index]], ProjectInput[], K$1, FALSE)</f>
        <v>0</v>
      </c>
      <c r="J274" s="97">
        <f>VLOOKUP(ReviewCalcs[[#This Row],[Project Index]], ProjectInput[], L$1, FALSE)</f>
        <v>0</v>
      </c>
      <c r="K274" s="97">
        <f>VLOOKUP(ReviewCalcs[[#This Row],[Project Index]], ProjectInput[], M$1, FALSE)</f>
        <v>0</v>
      </c>
      <c r="L274" s="97">
        <f>VLOOKUP(ReviewCalcs[[#This Row],[Project Index]], ProjectInput[], N$1, FALSE)</f>
        <v>0</v>
      </c>
      <c r="M274" s="98" t="str">
        <f>VLOOKUP(ReviewCalcs[[#This Row],[Project Index]], ProjectInput[], O$1, FALSE)</f>
        <v/>
      </c>
      <c r="N274" s="96">
        <f>VLOOKUP(ReviewCalcs[[#This Row],[Project Index]], ProjectInput[], P$1, FALSE)</f>
        <v>0</v>
      </c>
      <c r="O274" s="97">
        <f>VLOOKUP(ReviewCalcs[[#This Row],[Project Index]], ProjectInput[], Q$1, FALSE)</f>
        <v>0</v>
      </c>
      <c r="P274" s="97">
        <f>VLOOKUP(ReviewCalcs[[#This Row],[Project Index]], ProjectInput[], R$1, FALSE)</f>
        <v>0</v>
      </c>
      <c r="Q274" s="97">
        <f>VLOOKUP(ReviewCalcs[[#This Row],[Project Index]], ProjectInput[], S$1, FALSE)</f>
        <v>0</v>
      </c>
      <c r="R274" s="97">
        <f>VLOOKUP(ReviewCalcs[[#This Row],[Project Index]], ProjectInput[], T$1, FALSE)</f>
        <v>0</v>
      </c>
      <c r="S274" s="97">
        <f>VLOOKUP(ReviewCalcs[[#This Row],[Project Index]], ProjectInput[], U$1, FALSE)</f>
        <v>0</v>
      </c>
      <c r="T274" s="97">
        <f>VLOOKUP(ReviewCalcs[[#This Row],[Project Index]], ProjectInput[], V$1, FALSE)</f>
        <v>0</v>
      </c>
      <c r="U274" s="97">
        <f>VLOOKUP(ReviewCalcs[[#This Row],[Project Index]], ProjectInput[], W$1, FALSE)</f>
        <v>0</v>
      </c>
      <c r="V274" s="98" t="str">
        <f>VLOOKUP(ReviewCalcs[[#This Row],[Project Index]], ProjectInput[], X$1, FALSE)</f>
        <v/>
      </c>
      <c r="W27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4" s="75" t="e">
        <f>IF(VLOOKUP(ReviewCalcs[[#This Row],[Proposed Fixture Code]], Table7[[FIXTURE CODE]:[Baseline Fixture Code]], 8, FALSE)="N", "ERROR", "PASS")</f>
        <v>#N/A</v>
      </c>
      <c r="Y27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4" s="75" t="e">
        <f>IF(OR(ReviewCalcs[[#This Row],[Baseline Fixture Watts]]&gt;=ReviewCalcs[[#This Row],[Proposed Fixture Watts]],ReviewCalcs[[#This Row],[Existing Fixture Watts]]&gt;=ReviewCalcs[[#This Row],[Proposed Fixture Watts]] ), "PASS", "ERROR")</f>
        <v>#N/A</v>
      </c>
      <c r="AA274" s="69" t="e">
        <f>VLOOKUP(ReviewCalcs[[#This Row],[Space Conditions]], Table_365[], 5, FALSE)</f>
        <v>#N/A</v>
      </c>
      <c r="AB274" s="68" t="str">
        <f>ReviewCalcs[[#This Row],[Annual Hours]]</f>
        <v/>
      </c>
      <c r="AC274" s="68" t="e">
        <f>VLOOKUP(ReviewCalcs[[#This Row],[Space Conditions]], Table_365[], 6, FALSE)</f>
        <v>#N/A</v>
      </c>
      <c r="AD274" s="68">
        <f>IF(ReviewCalcs[[#This Row],[Existing Control(s)]]='Tables &amp; Ranges'!$A$25, VLOOKUP(ReviewCalcs[[#This Row],[Building/Space Type]], Table_364[], 3, FALSE), CF_Contols)</f>
        <v>0.26</v>
      </c>
      <c r="AE274" s="68" t="e">
        <f>VLOOKUP(ReviewCalcs[[#This Row],[Existing Control(s)]], Table_358[], 2, FALSE)</f>
        <v>#N/A</v>
      </c>
      <c r="AF274" s="68">
        <f>IF(ReviewCalcs[[#This Row],[Proposed Control(s)]]='Tables &amp; Ranges'!$A$25, VLOOKUP(ReviewCalcs[[#This Row],[Building/Space Type]], Table_364[], 3, FALSE), CF_Contols)</f>
        <v>0.26</v>
      </c>
      <c r="AG274" s="68" t="e">
        <f>VLOOKUP(ReviewCalcs[[#This Row],[Proposed Control(s)]], Table_358[], 2, FALSE)</f>
        <v>#N/A</v>
      </c>
      <c r="AH274" s="68">
        <f>IFERROR((ReviewCalcs[[#This Row],[Existing Fixture Quantity]]*ReviewCalcs[[#This Row],[Existing Fixture Watts]]/1000)*ReviewCalcs[[#This Row],[Existing CF]]*ReviewCalcs[[#This Row],[IEFD]], 0)</f>
        <v>0</v>
      </c>
      <c r="AI274" s="68">
        <f>IFERROR((ReviewCalcs[[#This Row],[Proposed Fixture Quantity]]*ReviewCalcs[[#This Row],[Proposed Fixture Watts]]/1000)*ReviewCalcs[[#This Row],[Existing CF]]*ReviewCalcs[[#This Row],[IEFD]], 0)</f>
        <v>0</v>
      </c>
      <c r="AJ274" s="118">
        <f>IFERROR((ReviewCalcs[[#This Row],[Existing Fixture Quantity]]*ReviewCalcs[[#This Row],[Existing Fixture Watts]]/1000-ReviewCalcs[[#This Row],[Proposed Fixture Quantity]]*ReviewCalcs[[#This Row],[Proposed Fixture Watts]]/1000)*ReviewCalcs[[#This Row],[Existing CF]]*ReviewCalcs[[#This Row],[IEFD]], 0)</f>
        <v>0</v>
      </c>
      <c r="AK274" s="118">
        <f>IFERROR((ReviewCalcs[[#This Row],[Existing Fixture Quantity]]*ReviewCalcs[[#This Row],[Existing Fixture Watts]]/1000)*ReviewCalcs[[#This Row],[AOH]]*ReviewCalcs[[#This Row],[IEFE]]*ReviewCalcs[[#This Row],[Existing PAF]], 0)</f>
        <v>0</v>
      </c>
      <c r="AL274" s="118">
        <f>IFERROR((ReviewCalcs[[#This Row],[Proposed Fixture Quantity]]*ReviewCalcs[[#This Row],[Proposed Fixture Watts]]/1000)*ReviewCalcs[[#This Row],[AOH]]*ReviewCalcs[[#This Row],[IEFE]]*ReviewCalcs[[#This Row],[Existing PAF]], 0)</f>
        <v>0</v>
      </c>
      <c r="AM27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4" s="118">
        <f>ReviewCalcs[[#This Row],[Fixture Existing Energy (kWh)]]*Avg_KWh_Rate</f>
        <v>0</v>
      </c>
      <c r="AO274" s="118">
        <f>ReviewCalcs[[#This Row],[Fixture Proposed Energy (kWh)]]*Avg_KWh_Rate</f>
        <v>0</v>
      </c>
      <c r="AP274" s="70">
        <f>ReviewCalcs[[#This Row],[Fixture Energy Savings]]*Avg_KWh_Rate</f>
        <v>0</v>
      </c>
      <c r="AQ274" s="129" t="e">
        <f>ReviewCalcs[[#This Row],[Existing Fixture Quantity]]*ReviewCalcs[[#This Row],[Existing Fixture Watts]]/1000*ReviewCalcs[[#This Row],[Existing CF]]*ReviewCalcs[[#This Row],[IEFD]]</f>
        <v>#VALUE!</v>
      </c>
      <c r="AR274" s="129" t="e">
        <f>ReviewCalcs[[#This Row],[Proposed Fixture Quantity]]*ReviewCalcs[[#This Row],[Proposed Fixture Watts]]/1000*ReviewCalcs[[#This Row],[Proposed CF]]*ReviewCalcs[[#This Row],[IEFD]]</f>
        <v>#VALUE!</v>
      </c>
      <c r="AS274" s="118">
        <f>IF(ReviewCalcs[[#This Row],[Existing CF]]=ReviewCalcs[[#This Row],[Proposed CF]], 0, ReviewCalcs[[#This Row],[Proposed Fixture Quantity]]*ReviewCalcs[[#This Row],[Proposed Fixture Watts]]/1000*ReviewCalcs[[#This Row],[Proposed CF]]*ReviewCalcs[[#This Row],[IEFD]])</f>
        <v>0</v>
      </c>
      <c r="AT274" s="118">
        <f>IFERROR(ReviewCalcs[[#This Row],[Existing Fixture Quantity]]*ReviewCalcs[[#This Row],[Existing Fixture Watts]]/1000*ReviewCalcs[[#This Row],[Existing PAF]]*ReviewCalcs[[#This Row],[AOH]]*ReviewCalcs[[#This Row],[IEFE]], 0)</f>
        <v>0</v>
      </c>
      <c r="AU274" s="118">
        <f>IFERROR(ReviewCalcs[[#This Row],[Proposed Fixture Quantity]]*ReviewCalcs[[#This Row],[Proposed Fixture Watts]]/1000*ReviewCalcs[[#This Row],[Proposed PAF]]*ReviewCalcs[[#This Row],[AOH]]*ReviewCalcs[[#This Row],[IEFE]], 0)</f>
        <v>0</v>
      </c>
      <c r="AV274" s="118">
        <f>IFERROR(ReviewCalcs[[#This Row],[Proposed Fixture Quantity]]*ReviewCalcs[[#This Row],[Proposed Fixture Watts]]/1000*(ReviewCalcs[[#This Row],[Existing PAF]]-ReviewCalcs[[#This Row],[Proposed PAF]])*ReviewCalcs[[#This Row],[AOH]]*ReviewCalcs[[#This Row],[IEFE]], 0)</f>
        <v>0</v>
      </c>
      <c r="AW274" s="118">
        <f>ReviewCalcs[[#This Row],[Control Existing Energy (kWh)]]*kWh_Incentive_Rate</f>
        <v>0</v>
      </c>
      <c r="AX274" s="118">
        <f>ReviewCalcs[[#This Row],[Control Proposed Energy (kWh)]]*kWh_Incentive_Rate</f>
        <v>0</v>
      </c>
      <c r="AY274" s="70">
        <f>ReviewCalcs[[#This Row],[Control Energy Savings (kWh)]]*kWh_Incentive_Rate</f>
        <v>0</v>
      </c>
      <c r="AZ274" s="70" t="e">
        <f>ReviewCalcs[[#This Row],[Fixture Existing Demand (kW)]]+ReviewCalcs[[#This Row],[Control Existing Demand (kW)]]</f>
        <v>#VALUE!</v>
      </c>
      <c r="BA274" s="70" t="e">
        <f>ReviewCalcs[[#This Row],[Fixture Proposed Demand (kW)]]+ReviewCalcs[[#This Row],[Control Proposed Demand (kW)]]</f>
        <v>#VALUE!</v>
      </c>
      <c r="BB274" s="118">
        <f>ReviewCalcs[[#This Row],[Fixture Demand Savings (kW)]]+ReviewCalcs[[#This Row],[Control Demand Savings (kW)]]</f>
        <v>0</v>
      </c>
      <c r="BC274" s="118">
        <f>ReviewCalcs[[#This Row],[Fixture Existing Energy (kWh)]]+ReviewCalcs[[#This Row],[Control Existing Energy (kWh)]]</f>
        <v>0</v>
      </c>
      <c r="BD274" s="118">
        <f>ReviewCalcs[[#This Row],[Fixture Proposed Energy (kWh)]]+ReviewCalcs[[#This Row],[Control Proposed Energy (kWh)]]</f>
        <v>0</v>
      </c>
      <c r="BE274" s="118">
        <f>ReviewCalcs[[#This Row],[Fixture Energy Savings]]+ReviewCalcs[[#This Row],[Control Energy Savings (kWh)]]</f>
        <v>0</v>
      </c>
      <c r="BF274" s="118">
        <f>ReviewCalcs[[#This Row],[Fixture Existing Cost ($)]]+ReviewCalcs[[#This Row],[Control Existing Cost ($)]]</f>
        <v>0</v>
      </c>
      <c r="BG274" s="118">
        <f>ReviewCalcs[[#This Row],[Fixture Proposed Cost ($)]]+ReviewCalcs[[#This Row],[Controls Proposed Cost ($)]]</f>
        <v>0</v>
      </c>
      <c r="BH274" s="70">
        <f>ReviewCalcs[[#This Row],[Total Energy Savings (kWh)]]*Avg_KWh_Rate</f>
        <v>0</v>
      </c>
      <c r="BI27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4" s="70">
        <f>ReviewCalcs[[#This Row],[Retrofit Cost]]</f>
        <v>0</v>
      </c>
      <c r="BK274" s="70">
        <f>ReviewCalcs[[#This Row],[Retrofit Cost]]-ReviewCalcs[[#This Row],[Incentive ($)]]</f>
        <v>0</v>
      </c>
      <c r="BL274" s="118" t="e">
        <f>IFERROR(ReviewCalcs[[#This Row],[Net Project Cost ($)]]/ReviewCalcs[[#This Row],[Fixture Energy Cost Savings ($)]], #N/A)</f>
        <v>#N/A</v>
      </c>
      <c r="BM274" s="118" t="e">
        <f>IF(VLOOKUP(ReviewCalcs[[#This Row],[Existing Fixture Code]], Table7[[FIXTURE CODE]:[Baseline Fixture Code]], 8, FALSE)="N", VLOOKUP(ReviewCalcs[[#This Row],[Existing Fixture Code]], Table7[[FIXTURE CODE]:[Baseline Fixture Code]], 9, FALSE), ReviewCalcs[[#This Row],[Existing Fixture Code]])</f>
        <v>#N/A</v>
      </c>
      <c r="BN274" s="118" t="e">
        <f>INDEX(Table7[WATT/ FIXT], MATCH(ReviewCalcs[Baseline Fixture Code], Table7[FIXTURE CODE], 0))</f>
        <v>#N/A</v>
      </c>
      <c r="BO274" s="118">
        <f>IFERROR((ReviewCalcs[[#This Row],[Existing Fixture Quantity]]*ReviewCalcs[[#This Row],[Baseline Fixture Watts]]/1000-ReviewCalcs[[#This Row],[Proposed Fixture Quantity]]*ReviewCalcs[[#This Row],[Proposed Fixture Watts]]/1000)*ReviewCalcs[[#This Row],[Existing CF]]*ReviewCalcs[[#This Row],[IEFD]], 0)</f>
        <v>0</v>
      </c>
      <c r="BP27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4" s="118">
        <f>IF(ReviewCalcs[[#This Row],[Existing CF]]=ReviewCalcs[[#This Row],[Proposed CF]], 0, ReviewCalcs[[#This Row],[Proposed Fixture Quantity]]*ReviewCalcs[[#This Row],[Proposed Fixture Watts]]/1000*ReviewCalcs[[#This Row],[Proposed CF]]*ReviewCalcs[[#This Row],[IEFD]])</f>
        <v>0</v>
      </c>
      <c r="BR274" s="118">
        <f>IFERROR(ReviewCalcs[[#This Row],[Proposed Fixture Quantity]]*ReviewCalcs[[#This Row],[Proposed Fixture Watts]]/1000*(ReviewCalcs[[#This Row],[Existing PAF]]-ReviewCalcs[[#This Row],[Proposed PAF]])*ReviewCalcs[[#This Row],[AOH]]*ReviewCalcs[[#This Row],[IEFE]],0)</f>
        <v>0</v>
      </c>
      <c r="BS274" s="118">
        <f>ReviewCalcs[[#This Row],[Incentive Fixture Demand Savings (kW)]]+ReviewCalcs[[#This Row],[Incentive Control Demand Savings (kW)]]</f>
        <v>0</v>
      </c>
      <c r="BT274" s="118">
        <f>ReviewCalcs[[#This Row],[Incentive Fixture Energy Savings (kWh)]]+ReviewCalcs[[#This Row],[Incentive Control Energy Savings (kWh)]]</f>
        <v>0</v>
      </c>
      <c r="BU274" s="73"/>
    </row>
    <row r="275" spans="1:73" ht="30" customHeight="1">
      <c r="A275" s="68">
        <v>272</v>
      </c>
      <c r="B275" s="96">
        <f>VLOOKUP(ReviewCalcs[[#This Row],[Project Index]], ProjectInput[], D$1, FALSE)</f>
        <v>0</v>
      </c>
      <c r="C275" s="97">
        <f>VLOOKUP(ReviewCalcs[[#This Row],[Project Index]], ProjectInput[], E$1, FALSE)</f>
        <v>0</v>
      </c>
      <c r="D275" s="97">
        <f>VLOOKUP(ReviewCalcs[[#This Row],[Project Index]], ProjectInput[], F$1, FALSE)</f>
        <v>0</v>
      </c>
      <c r="E275" s="97">
        <f>VLOOKUP(ReviewCalcs[[#This Row],[Project Index]], ProjectInput[], G$1, FALSE)</f>
        <v>0</v>
      </c>
      <c r="F275" s="97">
        <f>VLOOKUP(ReviewCalcs[[#This Row],[Project Index]], ProjectInput[], H$1, FALSE)</f>
        <v>0</v>
      </c>
      <c r="G275" s="98" t="str">
        <f>VLOOKUP(ReviewCalcs[[#This Row],[Project Index]], ProjectInput[], I$1, FALSE)</f>
        <v/>
      </c>
      <c r="H275" s="96">
        <f>VLOOKUP(ReviewCalcs[[#This Row],[Project Index]], ProjectInput[], J$1, FALSE)</f>
        <v>0</v>
      </c>
      <c r="I275" s="97">
        <f>VLOOKUP(ReviewCalcs[[#This Row],[Project Index]], ProjectInput[], K$1, FALSE)</f>
        <v>0</v>
      </c>
      <c r="J275" s="97">
        <f>VLOOKUP(ReviewCalcs[[#This Row],[Project Index]], ProjectInput[], L$1, FALSE)</f>
        <v>0</v>
      </c>
      <c r="K275" s="97">
        <f>VLOOKUP(ReviewCalcs[[#This Row],[Project Index]], ProjectInput[], M$1, FALSE)</f>
        <v>0</v>
      </c>
      <c r="L275" s="97">
        <f>VLOOKUP(ReviewCalcs[[#This Row],[Project Index]], ProjectInput[], N$1, FALSE)</f>
        <v>0</v>
      </c>
      <c r="M275" s="98" t="str">
        <f>VLOOKUP(ReviewCalcs[[#This Row],[Project Index]], ProjectInput[], O$1, FALSE)</f>
        <v/>
      </c>
      <c r="N275" s="96">
        <f>VLOOKUP(ReviewCalcs[[#This Row],[Project Index]], ProjectInput[], P$1, FALSE)</f>
        <v>0</v>
      </c>
      <c r="O275" s="97">
        <f>VLOOKUP(ReviewCalcs[[#This Row],[Project Index]], ProjectInput[], Q$1, FALSE)</f>
        <v>0</v>
      </c>
      <c r="P275" s="97">
        <f>VLOOKUP(ReviewCalcs[[#This Row],[Project Index]], ProjectInput[], R$1, FALSE)</f>
        <v>0</v>
      </c>
      <c r="Q275" s="97">
        <f>VLOOKUP(ReviewCalcs[[#This Row],[Project Index]], ProjectInput[], S$1, FALSE)</f>
        <v>0</v>
      </c>
      <c r="R275" s="97">
        <f>VLOOKUP(ReviewCalcs[[#This Row],[Project Index]], ProjectInput[], T$1, FALSE)</f>
        <v>0</v>
      </c>
      <c r="S275" s="97">
        <f>VLOOKUP(ReviewCalcs[[#This Row],[Project Index]], ProjectInput[], U$1, FALSE)</f>
        <v>0</v>
      </c>
      <c r="T275" s="97">
        <f>VLOOKUP(ReviewCalcs[[#This Row],[Project Index]], ProjectInput[], V$1, FALSE)</f>
        <v>0</v>
      </c>
      <c r="U275" s="97">
        <f>VLOOKUP(ReviewCalcs[[#This Row],[Project Index]], ProjectInput[], W$1, FALSE)</f>
        <v>0</v>
      </c>
      <c r="V275" s="98" t="str">
        <f>VLOOKUP(ReviewCalcs[[#This Row],[Project Index]], ProjectInput[], X$1, FALSE)</f>
        <v/>
      </c>
      <c r="W27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5" s="75" t="e">
        <f>IF(VLOOKUP(ReviewCalcs[[#This Row],[Proposed Fixture Code]], Table7[[FIXTURE CODE]:[Baseline Fixture Code]], 8, FALSE)="N", "ERROR", "PASS")</f>
        <v>#N/A</v>
      </c>
      <c r="Y27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5" s="75" t="e">
        <f>IF(OR(ReviewCalcs[[#This Row],[Baseline Fixture Watts]]&gt;=ReviewCalcs[[#This Row],[Proposed Fixture Watts]],ReviewCalcs[[#This Row],[Existing Fixture Watts]]&gt;=ReviewCalcs[[#This Row],[Proposed Fixture Watts]] ), "PASS", "ERROR")</f>
        <v>#N/A</v>
      </c>
      <c r="AA275" s="69" t="e">
        <f>VLOOKUP(ReviewCalcs[[#This Row],[Space Conditions]], Table_365[], 5, FALSE)</f>
        <v>#N/A</v>
      </c>
      <c r="AB275" s="68" t="str">
        <f>ReviewCalcs[[#This Row],[Annual Hours]]</f>
        <v/>
      </c>
      <c r="AC275" s="68" t="e">
        <f>VLOOKUP(ReviewCalcs[[#This Row],[Space Conditions]], Table_365[], 6, FALSE)</f>
        <v>#N/A</v>
      </c>
      <c r="AD275" s="68">
        <f>IF(ReviewCalcs[[#This Row],[Existing Control(s)]]='Tables &amp; Ranges'!$A$25, VLOOKUP(ReviewCalcs[[#This Row],[Building/Space Type]], Table_364[], 3, FALSE), CF_Contols)</f>
        <v>0.26</v>
      </c>
      <c r="AE275" s="68" t="e">
        <f>VLOOKUP(ReviewCalcs[[#This Row],[Existing Control(s)]], Table_358[], 2, FALSE)</f>
        <v>#N/A</v>
      </c>
      <c r="AF275" s="68">
        <f>IF(ReviewCalcs[[#This Row],[Proposed Control(s)]]='Tables &amp; Ranges'!$A$25, VLOOKUP(ReviewCalcs[[#This Row],[Building/Space Type]], Table_364[], 3, FALSE), CF_Contols)</f>
        <v>0.26</v>
      </c>
      <c r="AG275" s="68" t="e">
        <f>VLOOKUP(ReviewCalcs[[#This Row],[Proposed Control(s)]], Table_358[], 2, FALSE)</f>
        <v>#N/A</v>
      </c>
      <c r="AH275" s="68">
        <f>IFERROR((ReviewCalcs[[#This Row],[Existing Fixture Quantity]]*ReviewCalcs[[#This Row],[Existing Fixture Watts]]/1000)*ReviewCalcs[[#This Row],[Existing CF]]*ReviewCalcs[[#This Row],[IEFD]], 0)</f>
        <v>0</v>
      </c>
      <c r="AI275" s="68">
        <f>IFERROR((ReviewCalcs[[#This Row],[Proposed Fixture Quantity]]*ReviewCalcs[[#This Row],[Proposed Fixture Watts]]/1000)*ReviewCalcs[[#This Row],[Existing CF]]*ReviewCalcs[[#This Row],[IEFD]], 0)</f>
        <v>0</v>
      </c>
      <c r="AJ275" s="118">
        <f>IFERROR((ReviewCalcs[[#This Row],[Existing Fixture Quantity]]*ReviewCalcs[[#This Row],[Existing Fixture Watts]]/1000-ReviewCalcs[[#This Row],[Proposed Fixture Quantity]]*ReviewCalcs[[#This Row],[Proposed Fixture Watts]]/1000)*ReviewCalcs[[#This Row],[Existing CF]]*ReviewCalcs[[#This Row],[IEFD]], 0)</f>
        <v>0</v>
      </c>
      <c r="AK275" s="118">
        <f>IFERROR((ReviewCalcs[[#This Row],[Existing Fixture Quantity]]*ReviewCalcs[[#This Row],[Existing Fixture Watts]]/1000)*ReviewCalcs[[#This Row],[AOH]]*ReviewCalcs[[#This Row],[IEFE]]*ReviewCalcs[[#This Row],[Existing PAF]], 0)</f>
        <v>0</v>
      </c>
      <c r="AL275" s="118">
        <f>IFERROR((ReviewCalcs[[#This Row],[Proposed Fixture Quantity]]*ReviewCalcs[[#This Row],[Proposed Fixture Watts]]/1000)*ReviewCalcs[[#This Row],[AOH]]*ReviewCalcs[[#This Row],[IEFE]]*ReviewCalcs[[#This Row],[Existing PAF]], 0)</f>
        <v>0</v>
      </c>
      <c r="AM27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5" s="118">
        <f>ReviewCalcs[[#This Row],[Fixture Existing Energy (kWh)]]*Avg_KWh_Rate</f>
        <v>0</v>
      </c>
      <c r="AO275" s="118">
        <f>ReviewCalcs[[#This Row],[Fixture Proposed Energy (kWh)]]*Avg_KWh_Rate</f>
        <v>0</v>
      </c>
      <c r="AP275" s="70">
        <f>ReviewCalcs[[#This Row],[Fixture Energy Savings]]*Avg_KWh_Rate</f>
        <v>0</v>
      </c>
      <c r="AQ275" s="129" t="e">
        <f>ReviewCalcs[[#This Row],[Existing Fixture Quantity]]*ReviewCalcs[[#This Row],[Existing Fixture Watts]]/1000*ReviewCalcs[[#This Row],[Existing CF]]*ReviewCalcs[[#This Row],[IEFD]]</f>
        <v>#VALUE!</v>
      </c>
      <c r="AR275" s="129" t="e">
        <f>ReviewCalcs[[#This Row],[Proposed Fixture Quantity]]*ReviewCalcs[[#This Row],[Proposed Fixture Watts]]/1000*ReviewCalcs[[#This Row],[Proposed CF]]*ReviewCalcs[[#This Row],[IEFD]]</f>
        <v>#VALUE!</v>
      </c>
      <c r="AS275" s="118">
        <f>IF(ReviewCalcs[[#This Row],[Existing CF]]=ReviewCalcs[[#This Row],[Proposed CF]], 0, ReviewCalcs[[#This Row],[Proposed Fixture Quantity]]*ReviewCalcs[[#This Row],[Proposed Fixture Watts]]/1000*ReviewCalcs[[#This Row],[Proposed CF]]*ReviewCalcs[[#This Row],[IEFD]])</f>
        <v>0</v>
      </c>
      <c r="AT275" s="118">
        <f>IFERROR(ReviewCalcs[[#This Row],[Existing Fixture Quantity]]*ReviewCalcs[[#This Row],[Existing Fixture Watts]]/1000*ReviewCalcs[[#This Row],[Existing PAF]]*ReviewCalcs[[#This Row],[AOH]]*ReviewCalcs[[#This Row],[IEFE]], 0)</f>
        <v>0</v>
      </c>
      <c r="AU275" s="118">
        <f>IFERROR(ReviewCalcs[[#This Row],[Proposed Fixture Quantity]]*ReviewCalcs[[#This Row],[Proposed Fixture Watts]]/1000*ReviewCalcs[[#This Row],[Proposed PAF]]*ReviewCalcs[[#This Row],[AOH]]*ReviewCalcs[[#This Row],[IEFE]], 0)</f>
        <v>0</v>
      </c>
      <c r="AV275" s="118">
        <f>IFERROR(ReviewCalcs[[#This Row],[Proposed Fixture Quantity]]*ReviewCalcs[[#This Row],[Proposed Fixture Watts]]/1000*(ReviewCalcs[[#This Row],[Existing PAF]]-ReviewCalcs[[#This Row],[Proposed PAF]])*ReviewCalcs[[#This Row],[AOH]]*ReviewCalcs[[#This Row],[IEFE]], 0)</f>
        <v>0</v>
      </c>
      <c r="AW275" s="118">
        <f>ReviewCalcs[[#This Row],[Control Existing Energy (kWh)]]*kWh_Incentive_Rate</f>
        <v>0</v>
      </c>
      <c r="AX275" s="118">
        <f>ReviewCalcs[[#This Row],[Control Proposed Energy (kWh)]]*kWh_Incentive_Rate</f>
        <v>0</v>
      </c>
      <c r="AY275" s="70">
        <f>ReviewCalcs[[#This Row],[Control Energy Savings (kWh)]]*kWh_Incentive_Rate</f>
        <v>0</v>
      </c>
      <c r="AZ275" s="70" t="e">
        <f>ReviewCalcs[[#This Row],[Fixture Existing Demand (kW)]]+ReviewCalcs[[#This Row],[Control Existing Demand (kW)]]</f>
        <v>#VALUE!</v>
      </c>
      <c r="BA275" s="70" t="e">
        <f>ReviewCalcs[[#This Row],[Fixture Proposed Demand (kW)]]+ReviewCalcs[[#This Row],[Control Proposed Demand (kW)]]</f>
        <v>#VALUE!</v>
      </c>
      <c r="BB275" s="118">
        <f>ReviewCalcs[[#This Row],[Fixture Demand Savings (kW)]]+ReviewCalcs[[#This Row],[Control Demand Savings (kW)]]</f>
        <v>0</v>
      </c>
      <c r="BC275" s="118">
        <f>ReviewCalcs[[#This Row],[Fixture Existing Energy (kWh)]]+ReviewCalcs[[#This Row],[Control Existing Energy (kWh)]]</f>
        <v>0</v>
      </c>
      <c r="BD275" s="118">
        <f>ReviewCalcs[[#This Row],[Fixture Proposed Energy (kWh)]]+ReviewCalcs[[#This Row],[Control Proposed Energy (kWh)]]</f>
        <v>0</v>
      </c>
      <c r="BE275" s="118">
        <f>ReviewCalcs[[#This Row],[Fixture Energy Savings]]+ReviewCalcs[[#This Row],[Control Energy Savings (kWh)]]</f>
        <v>0</v>
      </c>
      <c r="BF275" s="118">
        <f>ReviewCalcs[[#This Row],[Fixture Existing Cost ($)]]+ReviewCalcs[[#This Row],[Control Existing Cost ($)]]</f>
        <v>0</v>
      </c>
      <c r="BG275" s="118">
        <f>ReviewCalcs[[#This Row],[Fixture Proposed Cost ($)]]+ReviewCalcs[[#This Row],[Controls Proposed Cost ($)]]</f>
        <v>0</v>
      </c>
      <c r="BH275" s="70">
        <f>ReviewCalcs[[#This Row],[Total Energy Savings (kWh)]]*Avg_KWh_Rate</f>
        <v>0</v>
      </c>
      <c r="BI27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5" s="70">
        <f>ReviewCalcs[[#This Row],[Retrofit Cost]]</f>
        <v>0</v>
      </c>
      <c r="BK275" s="70">
        <f>ReviewCalcs[[#This Row],[Retrofit Cost]]-ReviewCalcs[[#This Row],[Incentive ($)]]</f>
        <v>0</v>
      </c>
      <c r="BL275" s="118" t="e">
        <f>IFERROR(ReviewCalcs[[#This Row],[Net Project Cost ($)]]/ReviewCalcs[[#This Row],[Fixture Energy Cost Savings ($)]], #N/A)</f>
        <v>#N/A</v>
      </c>
      <c r="BM275" s="118" t="e">
        <f>IF(VLOOKUP(ReviewCalcs[[#This Row],[Existing Fixture Code]], Table7[[FIXTURE CODE]:[Baseline Fixture Code]], 8, FALSE)="N", VLOOKUP(ReviewCalcs[[#This Row],[Existing Fixture Code]], Table7[[FIXTURE CODE]:[Baseline Fixture Code]], 9, FALSE), ReviewCalcs[[#This Row],[Existing Fixture Code]])</f>
        <v>#N/A</v>
      </c>
      <c r="BN275" s="118" t="e">
        <f>INDEX(Table7[WATT/ FIXT], MATCH(ReviewCalcs[Baseline Fixture Code], Table7[FIXTURE CODE], 0))</f>
        <v>#N/A</v>
      </c>
      <c r="BO275" s="118">
        <f>IFERROR((ReviewCalcs[[#This Row],[Existing Fixture Quantity]]*ReviewCalcs[[#This Row],[Baseline Fixture Watts]]/1000-ReviewCalcs[[#This Row],[Proposed Fixture Quantity]]*ReviewCalcs[[#This Row],[Proposed Fixture Watts]]/1000)*ReviewCalcs[[#This Row],[Existing CF]]*ReviewCalcs[[#This Row],[IEFD]], 0)</f>
        <v>0</v>
      </c>
      <c r="BP27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5" s="118">
        <f>IF(ReviewCalcs[[#This Row],[Existing CF]]=ReviewCalcs[[#This Row],[Proposed CF]], 0, ReviewCalcs[[#This Row],[Proposed Fixture Quantity]]*ReviewCalcs[[#This Row],[Proposed Fixture Watts]]/1000*ReviewCalcs[[#This Row],[Proposed CF]]*ReviewCalcs[[#This Row],[IEFD]])</f>
        <v>0</v>
      </c>
      <c r="BR275" s="118">
        <f>IFERROR(ReviewCalcs[[#This Row],[Proposed Fixture Quantity]]*ReviewCalcs[[#This Row],[Proposed Fixture Watts]]/1000*(ReviewCalcs[[#This Row],[Existing PAF]]-ReviewCalcs[[#This Row],[Proposed PAF]])*ReviewCalcs[[#This Row],[AOH]]*ReviewCalcs[[#This Row],[IEFE]],0)</f>
        <v>0</v>
      </c>
      <c r="BS275" s="118">
        <f>ReviewCalcs[[#This Row],[Incentive Fixture Demand Savings (kW)]]+ReviewCalcs[[#This Row],[Incentive Control Demand Savings (kW)]]</f>
        <v>0</v>
      </c>
      <c r="BT275" s="118">
        <f>ReviewCalcs[[#This Row],[Incentive Fixture Energy Savings (kWh)]]+ReviewCalcs[[#This Row],[Incentive Control Energy Savings (kWh)]]</f>
        <v>0</v>
      </c>
      <c r="BU275" s="73"/>
    </row>
    <row r="276" spans="1:73" ht="30" customHeight="1">
      <c r="A276" s="68">
        <v>273</v>
      </c>
      <c r="B276" s="96">
        <f>VLOOKUP(ReviewCalcs[[#This Row],[Project Index]], ProjectInput[], D$1, FALSE)</f>
        <v>0</v>
      </c>
      <c r="C276" s="97">
        <f>VLOOKUP(ReviewCalcs[[#This Row],[Project Index]], ProjectInput[], E$1, FALSE)</f>
        <v>0</v>
      </c>
      <c r="D276" s="97">
        <f>VLOOKUP(ReviewCalcs[[#This Row],[Project Index]], ProjectInput[], F$1, FALSE)</f>
        <v>0</v>
      </c>
      <c r="E276" s="97">
        <f>VLOOKUP(ReviewCalcs[[#This Row],[Project Index]], ProjectInput[], G$1, FALSE)</f>
        <v>0</v>
      </c>
      <c r="F276" s="97">
        <f>VLOOKUP(ReviewCalcs[[#This Row],[Project Index]], ProjectInput[], H$1, FALSE)</f>
        <v>0</v>
      </c>
      <c r="G276" s="98" t="str">
        <f>VLOOKUP(ReviewCalcs[[#This Row],[Project Index]], ProjectInput[], I$1, FALSE)</f>
        <v/>
      </c>
      <c r="H276" s="96">
        <f>VLOOKUP(ReviewCalcs[[#This Row],[Project Index]], ProjectInput[], J$1, FALSE)</f>
        <v>0</v>
      </c>
      <c r="I276" s="97">
        <f>VLOOKUP(ReviewCalcs[[#This Row],[Project Index]], ProjectInput[], K$1, FALSE)</f>
        <v>0</v>
      </c>
      <c r="J276" s="97">
        <f>VLOOKUP(ReviewCalcs[[#This Row],[Project Index]], ProjectInput[], L$1, FALSE)</f>
        <v>0</v>
      </c>
      <c r="K276" s="97">
        <f>VLOOKUP(ReviewCalcs[[#This Row],[Project Index]], ProjectInput[], M$1, FALSE)</f>
        <v>0</v>
      </c>
      <c r="L276" s="97">
        <f>VLOOKUP(ReviewCalcs[[#This Row],[Project Index]], ProjectInput[], N$1, FALSE)</f>
        <v>0</v>
      </c>
      <c r="M276" s="98" t="str">
        <f>VLOOKUP(ReviewCalcs[[#This Row],[Project Index]], ProjectInput[], O$1, FALSE)</f>
        <v/>
      </c>
      <c r="N276" s="96">
        <f>VLOOKUP(ReviewCalcs[[#This Row],[Project Index]], ProjectInput[], P$1, FALSE)</f>
        <v>0</v>
      </c>
      <c r="O276" s="97">
        <f>VLOOKUP(ReviewCalcs[[#This Row],[Project Index]], ProjectInput[], Q$1, FALSE)</f>
        <v>0</v>
      </c>
      <c r="P276" s="97">
        <f>VLOOKUP(ReviewCalcs[[#This Row],[Project Index]], ProjectInput[], R$1, FALSE)</f>
        <v>0</v>
      </c>
      <c r="Q276" s="97">
        <f>VLOOKUP(ReviewCalcs[[#This Row],[Project Index]], ProjectInput[], S$1, FALSE)</f>
        <v>0</v>
      </c>
      <c r="R276" s="97">
        <f>VLOOKUP(ReviewCalcs[[#This Row],[Project Index]], ProjectInput[], T$1, FALSE)</f>
        <v>0</v>
      </c>
      <c r="S276" s="97">
        <f>VLOOKUP(ReviewCalcs[[#This Row],[Project Index]], ProjectInput[], U$1, FALSE)</f>
        <v>0</v>
      </c>
      <c r="T276" s="97">
        <f>VLOOKUP(ReviewCalcs[[#This Row],[Project Index]], ProjectInput[], V$1, FALSE)</f>
        <v>0</v>
      </c>
      <c r="U276" s="97">
        <f>VLOOKUP(ReviewCalcs[[#This Row],[Project Index]], ProjectInput[], W$1, FALSE)</f>
        <v>0</v>
      </c>
      <c r="V276" s="98" t="str">
        <f>VLOOKUP(ReviewCalcs[[#This Row],[Project Index]], ProjectInput[], X$1, FALSE)</f>
        <v/>
      </c>
      <c r="W27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6" s="75" t="e">
        <f>IF(VLOOKUP(ReviewCalcs[[#This Row],[Proposed Fixture Code]], Table7[[FIXTURE CODE]:[Baseline Fixture Code]], 8, FALSE)="N", "ERROR", "PASS")</f>
        <v>#N/A</v>
      </c>
      <c r="Y27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6" s="75" t="e">
        <f>IF(OR(ReviewCalcs[[#This Row],[Baseline Fixture Watts]]&gt;=ReviewCalcs[[#This Row],[Proposed Fixture Watts]],ReviewCalcs[[#This Row],[Existing Fixture Watts]]&gt;=ReviewCalcs[[#This Row],[Proposed Fixture Watts]] ), "PASS", "ERROR")</f>
        <v>#N/A</v>
      </c>
      <c r="AA276" s="69" t="e">
        <f>VLOOKUP(ReviewCalcs[[#This Row],[Space Conditions]], Table_365[], 5, FALSE)</f>
        <v>#N/A</v>
      </c>
      <c r="AB276" s="68" t="str">
        <f>ReviewCalcs[[#This Row],[Annual Hours]]</f>
        <v/>
      </c>
      <c r="AC276" s="68" t="e">
        <f>VLOOKUP(ReviewCalcs[[#This Row],[Space Conditions]], Table_365[], 6, FALSE)</f>
        <v>#N/A</v>
      </c>
      <c r="AD276" s="68">
        <f>IF(ReviewCalcs[[#This Row],[Existing Control(s)]]='Tables &amp; Ranges'!$A$25, VLOOKUP(ReviewCalcs[[#This Row],[Building/Space Type]], Table_364[], 3, FALSE), CF_Contols)</f>
        <v>0.26</v>
      </c>
      <c r="AE276" s="68" t="e">
        <f>VLOOKUP(ReviewCalcs[[#This Row],[Existing Control(s)]], Table_358[], 2, FALSE)</f>
        <v>#N/A</v>
      </c>
      <c r="AF276" s="68">
        <f>IF(ReviewCalcs[[#This Row],[Proposed Control(s)]]='Tables &amp; Ranges'!$A$25, VLOOKUP(ReviewCalcs[[#This Row],[Building/Space Type]], Table_364[], 3, FALSE), CF_Contols)</f>
        <v>0.26</v>
      </c>
      <c r="AG276" s="68" t="e">
        <f>VLOOKUP(ReviewCalcs[[#This Row],[Proposed Control(s)]], Table_358[], 2, FALSE)</f>
        <v>#N/A</v>
      </c>
      <c r="AH276" s="68">
        <f>IFERROR((ReviewCalcs[[#This Row],[Existing Fixture Quantity]]*ReviewCalcs[[#This Row],[Existing Fixture Watts]]/1000)*ReviewCalcs[[#This Row],[Existing CF]]*ReviewCalcs[[#This Row],[IEFD]], 0)</f>
        <v>0</v>
      </c>
      <c r="AI276" s="68">
        <f>IFERROR((ReviewCalcs[[#This Row],[Proposed Fixture Quantity]]*ReviewCalcs[[#This Row],[Proposed Fixture Watts]]/1000)*ReviewCalcs[[#This Row],[Existing CF]]*ReviewCalcs[[#This Row],[IEFD]], 0)</f>
        <v>0</v>
      </c>
      <c r="AJ276" s="118">
        <f>IFERROR((ReviewCalcs[[#This Row],[Existing Fixture Quantity]]*ReviewCalcs[[#This Row],[Existing Fixture Watts]]/1000-ReviewCalcs[[#This Row],[Proposed Fixture Quantity]]*ReviewCalcs[[#This Row],[Proposed Fixture Watts]]/1000)*ReviewCalcs[[#This Row],[Existing CF]]*ReviewCalcs[[#This Row],[IEFD]], 0)</f>
        <v>0</v>
      </c>
      <c r="AK276" s="118">
        <f>IFERROR((ReviewCalcs[[#This Row],[Existing Fixture Quantity]]*ReviewCalcs[[#This Row],[Existing Fixture Watts]]/1000)*ReviewCalcs[[#This Row],[AOH]]*ReviewCalcs[[#This Row],[IEFE]]*ReviewCalcs[[#This Row],[Existing PAF]], 0)</f>
        <v>0</v>
      </c>
      <c r="AL276" s="118">
        <f>IFERROR((ReviewCalcs[[#This Row],[Proposed Fixture Quantity]]*ReviewCalcs[[#This Row],[Proposed Fixture Watts]]/1000)*ReviewCalcs[[#This Row],[AOH]]*ReviewCalcs[[#This Row],[IEFE]]*ReviewCalcs[[#This Row],[Existing PAF]], 0)</f>
        <v>0</v>
      </c>
      <c r="AM27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6" s="118">
        <f>ReviewCalcs[[#This Row],[Fixture Existing Energy (kWh)]]*Avg_KWh_Rate</f>
        <v>0</v>
      </c>
      <c r="AO276" s="118">
        <f>ReviewCalcs[[#This Row],[Fixture Proposed Energy (kWh)]]*Avg_KWh_Rate</f>
        <v>0</v>
      </c>
      <c r="AP276" s="70">
        <f>ReviewCalcs[[#This Row],[Fixture Energy Savings]]*Avg_KWh_Rate</f>
        <v>0</v>
      </c>
      <c r="AQ276" s="129" t="e">
        <f>ReviewCalcs[[#This Row],[Existing Fixture Quantity]]*ReviewCalcs[[#This Row],[Existing Fixture Watts]]/1000*ReviewCalcs[[#This Row],[Existing CF]]*ReviewCalcs[[#This Row],[IEFD]]</f>
        <v>#VALUE!</v>
      </c>
      <c r="AR276" s="129" t="e">
        <f>ReviewCalcs[[#This Row],[Proposed Fixture Quantity]]*ReviewCalcs[[#This Row],[Proposed Fixture Watts]]/1000*ReviewCalcs[[#This Row],[Proposed CF]]*ReviewCalcs[[#This Row],[IEFD]]</f>
        <v>#VALUE!</v>
      </c>
      <c r="AS276" s="118">
        <f>IF(ReviewCalcs[[#This Row],[Existing CF]]=ReviewCalcs[[#This Row],[Proposed CF]], 0, ReviewCalcs[[#This Row],[Proposed Fixture Quantity]]*ReviewCalcs[[#This Row],[Proposed Fixture Watts]]/1000*ReviewCalcs[[#This Row],[Proposed CF]]*ReviewCalcs[[#This Row],[IEFD]])</f>
        <v>0</v>
      </c>
      <c r="AT276" s="118">
        <f>IFERROR(ReviewCalcs[[#This Row],[Existing Fixture Quantity]]*ReviewCalcs[[#This Row],[Existing Fixture Watts]]/1000*ReviewCalcs[[#This Row],[Existing PAF]]*ReviewCalcs[[#This Row],[AOH]]*ReviewCalcs[[#This Row],[IEFE]], 0)</f>
        <v>0</v>
      </c>
      <c r="AU276" s="118">
        <f>IFERROR(ReviewCalcs[[#This Row],[Proposed Fixture Quantity]]*ReviewCalcs[[#This Row],[Proposed Fixture Watts]]/1000*ReviewCalcs[[#This Row],[Proposed PAF]]*ReviewCalcs[[#This Row],[AOH]]*ReviewCalcs[[#This Row],[IEFE]], 0)</f>
        <v>0</v>
      </c>
      <c r="AV276" s="118">
        <f>IFERROR(ReviewCalcs[[#This Row],[Proposed Fixture Quantity]]*ReviewCalcs[[#This Row],[Proposed Fixture Watts]]/1000*(ReviewCalcs[[#This Row],[Existing PAF]]-ReviewCalcs[[#This Row],[Proposed PAF]])*ReviewCalcs[[#This Row],[AOH]]*ReviewCalcs[[#This Row],[IEFE]], 0)</f>
        <v>0</v>
      </c>
      <c r="AW276" s="118">
        <f>ReviewCalcs[[#This Row],[Control Existing Energy (kWh)]]*kWh_Incentive_Rate</f>
        <v>0</v>
      </c>
      <c r="AX276" s="118">
        <f>ReviewCalcs[[#This Row],[Control Proposed Energy (kWh)]]*kWh_Incentive_Rate</f>
        <v>0</v>
      </c>
      <c r="AY276" s="70">
        <f>ReviewCalcs[[#This Row],[Control Energy Savings (kWh)]]*kWh_Incentive_Rate</f>
        <v>0</v>
      </c>
      <c r="AZ276" s="70" t="e">
        <f>ReviewCalcs[[#This Row],[Fixture Existing Demand (kW)]]+ReviewCalcs[[#This Row],[Control Existing Demand (kW)]]</f>
        <v>#VALUE!</v>
      </c>
      <c r="BA276" s="70" t="e">
        <f>ReviewCalcs[[#This Row],[Fixture Proposed Demand (kW)]]+ReviewCalcs[[#This Row],[Control Proposed Demand (kW)]]</f>
        <v>#VALUE!</v>
      </c>
      <c r="BB276" s="118">
        <f>ReviewCalcs[[#This Row],[Fixture Demand Savings (kW)]]+ReviewCalcs[[#This Row],[Control Demand Savings (kW)]]</f>
        <v>0</v>
      </c>
      <c r="BC276" s="118">
        <f>ReviewCalcs[[#This Row],[Fixture Existing Energy (kWh)]]+ReviewCalcs[[#This Row],[Control Existing Energy (kWh)]]</f>
        <v>0</v>
      </c>
      <c r="BD276" s="118">
        <f>ReviewCalcs[[#This Row],[Fixture Proposed Energy (kWh)]]+ReviewCalcs[[#This Row],[Control Proposed Energy (kWh)]]</f>
        <v>0</v>
      </c>
      <c r="BE276" s="118">
        <f>ReviewCalcs[[#This Row],[Fixture Energy Savings]]+ReviewCalcs[[#This Row],[Control Energy Savings (kWh)]]</f>
        <v>0</v>
      </c>
      <c r="BF276" s="118">
        <f>ReviewCalcs[[#This Row],[Fixture Existing Cost ($)]]+ReviewCalcs[[#This Row],[Control Existing Cost ($)]]</f>
        <v>0</v>
      </c>
      <c r="BG276" s="118">
        <f>ReviewCalcs[[#This Row],[Fixture Proposed Cost ($)]]+ReviewCalcs[[#This Row],[Controls Proposed Cost ($)]]</f>
        <v>0</v>
      </c>
      <c r="BH276" s="70">
        <f>ReviewCalcs[[#This Row],[Total Energy Savings (kWh)]]*Avg_KWh_Rate</f>
        <v>0</v>
      </c>
      <c r="BI27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6" s="70">
        <f>ReviewCalcs[[#This Row],[Retrofit Cost]]</f>
        <v>0</v>
      </c>
      <c r="BK276" s="70">
        <f>ReviewCalcs[[#This Row],[Retrofit Cost]]-ReviewCalcs[[#This Row],[Incentive ($)]]</f>
        <v>0</v>
      </c>
      <c r="BL276" s="118" t="e">
        <f>IFERROR(ReviewCalcs[[#This Row],[Net Project Cost ($)]]/ReviewCalcs[[#This Row],[Fixture Energy Cost Savings ($)]], #N/A)</f>
        <v>#N/A</v>
      </c>
      <c r="BM276" s="118" t="e">
        <f>IF(VLOOKUP(ReviewCalcs[[#This Row],[Existing Fixture Code]], Table7[[FIXTURE CODE]:[Baseline Fixture Code]], 8, FALSE)="N", VLOOKUP(ReviewCalcs[[#This Row],[Existing Fixture Code]], Table7[[FIXTURE CODE]:[Baseline Fixture Code]], 9, FALSE), ReviewCalcs[[#This Row],[Existing Fixture Code]])</f>
        <v>#N/A</v>
      </c>
      <c r="BN276" s="118" t="e">
        <f>INDEX(Table7[WATT/ FIXT], MATCH(ReviewCalcs[Baseline Fixture Code], Table7[FIXTURE CODE], 0))</f>
        <v>#N/A</v>
      </c>
      <c r="BO276" s="118">
        <f>IFERROR((ReviewCalcs[[#This Row],[Existing Fixture Quantity]]*ReviewCalcs[[#This Row],[Baseline Fixture Watts]]/1000-ReviewCalcs[[#This Row],[Proposed Fixture Quantity]]*ReviewCalcs[[#This Row],[Proposed Fixture Watts]]/1000)*ReviewCalcs[[#This Row],[Existing CF]]*ReviewCalcs[[#This Row],[IEFD]], 0)</f>
        <v>0</v>
      </c>
      <c r="BP27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6" s="118">
        <f>IF(ReviewCalcs[[#This Row],[Existing CF]]=ReviewCalcs[[#This Row],[Proposed CF]], 0, ReviewCalcs[[#This Row],[Proposed Fixture Quantity]]*ReviewCalcs[[#This Row],[Proposed Fixture Watts]]/1000*ReviewCalcs[[#This Row],[Proposed CF]]*ReviewCalcs[[#This Row],[IEFD]])</f>
        <v>0</v>
      </c>
      <c r="BR276" s="118">
        <f>IFERROR(ReviewCalcs[[#This Row],[Proposed Fixture Quantity]]*ReviewCalcs[[#This Row],[Proposed Fixture Watts]]/1000*(ReviewCalcs[[#This Row],[Existing PAF]]-ReviewCalcs[[#This Row],[Proposed PAF]])*ReviewCalcs[[#This Row],[AOH]]*ReviewCalcs[[#This Row],[IEFE]],0)</f>
        <v>0</v>
      </c>
      <c r="BS276" s="118">
        <f>ReviewCalcs[[#This Row],[Incentive Fixture Demand Savings (kW)]]+ReviewCalcs[[#This Row],[Incentive Control Demand Savings (kW)]]</f>
        <v>0</v>
      </c>
      <c r="BT276" s="118">
        <f>ReviewCalcs[[#This Row],[Incentive Fixture Energy Savings (kWh)]]+ReviewCalcs[[#This Row],[Incentive Control Energy Savings (kWh)]]</f>
        <v>0</v>
      </c>
      <c r="BU276" s="73"/>
    </row>
    <row r="277" spans="1:73" ht="30" customHeight="1">
      <c r="A277" s="68">
        <v>274</v>
      </c>
      <c r="B277" s="96">
        <f>VLOOKUP(ReviewCalcs[[#This Row],[Project Index]], ProjectInput[], D$1, FALSE)</f>
        <v>0</v>
      </c>
      <c r="C277" s="97">
        <f>VLOOKUP(ReviewCalcs[[#This Row],[Project Index]], ProjectInput[], E$1, FALSE)</f>
        <v>0</v>
      </c>
      <c r="D277" s="97">
        <f>VLOOKUP(ReviewCalcs[[#This Row],[Project Index]], ProjectInput[], F$1, FALSE)</f>
        <v>0</v>
      </c>
      <c r="E277" s="97">
        <f>VLOOKUP(ReviewCalcs[[#This Row],[Project Index]], ProjectInput[], G$1, FALSE)</f>
        <v>0</v>
      </c>
      <c r="F277" s="97">
        <f>VLOOKUP(ReviewCalcs[[#This Row],[Project Index]], ProjectInput[], H$1, FALSE)</f>
        <v>0</v>
      </c>
      <c r="G277" s="98" t="str">
        <f>VLOOKUP(ReviewCalcs[[#This Row],[Project Index]], ProjectInput[], I$1, FALSE)</f>
        <v/>
      </c>
      <c r="H277" s="96">
        <f>VLOOKUP(ReviewCalcs[[#This Row],[Project Index]], ProjectInput[], J$1, FALSE)</f>
        <v>0</v>
      </c>
      <c r="I277" s="97">
        <f>VLOOKUP(ReviewCalcs[[#This Row],[Project Index]], ProjectInput[], K$1, FALSE)</f>
        <v>0</v>
      </c>
      <c r="J277" s="97">
        <f>VLOOKUP(ReviewCalcs[[#This Row],[Project Index]], ProjectInput[], L$1, FALSE)</f>
        <v>0</v>
      </c>
      <c r="K277" s="97">
        <f>VLOOKUP(ReviewCalcs[[#This Row],[Project Index]], ProjectInput[], M$1, FALSE)</f>
        <v>0</v>
      </c>
      <c r="L277" s="97">
        <f>VLOOKUP(ReviewCalcs[[#This Row],[Project Index]], ProjectInput[], N$1, FALSE)</f>
        <v>0</v>
      </c>
      <c r="M277" s="98" t="str">
        <f>VLOOKUP(ReviewCalcs[[#This Row],[Project Index]], ProjectInput[], O$1, FALSE)</f>
        <v/>
      </c>
      <c r="N277" s="96">
        <f>VLOOKUP(ReviewCalcs[[#This Row],[Project Index]], ProjectInput[], P$1, FALSE)</f>
        <v>0</v>
      </c>
      <c r="O277" s="97">
        <f>VLOOKUP(ReviewCalcs[[#This Row],[Project Index]], ProjectInput[], Q$1, FALSE)</f>
        <v>0</v>
      </c>
      <c r="P277" s="97">
        <f>VLOOKUP(ReviewCalcs[[#This Row],[Project Index]], ProjectInput[], R$1, FALSE)</f>
        <v>0</v>
      </c>
      <c r="Q277" s="97">
        <f>VLOOKUP(ReviewCalcs[[#This Row],[Project Index]], ProjectInput[], S$1, FALSE)</f>
        <v>0</v>
      </c>
      <c r="R277" s="97">
        <f>VLOOKUP(ReviewCalcs[[#This Row],[Project Index]], ProjectInput[], T$1, FALSE)</f>
        <v>0</v>
      </c>
      <c r="S277" s="97">
        <f>VLOOKUP(ReviewCalcs[[#This Row],[Project Index]], ProjectInput[], U$1, FALSE)</f>
        <v>0</v>
      </c>
      <c r="T277" s="97">
        <f>VLOOKUP(ReviewCalcs[[#This Row],[Project Index]], ProjectInput[], V$1, FALSE)</f>
        <v>0</v>
      </c>
      <c r="U277" s="97">
        <f>VLOOKUP(ReviewCalcs[[#This Row],[Project Index]], ProjectInput[], W$1, FALSE)</f>
        <v>0</v>
      </c>
      <c r="V277" s="98" t="str">
        <f>VLOOKUP(ReviewCalcs[[#This Row],[Project Index]], ProjectInput[], X$1, FALSE)</f>
        <v/>
      </c>
      <c r="W27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7" s="75" t="e">
        <f>IF(VLOOKUP(ReviewCalcs[[#This Row],[Proposed Fixture Code]], Table7[[FIXTURE CODE]:[Baseline Fixture Code]], 8, FALSE)="N", "ERROR", "PASS")</f>
        <v>#N/A</v>
      </c>
      <c r="Y27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7" s="75" t="e">
        <f>IF(OR(ReviewCalcs[[#This Row],[Baseline Fixture Watts]]&gt;=ReviewCalcs[[#This Row],[Proposed Fixture Watts]],ReviewCalcs[[#This Row],[Existing Fixture Watts]]&gt;=ReviewCalcs[[#This Row],[Proposed Fixture Watts]] ), "PASS", "ERROR")</f>
        <v>#N/A</v>
      </c>
      <c r="AA277" s="69" t="e">
        <f>VLOOKUP(ReviewCalcs[[#This Row],[Space Conditions]], Table_365[], 5, FALSE)</f>
        <v>#N/A</v>
      </c>
      <c r="AB277" s="68" t="str">
        <f>ReviewCalcs[[#This Row],[Annual Hours]]</f>
        <v/>
      </c>
      <c r="AC277" s="68" t="e">
        <f>VLOOKUP(ReviewCalcs[[#This Row],[Space Conditions]], Table_365[], 6, FALSE)</f>
        <v>#N/A</v>
      </c>
      <c r="AD277" s="68">
        <f>IF(ReviewCalcs[[#This Row],[Existing Control(s)]]='Tables &amp; Ranges'!$A$25, VLOOKUP(ReviewCalcs[[#This Row],[Building/Space Type]], Table_364[], 3, FALSE), CF_Contols)</f>
        <v>0.26</v>
      </c>
      <c r="AE277" s="68" t="e">
        <f>VLOOKUP(ReviewCalcs[[#This Row],[Existing Control(s)]], Table_358[], 2, FALSE)</f>
        <v>#N/A</v>
      </c>
      <c r="AF277" s="68">
        <f>IF(ReviewCalcs[[#This Row],[Proposed Control(s)]]='Tables &amp; Ranges'!$A$25, VLOOKUP(ReviewCalcs[[#This Row],[Building/Space Type]], Table_364[], 3, FALSE), CF_Contols)</f>
        <v>0.26</v>
      </c>
      <c r="AG277" s="68" t="e">
        <f>VLOOKUP(ReviewCalcs[[#This Row],[Proposed Control(s)]], Table_358[], 2, FALSE)</f>
        <v>#N/A</v>
      </c>
      <c r="AH277" s="68">
        <f>IFERROR((ReviewCalcs[[#This Row],[Existing Fixture Quantity]]*ReviewCalcs[[#This Row],[Existing Fixture Watts]]/1000)*ReviewCalcs[[#This Row],[Existing CF]]*ReviewCalcs[[#This Row],[IEFD]], 0)</f>
        <v>0</v>
      </c>
      <c r="AI277" s="68">
        <f>IFERROR((ReviewCalcs[[#This Row],[Proposed Fixture Quantity]]*ReviewCalcs[[#This Row],[Proposed Fixture Watts]]/1000)*ReviewCalcs[[#This Row],[Existing CF]]*ReviewCalcs[[#This Row],[IEFD]], 0)</f>
        <v>0</v>
      </c>
      <c r="AJ277" s="118">
        <f>IFERROR((ReviewCalcs[[#This Row],[Existing Fixture Quantity]]*ReviewCalcs[[#This Row],[Existing Fixture Watts]]/1000-ReviewCalcs[[#This Row],[Proposed Fixture Quantity]]*ReviewCalcs[[#This Row],[Proposed Fixture Watts]]/1000)*ReviewCalcs[[#This Row],[Existing CF]]*ReviewCalcs[[#This Row],[IEFD]], 0)</f>
        <v>0</v>
      </c>
      <c r="AK277" s="118">
        <f>IFERROR((ReviewCalcs[[#This Row],[Existing Fixture Quantity]]*ReviewCalcs[[#This Row],[Existing Fixture Watts]]/1000)*ReviewCalcs[[#This Row],[AOH]]*ReviewCalcs[[#This Row],[IEFE]]*ReviewCalcs[[#This Row],[Existing PAF]], 0)</f>
        <v>0</v>
      </c>
      <c r="AL277" s="118">
        <f>IFERROR((ReviewCalcs[[#This Row],[Proposed Fixture Quantity]]*ReviewCalcs[[#This Row],[Proposed Fixture Watts]]/1000)*ReviewCalcs[[#This Row],[AOH]]*ReviewCalcs[[#This Row],[IEFE]]*ReviewCalcs[[#This Row],[Existing PAF]], 0)</f>
        <v>0</v>
      </c>
      <c r="AM27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7" s="118">
        <f>ReviewCalcs[[#This Row],[Fixture Existing Energy (kWh)]]*Avg_KWh_Rate</f>
        <v>0</v>
      </c>
      <c r="AO277" s="118">
        <f>ReviewCalcs[[#This Row],[Fixture Proposed Energy (kWh)]]*Avg_KWh_Rate</f>
        <v>0</v>
      </c>
      <c r="AP277" s="70">
        <f>ReviewCalcs[[#This Row],[Fixture Energy Savings]]*Avg_KWh_Rate</f>
        <v>0</v>
      </c>
      <c r="AQ277" s="129" t="e">
        <f>ReviewCalcs[[#This Row],[Existing Fixture Quantity]]*ReviewCalcs[[#This Row],[Existing Fixture Watts]]/1000*ReviewCalcs[[#This Row],[Existing CF]]*ReviewCalcs[[#This Row],[IEFD]]</f>
        <v>#VALUE!</v>
      </c>
      <c r="AR277" s="129" t="e">
        <f>ReviewCalcs[[#This Row],[Proposed Fixture Quantity]]*ReviewCalcs[[#This Row],[Proposed Fixture Watts]]/1000*ReviewCalcs[[#This Row],[Proposed CF]]*ReviewCalcs[[#This Row],[IEFD]]</f>
        <v>#VALUE!</v>
      </c>
      <c r="AS277" s="118">
        <f>IF(ReviewCalcs[[#This Row],[Existing CF]]=ReviewCalcs[[#This Row],[Proposed CF]], 0, ReviewCalcs[[#This Row],[Proposed Fixture Quantity]]*ReviewCalcs[[#This Row],[Proposed Fixture Watts]]/1000*ReviewCalcs[[#This Row],[Proposed CF]]*ReviewCalcs[[#This Row],[IEFD]])</f>
        <v>0</v>
      </c>
      <c r="AT277" s="118">
        <f>IFERROR(ReviewCalcs[[#This Row],[Existing Fixture Quantity]]*ReviewCalcs[[#This Row],[Existing Fixture Watts]]/1000*ReviewCalcs[[#This Row],[Existing PAF]]*ReviewCalcs[[#This Row],[AOH]]*ReviewCalcs[[#This Row],[IEFE]], 0)</f>
        <v>0</v>
      </c>
      <c r="AU277" s="118">
        <f>IFERROR(ReviewCalcs[[#This Row],[Proposed Fixture Quantity]]*ReviewCalcs[[#This Row],[Proposed Fixture Watts]]/1000*ReviewCalcs[[#This Row],[Proposed PAF]]*ReviewCalcs[[#This Row],[AOH]]*ReviewCalcs[[#This Row],[IEFE]], 0)</f>
        <v>0</v>
      </c>
      <c r="AV277" s="118">
        <f>IFERROR(ReviewCalcs[[#This Row],[Proposed Fixture Quantity]]*ReviewCalcs[[#This Row],[Proposed Fixture Watts]]/1000*(ReviewCalcs[[#This Row],[Existing PAF]]-ReviewCalcs[[#This Row],[Proposed PAF]])*ReviewCalcs[[#This Row],[AOH]]*ReviewCalcs[[#This Row],[IEFE]], 0)</f>
        <v>0</v>
      </c>
      <c r="AW277" s="118">
        <f>ReviewCalcs[[#This Row],[Control Existing Energy (kWh)]]*kWh_Incentive_Rate</f>
        <v>0</v>
      </c>
      <c r="AX277" s="118">
        <f>ReviewCalcs[[#This Row],[Control Proposed Energy (kWh)]]*kWh_Incentive_Rate</f>
        <v>0</v>
      </c>
      <c r="AY277" s="70">
        <f>ReviewCalcs[[#This Row],[Control Energy Savings (kWh)]]*kWh_Incentive_Rate</f>
        <v>0</v>
      </c>
      <c r="AZ277" s="70" t="e">
        <f>ReviewCalcs[[#This Row],[Fixture Existing Demand (kW)]]+ReviewCalcs[[#This Row],[Control Existing Demand (kW)]]</f>
        <v>#VALUE!</v>
      </c>
      <c r="BA277" s="70" t="e">
        <f>ReviewCalcs[[#This Row],[Fixture Proposed Demand (kW)]]+ReviewCalcs[[#This Row],[Control Proposed Demand (kW)]]</f>
        <v>#VALUE!</v>
      </c>
      <c r="BB277" s="118">
        <f>ReviewCalcs[[#This Row],[Fixture Demand Savings (kW)]]+ReviewCalcs[[#This Row],[Control Demand Savings (kW)]]</f>
        <v>0</v>
      </c>
      <c r="BC277" s="118">
        <f>ReviewCalcs[[#This Row],[Fixture Existing Energy (kWh)]]+ReviewCalcs[[#This Row],[Control Existing Energy (kWh)]]</f>
        <v>0</v>
      </c>
      <c r="BD277" s="118">
        <f>ReviewCalcs[[#This Row],[Fixture Proposed Energy (kWh)]]+ReviewCalcs[[#This Row],[Control Proposed Energy (kWh)]]</f>
        <v>0</v>
      </c>
      <c r="BE277" s="118">
        <f>ReviewCalcs[[#This Row],[Fixture Energy Savings]]+ReviewCalcs[[#This Row],[Control Energy Savings (kWh)]]</f>
        <v>0</v>
      </c>
      <c r="BF277" s="118">
        <f>ReviewCalcs[[#This Row],[Fixture Existing Cost ($)]]+ReviewCalcs[[#This Row],[Control Existing Cost ($)]]</f>
        <v>0</v>
      </c>
      <c r="BG277" s="118">
        <f>ReviewCalcs[[#This Row],[Fixture Proposed Cost ($)]]+ReviewCalcs[[#This Row],[Controls Proposed Cost ($)]]</f>
        <v>0</v>
      </c>
      <c r="BH277" s="70">
        <f>ReviewCalcs[[#This Row],[Total Energy Savings (kWh)]]*Avg_KWh_Rate</f>
        <v>0</v>
      </c>
      <c r="BI27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7" s="70">
        <f>ReviewCalcs[[#This Row],[Retrofit Cost]]</f>
        <v>0</v>
      </c>
      <c r="BK277" s="70">
        <f>ReviewCalcs[[#This Row],[Retrofit Cost]]-ReviewCalcs[[#This Row],[Incentive ($)]]</f>
        <v>0</v>
      </c>
      <c r="BL277" s="118" t="e">
        <f>IFERROR(ReviewCalcs[[#This Row],[Net Project Cost ($)]]/ReviewCalcs[[#This Row],[Fixture Energy Cost Savings ($)]], #N/A)</f>
        <v>#N/A</v>
      </c>
      <c r="BM277" s="118" t="e">
        <f>IF(VLOOKUP(ReviewCalcs[[#This Row],[Existing Fixture Code]], Table7[[FIXTURE CODE]:[Baseline Fixture Code]], 8, FALSE)="N", VLOOKUP(ReviewCalcs[[#This Row],[Existing Fixture Code]], Table7[[FIXTURE CODE]:[Baseline Fixture Code]], 9, FALSE), ReviewCalcs[[#This Row],[Existing Fixture Code]])</f>
        <v>#N/A</v>
      </c>
      <c r="BN277" s="118" t="e">
        <f>INDEX(Table7[WATT/ FIXT], MATCH(ReviewCalcs[Baseline Fixture Code], Table7[FIXTURE CODE], 0))</f>
        <v>#N/A</v>
      </c>
      <c r="BO277" s="118">
        <f>IFERROR((ReviewCalcs[[#This Row],[Existing Fixture Quantity]]*ReviewCalcs[[#This Row],[Baseline Fixture Watts]]/1000-ReviewCalcs[[#This Row],[Proposed Fixture Quantity]]*ReviewCalcs[[#This Row],[Proposed Fixture Watts]]/1000)*ReviewCalcs[[#This Row],[Existing CF]]*ReviewCalcs[[#This Row],[IEFD]], 0)</f>
        <v>0</v>
      </c>
      <c r="BP27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7" s="118">
        <f>IF(ReviewCalcs[[#This Row],[Existing CF]]=ReviewCalcs[[#This Row],[Proposed CF]], 0, ReviewCalcs[[#This Row],[Proposed Fixture Quantity]]*ReviewCalcs[[#This Row],[Proposed Fixture Watts]]/1000*ReviewCalcs[[#This Row],[Proposed CF]]*ReviewCalcs[[#This Row],[IEFD]])</f>
        <v>0</v>
      </c>
      <c r="BR277" s="118">
        <f>IFERROR(ReviewCalcs[[#This Row],[Proposed Fixture Quantity]]*ReviewCalcs[[#This Row],[Proposed Fixture Watts]]/1000*(ReviewCalcs[[#This Row],[Existing PAF]]-ReviewCalcs[[#This Row],[Proposed PAF]])*ReviewCalcs[[#This Row],[AOH]]*ReviewCalcs[[#This Row],[IEFE]],0)</f>
        <v>0</v>
      </c>
      <c r="BS277" s="118">
        <f>ReviewCalcs[[#This Row],[Incentive Fixture Demand Savings (kW)]]+ReviewCalcs[[#This Row],[Incentive Control Demand Savings (kW)]]</f>
        <v>0</v>
      </c>
      <c r="BT277" s="118">
        <f>ReviewCalcs[[#This Row],[Incentive Fixture Energy Savings (kWh)]]+ReviewCalcs[[#This Row],[Incentive Control Energy Savings (kWh)]]</f>
        <v>0</v>
      </c>
      <c r="BU277" s="73"/>
    </row>
    <row r="278" spans="1:73" ht="30" customHeight="1">
      <c r="A278" s="68">
        <v>275</v>
      </c>
      <c r="B278" s="96">
        <f>VLOOKUP(ReviewCalcs[[#This Row],[Project Index]], ProjectInput[], D$1, FALSE)</f>
        <v>0</v>
      </c>
      <c r="C278" s="97">
        <f>VLOOKUP(ReviewCalcs[[#This Row],[Project Index]], ProjectInput[], E$1, FALSE)</f>
        <v>0</v>
      </c>
      <c r="D278" s="97">
        <f>VLOOKUP(ReviewCalcs[[#This Row],[Project Index]], ProjectInput[], F$1, FALSE)</f>
        <v>0</v>
      </c>
      <c r="E278" s="97">
        <f>VLOOKUP(ReviewCalcs[[#This Row],[Project Index]], ProjectInput[], G$1, FALSE)</f>
        <v>0</v>
      </c>
      <c r="F278" s="97">
        <f>VLOOKUP(ReviewCalcs[[#This Row],[Project Index]], ProjectInput[], H$1, FALSE)</f>
        <v>0</v>
      </c>
      <c r="G278" s="98" t="str">
        <f>VLOOKUP(ReviewCalcs[[#This Row],[Project Index]], ProjectInput[], I$1, FALSE)</f>
        <v/>
      </c>
      <c r="H278" s="96">
        <f>VLOOKUP(ReviewCalcs[[#This Row],[Project Index]], ProjectInput[], J$1, FALSE)</f>
        <v>0</v>
      </c>
      <c r="I278" s="97">
        <f>VLOOKUP(ReviewCalcs[[#This Row],[Project Index]], ProjectInput[], K$1, FALSE)</f>
        <v>0</v>
      </c>
      <c r="J278" s="97">
        <f>VLOOKUP(ReviewCalcs[[#This Row],[Project Index]], ProjectInput[], L$1, FALSE)</f>
        <v>0</v>
      </c>
      <c r="K278" s="97">
        <f>VLOOKUP(ReviewCalcs[[#This Row],[Project Index]], ProjectInput[], M$1, FALSE)</f>
        <v>0</v>
      </c>
      <c r="L278" s="97">
        <f>VLOOKUP(ReviewCalcs[[#This Row],[Project Index]], ProjectInput[], N$1, FALSE)</f>
        <v>0</v>
      </c>
      <c r="M278" s="98" t="str">
        <f>VLOOKUP(ReviewCalcs[[#This Row],[Project Index]], ProjectInput[], O$1, FALSE)</f>
        <v/>
      </c>
      <c r="N278" s="96">
        <f>VLOOKUP(ReviewCalcs[[#This Row],[Project Index]], ProjectInput[], P$1, FALSE)</f>
        <v>0</v>
      </c>
      <c r="O278" s="97">
        <f>VLOOKUP(ReviewCalcs[[#This Row],[Project Index]], ProjectInput[], Q$1, FALSE)</f>
        <v>0</v>
      </c>
      <c r="P278" s="97">
        <f>VLOOKUP(ReviewCalcs[[#This Row],[Project Index]], ProjectInput[], R$1, FALSE)</f>
        <v>0</v>
      </c>
      <c r="Q278" s="97">
        <f>VLOOKUP(ReviewCalcs[[#This Row],[Project Index]], ProjectInput[], S$1, FALSE)</f>
        <v>0</v>
      </c>
      <c r="R278" s="97">
        <f>VLOOKUP(ReviewCalcs[[#This Row],[Project Index]], ProjectInput[], T$1, FALSE)</f>
        <v>0</v>
      </c>
      <c r="S278" s="97">
        <f>VLOOKUP(ReviewCalcs[[#This Row],[Project Index]], ProjectInput[], U$1, FALSE)</f>
        <v>0</v>
      </c>
      <c r="T278" s="97">
        <f>VLOOKUP(ReviewCalcs[[#This Row],[Project Index]], ProjectInput[], V$1, FALSE)</f>
        <v>0</v>
      </c>
      <c r="U278" s="97">
        <f>VLOOKUP(ReviewCalcs[[#This Row],[Project Index]], ProjectInput[], W$1, FALSE)</f>
        <v>0</v>
      </c>
      <c r="V278" s="98" t="str">
        <f>VLOOKUP(ReviewCalcs[[#This Row],[Project Index]], ProjectInput[], X$1, FALSE)</f>
        <v/>
      </c>
      <c r="W27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8" s="75" t="e">
        <f>IF(VLOOKUP(ReviewCalcs[[#This Row],[Proposed Fixture Code]], Table7[[FIXTURE CODE]:[Baseline Fixture Code]], 8, FALSE)="N", "ERROR", "PASS")</f>
        <v>#N/A</v>
      </c>
      <c r="Y27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8" s="75" t="e">
        <f>IF(OR(ReviewCalcs[[#This Row],[Baseline Fixture Watts]]&gt;=ReviewCalcs[[#This Row],[Proposed Fixture Watts]],ReviewCalcs[[#This Row],[Existing Fixture Watts]]&gt;=ReviewCalcs[[#This Row],[Proposed Fixture Watts]] ), "PASS", "ERROR")</f>
        <v>#N/A</v>
      </c>
      <c r="AA278" s="69" t="e">
        <f>VLOOKUP(ReviewCalcs[[#This Row],[Space Conditions]], Table_365[], 5, FALSE)</f>
        <v>#N/A</v>
      </c>
      <c r="AB278" s="68" t="str">
        <f>ReviewCalcs[[#This Row],[Annual Hours]]</f>
        <v/>
      </c>
      <c r="AC278" s="68" t="e">
        <f>VLOOKUP(ReviewCalcs[[#This Row],[Space Conditions]], Table_365[], 6, FALSE)</f>
        <v>#N/A</v>
      </c>
      <c r="AD278" s="68">
        <f>IF(ReviewCalcs[[#This Row],[Existing Control(s)]]='Tables &amp; Ranges'!$A$25, VLOOKUP(ReviewCalcs[[#This Row],[Building/Space Type]], Table_364[], 3, FALSE), CF_Contols)</f>
        <v>0.26</v>
      </c>
      <c r="AE278" s="68" t="e">
        <f>VLOOKUP(ReviewCalcs[[#This Row],[Existing Control(s)]], Table_358[], 2, FALSE)</f>
        <v>#N/A</v>
      </c>
      <c r="AF278" s="68">
        <f>IF(ReviewCalcs[[#This Row],[Proposed Control(s)]]='Tables &amp; Ranges'!$A$25, VLOOKUP(ReviewCalcs[[#This Row],[Building/Space Type]], Table_364[], 3, FALSE), CF_Contols)</f>
        <v>0.26</v>
      </c>
      <c r="AG278" s="68" t="e">
        <f>VLOOKUP(ReviewCalcs[[#This Row],[Proposed Control(s)]], Table_358[], 2, FALSE)</f>
        <v>#N/A</v>
      </c>
      <c r="AH278" s="68">
        <f>IFERROR((ReviewCalcs[[#This Row],[Existing Fixture Quantity]]*ReviewCalcs[[#This Row],[Existing Fixture Watts]]/1000)*ReviewCalcs[[#This Row],[Existing CF]]*ReviewCalcs[[#This Row],[IEFD]], 0)</f>
        <v>0</v>
      </c>
      <c r="AI278" s="68">
        <f>IFERROR((ReviewCalcs[[#This Row],[Proposed Fixture Quantity]]*ReviewCalcs[[#This Row],[Proposed Fixture Watts]]/1000)*ReviewCalcs[[#This Row],[Existing CF]]*ReviewCalcs[[#This Row],[IEFD]], 0)</f>
        <v>0</v>
      </c>
      <c r="AJ278" s="118">
        <f>IFERROR((ReviewCalcs[[#This Row],[Existing Fixture Quantity]]*ReviewCalcs[[#This Row],[Existing Fixture Watts]]/1000-ReviewCalcs[[#This Row],[Proposed Fixture Quantity]]*ReviewCalcs[[#This Row],[Proposed Fixture Watts]]/1000)*ReviewCalcs[[#This Row],[Existing CF]]*ReviewCalcs[[#This Row],[IEFD]], 0)</f>
        <v>0</v>
      </c>
      <c r="AK278" s="118">
        <f>IFERROR((ReviewCalcs[[#This Row],[Existing Fixture Quantity]]*ReviewCalcs[[#This Row],[Existing Fixture Watts]]/1000)*ReviewCalcs[[#This Row],[AOH]]*ReviewCalcs[[#This Row],[IEFE]]*ReviewCalcs[[#This Row],[Existing PAF]], 0)</f>
        <v>0</v>
      </c>
      <c r="AL278" s="118">
        <f>IFERROR((ReviewCalcs[[#This Row],[Proposed Fixture Quantity]]*ReviewCalcs[[#This Row],[Proposed Fixture Watts]]/1000)*ReviewCalcs[[#This Row],[AOH]]*ReviewCalcs[[#This Row],[IEFE]]*ReviewCalcs[[#This Row],[Existing PAF]], 0)</f>
        <v>0</v>
      </c>
      <c r="AM27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8" s="118">
        <f>ReviewCalcs[[#This Row],[Fixture Existing Energy (kWh)]]*Avg_KWh_Rate</f>
        <v>0</v>
      </c>
      <c r="AO278" s="118">
        <f>ReviewCalcs[[#This Row],[Fixture Proposed Energy (kWh)]]*Avg_KWh_Rate</f>
        <v>0</v>
      </c>
      <c r="AP278" s="70">
        <f>ReviewCalcs[[#This Row],[Fixture Energy Savings]]*Avg_KWh_Rate</f>
        <v>0</v>
      </c>
      <c r="AQ278" s="129" t="e">
        <f>ReviewCalcs[[#This Row],[Existing Fixture Quantity]]*ReviewCalcs[[#This Row],[Existing Fixture Watts]]/1000*ReviewCalcs[[#This Row],[Existing CF]]*ReviewCalcs[[#This Row],[IEFD]]</f>
        <v>#VALUE!</v>
      </c>
      <c r="AR278" s="129" t="e">
        <f>ReviewCalcs[[#This Row],[Proposed Fixture Quantity]]*ReviewCalcs[[#This Row],[Proposed Fixture Watts]]/1000*ReviewCalcs[[#This Row],[Proposed CF]]*ReviewCalcs[[#This Row],[IEFD]]</f>
        <v>#VALUE!</v>
      </c>
      <c r="AS278" s="118">
        <f>IF(ReviewCalcs[[#This Row],[Existing CF]]=ReviewCalcs[[#This Row],[Proposed CF]], 0, ReviewCalcs[[#This Row],[Proposed Fixture Quantity]]*ReviewCalcs[[#This Row],[Proposed Fixture Watts]]/1000*ReviewCalcs[[#This Row],[Proposed CF]]*ReviewCalcs[[#This Row],[IEFD]])</f>
        <v>0</v>
      </c>
      <c r="AT278" s="118">
        <f>IFERROR(ReviewCalcs[[#This Row],[Existing Fixture Quantity]]*ReviewCalcs[[#This Row],[Existing Fixture Watts]]/1000*ReviewCalcs[[#This Row],[Existing PAF]]*ReviewCalcs[[#This Row],[AOH]]*ReviewCalcs[[#This Row],[IEFE]], 0)</f>
        <v>0</v>
      </c>
      <c r="AU278" s="118">
        <f>IFERROR(ReviewCalcs[[#This Row],[Proposed Fixture Quantity]]*ReviewCalcs[[#This Row],[Proposed Fixture Watts]]/1000*ReviewCalcs[[#This Row],[Proposed PAF]]*ReviewCalcs[[#This Row],[AOH]]*ReviewCalcs[[#This Row],[IEFE]], 0)</f>
        <v>0</v>
      </c>
      <c r="AV278" s="118">
        <f>IFERROR(ReviewCalcs[[#This Row],[Proposed Fixture Quantity]]*ReviewCalcs[[#This Row],[Proposed Fixture Watts]]/1000*(ReviewCalcs[[#This Row],[Existing PAF]]-ReviewCalcs[[#This Row],[Proposed PAF]])*ReviewCalcs[[#This Row],[AOH]]*ReviewCalcs[[#This Row],[IEFE]], 0)</f>
        <v>0</v>
      </c>
      <c r="AW278" s="118">
        <f>ReviewCalcs[[#This Row],[Control Existing Energy (kWh)]]*kWh_Incentive_Rate</f>
        <v>0</v>
      </c>
      <c r="AX278" s="118">
        <f>ReviewCalcs[[#This Row],[Control Proposed Energy (kWh)]]*kWh_Incentive_Rate</f>
        <v>0</v>
      </c>
      <c r="AY278" s="70">
        <f>ReviewCalcs[[#This Row],[Control Energy Savings (kWh)]]*kWh_Incentive_Rate</f>
        <v>0</v>
      </c>
      <c r="AZ278" s="70" t="e">
        <f>ReviewCalcs[[#This Row],[Fixture Existing Demand (kW)]]+ReviewCalcs[[#This Row],[Control Existing Demand (kW)]]</f>
        <v>#VALUE!</v>
      </c>
      <c r="BA278" s="70" t="e">
        <f>ReviewCalcs[[#This Row],[Fixture Proposed Demand (kW)]]+ReviewCalcs[[#This Row],[Control Proposed Demand (kW)]]</f>
        <v>#VALUE!</v>
      </c>
      <c r="BB278" s="118">
        <f>ReviewCalcs[[#This Row],[Fixture Demand Savings (kW)]]+ReviewCalcs[[#This Row],[Control Demand Savings (kW)]]</f>
        <v>0</v>
      </c>
      <c r="BC278" s="118">
        <f>ReviewCalcs[[#This Row],[Fixture Existing Energy (kWh)]]+ReviewCalcs[[#This Row],[Control Existing Energy (kWh)]]</f>
        <v>0</v>
      </c>
      <c r="BD278" s="118">
        <f>ReviewCalcs[[#This Row],[Fixture Proposed Energy (kWh)]]+ReviewCalcs[[#This Row],[Control Proposed Energy (kWh)]]</f>
        <v>0</v>
      </c>
      <c r="BE278" s="118">
        <f>ReviewCalcs[[#This Row],[Fixture Energy Savings]]+ReviewCalcs[[#This Row],[Control Energy Savings (kWh)]]</f>
        <v>0</v>
      </c>
      <c r="BF278" s="118">
        <f>ReviewCalcs[[#This Row],[Fixture Existing Cost ($)]]+ReviewCalcs[[#This Row],[Control Existing Cost ($)]]</f>
        <v>0</v>
      </c>
      <c r="BG278" s="118">
        <f>ReviewCalcs[[#This Row],[Fixture Proposed Cost ($)]]+ReviewCalcs[[#This Row],[Controls Proposed Cost ($)]]</f>
        <v>0</v>
      </c>
      <c r="BH278" s="70">
        <f>ReviewCalcs[[#This Row],[Total Energy Savings (kWh)]]*Avg_KWh_Rate</f>
        <v>0</v>
      </c>
      <c r="BI27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8" s="70">
        <f>ReviewCalcs[[#This Row],[Retrofit Cost]]</f>
        <v>0</v>
      </c>
      <c r="BK278" s="70">
        <f>ReviewCalcs[[#This Row],[Retrofit Cost]]-ReviewCalcs[[#This Row],[Incentive ($)]]</f>
        <v>0</v>
      </c>
      <c r="BL278" s="118" t="e">
        <f>IFERROR(ReviewCalcs[[#This Row],[Net Project Cost ($)]]/ReviewCalcs[[#This Row],[Fixture Energy Cost Savings ($)]], #N/A)</f>
        <v>#N/A</v>
      </c>
      <c r="BM278" s="118" t="e">
        <f>IF(VLOOKUP(ReviewCalcs[[#This Row],[Existing Fixture Code]], Table7[[FIXTURE CODE]:[Baseline Fixture Code]], 8, FALSE)="N", VLOOKUP(ReviewCalcs[[#This Row],[Existing Fixture Code]], Table7[[FIXTURE CODE]:[Baseline Fixture Code]], 9, FALSE), ReviewCalcs[[#This Row],[Existing Fixture Code]])</f>
        <v>#N/A</v>
      </c>
      <c r="BN278" s="118" t="e">
        <f>INDEX(Table7[WATT/ FIXT], MATCH(ReviewCalcs[Baseline Fixture Code], Table7[FIXTURE CODE], 0))</f>
        <v>#N/A</v>
      </c>
      <c r="BO278" s="118">
        <f>IFERROR((ReviewCalcs[[#This Row],[Existing Fixture Quantity]]*ReviewCalcs[[#This Row],[Baseline Fixture Watts]]/1000-ReviewCalcs[[#This Row],[Proposed Fixture Quantity]]*ReviewCalcs[[#This Row],[Proposed Fixture Watts]]/1000)*ReviewCalcs[[#This Row],[Existing CF]]*ReviewCalcs[[#This Row],[IEFD]], 0)</f>
        <v>0</v>
      </c>
      <c r="BP27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8" s="118">
        <f>IF(ReviewCalcs[[#This Row],[Existing CF]]=ReviewCalcs[[#This Row],[Proposed CF]], 0, ReviewCalcs[[#This Row],[Proposed Fixture Quantity]]*ReviewCalcs[[#This Row],[Proposed Fixture Watts]]/1000*ReviewCalcs[[#This Row],[Proposed CF]]*ReviewCalcs[[#This Row],[IEFD]])</f>
        <v>0</v>
      </c>
      <c r="BR278" s="118">
        <f>IFERROR(ReviewCalcs[[#This Row],[Proposed Fixture Quantity]]*ReviewCalcs[[#This Row],[Proposed Fixture Watts]]/1000*(ReviewCalcs[[#This Row],[Existing PAF]]-ReviewCalcs[[#This Row],[Proposed PAF]])*ReviewCalcs[[#This Row],[AOH]]*ReviewCalcs[[#This Row],[IEFE]],0)</f>
        <v>0</v>
      </c>
      <c r="BS278" s="118">
        <f>ReviewCalcs[[#This Row],[Incentive Fixture Demand Savings (kW)]]+ReviewCalcs[[#This Row],[Incentive Control Demand Savings (kW)]]</f>
        <v>0</v>
      </c>
      <c r="BT278" s="118">
        <f>ReviewCalcs[[#This Row],[Incentive Fixture Energy Savings (kWh)]]+ReviewCalcs[[#This Row],[Incentive Control Energy Savings (kWh)]]</f>
        <v>0</v>
      </c>
      <c r="BU278" s="73"/>
    </row>
    <row r="279" spans="1:73" ht="30" customHeight="1">
      <c r="A279" s="68">
        <v>276</v>
      </c>
      <c r="B279" s="96">
        <f>VLOOKUP(ReviewCalcs[[#This Row],[Project Index]], ProjectInput[], D$1, FALSE)</f>
        <v>0</v>
      </c>
      <c r="C279" s="97">
        <f>VLOOKUP(ReviewCalcs[[#This Row],[Project Index]], ProjectInput[], E$1, FALSE)</f>
        <v>0</v>
      </c>
      <c r="D279" s="97">
        <f>VLOOKUP(ReviewCalcs[[#This Row],[Project Index]], ProjectInput[], F$1, FALSE)</f>
        <v>0</v>
      </c>
      <c r="E279" s="97">
        <f>VLOOKUP(ReviewCalcs[[#This Row],[Project Index]], ProjectInput[], G$1, FALSE)</f>
        <v>0</v>
      </c>
      <c r="F279" s="97">
        <f>VLOOKUP(ReviewCalcs[[#This Row],[Project Index]], ProjectInput[], H$1, FALSE)</f>
        <v>0</v>
      </c>
      <c r="G279" s="98" t="str">
        <f>VLOOKUP(ReviewCalcs[[#This Row],[Project Index]], ProjectInput[], I$1, FALSE)</f>
        <v/>
      </c>
      <c r="H279" s="96">
        <f>VLOOKUP(ReviewCalcs[[#This Row],[Project Index]], ProjectInput[], J$1, FALSE)</f>
        <v>0</v>
      </c>
      <c r="I279" s="97">
        <f>VLOOKUP(ReviewCalcs[[#This Row],[Project Index]], ProjectInput[], K$1, FALSE)</f>
        <v>0</v>
      </c>
      <c r="J279" s="97">
        <f>VLOOKUP(ReviewCalcs[[#This Row],[Project Index]], ProjectInput[], L$1, FALSE)</f>
        <v>0</v>
      </c>
      <c r="K279" s="97">
        <f>VLOOKUP(ReviewCalcs[[#This Row],[Project Index]], ProjectInput[], M$1, FALSE)</f>
        <v>0</v>
      </c>
      <c r="L279" s="97">
        <f>VLOOKUP(ReviewCalcs[[#This Row],[Project Index]], ProjectInput[], N$1, FALSE)</f>
        <v>0</v>
      </c>
      <c r="M279" s="98" t="str">
        <f>VLOOKUP(ReviewCalcs[[#This Row],[Project Index]], ProjectInput[], O$1, FALSE)</f>
        <v/>
      </c>
      <c r="N279" s="96">
        <f>VLOOKUP(ReviewCalcs[[#This Row],[Project Index]], ProjectInput[], P$1, FALSE)</f>
        <v>0</v>
      </c>
      <c r="O279" s="97">
        <f>VLOOKUP(ReviewCalcs[[#This Row],[Project Index]], ProjectInput[], Q$1, FALSE)</f>
        <v>0</v>
      </c>
      <c r="P279" s="97">
        <f>VLOOKUP(ReviewCalcs[[#This Row],[Project Index]], ProjectInput[], R$1, FALSE)</f>
        <v>0</v>
      </c>
      <c r="Q279" s="97">
        <f>VLOOKUP(ReviewCalcs[[#This Row],[Project Index]], ProjectInput[], S$1, FALSE)</f>
        <v>0</v>
      </c>
      <c r="R279" s="97">
        <f>VLOOKUP(ReviewCalcs[[#This Row],[Project Index]], ProjectInput[], T$1, FALSE)</f>
        <v>0</v>
      </c>
      <c r="S279" s="97">
        <f>VLOOKUP(ReviewCalcs[[#This Row],[Project Index]], ProjectInput[], U$1, FALSE)</f>
        <v>0</v>
      </c>
      <c r="T279" s="97">
        <f>VLOOKUP(ReviewCalcs[[#This Row],[Project Index]], ProjectInput[], V$1, FALSE)</f>
        <v>0</v>
      </c>
      <c r="U279" s="97">
        <f>VLOOKUP(ReviewCalcs[[#This Row],[Project Index]], ProjectInput[], W$1, FALSE)</f>
        <v>0</v>
      </c>
      <c r="V279" s="98" t="str">
        <f>VLOOKUP(ReviewCalcs[[#This Row],[Project Index]], ProjectInput[], X$1, FALSE)</f>
        <v/>
      </c>
      <c r="W27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79" s="75" t="e">
        <f>IF(VLOOKUP(ReviewCalcs[[#This Row],[Proposed Fixture Code]], Table7[[FIXTURE CODE]:[Baseline Fixture Code]], 8, FALSE)="N", "ERROR", "PASS")</f>
        <v>#N/A</v>
      </c>
      <c r="Y27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79" s="75" t="e">
        <f>IF(OR(ReviewCalcs[[#This Row],[Baseline Fixture Watts]]&gt;=ReviewCalcs[[#This Row],[Proposed Fixture Watts]],ReviewCalcs[[#This Row],[Existing Fixture Watts]]&gt;=ReviewCalcs[[#This Row],[Proposed Fixture Watts]] ), "PASS", "ERROR")</f>
        <v>#N/A</v>
      </c>
      <c r="AA279" s="69" t="e">
        <f>VLOOKUP(ReviewCalcs[[#This Row],[Space Conditions]], Table_365[], 5, FALSE)</f>
        <v>#N/A</v>
      </c>
      <c r="AB279" s="68" t="str">
        <f>ReviewCalcs[[#This Row],[Annual Hours]]</f>
        <v/>
      </c>
      <c r="AC279" s="68" t="e">
        <f>VLOOKUP(ReviewCalcs[[#This Row],[Space Conditions]], Table_365[], 6, FALSE)</f>
        <v>#N/A</v>
      </c>
      <c r="AD279" s="68">
        <f>IF(ReviewCalcs[[#This Row],[Existing Control(s)]]='Tables &amp; Ranges'!$A$25, VLOOKUP(ReviewCalcs[[#This Row],[Building/Space Type]], Table_364[], 3, FALSE), CF_Contols)</f>
        <v>0.26</v>
      </c>
      <c r="AE279" s="68" t="e">
        <f>VLOOKUP(ReviewCalcs[[#This Row],[Existing Control(s)]], Table_358[], 2, FALSE)</f>
        <v>#N/A</v>
      </c>
      <c r="AF279" s="68">
        <f>IF(ReviewCalcs[[#This Row],[Proposed Control(s)]]='Tables &amp; Ranges'!$A$25, VLOOKUP(ReviewCalcs[[#This Row],[Building/Space Type]], Table_364[], 3, FALSE), CF_Contols)</f>
        <v>0.26</v>
      </c>
      <c r="AG279" s="68" t="e">
        <f>VLOOKUP(ReviewCalcs[[#This Row],[Proposed Control(s)]], Table_358[], 2, FALSE)</f>
        <v>#N/A</v>
      </c>
      <c r="AH279" s="68">
        <f>IFERROR((ReviewCalcs[[#This Row],[Existing Fixture Quantity]]*ReviewCalcs[[#This Row],[Existing Fixture Watts]]/1000)*ReviewCalcs[[#This Row],[Existing CF]]*ReviewCalcs[[#This Row],[IEFD]], 0)</f>
        <v>0</v>
      </c>
      <c r="AI279" s="68">
        <f>IFERROR((ReviewCalcs[[#This Row],[Proposed Fixture Quantity]]*ReviewCalcs[[#This Row],[Proposed Fixture Watts]]/1000)*ReviewCalcs[[#This Row],[Existing CF]]*ReviewCalcs[[#This Row],[IEFD]], 0)</f>
        <v>0</v>
      </c>
      <c r="AJ279" s="118">
        <f>IFERROR((ReviewCalcs[[#This Row],[Existing Fixture Quantity]]*ReviewCalcs[[#This Row],[Existing Fixture Watts]]/1000-ReviewCalcs[[#This Row],[Proposed Fixture Quantity]]*ReviewCalcs[[#This Row],[Proposed Fixture Watts]]/1000)*ReviewCalcs[[#This Row],[Existing CF]]*ReviewCalcs[[#This Row],[IEFD]], 0)</f>
        <v>0</v>
      </c>
      <c r="AK279" s="118">
        <f>IFERROR((ReviewCalcs[[#This Row],[Existing Fixture Quantity]]*ReviewCalcs[[#This Row],[Existing Fixture Watts]]/1000)*ReviewCalcs[[#This Row],[AOH]]*ReviewCalcs[[#This Row],[IEFE]]*ReviewCalcs[[#This Row],[Existing PAF]], 0)</f>
        <v>0</v>
      </c>
      <c r="AL279" s="118">
        <f>IFERROR((ReviewCalcs[[#This Row],[Proposed Fixture Quantity]]*ReviewCalcs[[#This Row],[Proposed Fixture Watts]]/1000)*ReviewCalcs[[#This Row],[AOH]]*ReviewCalcs[[#This Row],[IEFE]]*ReviewCalcs[[#This Row],[Existing PAF]], 0)</f>
        <v>0</v>
      </c>
      <c r="AM27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79" s="118">
        <f>ReviewCalcs[[#This Row],[Fixture Existing Energy (kWh)]]*Avg_KWh_Rate</f>
        <v>0</v>
      </c>
      <c r="AO279" s="118">
        <f>ReviewCalcs[[#This Row],[Fixture Proposed Energy (kWh)]]*Avg_KWh_Rate</f>
        <v>0</v>
      </c>
      <c r="AP279" s="70">
        <f>ReviewCalcs[[#This Row],[Fixture Energy Savings]]*Avg_KWh_Rate</f>
        <v>0</v>
      </c>
      <c r="AQ279" s="129" t="e">
        <f>ReviewCalcs[[#This Row],[Existing Fixture Quantity]]*ReviewCalcs[[#This Row],[Existing Fixture Watts]]/1000*ReviewCalcs[[#This Row],[Existing CF]]*ReviewCalcs[[#This Row],[IEFD]]</f>
        <v>#VALUE!</v>
      </c>
      <c r="AR279" s="129" t="e">
        <f>ReviewCalcs[[#This Row],[Proposed Fixture Quantity]]*ReviewCalcs[[#This Row],[Proposed Fixture Watts]]/1000*ReviewCalcs[[#This Row],[Proposed CF]]*ReviewCalcs[[#This Row],[IEFD]]</f>
        <v>#VALUE!</v>
      </c>
      <c r="AS279" s="118">
        <f>IF(ReviewCalcs[[#This Row],[Existing CF]]=ReviewCalcs[[#This Row],[Proposed CF]], 0, ReviewCalcs[[#This Row],[Proposed Fixture Quantity]]*ReviewCalcs[[#This Row],[Proposed Fixture Watts]]/1000*ReviewCalcs[[#This Row],[Proposed CF]]*ReviewCalcs[[#This Row],[IEFD]])</f>
        <v>0</v>
      </c>
      <c r="AT279" s="118">
        <f>IFERROR(ReviewCalcs[[#This Row],[Existing Fixture Quantity]]*ReviewCalcs[[#This Row],[Existing Fixture Watts]]/1000*ReviewCalcs[[#This Row],[Existing PAF]]*ReviewCalcs[[#This Row],[AOH]]*ReviewCalcs[[#This Row],[IEFE]], 0)</f>
        <v>0</v>
      </c>
      <c r="AU279" s="118">
        <f>IFERROR(ReviewCalcs[[#This Row],[Proposed Fixture Quantity]]*ReviewCalcs[[#This Row],[Proposed Fixture Watts]]/1000*ReviewCalcs[[#This Row],[Proposed PAF]]*ReviewCalcs[[#This Row],[AOH]]*ReviewCalcs[[#This Row],[IEFE]], 0)</f>
        <v>0</v>
      </c>
      <c r="AV279" s="118">
        <f>IFERROR(ReviewCalcs[[#This Row],[Proposed Fixture Quantity]]*ReviewCalcs[[#This Row],[Proposed Fixture Watts]]/1000*(ReviewCalcs[[#This Row],[Existing PAF]]-ReviewCalcs[[#This Row],[Proposed PAF]])*ReviewCalcs[[#This Row],[AOH]]*ReviewCalcs[[#This Row],[IEFE]], 0)</f>
        <v>0</v>
      </c>
      <c r="AW279" s="118">
        <f>ReviewCalcs[[#This Row],[Control Existing Energy (kWh)]]*kWh_Incentive_Rate</f>
        <v>0</v>
      </c>
      <c r="AX279" s="118">
        <f>ReviewCalcs[[#This Row],[Control Proposed Energy (kWh)]]*kWh_Incentive_Rate</f>
        <v>0</v>
      </c>
      <c r="AY279" s="70">
        <f>ReviewCalcs[[#This Row],[Control Energy Savings (kWh)]]*kWh_Incentive_Rate</f>
        <v>0</v>
      </c>
      <c r="AZ279" s="70" t="e">
        <f>ReviewCalcs[[#This Row],[Fixture Existing Demand (kW)]]+ReviewCalcs[[#This Row],[Control Existing Demand (kW)]]</f>
        <v>#VALUE!</v>
      </c>
      <c r="BA279" s="70" t="e">
        <f>ReviewCalcs[[#This Row],[Fixture Proposed Demand (kW)]]+ReviewCalcs[[#This Row],[Control Proposed Demand (kW)]]</f>
        <v>#VALUE!</v>
      </c>
      <c r="BB279" s="118">
        <f>ReviewCalcs[[#This Row],[Fixture Demand Savings (kW)]]+ReviewCalcs[[#This Row],[Control Demand Savings (kW)]]</f>
        <v>0</v>
      </c>
      <c r="BC279" s="118">
        <f>ReviewCalcs[[#This Row],[Fixture Existing Energy (kWh)]]+ReviewCalcs[[#This Row],[Control Existing Energy (kWh)]]</f>
        <v>0</v>
      </c>
      <c r="BD279" s="118">
        <f>ReviewCalcs[[#This Row],[Fixture Proposed Energy (kWh)]]+ReviewCalcs[[#This Row],[Control Proposed Energy (kWh)]]</f>
        <v>0</v>
      </c>
      <c r="BE279" s="118">
        <f>ReviewCalcs[[#This Row],[Fixture Energy Savings]]+ReviewCalcs[[#This Row],[Control Energy Savings (kWh)]]</f>
        <v>0</v>
      </c>
      <c r="BF279" s="118">
        <f>ReviewCalcs[[#This Row],[Fixture Existing Cost ($)]]+ReviewCalcs[[#This Row],[Control Existing Cost ($)]]</f>
        <v>0</v>
      </c>
      <c r="BG279" s="118">
        <f>ReviewCalcs[[#This Row],[Fixture Proposed Cost ($)]]+ReviewCalcs[[#This Row],[Controls Proposed Cost ($)]]</f>
        <v>0</v>
      </c>
      <c r="BH279" s="70">
        <f>ReviewCalcs[[#This Row],[Total Energy Savings (kWh)]]*Avg_KWh_Rate</f>
        <v>0</v>
      </c>
      <c r="BI27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79" s="70">
        <f>ReviewCalcs[[#This Row],[Retrofit Cost]]</f>
        <v>0</v>
      </c>
      <c r="BK279" s="70">
        <f>ReviewCalcs[[#This Row],[Retrofit Cost]]-ReviewCalcs[[#This Row],[Incentive ($)]]</f>
        <v>0</v>
      </c>
      <c r="BL279" s="118" t="e">
        <f>IFERROR(ReviewCalcs[[#This Row],[Net Project Cost ($)]]/ReviewCalcs[[#This Row],[Fixture Energy Cost Savings ($)]], #N/A)</f>
        <v>#N/A</v>
      </c>
      <c r="BM279" s="118" t="e">
        <f>IF(VLOOKUP(ReviewCalcs[[#This Row],[Existing Fixture Code]], Table7[[FIXTURE CODE]:[Baseline Fixture Code]], 8, FALSE)="N", VLOOKUP(ReviewCalcs[[#This Row],[Existing Fixture Code]], Table7[[FIXTURE CODE]:[Baseline Fixture Code]], 9, FALSE), ReviewCalcs[[#This Row],[Existing Fixture Code]])</f>
        <v>#N/A</v>
      </c>
      <c r="BN279" s="118" t="e">
        <f>INDEX(Table7[WATT/ FIXT], MATCH(ReviewCalcs[Baseline Fixture Code], Table7[FIXTURE CODE], 0))</f>
        <v>#N/A</v>
      </c>
      <c r="BO279" s="118">
        <f>IFERROR((ReviewCalcs[[#This Row],[Existing Fixture Quantity]]*ReviewCalcs[[#This Row],[Baseline Fixture Watts]]/1000-ReviewCalcs[[#This Row],[Proposed Fixture Quantity]]*ReviewCalcs[[#This Row],[Proposed Fixture Watts]]/1000)*ReviewCalcs[[#This Row],[Existing CF]]*ReviewCalcs[[#This Row],[IEFD]], 0)</f>
        <v>0</v>
      </c>
      <c r="BP27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79" s="118">
        <f>IF(ReviewCalcs[[#This Row],[Existing CF]]=ReviewCalcs[[#This Row],[Proposed CF]], 0, ReviewCalcs[[#This Row],[Proposed Fixture Quantity]]*ReviewCalcs[[#This Row],[Proposed Fixture Watts]]/1000*ReviewCalcs[[#This Row],[Proposed CF]]*ReviewCalcs[[#This Row],[IEFD]])</f>
        <v>0</v>
      </c>
      <c r="BR279" s="118">
        <f>IFERROR(ReviewCalcs[[#This Row],[Proposed Fixture Quantity]]*ReviewCalcs[[#This Row],[Proposed Fixture Watts]]/1000*(ReviewCalcs[[#This Row],[Existing PAF]]-ReviewCalcs[[#This Row],[Proposed PAF]])*ReviewCalcs[[#This Row],[AOH]]*ReviewCalcs[[#This Row],[IEFE]],0)</f>
        <v>0</v>
      </c>
      <c r="BS279" s="118">
        <f>ReviewCalcs[[#This Row],[Incentive Fixture Demand Savings (kW)]]+ReviewCalcs[[#This Row],[Incentive Control Demand Savings (kW)]]</f>
        <v>0</v>
      </c>
      <c r="BT279" s="118">
        <f>ReviewCalcs[[#This Row],[Incentive Fixture Energy Savings (kWh)]]+ReviewCalcs[[#This Row],[Incentive Control Energy Savings (kWh)]]</f>
        <v>0</v>
      </c>
      <c r="BU279" s="73"/>
    </row>
    <row r="280" spans="1:73" ht="30" customHeight="1">
      <c r="A280" s="68">
        <v>277</v>
      </c>
      <c r="B280" s="96">
        <f>VLOOKUP(ReviewCalcs[[#This Row],[Project Index]], ProjectInput[], D$1, FALSE)</f>
        <v>0</v>
      </c>
      <c r="C280" s="97">
        <f>VLOOKUP(ReviewCalcs[[#This Row],[Project Index]], ProjectInput[], E$1, FALSE)</f>
        <v>0</v>
      </c>
      <c r="D280" s="97">
        <f>VLOOKUP(ReviewCalcs[[#This Row],[Project Index]], ProjectInput[], F$1, FALSE)</f>
        <v>0</v>
      </c>
      <c r="E280" s="97">
        <f>VLOOKUP(ReviewCalcs[[#This Row],[Project Index]], ProjectInput[], G$1, FALSE)</f>
        <v>0</v>
      </c>
      <c r="F280" s="97">
        <f>VLOOKUP(ReviewCalcs[[#This Row],[Project Index]], ProjectInput[], H$1, FALSE)</f>
        <v>0</v>
      </c>
      <c r="G280" s="98" t="str">
        <f>VLOOKUP(ReviewCalcs[[#This Row],[Project Index]], ProjectInput[], I$1, FALSE)</f>
        <v/>
      </c>
      <c r="H280" s="96">
        <f>VLOOKUP(ReviewCalcs[[#This Row],[Project Index]], ProjectInput[], J$1, FALSE)</f>
        <v>0</v>
      </c>
      <c r="I280" s="97">
        <f>VLOOKUP(ReviewCalcs[[#This Row],[Project Index]], ProjectInput[], K$1, FALSE)</f>
        <v>0</v>
      </c>
      <c r="J280" s="97">
        <f>VLOOKUP(ReviewCalcs[[#This Row],[Project Index]], ProjectInput[], L$1, FALSE)</f>
        <v>0</v>
      </c>
      <c r="K280" s="97">
        <f>VLOOKUP(ReviewCalcs[[#This Row],[Project Index]], ProjectInput[], M$1, FALSE)</f>
        <v>0</v>
      </c>
      <c r="L280" s="97">
        <f>VLOOKUP(ReviewCalcs[[#This Row],[Project Index]], ProjectInput[], N$1, FALSE)</f>
        <v>0</v>
      </c>
      <c r="M280" s="98" t="str">
        <f>VLOOKUP(ReviewCalcs[[#This Row],[Project Index]], ProjectInput[], O$1, FALSE)</f>
        <v/>
      </c>
      <c r="N280" s="96">
        <f>VLOOKUP(ReviewCalcs[[#This Row],[Project Index]], ProjectInput[], P$1, FALSE)</f>
        <v>0</v>
      </c>
      <c r="O280" s="97">
        <f>VLOOKUP(ReviewCalcs[[#This Row],[Project Index]], ProjectInput[], Q$1, FALSE)</f>
        <v>0</v>
      </c>
      <c r="P280" s="97">
        <f>VLOOKUP(ReviewCalcs[[#This Row],[Project Index]], ProjectInput[], R$1, FALSE)</f>
        <v>0</v>
      </c>
      <c r="Q280" s="97">
        <f>VLOOKUP(ReviewCalcs[[#This Row],[Project Index]], ProjectInput[], S$1, FALSE)</f>
        <v>0</v>
      </c>
      <c r="R280" s="97">
        <f>VLOOKUP(ReviewCalcs[[#This Row],[Project Index]], ProjectInput[], T$1, FALSE)</f>
        <v>0</v>
      </c>
      <c r="S280" s="97">
        <f>VLOOKUP(ReviewCalcs[[#This Row],[Project Index]], ProjectInput[], U$1, FALSE)</f>
        <v>0</v>
      </c>
      <c r="T280" s="97">
        <f>VLOOKUP(ReviewCalcs[[#This Row],[Project Index]], ProjectInput[], V$1, FALSE)</f>
        <v>0</v>
      </c>
      <c r="U280" s="97">
        <f>VLOOKUP(ReviewCalcs[[#This Row],[Project Index]], ProjectInput[], W$1, FALSE)</f>
        <v>0</v>
      </c>
      <c r="V280" s="98" t="str">
        <f>VLOOKUP(ReviewCalcs[[#This Row],[Project Index]], ProjectInput[], X$1, FALSE)</f>
        <v/>
      </c>
      <c r="W28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0" s="75" t="e">
        <f>IF(VLOOKUP(ReviewCalcs[[#This Row],[Proposed Fixture Code]], Table7[[FIXTURE CODE]:[Baseline Fixture Code]], 8, FALSE)="N", "ERROR", "PASS")</f>
        <v>#N/A</v>
      </c>
      <c r="Y28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0" s="75" t="e">
        <f>IF(OR(ReviewCalcs[[#This Row],[Baseline Fixture Watts]]&gt;=ReviewCalcs[[#This Row],[Proposed Fixture Watts]],ReviewCalcs[[#This Row],[Existing Fixture Watts]]&gt;=ReviewCalcs[[#This Row],[Proposed Fixture Watts]] ), "PASS", "ERROR")</f>
        <v>#N/A</v>
      </c>
      <c r="AA280" s="69" t="e">
        <f>VLOOKUP(ReviewCalcs[[#This Row],[Space Conditions]], Table_365[], 5, FALSE)</f>
        <v>#N/A</v>
      </c>
      <c r="AB280" s="68" t="str">
        <f>ReviewCalcs[[#This Row],[Annual Hours]]</f>
        <v/>
      </c>
      <c r="AC280" s="68" t="e">
        <f>VLOOKUP(ReviewCalcs[[#This Row],[Space Conditions]], Table_365[], 6, FALSE)</f>
        <v>#N/A</v>
      </c>
      <c r="AD280" s="68">
        <f>IF(ReviewCalcs[[#This Row],[Existing Control(s)]]='Tables &amp; Ranges'!$A$25, VLOOKUP(ReviewCalcs[[#This Row],[Building/Space Type]], Table_364[], 3, FALSE), CF_Contols)</f>
        <v>0.26</v>
      </c>
      <c r="AE280" s="68" t="e">
        <f>VLOOKUP(ReviewCalcs[[#This Row],[Existing Control(s)]], Table_358[], 2, FALSE)</f>
        <v>#N/A</v>
      </c>
      <c r="AF280" s="68">
        <f>IF(ReviewCalcs[[#This Row],[Proposed Control(s)]]='Tables &amp; Ranges'!$A$25, VLOOKUP(ReviewCalcs[[#This Row],[Building/Space Type]], Table_364[], 3, FALSE), CF_Contols)</f>
        <v>0.26</v>
      </c>
      <c r="AG280" s="68" t="e">
        <f>VLOOKUP(ReviewCalcs[[#This Row],[Proposed Control(s)]], Table_358[], 2, FALSE)</f>
        <v>#N/A</v>
      </c>
      <c r="AH280" s="68">
        <f>IFERROR((ReviewCalcs[[#This Row],[Existing Fixture Quantity]]*ReviewCalcs[[#This Row],[Existing Fixture Watts]]/1000)*ReviewCalcs[[#This Row],[Existing CF]]*ReviewCalcs[[#This Row],[IEFD]], 0)</f>
        <v>0</v>
      </c>
      <c r="AI280" s="68">
        <f>IFERROR((ReviewCalcs[[#This Row],[Proposed Fixture Quantity]]*ReviewCalcs[[#This Row],[Proposed Fixture Watts]]/1000)*ReviewCalcs[[#This Row],[Existing CF]]*ReviewCalcs[[#This Row],[IEFD]], 0)</f>
        <v>0</v>
      </c>
      <c r="AJ280" s="118">
        <f>IFERROR((ReviewCalcs[[#This Row],[Existing Fixture Quantity]]*ReviewCalcs[[#This Row],[Existing Fixture Watts]]/1000-ReviewCalcs[[#This Row],[Proposed Fixture Quantity]]*ReviewCalcs[[#This Row],[Proposed Fixture Watts]]/1000)*ReviewCalcs[[#This Row],[Existing CF]]*ReviewCalcs[[#This Row],[IEFD]], 0)</f>
        <v>0</v>
      </c>
      <c r="AK280" s="118">
        <f>IFERROR((ReviewCalcs[[#This Row],[Existing Fixture Quantity]]*ReviewCalcs[[#This Row],[Existing Fixture Watts]]/1000)*ReviewCalcs[[#This Row],[AOH]]*ReviewCalcs[[#This Row],[IEFE]]*ReviewCalcs[[#This Row],[Existing PAF]], 0)</f>
        <v>0</v>
      </c>
      <c r="AL280" s="118">
        <f>IFERROR((ReviewCalcs[[#This Row],[Proposed Fixture Quantity]]*ReviewCalcs[[#This Row],[Proposed Fixture Watts]]/1000)*ReviewCalcs[[#This Row],[AOH]]*ReviewCalcs[[#This Row],[IEFE]]*ReviewCalcs[[#This Row],[Existing PAF]], 0)</f>
        <v>0</v>
      </c>
      <c r="AM28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0" s="118">
        <f>ReviewCalcs[[#This Row],[Fixture Existing Energy (kWh)]]*Avg_KWh_Rate</f>
        <v>0</v>
      </c>
      <c r="AO280" s="118">
        <f>ReviewCalcs[[#This Row],[Fixture Proposed Energy (kWh)]]*Avg_KWh_Rate</f>
        <v>0</v>
      </c>
      <c r="AP280" s="70">
        <f>ReviewCalcs[[#This Row],[Fixture Energy Savings]]*Avg_KWh_Rate</f>
        <v>0</v>
      </c>
      <c r="AQ280" s="129" t="e">
        <f>ReviewCalcs[[#This Row],[Existing Fixture Quantity]]*ReviewCalcs[[#This Row],[Existing Fixture Watts]]/1000*ReviewCalcs[[#This Row],[Existing CF]]*ReviewCalcs[[#This Row],[IEFD]]</f>
        <v>#VALUE!</v>
      </c>
      <c r="AR280" s="129" t="e">
        <f>ReviewCalcs[[#This Row],[Proposed Fixture Quantity]]*ReviewCalcs[[#This Row],[Proposed Fixture Watts]]/1000*ReviewCalcs[[#This Row],[Proposed CF]]*ReviewCalcs[[#This Row],[IEFD]]</f>
        <v>#VALUE!</v>
      </c>
      <c r="AS280" s="118">
        <f>IF(ReviewCalcs[[#This Row],[Existing CF]]=ReviewCalcs[[#This Row],[Proposed CF]], 0, ReviewCalcs[[#This Row],[Proposed Fixture Quantity]]*ReviewCalcs[[#This Row],[Proposed Fixture Watts]]/1000*ReviewCalcs[[#This Row],[Proposed CF]]*ReviewCalcs[[#This Row],[IEFD]])</f>
        <v>0</v>
      </c>
      <c r="AT280" s="118">
        <f>IFERROR(ReviewCalcs[[#This Row],[Existing Fixture Quantity]]*ReviewCalcs[[#This Row],[Existing Fixture Watts]]/1000*ReviewCalcs[[#This Row],[Existing PAF]]*ReviewCalcs[[#This Row],[AOH]]*ReviewCalcs[[#This Row],[IEFE]], 0)</f>
        <v>0</v>
      </c>
      <c r="AU280" s="118">
        <f>IFERROR(ReviewCalcs[[#This Row],[Proposed Fixture Quantity]]*ReviewCalcs[[#This Row],[Proposed Fixture Watts]]/1000*ReviewCalcs[[#This Row],[Proposed PAF]]*ReviewCalcs[[#This Row],[AOH]]*ReviewCalcs[[#This Row],[IEFE]], 0)</f>
        <v>0</v>
      </c>
      <c r="AV280" s="118">
        <f>IFERROR(ReviewCalcs[[#This Row],[Proposed Fixture Quantity]]*ReviewCalcs[[#This Row],[Proposed Fixture Watts]]/1000*(ReviewCalcs[[#This Row],[Existing PAF]]-ReviewCalcs[[#This Row],[Proposed PAF]])*ReviewCalcs[[#This Row],[AOH]]*ReviewCalcs[[#This Row],[IEFE]], 0)</f>
        <v>0</v>
      </c>
      <c r="AW280" s="118">
        <f>ReviewCalcs[[#This Row],[Control Existing Energy (kWh)]]*kWh_Incentive_Rate</f>
        <v>0</v>
      </c>
      <c r="AX280" s="118">
        <f>ReviewCalcs[[#This Row],[Control Proposed Energy (kWh)]]*kWh_Incentive_Rate</f>
        <v>0</v>
      </c>
      <c r="AY280" s="70">
        <f>ReviewCalcs[[#This Row],[Control Energy Savings (kWh)]]*kWh_Incentive_Rate</f>
        <v>0</v>
      </c>
      <c r="AZ280" s="70" t="e">
        <f>ReviewCalcs[[#This Row],[Fixture Existing Demand (kW)]]+ReviewCalcs[[#This Row],[Control Existing Demand (kW)]]</f>
        <v>#VALUE!</v>
      </c>
      <c r="BA280" s="70" t="e">
        <f>ReviewCalcs[[#This Row],[Fixture Proposed Demand (kW)]]+ReviewCalcs[[#This Row],[Control Proposed Demand (kW)]]</f>
        <v>#VALUE!</v>
      </c>
      <c r="BB280" s="118">
        <f>ReviewCalcs[[#This Row],[Fixture Demand Savings (kW)]]+ReviewCalcs[[#This Row],[Control Demand Savings (kW)]]</f>
        <v>0</v>
      </c>
      <c r="BC280" s="118">
        <f>ReviewCalcs[[#This Row],[Fixture Existing Energy (kWh)]]+ReviewCalcs[[#This Row],[Control Existing Energy (kWh)]]</f>
        <v>0</v>
      </c>
      <c r="BD280" s="118">
        <f>ReviewCalcs[[#This Row],[Fixture Proposed Energy (kWh)]]+ReviewCalcs[[#This Row],[Control Proposed Energy (kWh)]]</f>
        <v>0</v>
      </c>
      <c r="BE280" s="118">
        <f>ReviewCalcs[[#This Row],[Fixture Energy Savings]]+ReviewCalcs[[#This Row],[Control Energy Savings (kWh)]]</f>
        <v>0</v>
      </c>
      <c r="BF280" s="118">
        <f>ReviewCalcs[[#This Row],[Fixture Existing Cost ($)]]+ReviewCalcs[[#This Row],[Control Existing Cost ($)]]</f>
        <v>0</v>
      </c>
      <c r="BG280" s="118">
        <f>ReviewCalcs[[#This Row],[Fixture Proposed Cost ($)]]+ReviewCalcs[[#This Row],[Controls Proposed Cost ($)]]</f>
        <v>0</v>
      </c>
      <c r="BH280" s="70">
        <f>ReviewCalcs[[#This Row],[Total Energy Savings (kWh)]]*Avg_KWh_Rate</f>
        <v>0</v>
      </c>
      <c r="BI28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0" s="70">
        <f>ReviewCalcs[[#This Row],[Retrofit Cost]]</f>
        <v>0</v>
      </c>
      <c r="BK280" s="70">
        <f>ReviewCalcs[[#This Row],[Retrofit Cost]]-ReviewCalcs[[#This Row],[Incentive ($)]]</f>
        <v>0</v>
      </c>
      <c r="BL280" s="118" t="e">
        <f>IFERROR(ReviewCalcs[[#This Row],[Net Project Cost ($)]]/ReviewCalcs[[#This Row],[Fixture Energy Cost Savings ($)]], #N/A)</f>
        <v>#N/A</v>
      </c>
      <c r="BM280" s="118" t="e">
        <f>IF(VLOOKUP(ReviewCalcs[[#This Row],[Existing Fixture Code]], Table7[[FIXTURE CODE]:[Baseline Fixture Code]], 8, FALSE)="N", VLOOKUP(ReviewCalcs[[#This Row],[Existing Fixture Code]], Table7[[FIXTURE CODE]:[Baseline Fixture Code]], 9, FALSE), ReviewCalcs[[#This Row],[Existing Fixture Code]])</f>
        <v>#N/A</v>
      </c>
      <c r="BN280" s="118" t="e">
        <f>INDEX(Table7[WATT/ FIXT], MATCH(ReviewCalcs[Baseline Fixture Code], Table7[FIXTURE CODE], 0))</f>
        <v>#N/A</v>
      </c>
      <c r="BO280" s="118">
        <f>IFERROR((ReviewCalcs[[#This Row],[Existing Fixture Quantity]]*ReviewCalcs[[#This Row],[Baseline Fixture Watts]]/1000-ReviewCalcs[[#This Row],[Proposed Fixture Quantity]]*ReviewCalcs[[#This Row],[Proposed Fixture Watts]]/1000)*ReviewCalcs[[#This Row],[Existing CF]]*ReviewCalcs[[#This Row],[IEFD]], 0)</f>
        <v>0</v>
      </c>
      <c r="BP28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0" s="118">
        <f>IF(ReviewCalcs[[#This Row],[Existing CF]]=ReviewCalcs[[#This Row],[Proposed CF]], 0, ReviewCalcs[[#This Row],[Proposed Fixture Quantity]]*ReviewCalcs[[#This Row],[Proposed Fixture Watts]]/1000*ReviewCalcs[[#This Row],[Proposed CF]]*ReviewCalcs[[#This Row],[IEFD]])</f>
        <v>0</v>
      </c>
      <c r="BR280" s="118">
        <f>IFERROR(ReviewCalcs[[#This Row],[Proposed Fixture Quantity]]*ReviewCalcs[[#This Row],[Proposed Fixture Watts]]/1000*(ReviewCalcs[[#This Row],[Existing PAF]]-ReviewCalcs[[#This Row],[Proposed PAF]])*ReviewCalcs[[#This Row],[AOH]]*ReviewCalcs[[#This Row],[IEFE]],0)</f>
        <v>0</v>
      </c>
      <c r="BS280" s="118">
        <f>ReviewCalcs[[#This Row],[Incentive Fixture Demand Savings (kW)]]+ReviewCalcs[[#This Row],[Incentive Control Demand Savings (kW)]]</f>
        <v>0</v>
      </c>
      <c r="BT280" s="118">
        <f>ReviewCalcs[[#This Row],[Incentive Fixture Energy Savings (kWh)]]+ReviewCalcs[[#This Row],[Incentive Control Energy Savings (kWh)]]</f>
        <v>0</v>
      </c>
      <c r="BU280" s="73"/>
    </row>
    <row r="281" spans="1:73" ht="30" customHeight="1">
      <c r="A281" s="68">
        <v>278</v>
      </c>
      <c r="B281" s="96">
        <f>VLOOKUP(ReviewCalcs[[#This Row],[Project Index]], ProjectInput[], D$1, FALSE)</f>
        <v>0</v>
      </c>
      <c r="C281" s="97">
        <f>VLOOKUP(ReviewCalcs[[#This Row],[Project Index]], ProjectInput[], E$1, FALSE)</f>
        <v>0</v>
      </c>
      <c r="D281" s="97">
        <f>VLOOKUP(ReviewCalcs[[#This Row],[Project Index]], ProjectInput[], F$1, FALSE)</f>
        <v>0</v>
      </c>
      <c r="E281" s="97">
        <f>VLOOKUP(ReviewCalcs[[#This Row],[Project Index]], ProjectInput[], G$1, FALSE)</f>
        <v>0</v>
      </c>
      <c r="F281" s="97">
        <f>VLOOKUP(ReviewCalcs[[#This Row],[Project Index]], ProjectInput[], H$1, FALSE)</f>
        <v>0</v>
      </c>
      <c r="G281" s="98" t="str">
        <f>VLOOKUP(ReviewCalcs[[#This Row],[Project Index]], ProjectInput[], I$1, FALSE)</f>
        <v/>
      </c>
      <c r="H281" s="96">
        <f>VLOOKUP(ReviewCalcs[[#This Row],[Project Index]], ProjectInput[], J$1, FALSE)</f>
        <v>0</v>
      </c>
      <c r="I281" s="97">
        <f>VLOOKUP(ReviewCalcs[[#This Row],[Project Index]], ProjectInput[], K$1, FALSE)</f>
        <v>0</v>
      </c>
      <c r="J281" s="97">
        <f>VLOOKUP(ReviewCalcs[[#This Row],[Project Index]], ProjectInput[], L$1, FALSE)</f>
        <v>0</v>
      </c>
      <c r="K281" s="97">
        <f>VLOOKUP(ReviewCalcs[[#This Row],[Project Index]], ProjectInput[], M$1, FALSE)</f>
        <v>0</v>
      </c>
      <c r="L281" s="97">
        <f>VLOOKUP(ReviewCalcs[[#This Row],[Project Index]], ProjectInput[], N$1, FALSE)</f>
        <v>0</v>
      </c>
      <c r="M281" s="98" t="str">
        <f>VLOOKUP(ReviewCalcs[[#This Row],[Project Index]], ProjectInput[], O$1, FALSE)</f>
        <v/>
      </c>
      <c r="N281" s="96">
        <f>VLOOKUP(ReviewCalcs[[#This Row],[Project Index]], ProjectInput[], P$1, FALSE)</f>
        <v>0</v>
      </c>
      <c r="O281" s="97">
        <f>VLOOKUP(ReviewCalcs[[#This Row],[Project Index]], ProjectInput[], Q$1, FALSE)</f>
        <v>0</v>
      </c>
      <c r="P281" s="97">
        <f>VLOOKUP(ReviewCalcs[[#This Row],[Project Index]], ProjectInput[], R$1, FALSE)</f>
        <v>0</v>
      </c>
      <c r="Q281" s="97">
        <f>VLOOKUP(ReviewCalcs[[#This Row],[Project Index]], ProjectInput[], S$1, FALSE)</f>
        <v>0</v>
      </c>
      <c r="R281" s="97">
        <f>VLOOKUP(ReviewCalcs[[#This Row],[Project Index]], ProjectInput[], T$1, FALSE)</f>
        <v>0</v>
      </c>
      <c r="S281" s="97">
        <f>VLOOKUP(ReviewCalcs[[#This Row],[Project Index]], ProjectInput[], U$1, FALSE)</f>
        <v>0</v>
      </c>
      <c r="T281" s="97">
        <f>VLOOKUP(ReviewCalcs[[#This Row],[Project Index]], ProjectInput[], V$1, FALSE)</f>
        <v>0</v>
      </c>
      <c r="U281" s="97">
        <f>VLOOKUP(ReviewCalcs[[#This Row],[Project Index]], ProjectInput[], W$1, FALSE)</f>
        <v>0</v>
      </c>
      <c r="V281" s="98" t="str">
        <f>VLOOKUP(ReviewCalcs[[#This Row],[Project Index]], ProjectInput[], X$1, FALSE)</f>
        <v/>
      </c>
      <c r="W28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1" s="75" t="e">
        <f>IF(VLOOKUP(ReviewCalcs[[#This Row],[Proposed Fixture Code]], Table7[[FIXTURE CODE]:[Baseline Fixture Code]], 8, FALSE)="N", "ERROR", "PASS")</f>
        <v>#N/A</v>
      </c>
      <c r="Y28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1" s="75" t="e">
        <f>IF(OR(ReviewCalcs[[#This Row],[Baseline Fixture Watts]]&gt;=ReviewCalcs[[#This Row],[Proposed Fixture Watts]],ReviewCalcs[[#This Row],[Existing Fixture Watts]]&gt;=ReviewCalcs[[#This Row],[Proposed Fixture Watts]] ), "PASS", "ERROR")</f>
        <v>#N/A</v>
      </c>
      <c r="AA281" s="69" t="e">
        <f>VLOOKUP(ReviewCalcs[[#This Row],[Space Conditions]], Table_365[], 5, FALSE)</f>
        <v>#N/A</v>
      </c>
      <c r="AB281" s="68" t="str">
        <f>ReviewCalcs[[#This Row],[Annual Hours]]</f>
        <v/>
      </c>
      <c r="AC281" s="68" t="e">
        <f>VLOOKUP(ReviewCalcs[[#This Row],[Space Conditions]], Table_365[], 6, FALSE)</f>
        <v>#N/A</v>
      </c>
      <c r="AD281" s="68">
        <f>IF(ReviewCalcs[[#This Row],[Existing Control(s)]]='Tables &amp; Ranges'!$A$25, VLOOKUP(ReviewCalcs[[#This Row],[Building/Space Type]], Table_364[], 3, FALSE), CF_Contols)</f>
        <v>0.26</v>
      </c>
      <c r="AE281" s="68" t="e">
        <f>VLOOKUP(ReviewCalcs[[#This Row],[Existing Control(s)]], Table_358[], 2, FALSE)</f>
        <v>#N/A</v>
      </c>
      <c r="AF281" s="68">
        <f>IF(ReviewCalcs[[#This Row],[Proposed Control(s)]]='Tables &amp; Ranges'!$A$25, VLOOKUP(ReviewCalcs[[#This Row],[Building/Space Type]], Table_364[], 3, FALSE), CF_Contols)</f>
        <v>0.26</v>
      </c>
      <c r="AG281" s="68" t="e">
        <f>VLOOKUP(ReviewCalcs[[#This Row],[Proposed Control(s)]], Table_358[], 2, FALSE)</f>
        <v>#N/A</v>
      </c>
      <c r="AH281" s="68">
        <f>IFERROR((ReviewCalcs[[#This Row],[Existing Fixture Quantity]]*ReviewCalcs[[#This Row],[Existing Fixture Watts]]/1000)*ReviewCalcs[[#This Row],[Existing CF]]*ReviewCalcs[[#This Row],[IEFD]], 0)</f>
        <v>0</v>
      </c>
      <c r="AI281" s="68">
        <f>IFERROR((ReviewCalcs[[#This Row],[Proposed Fixture Quantity]]*ReviewCalcs[[#This Row],[Proposed Fixture Watts]]/1000)*ReviewCalcs[[#This Row],[Existing CF]]*ReviewCalcs[[#This Row],[IEFD]], 0)</f>
        <v>0</v>
      </c>
      <c r="AJ281" s="118">
        <f>IFERROR((ReviewCalcs[[#This Row],[Existing Fixture Quantity]]*ReviewCalcs[[#This Row],[Existing Fixture Watts]]/1000-ReviewCalcs[[#This Row],[Proposed Fixture Quantity]]*ReviewCalcs[[#This Row],[Proposed Fixture Watts]]/1000)*ReviewCalcs[[#This Row],[Existing CF]]*ReviewCalcs[[#This Row],[IEFD]], 0)</f>
        <v>0</v>
      </c>
      <c r="AK281" s="118">
        <f>IFERROR((ReviewCalcs[[#This Row],[Existing Fixture Quantity]]*ReviewCalcs[[#This Row],[Existing Fixture Watts]]/1000)*ReviewCalcs[[#This Row],[AOH]]*ReviewCalcs[[#This Row],[IEFE]]*ReviewCalcs[[#This Row],[Existing PAF]], 0)</f>
        <v>0</v>
      </c>
      <c r="AL281" s="118">
        <f>IFERROR((ReviewCalcs[[#This Row],[Proposed Fixture Quantity]]*ReviewCalcs[[#This Row],[Proposed Fixture Watts]]/1000)*ReviewCalcs[[#This Row],[AOH]]*ReviewCalcs[[#This Row],[IEFE]]*ReviewCalcs[[#This Row],[Existing PAF]], 0)</f>
        <v>0</v>
      </c>
      <c r="AM28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1" s="118">
        <f>ReviewCalcs[[#This Row],[Fixture Existing Energy (kWh)]]*Avg_KWh_Rate</f>
        <v>0</v>
      </c>
      <c r="AO281" s="118">
        <f>ReviewCalcs[[#This Row],[Fixture Proposed Energy (kWh)]]*Avg_KWh_Rate</f>
        <v>0</v>
      </c>
      <c r="AP281" s="70">
        <f>ReviewCalcs[[#This Row],[Fixture Energy Savings]]*Avg_KWh_Rate</f>
        <v>0</v>
      </c>
      <c r="AQ281" s="129" t="e">
        <f>ReviewCalcs[[#This Row],[Existing Fixture Quantity]]*ReviewCalcs[[#This Row],[Existing Fixture Watts]]/1000*ReviewCalcs[[#This Row],[Existing CF]]*ReviewCalcs[[#This Row],[IEFD]]</f>
        <v>#VALUE!</v>
      </c>
      <c r="AR281" s="129" t="e">
        <f>ReviewCalcs[[#This Row],[Proposed Fixture Quantity]]*ReviewCalcs[[#This Row],[Proposed Fixture Watts]]/1000*ReviewCalcs[[#This Row],[Proposed CF]]*ReviewCalcs[[#This Row],[IEFD]]</f>
        <v>#VALUE!</v>
      </c>
      <c r="AS281" s="118">
        <f>IF(ReviewCalcs[[#This Row],[Existing CF]]=ReviewCalcs[[#This Row],[Proposed CF]], 0, ReviewCalcs[[#This Row],[Proposed Fixture Quantity]]*ReviewCalcs[[#This Row],[Proposed Fixture Watts]]/1000*ReviewCalcs[[#This Row],[Proposed CF]]*ReviewCalcs[[#This Row],[IEFD]])</f>
        <v>0</v>
      </c>
      <c r="AT281" s="118">
        <f>IFERROR(ReviewCalcs[[#This Row],[Existing Fixture Quantity]]*ReviewCalcs[[#This Row],[Existing Fixture Watts]]/1000*ReviewCalcs[[#This Row],[Existing PAF]]*ReviewCalcs[[#This Row],[AOH]]*ReviewCalcs[[#This Row],[IEFE]], 0)</f>
        <v>0</v>
      </c>
      <c r="AU281" s="118">
        <f>IFERROR(ReviewCalcs[[#This Row],[Proposed Fixture Quantity]]*ReviewCalcs[[#This Row],[Proposed Fixture Watts]]/1000*ReviewCalcs[[#This Row],[Proposed PAF]]*ReviewCalcs[[#This Row],[AOH]]*ReviewCalcs[[#This Row],[IEFE]], 0)</f>
        <v>0</v>
      </c>
      <c r="AV281" s="118">
        <f>IFERROR(ReviewCalcs[[#This Row],[Proposed Fixture Quantity]]*ReviewCalcs[[#This Row],[Proposed Fixture Watts]]/1000*(ReviewCalcs[[#This Row],[Existing PAF]]-ReviewCalcs[[#This Row],[Proposed PAF]])*ReviewCalcs[[#This Row],[AOH]]*ReviewCalcs[[#This Row],[IEFE]], 0)</f>
        <v>0</v>
      </c>
      <c r="AW281" s="118">
        <f>ReviewCalcs[[#This Row],[Control Existing Energy (kWh)]]*kWh_Incentive_Rate</f>
        <v>0</v>
      </c>
      <c r="AX281" s="118">
        <f>ReviewCalcs[[#This Row],[Control Proposed Energy (kWh)]]*kWh_Incentive_Rate</f>
        <v>0</v>
      </c>
      <c r="AY281" s="70">
        <f>ReviewCalcs[[#This Row],[Control Energy Savings (kWh)]]*kWh_Incentive_Rate</f>
        <v>0</v>
      </c>
      <c r="AZ281" s="70" t="e">
        <f>ReviewCalcs[[#This Row],[Fixture Existing Demand (kW)]]+ReviewCalcs[[#This Row],[Control Existing Demand (kW)]]</f>
        <v>#VALUE!</v>
      </c>
      <c r="BA281" s="70" t="e">
        <f>ReviewCalcs[[#This Row],[Fixture Proposed Demand (kW)]]+ReviewCalcs[[#This Row],[Control Proposed Demand (kW)]]</f>
        <v>#VALUE!</v>
      </c>
      <c r="BB281" s="118">
        <f>ReviewCalcs[[#This Row],[Fixture Demand Savings (kW)]]+ReviewCalcs[[#This Row],[Control Demand Savings (kW)]]</f>
        <v>0</v>
      </c>
      <c r="BC281" s="118">
        <f>ReviewCalcs[[#This Row],[Fixture Existing Energy (kWh)]]+ReviewCalcs[[#This Row],[Control Existing Energy (kWh)]]</f>
        <v>0</v>
      </c>
      <c r="BD281" s="118">
        <f>ReviewCalcs[[#This Row],[Fixture Proposed Energy (kWh)]]+ReviewCalcs[[#This Row],[Control Proposed Energy (kWh)]]</f>
        <v>0</v>
      </c>
      <c r="BE281" s="118">
        <f>ReviewCalcs[[#This Row],[Fixture Energy Savings]]+ReviewCalcs[[#This Row],[Control Energy Savings (kWh)]]</f>
        <v>0</v>
      </c>
      <c r="BF281" s="118">
        <f>ReviewCalcs[[#This Row],[Fixture Existing Cost ($)]]+ReviewCalcs[[#This Row],[Control Existing Cost ($)]]</f>
        <v>0</v>
      </c>
      <c r="BG281" s="118">
        <f>ReviewCalcs[[#This Row],[Fixture Proposed Cost ($)]]+ReviewCalcs[[#This Row],[Controls Proposed Cost ($)]]</f>
        <v>0</v>
      </c>
      <c r="BH281" s="70">
        <f>ReviewCalcs[[#This Row],[Total Energy Savings (kWh)]]*Avg_KWh_Rate</f>
        <v>0</v>
      </c>
      <c r="BI28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1" s="70">
        <f>ReviewCalcs[[#This Row],[Retrofit Cost]]</f>
        <v>0</v>
      </c>
      <c r="BK281" s="70">
        <f>ReviewCalcs[[#This Row],[Retrofit Cost]]-ReviewCalcs[[#This Row],[Incentive ($)]]</f>
        <v>0</v>
      </c>
      <c r="BL281" s="118" t="e">
        <f>IFERROR(ReviewCalcs[[#This Row],[Net Project Cost ($)]]/ReviewCalcs[[#This Row],[Fixture Energy Cost Savings ($)]], #N/A)</f>
        <v>#N/A</v>
      </c>
      <c r="BM281" s="118" t="e">
        <f>IF(VLOOKUP(ReviewCalcs[[#This Row],[Existing Fixture Code]], Table7[[FIXTURE CODE]:[Baseline Fixture Code]], 8, FALSE)="N", VLOOKUP(ReviewCalcs[[#This Row],[Existing Fixture Code]], Table7[[FIXTURE CODE]:[Baseline Fixture Code]], 9, FALSE), ReviewCalcs[[#This Row],[Existing Fixture Code]])</f>
        <v>#N/A</v>
      </c>
      <c r="BN281" s="118" t="e">
        <f>INDEX(Table7[WATT/ FIXT], MATCH(ReviewCalcs[Baseline Fixture Code], Table7[FIXTURE CODE], 0))</f>
        <v>#N/A</v>
      </c>
      <c r="BO281" s="118">
        <f>IFERROR((ReviewCalcs[[#This Row],[Existing Fixture Quantity]]*ReviewCalcs[[#This Row],[Baseline Fixture Watts]]/1000-ReviewCalcs[[#This Row],[Proposed Fixture Quantity]]*ReviewCalcs[[#This Row],[Proposed Fixture Watts]]/1000)*ReviewCalcs[[#This Row],[Existing CF]]*ReviewCalcs[[#This Row],[IEFD]], 0)</f>
        <v>0</v>
      </c>
      <c r="BP28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1" s="118">
        <f>IF(ReviewCalcs[[#This Row],[Existing CF]]=ReviewCalcs[[#This Row],[Proposed CF]], 0, ReviewCalcs[[#This Row],[Proposed Fixture Quantity]]*ReviewCalcs[[#This Row],[Proposed Fixture Watts]]/1000*ReviewCalcs[[#This Row],[Proposed CF]]*ReviewCalcs[[#This Row],[IEFD]])</f>
        <v>0</v>
      </c>
      <c r="BR281" s="118">
        <f>IFERROR(ReviewCalcs[[#This Row],[Proposed Fixture Quantity]]*ReviewCalcs[[#This Row],[Proposed Fixture Watts]]/1000*(ReviewCalcs[[#This Row],[Existing PAF]]-ReviewCalcs[[#This Row],[Proposed PAF]])*ReviewCalcs[[#This Row],[AOH]]*ReviewCalcs[[#This Row],[IEFE]],0)</f>
        <v>0</v>
      </c>
      <c r="BS281" s="118">
        <f>ReviewCalcs[[#This Row],[Incentive Fixture Demand Savings (kW)]]+ReviewCalcs[[#This Row],[Incentive Control Demand Savings (kW)]]</f>
        <v>0</v>
      </c>
      <c r="BT281" s="118">
        <f>ReviewCalcs[[#This Row],[Incentive Fixture Energy Savings (kWh)]]+ReviewCalcs[[#This Row],[Incentive Control Energy Savings (kWh)]]</f>
        <v>0</v>
      </c>
      <c r="BU281" s="73"/>
    </row>
    <row r="282" spans="1:73" ht="30" customHeight="1">
      <c r="A282" s="68">
        <v>279</v>
      </c>
      <c r="B282" s="96">
        <f>VLOOKUP(ReviewCalcs[[#This Row],[Project Index]], ProjectInput[], D$1, FALSE)</f>
        <v>0</v>
      </c>
      <c r="C282" s="97">
        <f>VLOOKUP(ReviewCalcs[[#This Row],[Project Index]], ProjectInput[], E$1, FALSE)</f>
        <v>0</v>
      </c>
      <c r="D282" s="97">
        <f>VLOOKUP(ReviewCalcs[[#This Row],[Project Index]], ProjectInput[], F$1, FALSE)</f>
        <v>0</v>
      </c>
      <c r="E282" s="97">
        <f>VLOOKUP(ReviewCalcs[[#This Row],[Project Index]], ProjectInput[], G$1, FALSE)</f>
        <v>0</v>
      </c>
      <c r="F282" s="97">
        <f>VLOOKUP(ReviewCalcs[[#This Row],[Project Index]], ProjectInput[], H$1, FALSE)</f>
        <v>0</v>
      </c>
      <c r="G282" s="98" t="str">
        <f>VLOOKUP(ReviewCalcs[[#This Row],[Project Index]], ProjectInput[], I$1, FALSE)</f>
        <v/>
      </c>
      <c r="H282" s="96">
        <f>VLOOKUP(ReviewCalcs[[#This Row],[Project Index]], ProjectInput[], J$1, FALSE)</f>
        <v>0</v>
      </c>
      <c r="I282" s="97">
        <f>VLOOKUP(ReviewCalcs[[#This Row],[Project Index]], ProjectInput[], K$1, FALSE)</f>
        <v>0</v>
      </c>
      <c r="J282" s="97">
        <f>VLOOKUP(ReviewCalcs[[#This Row],[Project Index]], ProjectInput[], L$1, FALSE)</f>
        <v>0</v>
      </c>
      <c r="K282" s="97">
        <f>VLOOKUP(ReviewCalcs[[#This Row],[Project Index]], ProjectInput[], M$1, FALSE)</f>
        <v>0</v>
      </c>
      <c r="L282" s="97">
        <f>VLOOKUP(ReviewCalcs[[#This Row],[Project Index]], ProjectInput[], N$1, FALSE)</f>
        <v>0</v>
      </c>
      <c r="M282" s="98" t="str">
        <f>VLOOKUP(ReviewCalcs[[#This Row],[Project Index]], ProjectInput[], O$1, FALSE)</f>
        <v/>
      </c>
      <c r="N282" s="96">
        <f>VLOOKUP(ReviewCalcs[[#This Row],[Project Index]], ProjectInput[], P$1, FALSE)</f>
        <v>0</v>
      </c>
      <c r="O282" s="97">
        <f>VLOOKUP(ReviewCalcs[[#This Row],[Project Index]], ProjectInput[], Q$1, FALSE)</f>
        <v>0</v>
      </c>
      <c r="P282" s="97">
        <f>VLOOKUP(ReviewCalcs[[#This Row],[Project Index]], ProjectInput[], R$1, FALSE)</f>
        <v>0</v>
      </c>
      <c r="Q282" s="97">
        <f>VLOOKUP(ReviewCalcs[[#This Row],[Project Index]], ProjectInput[], S$1, FALSE)</f>
        <v>0</v>
      </c>
      <c r="R282" s="97">
        <f>VLOOKUP(ReviewCalcs[[#This Row],[Project Index]], ProjectInput[], T$1, FALSE)</f>
        <v>0</v>
      </c>
      <c r="S282" s="97">
        <f>VLOOKUP(ReviewCalcs[[#This Row],[Project Index]], ProjectInput[], U$1, FALSE)</f>
        <v>0</v>
      </c>
      <c r="T282" s="97">
        <f>VLOOKUP(ReviewCalcs[[#This Row],[Project Index]], ProjectInput[], V$1, FALSE)</f>
        <v>0</v>
      </c>
      <c r="U282" s="97">
        <f>VLOOKUP(ReviewCalcs[[#This Row],[Project Index]], ProjectInput[], W$1, FALSE)</f>
        <v>0</v>
      </c>
      <c r="V282" s="98" t="str">
        <f>VLOOKUP(ReviewCalcs[[#This Row],[Project Index]], ProjectInput[], X$1, FALSE)</f>
        <v/>
      </c>
      <c r="W28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2" s="75" t="e">
        <f>IF(VLOOKUP(ReviewCalcs[[#This Row],[Proposed Fixture Code]], Table7[[FIXTURE CODE]:[Baseline Fixture Code]], 8, FALSE)="N", "ERROR", "PASS")</f>
        <v>#N/A</v>
      </c>
      <c r="Y28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2" s="75" t="e">
        <f>IF(OR(ReviewCalcs[[#This Row],[Baseline Fixture Watts]]&gt;=ReviewCalcs[[#This Row],[Proposed Fixture Watts]],ReviewCalcs[[#This Row],[Existing Fixture Watts]]&gt;=ReviewCalcs[[#This Row],[Proposed Fixture Watts]] ), "PASS", "ERROR")</f>
        <v>#N/A</v>
      </c>
      <c r="AA282" s="69" t="e">
        <f>VLOOKUP(ReviewCalcs[[#This Row],[Space Conditions]], Table_365[], 5, FALSE)</f>
        <v>#N/A</v>
      </c>
      <c r="AB282" s="68" t="str">
        <f>ReviewCalcs[[#This Row],[Annual Hours]]</f>
        <v/>
      </c>
      <c r="AC282" s="68" t="e">
        <f>VLOOKUP(ReviewCalcs[[#This Row],[Space Conditions]], Table_365[], 6, FALSE)</f>
        <v>#N/A</v>
      </c>
      <c r="AD282" s="68">
        <f>IF(ReviewCalcs[[#This Row],[Existing Control(s)]]='Tables &amp; Ranges'!$A$25, VLOOKUP(ReviewCalcs[[#This Row],[Building/Space Type]], Table_364[], 3, FALSE), CF_Contols)</f>
        <v>0.26</v>
      </c>
      <c r="AE282" s="68" t="e">
        <f>VLOOKUP(ReviewCalcs[[#This Row],[Existing Control(s)]], Table_358[], 2, FALSE)</f>
        <v>#N/A</v>
      </c>
      <c r="AF282" s="68">
        <f>IF(ReviewCalcs[[#This Row],[Proposed Control(s)]]='Tables &amp; Ranges'!$A$25, VLOOKUP(ReviewCalcs[[#This Row],[Building/Space Type]], Table_364[], 3, FALSE), CF_Contols)</f>
        <v>0.26</v>
      </c>
      <c r="AG282" s="68" t="e">
        <f>VLOOKUP(ReviewCalcs[[#This Row],[Proposed Control(s)]], Table_358[], 2, FALSE)</f>
        <v>#N/A</v>
      </c>
      <c r="AH282" s="68">
        <f>IFERROR((ReviewCalcs[[#This Row],[Existing Fixture Quantity]]*ReviewCalcs[[#This Row],[Existing Fixture Watts]]/1000)*ReviewCalcs[[#This Row],[Existing CF]]*ReviewCalcs[[#This Row],[IEFD]], 0)</f>
        <v>0</v>
      </c>
      <c r="AI282" s="68">
        <f>IFERROR((ReviewCalcs[[#This Row],[Proposed Fixture Quantity]]*ReviewCalcs[[#This Row],[Proposed Fixture Watts]]/1000)*ReviewCalcs[[#This Row],[Existing CF]]*ReviewCalcs[[#This Row],[IEFD]], 0)</f>
        <v>0</v>
      </c>
      <c r="AJ282" s="118">
        <f>IFERROR((ReviewCalcs[[#This Row],[Existing Fixture Quantity]]*ReviewCalcs[[#This Row],[Existing Fixture Watts]]/1000-ReviewCalcs[[#This Row],[Proposed Fixture Quantity]]*ReviewCalcs[[#This Row],[Proposed Fixture Watts]]/1000)*ReviewCalcs[[#This Row],[Existing CF]]*ReviewCalcs[[#This Row],[IEFD]], 0)</f>
        <v>0</v>
      </c>
      <c r="AK282" s="118">
        <f>IFERROR((ReviewCalcs[[#This Row],[Existing Fixture Quantity]]*ReviewCalcs[[#This Row],[Existing Fixture Watts]]/1000)*ReviewCalcs[[#This Row],[AOH]]*ReviewCalcs[[#This Row],[IEFE]]*ReviewCalcs[[#This Row],[Existing PAF]], 0)</f>
        <v>0</v>
      </c>
      <c r="AL282" s="118">
        <f>IFERROR((ReviewCalcs[[#This Row],[Proposed Fixture Quantity]]*ReviewCalcs[[#This Row],[Proposed Fixture Watts]]/1000)*ReviewCalcs[[#This Row],[AOH]]*ReviewCalcs[[#This Row],[IEFE]]*ReviewCalcs[[#This Row],[Existing PAF]], 0)</f>
        <v>0</v>
      </c>
      <c r="AM28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2" s="118">
        <f>ReviewCalcs[[#This Row],[Fixture Existing Energy (kWh)]]*Avg_KWh_Rate</f>
        <v>0</v>
      </c>
      <c r="AO282" s="118">
        <f>ReviewCalcs[[#This Row],[Fixture Proposed Energy (kWh)]]*Avg_KWh_Rate</f>
        <v>0</v>
      </c>
      <c r="AP282" s="70">
        <f>ReviewCalcs[[#This Row],[Fixture Energy Savings]]*Avg_KWh_Rate</f>
        <v>0</v>
      </c>
      <c r="AQ282" s="129" t="e">
        <f>ReviewCalcs[[#This Row],[Existing Fixture Quantity]]*ReviewCalcs[[#This Row],[Existing Fixture Watts]]/1000*ReviewCalcs[[#This Row],[Existing CF]]*ReviewCalcs[[#This Row],[IEFD]]</f>
        <v>#VALUE!</v>
      </c>
      <c r="AR282" s="129" t="e">
        <f>ReviewCalcs[[#This Row],[Proposed Fixture Quantity]]*ReviewCalcs[[#This Row],[Proposed Fixture Watts]]/1000*ReviewCalcs[[#This Row],[Proposed CF]]*ReviewCalcs[[#This Row],[IEFD]]</f>
        <v>#VALUE!</v>
      </c>
      <c r="AS282" s="118">
        <f>IF(ReviewCalcs[[#This Row],[Existing CF]]=ReviewCalcs[[#This Row],[Proposed CF]], 0, ReviewCalcs[[#This Row],[Proposed Fixture Quantity]]*ReviewCalcs[[#This Row],[Proposed Fixture Watts]]/1000*ReviewCalcs[[#This Row],[Proposed CF]]*ReviewCalcs[[#This Row],[IEFD]])</f>
        <v>0</v>
      </c>
      <c r="AT282" s="118">
        <f>IFERROR(ReviewCalcs[[#This Row],[Existing Fixture Quantity]]*ReviewCalcs[[#This Row],[Existing Fixture Watts]]/1000*ReviewCalcs[[#This Row],[Existing PAF]]*ReviewCalcs[[#This Row],[AOH]]*ReviewCalcs[[#This Row],[IEFE]], 0)</f>
        <v>0</v>
      </c>
      <c r="AU282" s="118">
        <f>IFERROR(ReviewCalcs[[#This Row],[Proposed Fixture Quantity]]*ReviewCalcs[[#This Row],[Proposed Fixture Watts]]/1000*ReviewCalcs[[#This Row],[Proposed PAF]]*ReviewCalcs[[#This Row],[AOH]]*ReviewCalcs[[#This Row],[IEFE]], 0)</f>
        <v>0</v>
      </c>
      <c r="AV282" s="118">
        <f>IFERROR(ReviewCalcs[[#This Row],[Proposed Fixture Quantity]]*ReviewCalcs[[#This Row],[Proposed Fixture Watts]]/1000*(ReviewCalcs[[#This Row],[Existing PAF]]-ReviewCalcs[[#This Row],[Proposed PAF]])*ReviewCalcs[[#This Row],[AOH]]*ReviewCalcs[[#This Row],[IEFE]], 0)</f>
        <v>0</v>
      </c>
      <c r="AW282" s="118">
        <f>ReviewCalcs[[#This Row],[Control Existing Energy (kWh)]]*kWh_Incentive_Rate</f>
        <v>0</v>
      </c>
      <c r="AX282" s="118">
        <f>ReviewCalcs[[#This Row],[Control Proposed Energy (kWh)]]*kWh_Incentive_Rate</f>
        <v>0</v>
      </c>
      <c r="AY282" s="70">
        <f>ReviewCalcs[[#This Row],[Control Energy Savings (kWh)]]*kWh_Incentive_Rate</f>
        <v>0</v>
      </c>
      <c r="AZ282" s="70" t="e">
        <f>ReviewCalcs[[#This Row],[Fixture Existing Demand (kW)]]+ReviewCalcs[[#This Row],[Control Existing Demand (kW)]]</f>
        <v>#VALUE!</v>
      </c>
      <c r="BA282" s="70" t="e">
        <f>ReviewCalcs[[#This Row],[Fixture Proposed Demand (kW)]]+ReviewCalcs[[#This Row],[Control Proposed Demand (kW)]]</f>
        <v>#VALUE!</v>
      </c>
      <c r="BB282" s="118">
        <f>ReviewCalcs[[#This Row],[Fixture Demand Savings (kW)]]+ReviewCalcs[[#This Row],[Control Demand Savings (kW)]]</f>
        <v>0</v>
      </c>
      <c r="BC282" s="118">
        <f>ReviewCalcs[[#This Row],[Fixture Existing Energy (kWh)]]+ReviewCalcs[[#This Row],[Control Existing Energy (kWh)]]</f>
        <v>0</v>
      </c>
      <c r="BD282" s="118">
        <f>ReviewCalcs[[#This Row],[Fixture Proposed Energy (kWh)]]+ReviewCalcs[[#This Row],[Control Proposed Energy (kWh)]]</f>
        <v>0</v>
      </c>
      <c r="BE282" s="118">
        <f>ReviewCalcs[[#This Row],[Fixture Energy Savings]]+ReviewCalcs[[#This Row],[Control Energy Savings (kWh)]]</f>
        <v>0</v>
      </c>
      <c r="BF282" s="118">
        <f>ReviewCalcs[[#This Row],[Fixture Existing Cost ($)]]+ReviewCalcs[[#This Row],[Control Existing Cost ($)]]</f>
        <v>0</v>
      </c>
      <c r="BG282" s="118">
        <f>ReviewCalcs[[#This Row],[Fixture Proposed Cost ($)]]+ReviewCalcs[[#This Row],[Controls Proposed Cost ($)]]</f>
        <v>0</v>
      </c>
      <c r="BH282" s="70">
        <f>ReviewCalcs[[#This Row],[Total Energy Savings (kWh)]]*Avg_KWh_Rate</f>
        <v>0</v>
      </c>
      <c r="BI28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2" s="70">
        <f>ReviewCalcs[[#This Row],[Retrofit Cost]]</f>
        <v>0</v>
      </c>
      <c r="BK282" s="70">
        <f>ReviewCalcs[[#This Row],[Retrofit Cost]]-ReviewCalcs[[#This Row],[Incentive ($)]]</f>
        <v>0</v>
      </c>
      <c r="BL282" s="118" t="e">
        <f>IFERROR(ReviewCalcs[[#This Row],[Net Project Cost ($)]]/ReviewCalcs[[#This Row],[Fixture Energy Cost Savings ($)]], #N/A)</f>
        <v>#N/A</v>
      </c>
      <c r="BM282" s="118" t="e">
        <f>IF(VLOOKUP(ReviewCalcs[[#This Row],[Existing Fixture Code]], Table7[[FIXTURE CODE]:[Baseline Fixture Code]], 8, FALSE)="N", VLOOKUP(ReviewCalcs[[#This Row],[Existing Fixture Code]], Table7[[FIXTURE CODE]:[Baseline Fixture Code]], 9, FALSE), ReviewCalcs[[#This Row],[Existing Fixture Code]])</f>
        <v>#N/A</v>
      </c>
      <c r="BN282" s="118" t="e">
        <f>INDEX(Table7[WATT/ FIXT], MATCH(ReviewCalcs[Baseline Fixture Code], Table7[FIXTURE CODE], 0))</f>
        <v>#N/A</v>
      </c>
      <c r="BO282" s="118">
        <f>IFERROR((ReviewCalcs[[#This Row],[Existing Fixture Quantity]]*ReviewCalcs[[#This Row],[Baseline Fixture Watts]]/1000-ReviewCalcs[[#This Row],[Proposed Fixture Quantity]]*ReviewCalcs[[#This Row],[Proposed Fixture Watts]]/1000)*ReviewCalcs[[#This Row],[Existing CF]]*ReviewCalcs[[#This Row],[IEFD]], 0)</f>
        <v>0</v>
      </c>
      <c r="BP28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2" s="118">
        <f>IF(ReviewCalcs[[#This Row],[Existing CF]]=ReviewCalcs[[#This Row],[Proposed CF]], 0, ReviewCalcs[[#This Row],[Proposed Fixture Quantity]]*ReviewCalcs[[#This Row],[Proposed Fixture Watts]]/1000*ReviewCalcs[[#This Row],[Proposed CF]]*ReviewCalcs[[#This Row],[IEFD]])</f>
        <v>0</v>
      </c>
      <c r="BR282" s="118">
        <f>IFERROR(ReviewCalcs[[#This Row],[Proposed Fixture Quantity]]*ReviewCalcs[[#This Row],[Proposed Fixture Watts]]/1000*(ReviewCalcs[[#This Row],[Existing PAF]]-ReviewCalcs[[#This Row],[Proposed PAF]])*ReviewCalcs[[#This Row],[AOH]]*ReviewCalcs[[#This Row],[IEFE]],0)</f>
        <v>0</v>
      </c>
      <c r="BS282" s="118">
        <f>ReviewCalcs[[#This Row],[Incentive Fixture Demand Savings (kW)]]+ReviewCalcs[[#This Row],[Incentive Control Demand Savings (kW)]]</f>
        <v>0</v>
      </c>
      <c r="BT282" s="118">
        <f>ReviewCalcs[[#This Row],[Incentive Fixture Energy Savings (kWh)]]+ReviewCalcs[[#This Row],[Incentive Control Energy Savings (kWh)]]</f>
        <v>0</v>
      </c>
      <c r="BU282" s="73"/>
    </row>
    <row r="283" spans="1:73" ht="30" customHeight="1">
      <c r="A283" s="68">
        <v>280</v>
      </c>
      <c r="B283" s="96">
        <f>VLOOKUP(ReviewCalcs[[#This Row],[Project Index]], ProjectInput[], D$1, FALSE)</f>
        <v>0</v>
      </c>
      <c r="C283" s="97">
        <f>VLOOKUP(ReviewCalcs[[#This Row],[Project Index]], ProjectInput[], E$1, FALSE)</f>
        <v>0</v>
      </c>
      <c r="D283" s="97">
        <f>VLOOKUP(ReviewCalcs[[#This Row],[Project Index]], ProjectInput[], F$1, FALSE)</f>
        <v>0</v>
      </c>
      <c r="E283" s="97">
        <f>VLOOKUP(ReviewCalcs[[#This Row],[Project Index]], ProjectInput[], G$1, FALSE)</f>
        <v>0</v>
      </c>
      <c r="F283" s="97">
        <f>VLOOKUP(ReviewCalcs[[#This Row],[Project Index]], ProjectInput[], H$1, FALSE)</f>
        <v>0</v>
      </c>
      <c r="G283" s="98" t="str">
        <f>VLOOKUP(ReviewCalcs[[#This Row],[Project Index]], ProjectInput[], I$1, FALSE)</f>
        <v/>
      </c>
      <c r="H283" s="96">
        <f>VLOOKUP(ReviewCalcs[[#This Row],[Project Index]], ProjectInput[], J$1, FALSE)</f>
        <v>0</v>
      </c>
      <c r="I283" s="97">
        <f>VLOOKUP(ReviewCalcs[[#This Row],[Project Index]], ProjectInput[], K$1, FALSE)</f>
        <v>0</v>
      </c>
      <c r="J283" s="97">
        <f>VLOOKUP(ReviewCalcs[[#This Row],[Project Index]], ProjectInput[], L$1, FALSE)</f>
        <v>0</v>
      </c>
      <c r="K283" s="97">
        <f>VLOOKUP(ReviewCalcs[[#This Row],[Project Index]], ProjectInput[], M$1, FALSE)</f>
        <v>0</v>
      </c>
      <c r="L283" s="97">
        <f>VLOOKUP(ReviewCalcs[[#This Row],[Project Index]], ProjectInput[], N$1, FALSE)</f>
        <v>0</v>
      </c>
      <c r="M283" s="98" t="str">
        <f>VLOOKUP(ReviewCalcs[[#This Row],[Project Index]], ProjectInput[], O$1, FALSE)</f>
        <v/>
      </c>
      <c r="N283" s="96">
        <f>VLOOKUP(ReviewCalcs[[#This Row],[Project Index]], ProjectInput[], P$1, FALSE)</f>
        <v>0</v>
      </c>
      <c r="O283" s="97">
        <f>VLOOKUP(ReviewCalcs[[#This Row],[Project Index]], ProjectInput[], Q$1, FALSE)</f>
        <v>0</v>
      </c>
      <c r="P283" s="97">
        <f>VLOOKUP(ReviewCalcs[[#This Row],[Project Index]], ProjectInput[], R$1, FALSE)</f>
        <v>0</v>
      </c>
      <c r="Q283" s="97">
        <f>VLOOKUP(ReviewCalcs[[#This Row],[Project Index]], ProjectInput[], S$1, FALSE)</f>
        <v>0</v>
      </c>
      <c r="R283" s="97">
        <f>VLOOKUP(ReviewCalcs[[#This Row],[Project Index]], ProjectInput[], T$1, FALSE)</f>
        <v>0</v>
      </c>
      <c r="S283" s="97">
        <f>VLOOKUP(ReviewCalcs[[#This Row],[Project Index]], ProjectInput[], U$1, FALSE)</f>
        <v>0</v>
      </c>
      <c r="T283" s="97">
        <f>VLOOKUP(ReviewCalcs[[#This Row],[Project Index]], ProjectInput[], V$1, FALSE)</f>
        <v>0</v>
      </c>
      <c r="U283" s="97">
        <f>VLOOKUP(ReviewCalcs[[#This Row],[Project Index]], ProjectInput[], W$1, FALSE)</f>
        <v>0</v>
      </c>
      <c r="V283" s="98" t="str">
        <f>VLOOKUP(ReviewCalcs[[#This Row],[Project Index]], ProjectInput[], X$1, FALSE)</f>
        <v/>
      </c>
      <c r="W28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3" s="75" t="e">
        <f>IF(VLOOKUP(ReviewCalcs[[#This Row],[Proposed Fixture Code]], Table7[[FIXTURE CODE]:[Baseline Fixture Code]], 8, FALSE)="N", "ERROR", "PASS")</f>
        <v>#N/A</v>
      </c>
      <c r="Y28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3" s="75" t="e">
        <f>IF(OR(ReviewCalcs[[#This Row],[Baseline Fixture Watts]]&gt;=ReviewCalcs[[#This Row],[Proposed Fixture Watts]],ReviewCalcs[[#This Row],[Existing Fixture Watts]]&gt;=ReviewCalcs[[#This Row],[Proposed Fixture Watts]] ), "PASS", "ERROR")</f>
        <v>#N/A</v>
      </c>
      <c r="AA283" s="69" t="e">
        <f>VLOOKUP(ReviewCalcs[[#This Row],[Space Conditions]], Table_365[], 5, FALSE)</f>
        <v>#N/A</v>
      </c>
      <c r="AB283" s="68" t="str">
        <f>ReviewCalcs[[#This Row],[Annual Hours]]</f>
        <v/>
      </c>
      <c r="AC283" s="68" t="e">
        <f>VLOOKUP(ReviewCalcs[[#This Row],[Space Conditions]], Table_365[], 6, FALSE)</f>
        <v>#N/A</v>
      </c>
      <c r="AD283" s="68">
        <f>IF(ReviewCalcs[[#This Row],[Existing Control(s)]]='Tables &amp; Ranges'!$A$25, VLOOKUP(ReviewCalcs[[#This Row],[Building/Space Type]], Table_364[], 3, FALSE), CF_Contols)</f>
        <v>0.26</v>
      </c>
      <c r="AE283" s="68" t="e">
        <f>VLOOKUP(ReviewCalcs[[#This Row],[Existing Control(s)]], Table_358[], 2, FALSE)</f>
        <v>#N/A</v>
      </c>
      <c r="AF283" s="68">
        <f>IF(ReviewCalcs[[#This Row],[Proposed Control(s)]]='Tables &amp; Ranges'!$A$25, VLOOKUP(ReviewCalcs[[#This Row],[Building/Space Type]], Table_364[], 3, FALSE), CF_Contols)</f>
        <v>0.26</v>
      </c>
      <c r="AG283" s="68" t="e">
        <f>VLOOKUP(ReviewCalcs[[#This Row],[Proposed Control(s)]], Table_358[], 2, FALSE)</f>
        <v>#N/A</v>
      </c>
      <c r="AH283" s="68">
        <f>IFERROR((ReviewCalcs[[#This Row],[Existing Fixture Quantity]]*ReviewCalcs[[#This Row],[Existing Fixture Watts]]/1000)*ReviewCalcs[[#This Row],[Existing CF]]*ReviewCalcs[[#This Row],[IEFD]], 0)</f>
        <v>0</v>
      </c>
      <c r="AI283" s="68">
        <f>IFERROR((ReviewCalcs[[#This Row],[Proposed Fixture Quantity]]*ReviewCalcs[[#This Row],[Proposed Fixture Watts]]/1000)*ReviewCalcs[[#This Row],[Existing CF]]*ReviewCalcs[[#This Row],[IEFD]], 0)</f>
        <v>0</v>
      </c>
      <c r="AJ283" s="118">
        <f>IFERROR((ReviewCalcs[[#This Row],[Existing Fixture Quantity]]*ReviewCalcs[[#This Row],[Existing Fixture Watts]]/1000-ReviewCalcs[[#This Row],[Proposed Fixture Quantity]]*ReviewCalcs[[#This Row],[Proposed Fixture Watts]]/1000)*ReviewCalcs[[#This Row],[Existing CF]]*ReviewCalcs[[#This Row],[IEFD]], 0)</f>
        <v>0</v>
      </c>
      <c r="AK283" s="118">
        <f>IFERROR((ReviewCalcs[[#This Row],[Existing Fixture Quantity]]*ReviewCalcs[[#This Row],[Existing Fixture Watts]]/1000)*ReviewCalcs[[#This Row],[AOH]]*ReviewCalcs[[#This Row],[IEFE]]*ReviewCalcs[[#This Row],[Existing PAF]], 0)</f>
        <v>0</v>
      </c>
      <c r="AL283" s="118">
        <f>IFERROR((ReviewCalcs[[#This Row],[Proposed Fixture Quantity]]*ReviewCalcs[[#This Row],[Proposed Fixture Watts]]/1000)*ReviewCalcs[[#This Row],[AOH]]*ReviewCalcs[[#This Row],[IEFE]]*ReviewCalcs[[#This Row],[Existing PAF]], 0)</f>
        <v>0</v>
      </c>
      <c r="AM28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3" s="118">
        <f>ReviewCalcs[[#This Row],[Fixture Existing Energy (kWh)]]*Avg_KWh_Rate</f>
        <v>0</v>
      </c>
      <c r="AO283" s="118">
        <f>ReviewCalcs[[#This Row],[Fixture Proposed Energy (kWh)]]*Avg_KWh_Rate</f>
        <v>0</v>
      </c>
      <c r="AP283" s="70">
        <f>ReviewCalcs[[#This Row],[Fixture Energy Savings]]*Avg_KWh_Rate</f>
        <v>0</v>
      </c>
      <c r="AQ283" s="129" t="e">
        <f>ReviewCalcs[[#This Row],[Existing Fixture Quantity]]*ReviewCalcs[[#This Row],[Existing Fixture Watts]]/1000*ReviewCalcs[[#This Row],[Existing CF]]*ReviewCalcs[[#This Row],[IEFD]]</f>
        <v>#VALUE!</v>
      </c>
      <c r="AR283" s="129" t="e">
        <f>ReviewCalcs[[#This Row],[Proposed Fixture Quantity]]*ReviewCalcs[[#This Row],[Proposed Fixture Watts]]/1000*ReviewCalcs[[#This Row],[Proposed CF]]*ReviewCalcs[[#This Row],[IEFD]]</f>
        <v>#VALUE!</v>
      </c>
      <c r="AS283" s="118">
        <f>IF(ReviewCalcs[[#This Row],[Existing CF]]=ReviewCalcs[[#This Row],[Proposed CF]], 0, ReviewCalcs[[#This Row],[Proposed Fixture Quantity]]*ReviewCalcs[[#This Row],[Proposed Fixture Watts]]/1000*ReviewCalcs[[#This Row],[Proposed CF]]*ReviewCalcs[[#This Row],[IEFD]])</f>
        <v>0</v>
      </c>
      <c r="AT283" s="118">
        <f>IFERROR(ReviewCalcs[[#This Row],[Existing Fixture Quantity]]*ReviewCalcs[[#This Row],[Existing Fixture Watts]]/1000*ReviewCalcs[[#This Row],[Existing PAF]]*ReviewCalcs[[#This Row],[AOH]]*ReviewCalcs[[#This Row],[IEFE]], 0)</f>
        <v>0</v>
      </c>
      <c r="AU283" s="118">
        <f>IFERROR(ReviewCalcs[[#This Row],[Proposed Fixture Quantity]]*ReviewCalcs[[#This Row],[Proposed Fixture Watts]]/1000*ReviewCalcs[[#This Row],[Proposed PAF]]*ReviewCalcs[[#This Row],[AOH]]*ReviewCalcs[[#This Row],[IEFE]], 0)</f>
        <v>0</v>
      </c>
      <c r="AV283" s="118">
        <f>IFERROR(ReviewCalcs[[#This Row],[Proposed Fixture Quantity]]*ReviewCalcs[[#This Row],[Proposed Fixture Watts]]/1000*(ReviewCalcs[[#This Row],[Existing PAF]]-ReviewCalcs[[#This Row],[Proposed PAF]])*ReviewCalcs[[#This Row],[AOH]]*ReviewCalcs[[#This Row],[IEFE]], 0)</f>
        <v>0</v>
      </c>
      <c r="AW283" s="118">
        <f>ReviewCalcs[[#This Row],[Control Existing Energy (kWh)]]*kWh_Incentive_Rate</f>
        <v>0</v>
      </c>
      <c r="AX283" s="118">
        <f>ReviewCalcs[[#This Row],[Control Proposed Energy (kWh)]]*kWh_Incentive_Rate</f>
        <v>0</v>
      </c>
      <c r="AY283" s="70">
        <f>ReviewCalcs[[#This Row],[Control Energy Savings (kWh)]]*kWh_Incentive_Rate</f>
        <v>0</v>
      </c>
      <c r="AZ283" s="70" t="e">
        <f>ReviewCalcs[[#This Row],[Fixture Existing Demand (kW)]]+ReviewCalcs[[#This Row],[Control Existing Demand (kW)]]</f>
        <v>#VALUE!</v>
      </c>
      <c r="BA283" s="70" t="e">
        <f>ReviewCalcs[[#This Row],[Fixture Proposed Demand (kW)]]+ReviewCalcs[[#This Row],[Control Proposed Demand (kW)]]</f>
        <v>#VALUE!</v>
      </c>
      <c r="BB283" s="118">
        <f>ReviewCalcs[[#This Row],[Fixture Demand Savings (kW)]]+ReviewCalcs[[#This Row],[Control Demand Savings (kW)]]</f>
        <v>0</v>
      </c>
      <c r="BC283" s="118">
        <f>ReviewCalcs[[#This Row],[Fixture Existing Energy (kWh)]]+ReviewCalcs[[#This Row],[Control Existing Energy (kWh)]]</f>
        <v>0</v>
      </c>
      <c r="BD283" s="118">
        <f>ReviewCalcs[[#This Row],[Fixture Proposed Energy (kWh)]]+ReviewCalcs[[#This Row],[Control Proposed Energy (kWh)]]</f>
        <v>0</v>
      </c>
      <c r="BE283" s="118">
        <f>ReviewCalcs[[#This Row],[Fixture Energy Savings]]+ReviewCalcs[[#This Row],[Control Energy Savings (kWh)]]</f>
        <v>0</v>
      </c>
      <c r="BF283" s="118">
        <f>ReviewCalcs[[#This Row],[Fixture Existing Cost ($)]]+ReviewCalcs[[#This Row],[Control Existing Cost ($)]]</f>
        <v>0</v>
      </c>
      <c r="BG283" s="118">
        <f>ReviewCalcs[[#This Row],[Fixture Proposed Cost ($)]]+ReviewCalcs[[#This Row],[Controls Proposed Cost ($)]]</f>
        <v>0</v>
      </c>
      <c r="BH283" s="70">
        <f>ReviewCalcs[[#This Row],[Total Energy Savings (kWh)]]*Avg_KWh_Rate</f>
        <v>0</v>
      </c>
      <c r="BI28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3" s="70">
        <f>ReviewCalcs[[#This Row],[Retrofit Cost]]</f>
        <v>0</v>
      </c>
      <c r="BK283" s="70">
        <f>ReviewCalcs[[#This Row],[Retrofit Cost]]-ReviewCalcs[[#This Row],[Incentive ($)]]</f>
        <v>0</v>
      </c>
      <c r="BL283" s="118" t="e">
        <f>IFERROR(ReviewCalcs[[#This Row],[Net Project Cost ($)]]/ReviewCalcs[[#This Row],[Fixture Energy Cost Savings ($)]], #N/A)</f>
        <v>#N/A</v>
      </c>
      <c r="BM283" s="118" t="e">
        <f>IF(VLOOKUP(ReviewCalcs[[#This Row],[Existing Fixture Code]], Table7[[FIXTURE CODE]:[Baseline Fixture Code]], 8, FALSE)="N", VLOOKUP(ReviewCalcs[[#This Row],[Existing Fixture Code]], Table7[[FIXTURE CODE]:[Baseline Fixture Code]], 9, FALSE), ReviewCalcs[[#This Row],[Existing Fixture Code]])</f>
        <v>#N/A</v>
      </c>
      <c r="BN283" s="118" t="e">
        <f>INDEX(Table7[WATT/ FIXT], MATCH(ReviewCalcs[Baseline Fixture Code], Table7[FIXTURE CODE], 0))</f>
        <v>#N/A</v>
      </c>
      <c r="BO283" s="118">
        <f>IFERROR((ReviewCalcs[[#This Row],[Existing Fixture Quantity]]*ReviewCalcs[[#This Row],[Baseline Fixture Watts]]/1000-ReviewCalcs[[#This Row],[Proposed Fixture Quantity]]*ReviewCalcs[[#This Row],[Proposed Fixture Watts]]/1000)*ReviewCalcs[[#This Row],[Existing CF]]*ReviewCalcs[[#This Row],[IEFD]], 0)</f>
        <v>0</v>
      </c>
      <c r="BP28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3" s="118">
        <f>IF(ReviewCalcs[[#This Row],[Existing CF]]=ReviewCalcs[[#This Row],[Proposed CF]], 0, ReviewCalcs[[#This Row],[Proposed Fixture Quantity]]*ReviewCalcs[[#This Row],[Proposed Fixture Watts]]/1000*ReviewCalcs[[#This Row],[Proposed CF]]*ReviewCalcs[[#This Row],[IEFD]])</f>
        <v>0</v>
      </c>
      <c r="BR283" s="118">
        <f>IFERROR(ReviewCalcs[[#This Row],[Proposed Fixture Quantity]]*ReviewCalcs[[#This Row],[Proposed Fixture Watts]]/1000*(ReviewCalcs[[#This Row],[Existing PAF]]-ReviewCalcs[[#This Row],[Proposed PAF]])*ReviewCalcs[[#This Row],[AOH]]*ReviewCalcs[[#This Row],[IEFE]],0)</f>
        <v>0</v>
      </c>
      <c r="BS283" s="118">
        <f>ReviewCalcs[[#This Row],[Incentive Fixture Demand Savings (kW)]]+ReviewCalcs[[#This Row],[Incentive Control Demand Savings (kW)]]</f>
        <v>0</v>
      </c>
      <c r="BT283" s="118">
        <f>ReviewCalcs[[#This Row],[Incentive Fixture Energy Savings (kWh)]]+ReviewCalcs[[#This Row],[Incentive Control Energy Savings (kWh)]]</f>
        <v>0</v>
      </c>
      <c r="BU283" s="73"/>
    </row>
    <row r="284" spans="1:73" ht="30" customHeight="1">
      <c r="A284" s="68">
        <v>281</v>
      </c>
      <c r="B284" s="96">
        <f>VLOOKUP(ReviewCalcs[[#This Row],[Project Index]], ProjectInput[], D$1, FALSE)</f>
        <v>0</v>
      </c>
      <c r="C284" s="97">
        <f>VLOOKUP(ReviewCalcs[[#This Row],[Project Index]], ProjectInput[], E$1, FALSE)</f>
        <v>0</v>
      </c>
      <c r="D284" s="97">
        <f>VLOOKUP(ReviewCalcs[[#This Row],[Project Index]], ProjectInput[], F$1, FALSE)</f>
        <v>0</v>
      </c>
      <c r="E284" s="97">
        <f>VLOOKUP(ReviewCalcs[[#This Row],[Project Index]], ProjectInput[], G$1, FALSE)</f>
        <v>0</v>
      </c>
      <c r="F284" s="97">
        <f>VLOOKUP(ReviewCalcs[[#This Row],[Project Index]], ProjectInput[], H$1, FALSE)</f>
        <v>0</v>
      </c>
      <c r="G284" s="98" t="str">
        <f>VLOOKUP(ReviewCalcs[[#This Row],[Project Index]], ProjectInput[], I$1, FALSE)</f>
        <v/>
      </c>
      <c r="H284" s="96">
        <f>VLOOKUP(ReviewCalcs[[#This Row],[Project Index]], ProjectInput[], J$1, FALSE)</f>
        <v>0</v>
      </c>
      <c r="I284" s="97">
        <f>VLOOKUP(ReviewCalcs[[#This Row],[Project Index]], ProjectInput[], K$1, FALSE)</f>
        <v>0</v>
      </c>
      <c r="J284" s="97">
        <f>VLOOKUP(ReviewCalcs[[#This Row],[Project Index]], ProjectInput[], L$1, FALSE)</f>
        <v>0</v>
      </c>
      <c r="K284" s="97">
        <f>VLOOKUP(ReviewCalcs[[#This Row],[Project Index]], ProjectInput[], M$1, FALSE)</f>
        <v>0</v>
      </c>
      <c r="L284" s="97">
        <f>VLOOKUP(ReviewCalcs[[#This Row],[Project Index]], ProjectInput[], N$1, FALSE)</f>
        <v>0</v>
      </c>
      <c r="M284" s="98" t="str">
        <f>VLOOKUP(ReviewCalcs[[#This Row],[Project Index]], ProjectInput[], O$1, FALSE)</f>
        <v/>
      </c>
      <c r="N284" s="96">
        <f>VLOOKUP(ReviewCalcs[[#This Row],[Project Index]], ProjectInput[], P$1, FALSE)</f>
        <v>0</v>
      </c>
      <c r="O284" s="97">
        <f>VLOOKUP(ReviewCalcs[[#This Row],[Project Index]], ProjectInput[], Q$1, FALSE)</f>
        <v>0</v>
      </c>
      <c r="P284" s="97">
        <f>VLOOKUP(ReviewCalcs[[#This Row],[Project Index]], ProjectInput[], R$1, FALSE)</f>
        <v>0</v>
      </c>
      <c r="Q284" s="97">
        <f>VLOOKUP(ReviewCalcs[[#This Row],[Project Index]], ProjectInput[], S$1, FALSE)</f>
        <v>0</v>
      </c>
      <c r="R284" s="97">
        <f>VLOOKUP(ReviewCalcs[[#This Row],[Project Index]], ProjectInput[], T$1, FALSE)</f>
        <v>0</v>
      </c>
      <c r="S284" s="97">
        <f>VLOOKUP(ReviewCalcs[[#This Row],[Project Index]], ProjectInput[], U$1, FALSE)</f>
        <v>0</v>
      </c>
      <c r="T284" s="97">
        <f>VLOOKUP(ReviewCalcs[[#This Row],[Project Index]], ProjectInput[], V$1, FALSE)</f>
        <v>0</v>
      </c>
      <c r="U284" s="97">
        <f>VLOOKUP(ReviewCalcs[[#This Row],[Project Index]], ProjectInput[], W$1, FALSE)</f>
        <v>0</v>
      </c>
      <c r="V284" s="98" t="str">
        <f>VLOOKUP(ReviewCalcs[[#This Row],[Project Index]], ProjectInput[], X$1, FALSE)</f>
        <v/>
      </c>
      <c r="W28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4" s="75" t="e">
        <f>IF(VLOOKUP(ReviewCalcs[[#This Row],[Proposed Fixture Code]], Table7[[FIXTURE CODE]:[Baseline Fixture Code]], 8, FALSE)="N", "ERROR", "PASS")</f>
        <v>#N/A</v>
      </c>
      <c r="Y28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4" s="75" t="e">
        <f>IF(OR(ReviewCalcs[[#This Row],[Baseline Fixture Watts]]&gt;=ReviewCalcs[[#This Row],[Proposed Fixture Watts]],ReviewCalcs[[#This Row],[Existing Fixture Watts]]&gt;=ReviewCalcs[[#This Row],[Proposed Fixture Watts]] ), "PASS", "ERROR")</f>
        <v>#N/A</v>
      </c>
      <c r="AA284" s="69" t="e">
        <f>VLOOKUP(ReviewCalcs[[#This Row],[Space Conditions]], Table_365[], 5, FALSE)</f>
        <v>#N/A</v>
      </c>
      <c r="AB284" s="68" t="str">
        <f>ReviewCalcs[[#This Row],[Annual Hours]]</f>
        <v/>
      </c>
      <c r="AC284" s="68" t="e">
        <f>VLOOKUP(ReviewCalcs[[#This Row],[Space Conditions]], Table_365[], 6, FALSE)</f>
        <v>#N/A</v>
      </c>
      <c r="AD284" s="68">
        <f>IF(ReviewCalcs[[#This Row],[Existing Control(s)]]='Tables &amp; Ranges'!$A$25, VLOOKUP(ReviewCalcs[[#This Row],[Building/Space Type]], Table_364[], 3, FALSE), CF_Contols)</f>
        <v>0.26</v>
      </c>
      <c r="AE284" s="68" t="e">
        <f>VLOOKUP(ReviewCalcs[[#This Row],[Existing Control(s)]], Table_358[], 2, FALSE)</f>
        <v>#N/A</v>
      </c>
      <c r="AF284" s="68">
        <f>IF(ReviewCalcs[[#This Row],[Proposed Control(s)]]='Tables &amp; Ranges'!$A$25, VLOOKUP(ReviewCalcs[[#This Row],[Building/Space Type]], Table_364[], 3, FALSE), CF_Contols)</f>
        <v>0.26</v>
      </c>
      <c r="AG284" s="68" t="e">
        <f>VLOOKUP(ReviewCalcs[[#This Row],[Proposed Control(s)]], Table_358[], 2, FALSE)</f>
        <v>#N/A</v>
      </c>
      <c r="AH284" s="68">
        <f>IFERROR((ReviewCalcs[[#This Row],[Existing Fixture Quantity]]*ReviewCalcs[[#This Row],[Existing Fixture Watts]]/1000)*ReviewCalcs[[#This Row],[Existing CF]]*ReviewCalcs[[#This Row],[IEFD]], 0)</f>
        <v>0</v>
      </c>
      <c r="AI284" s="68">
        <f>IFERROR((ReviewCalcs[[#This Row],[Proposed Fixture Quantity]]*ReviewCalcs[[#This Row],[Proposed Fixture Watts]]/1000)*ReviewCalcs[[#This Row],[Existing CF]]*ReviewCalcs[[#This Row],[IEFD]], 0)</f>
        <v>0</v>
      </c>
      <c r="AJ284" s="118">
        <f>IFERROR((ReviewCalcs[[#This Row],[Existing Fixture Quantity]]*ReviewCalcs[[#This Row],[Existing Fixture Watts]]/1000-ReviewCalcs[[#This Row],[Proposed Fixture Quantity]]*ReviewCalcs[[#This Row],[Proposed Fixture Watts]]/1000)*ReviewCalcs[[#This Row],[Existing CF]]*ReviewCalcs[[#This Row],[IEFD]], 0)</f>
        <v>0</v>
      </c>
      <c r="AK284" s="118">
        <f>IFERROR((ReviewCalcs[[#This Row],[Existing Fixture Quantity]]*ReviewCalcs[[#This Row],[Existing Fixture Watts]]/1000)*ReviewCalcs[[#This Row],[AOH]]*ReviewCalcs[[#This Row],[IEFE]]*ReviewCalcs[[#This Row],[Existing PAF]], 0)</f>
        <v>0</v>
      </c>
      <c r="AL284" s="118">
        <f>IFERROR((ReviewCalcs[[#This Row],[Proposed Fixture Quantity]]*ReviewCalcs[[#This Row],[Proposed Fixture Watts]]/1000)*ReviewCalcs[[#This Row],[AOH]]*ReviewCalcs[[#This Row],[IEFE]]*ReviewCalcs[[#This Row],[Existing PAF]], 0)</f>
        <v>0</v>
      </c>
      <c r="AM28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4" s="118">
        <f>ReviewCalcs[[#This Row],[Fixture Existing Energy (kWh)]]*Avg_KWh_Rate</f>
        <v>0</v>
      </c>
      <c r="AO284" s="118">
        <f>ReviewCalcs[[#This Row],[Fixture Proposed Energy (kWh)]]*Avg_KWh_Rate</f>
        <v>0</v>
      </c>
      <c r="AP284" s="70">
        <f>ReviewCalcs[[#This Row],[Fixture Energy Savings]]*Avg_KWh_Rate</f>
        <v>0</v>
      </c>
      <c r="AQ284" s="129" t="e">
        <f>ReviewCalcs[[#This Row],[Existing Fixture Quantity]]*ReviewCalcs[[#This Row],[Existing Fixture Watts]]/1000*ReviewCalcs[[#This Row],[Existing CF]]*ReviewCalcs[[#This Row],[IEFD]]</f>
        <v>#VALUE!</v>
      </c>
      <c r="AR284" s="129" t="e">
        <f>ReviewCalcs[[#This Row],[Proposed Fixture Quantity]]*ReviewCalcs[[#This Row],[Proposed Fixture Watts]]/1000*ReviewCalcs[[#This Row],[Proposed CF]]*ReviewCalcs[[#This Row],[IEFD]]</f>
        <v>#VALUE!</v>
      </c>
      <c r="AS284" s="118">
        <f>IF(ReviewCalcs[[#This Row],[Existing CF]]=ReviewCalcs[[#This Row],[Proposed CF]], 0, ReviewCalcs[[#This Row],[Proposed Fixture Quantity]]*ReviewCalcs[[#This Row],[Proposed Fixture Watts]]/1000*ReviewCalcs[[#This Row],[Proposed CF]]*ReviewCalcs[[#This Row],[IEFD]])</f>
        <v>0</v>
      </c>
      <c r="AT284" s="118">
        <f>IFERROR(ReviewCalcs[[#This Row],[Existing Fixture Quantity]]*ReviewCalcs[[#This Row],[Existing Fixture Watts]]/1000*ReviewCalcs[[#This Row],[Existing PAF]]*ReviewCalcs[[#This Row],[AOH]]*ReviewCalcs[[#This Row],[IEFE]], 0)</f>
        <v>0</v>
      </c>
      <c r="AU284" s="118">
        <f>IFERROR(ReviewCalcs[[#This Row],[Proposed Fixture Quantity]]*ReviewCalcs[[#This Row],[Proposed Fixture Watts]]/1000*ReviewCalcs[[#This Row],[Proposed PAF]]*ReviewCalcs[[#This Row],[AOH]]*ReviewCalcs[[#This Row],[IEFE]], 0)</f>
        <v>0</v>
      </c>
      <c r="AV284" s="118">
        <f>IFERROR(ReviewCalcs[[#This Row],[Proposed Fixture Quantity]]*ReviewCalcs[[#This Row],[Proposed Fixture Watts]]/1000*(ReviewCalcs[[#This Row],[Existing PAF]]-ReviewCalcs[[#This Row],[Proposed PAF]])*ReviewCalcs[[#This Row],[AOH]]*ReviewCalcs[[#This Row],[IEFE]], 0)</f>
        <v>0</v>
      </c>
      <c r="AW284" s="118">
        <f>ReviewCalcs[[#This Row],[Control Existing Energy (kWh)]]*kWh_Incentive_Rate</f>
        <v>0</v>
      </c>
      <c r="AX284" s="118">
        <f>ReviewCalcs[[#This Row],[Control Proposed Energy (kWh)]]*kWh_Incentive_Rate</f>
        <v>0</v>
      </c>
      <c r="AY284" s="70">
        <f>ReviewCalcs[[#This Row],[Control Energy Savings (kWh)]]*kWh_Incentive_Rate</f>
        <v>0</v>
      </c>
      <c r="AZ284" s="70" t="e">
        <f>ReviewCalcs[[#This Row],[Fixture Existing Demand (kW)]]+ReviewCalcs[[#This Row],[Control Existing Demand (kW)]]</f>
        <v>#VALUE!</v>
      </c>
      <c r="BA284" s="70" t="e">
        <f>ReviewCalcs[[#This Row],[Fixture Proposed Demand (kW)]]+ReviewCalcs[[#This Row],[Control Proposed Demand (kW)]]</f>
        <v>#VALUE!</v>
      </c>
      <c r="BB284" s="118">
        <f>ReviewCalcs[[#This Row],[Fixture Demand Savings (kW)]]+ReviewCalcs[[#This Row],[Control Demand Savings (kW)]]</f>
        <v>0</v>
      </c>
      <c r="BC284" s="118">
        <f>ReviewCalcs[[#This Row],[Fixture Existing Energy (kWh)]]+ReviewCalcs[[#This Row],[Control Existing Energy (kWh)]]</f>
        <v>0</v>
      </c>
      <c r="BD284" s="118">
        <f>ReviewCalcs[[#This Row],[Fixture Proposed Energy (kWh)]]+ReviewCalcs[[#This Row],[Control Proposed Energy (kWh)]]</f>
        <v>0</v>
      </c>
      <c r="BE284" s="118">
        <f>ReviewCalcs[[#This Row],[Fixture Energy Savings]]+ReviewCalcs[[#This Row],[Control Energy Savings (kWh)]]</f>
        <v>0</v>
      </c>
      <c r="BF284" s="118">
        <f>ReviewCalcs[[#This Row],[Fixture Existing Cost ($)]]+ReviewCalcs[[#This Row],[Control Existing Cost ($)]]</f>
        <v>0</v>
      </c>
      <c r="BG284" s="118">
        <f>ReviewCalcs[[#This Row],[Fixture Proposed Cost ($)]]+ReviewCalcs[[#This Row],[Controls Proposed Cost ($)]]</f>
        <v>0</v>
      </c>
      <c r="BH284" s="70">
        <f>ReviewCalcs[[#This Row],[Total Energy Savings (kWh)]]*Avg_KWh_Rate</f>
        <v>0</v>
      </c>
      <c r="BI28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4" s="70">
        <f>ReviewCalcs[[#This Row],[Retrofit Cost]]</f>
        <v>0</v>
      </c>
      <c r="BK284" s="70">
        <f>ReviewCalcs[[#This Row],[Retrofit Cost]]-ReviewCalcs[[#This Row],[Incentive ($)]]</f>
        <v>0</v>
      </c>
      <c r="BL284" s="118" t="e">
        <f>IFERROR(ReviewCalcs[[#This Row],[Net Project Cost ($)]]/ReviewCalcs[[#This Row],[Fixture Energy Cost Savings ($)]], #N/A)</f>
        <v>#N/A</v>
      </c>
      <c r="BM284" s="118" t="e">
        <f>IF(VLOOKUP(ReviewCalcs[[#This Row],[Existing Fixture Code]], Table7[[FIXTURE CODE]:[Baseline Fixture Code]], 8, FALSE)="N", VLOOKUP(ReviewCalcs[[#This Row],[Existing Fixture Code]], Table7[[FIXTURE CODE]:[Baseline Fixture Code]], 9, FALSE), ReviewCalcs[[#This Row],[Existing Fixture Code]])</f>
        <v>#N/A</v>
      </c>
      <c r="BN284" s="118" t="e">
        <f>INDEX(Table7[WATT/ FIXT], MATCH(ReviewCalcs[Baseline Fixture Code], Table7[FIXTURE CODE], 0))</f>
        <v>#N/A</v>
      </c>
      <c r="BO284" s="118">
        <f>IFERROR((ReviewCalcs[[#This Row],[Existing Fixture Quantity]]*ReviewCalcs[[#This Row],[Baseline Fixture Watts]]/1000-ReviewCalcs[[#This Row],[Proposed Fixture Quantity]]*ReviewCalcs[[#This Row],[Proposed Fixture Watts]]/1000)*ReviewCalcs[[#This Row],[Existing CF]]*ReviewCalcs[[#This Row],[IEFD]], 0)</f>
        <v>0</v>
      </c>
      <c r="BP28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4" s="118">
        <f>IF(ReviewCalcs[[#This Row],[Existing CF]]=ReviewCalcs[[#This Row],[Proposed CF]], 0, ReviewCalcs[[#This Row],[Proposed Fixture Quantity]]*ReviewCalcs[[#This Row],[Proposed Fixture Watts]]/1000*ReviewCalcs[[#This Row],[Proposed CF]]*ReviewCalcs[[#This Row],[IEFD]])</f>
        <v>0</v>
      </c>
      <c r="BR284" s="118">
        <f>IFERROR(ReviewCalcs[[#This Row],[Proposed Fixture Quantity]]*ReviewCalcs[[#This Row],[Proposed Fixture Watts]]/1000*(ReviewCalcs[[#This Row],[Existing PAF]]-ReviewCalcs[[#This Row],[Proposed PAF]])*ReviewCalcs[[#This Row],[AOH]]*ReviewCalcs[[#This Row],[IEFE]],0)</f>
        <v>0</v>
      </c>
      <c r="BS284" s="118">
        <f>ReviewCalcs[[#This Row],[Incentive Fixture Demand Savings (kW)]]+ReviewCalcs[[#This Row],[Incentive Control Demand Savings (kW)]]</f>
        <v>0</v>
      </c>
      <c r="BT284" s="118">
        <f>ReviewCalcs[[#This Row],[Incentive Fixture Energy Savings (kWh)]]+ReviewCalcs[[#This Row],[Incentive Control Energy Savings (kWh)]]</f>
        <v>0</v>
      </c>
      <c r="BU284" s="73"/>
    </row>
    <row r="285" spans="1:73" ht="30" customHeight="1">
      <c r="A285" s="68">
        <v>282</v>
      </c>
      <c r="B285" s="96">
        <f>VLOOKUP(ReviewCalcs[[#This Row],[Project Index]], ProjectInput[], D$1, FALSE)</f>
        <v>0</v>
      </c>
      <c r="C285" s="97">
        <f>VLOOKUP(ReviewCalcs[[#This Row],[Project Index]], ProjectInput[], E$1, FALSE)</f>
        <v>0</v>
      </c>
      <c r="D285" s="97">
        <f>VLOOKUP(ReviewCalcs[[#This Row],[Project Index]], ProjectInput[], F$1, FALSE)</f>
        <v>0</v>
      </c>
      <c r="E285" s="97">
        <f>VLOOKUP(ReviewCalcs[[#This Row],[Project Index]], ProjectInput[], G$1, FALSE)</f>
        <v>0</v>
      </c>
      <c r="F285" s="97">
        <f>VLOOKUP(ReviewCalcs[[#This Row],[Project Index]], ProjectInput[], H$1, FALSE)</f>
        <v>0</v>
      </c>
      <c r="G285" s="98" t="str">
        <f>VLOOKUP(ReviewCalcs[[#This Row],[Project Index]], ProjectInput[], I$1, FALSE)</f>
        <v/>
      </c>
      <c r="H285" s="96">
        <f>VLOOKUP(ReviewCalcs[[#This Row],[Project Index]], ProjectInput[], J$1, FALSE)</f>
        <v>0</v>
      </c>
      <c r="I285" s="97">
        <f>VLOOKUP(ReviewCalcs[[#This Row],[Project Index]], ProjectInput[], K$1, FALSE)</f>
        <v>0</v>
      </c>
      <c r="J285" s="97">
        <f>VLOOKUP(ReviewCalcs[[#This Row],[Project Index]], ProjectInput[], L$1, FALSE)</f>
        <v>0</v>
      </c>
      <c r="K285" s="97">
        <f>VLOOKUP(ReviewCalcs[[#This Row],[Project Index]], ProjectInput[], M$1, FALSE)</f>
        <v>0</v>
      </c>
      <c r="L285" s="97">
        <f>VLOOKUP(ReviewCalcs[[#This Row],[Project Index]], ProjectInput[], N$1, FALSE)</f>
        <v>0</v>
      </c>
      <c r="M285" s="98" t="str">
        <f>VLOOKUP(ReviewCalcs[[#This Row],[Project Index]], ProjectInput[], O$1, FALSE)</f>
        <v/>
      </c>
      <c r="N285" s="96">
        <f>VLOOKUP(ReviewCalcs[[#This Row],[Project Index]], ProjectInput[], P$1, FALSE)</f>
        <v>0</v>
      </c>
      <c r="O285" s="97">
        <f>VLOOKUP(ReviewCalcs[[#This Row],[Project Index]], ProjectInput[], Q$1, FALSE)</f>
        <v>0</v>
      </c>
      <c r="P285" s="97">
        <f>VLOOKUP(ReviewCalcs[[#This Row],[Project Index]], ProjectInput[], R$1, FALSE)</f>
        <v>0</v>
      </c>
      <c r="Q285" s="97">
        <f>VLOOKUP(ReviewCalcs[[#This Row],[Project Index]], ProjectInput[], S$1, FALSE)</f>
        <v>0</v>
      </c>
      <c r="R285" s="97">
        <f>VLOOKUP(ReviewCalcs[[#This Row],[Project Index]], ProjectInput[], T$1, FALSE)</f>
        <v>0</v>
      </c>
      <c r="S285" s="97">
        <f>VLOOKUP(ReviewCalcs[[#This Row],[Project Index]], ProjectInput[], U$1, FALSE)</f>
        <v>0</v>
      </c>
      <c r="T285" s="97">
        <f>VLOOKUP(ReviewCalcs[[#This Row],[Project Index]], ProjectInput[], V$1, FALSE)</f>
        <v>0</v>
      </c>
      <c r="U285" s="97">
        <f>VLOOKUP(ReviewCalcs[[#This Row],[Project Index]], ProjectInput[], W$1, FALSE)</f>
        <v>0</v>
      </c>
      <c r="V285" s="98" t="str">
        <f>VLOOKUP(ReviewCalcs[[#This Row],[Project Index]], ProjectInput[], X$1, FALSE)</f>
        <v/>
      </c>
      <c r="W28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5" s="75" t="e">
        <f>IF(VLOOKUP(ReviewCalcs[[#This Row],[Proposed Fixture Code]], Table7[[FIXTURE CODE]:[Baseline Fixture Code]], 8, FALSE)="N", "ERROR", "PASS")</f>
        <v>#N/A</v>
      </c>
      <c r="Y28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5" s="75" t="e">
        <f>IF(OR(ReviewCalcs[[#This Row],[Baseline Fixture Watts]]&gt;=ReviewCalcs[[#This Row],[Proposed Fixture Watts]],ReviewCalcs[[#This Row],[Existing Fixture Watts]]&gt;=ReviewCalcs[[#This Row],[Proposed Fixture Watts]] ), "PASS", "ERROR")</f>
        <v>#N/A</v>
      </c>
      <c r="AA285" s="69" t="e">
        <f>VLOOKUP(ReviewCalcs[[#This Row],[Space Conditions]], Table_365[], 5, FALSE)</f>
        <v>#N/A</v>
      </c>
      <c r="AB285" s="68" t="str">
        <f>ReviewCalcs[[#This Row],[Annual Hours]]</f>
        <v/>
      </c>
      <c r="AC285" s="68" t="e">
        <f>VLOOKUP(ReviewCalcs[[#This Row],[Space Conditions]], Table_365[], 6, FALSE)</f>
        <v>#N/A</v>
      </c>
      <c r="AD285" s="68">
        <f>IF(ReviewCalcs[[#This Row],[Existing Control(s)]]='Tables &amp; Ranges'!$A$25, VLOOKUP(ReviewCalcs[[#This Row],[Building/Space Type]], Table_364[], 3, FALSE), CF_Contols)</f>
        <v>0.26</v>
      </c>
      <c r="AE285" s="68" t="e">
        <f>VLOOKUP(ReviewCalcs[[#This Row],[Existing Control(s)]], Table_358[], 2, FALSE)</f>
        <v>#N/A</v>
      </c>
      <c r="AF285" s="68">
        <f>IF(ReviewCalcs[[#This Row],[Proposed Control(s)]]='Tables &amp; Ranges'!$A$25, VLOOKUP(ReviewCalcs[[#This Row],[Building/Space Type]], Table_364[], 3, FALSE), CF_Contols)</f>
        <v>0.26</v>
      </c>
      <c r="AG285" s="68" t="e">
        <f>VLOOKUP(ReviewCalcs[[#This Row],[Proposed Control(s)]], Table_358[], 2, FALSE)</f>
        <v>#N/A</v>
      </c>
      <c r="AH285" s="68">
        <f>IFERROR((ReviewCalcs[[#This Row],[Existing Fixture Quantity]]*ReviewCalcs[[#This Row],[Existing Fixture Watts]]/1000)*ReviewCalcs[[#This Row],[Existing CF]]*ReviewCalcs[[#This Row],[IEFD]], 0)</f>
        <v>0</v>
      </c>
      <c r="AI285" s="68">
        <f>IFERROR((ReviewCalcs[[#This Row],[Proposed Fixture Quantity]]*ReviewCalcs[[#This Row],[Proposed Fixture Watts]]/1000)*ReviewCalcs[[#This Row],[Existing CF]]*ReviewCalcs[[#This Row],[IEFD]], 0)</f>
        <v>0</v>
      </c>
      <c r="AJ285" s="118">
        <f>IFERROR((ReviewCalcs[[#This Row],[Existing Fixture Quantity]]*ReviewCalcs[[#This Row],[Existing Fixture Watts]]/1000-ReviewCalcs[[#This Row],[Proposed Fixture Quantity]]*ReviewCalcs[[#This Row],[Proposed Fixture Watts]]/1000)*ReviewCalcs[[#This Row],[Existing CF]]*ReviewCalcs[[#This Row],[IEFD]], 0)</f>
        <v>0</v>
      </c>
      <c r="AK285" s="118">
        <f>IFERROR((ReviewCalcs[[#This Row],[Existing Fixture Quantity]]*ReviewCalcs[[#This Row],[Existing Fixture Watts]]/1000)*ReviewCalcs[[#This Row],[AOH]]*ReviewCalcs[[#This Row],[IEFE]]*ReviewCalcs[[#This Row],[Existing PAF]], 0)</f>
        <v>0</v>
      </c>
      <c r="AL285" s="118">
        <f>IFERROR((ReviewCalcs[[#This Row],[Proposed Fixture Quantity]]*ReviewCalcs[[#This Row],[Proposed Fixture Watts]]/1000)*ReviewCalcs[[#This Row],[AOH]]*ReviewCalcs[[#This Row],[IEFE]]*ReviewCalcs[[#This Row],[Existing PAF]], 0)</f>
        <v>0</v>
      </c>
      <c r="AM28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5" s="118">
        <f>ReviewCalcs[[#This Row],[Fixture Existing Energy (kWh)]]*Avg_KWh_Rate</f>
        <v>0</v>
      </c>
      <c r="AO285" s="118">
        <f>ReviewCalcs[[#This Row],[Fixture Proposed Energy (kWh)]]*Avg_KWh_Rate</f>
        <v>0</v>
      </c>
      <c r="AP285" s="70">
        <f>ReviewCalcs[[#This Row],[Fixture Energy Savings]]*Avg_KWh_Rate</f>
        <v>0</v>
      </c>
      <c r="AQ285" s="129" t="e">
        <f>ReviewCalcs[[#This Row],[Existing Fixture Quantity]]*ReviewCalcs[[#This Row],[Existing Fixture Watts]]/1000*ReviewCalcs[[#This Row],[Existing CF]]*ReviewCalcs[[#This Row],[IEFD]]</f>
        <v>#VALUE!</v>
      </c>
      <c r="AR285" s="129" t="e">
        <f>ReviewCalcs[[#This Row],[Proposed Fixture Quantity]]*ReviewCalcs[[#This Row],[Proposed Fixture Watts]]/1000*ReviewCalcs[[#This Row],[Proposed CF]]*ReviewCalcs[[#This Row],[IEFD]]</f>
        <v>#VALUE!</v>
      </c>
      <c r="AS285" s="118">
        <f>IF(ReviewCalcs[[#This Row],[Existing CF]]=ReviewCalcs[[#This Row],[Proposed CF]], 0, ReviewCalcs[[#This Row],[Proposed Fixture Quantity]]*ReviewCalcs[[#This Row],[Proposed Fixture Watts]]/1000*ReviewCalcs[[#This Row],[Proposed CF]]*ReviewCalcs[[#This Row],[IEFD]])</f>
        <v>0</v>
      </c>
      <c r="AT285" s="118">
        <f>IFERROR(ReviewCalcs[[#This Row],[Existing Fixture Quantity]]*ReviewCalcs[[#This Row],[Existing Fixture Watts]]/1000*ReviewCalcs[[#This Row],[Existing PAF]]*ReviewCalcs[[#This Row],[AOH]]*ReviewCalcs[[#This Row],[IEFE]], 0)</f>
        <v>0</v>
      </c>
      <c r="AU285" s="118">
        <f>IFERROR(ReviewCalcs[[#This Row],[Proposed Fixture Quantity]]*ReviewCalcs[[#This Row],[Proposed Fixture Watts]]/1000*ReviewCalcs[[#This Row],[Proposed PAF]]*ReviewCalcs[[#This Row],[AOH]]*ReviewCalcs[[#This Row],[IEFE]], 0)</f>
        <v>0</v>
      </c>
      <c r="AV285" s="118">
        <f>IFERROR(ReviewCalcs[[#This Row],[Proposed Fixture Quantity]]*ReviewCalcs[[#This Row],[Proposed Fixture Watts]]/1000*(ReviewCalcs[[#This Row],[Existing PAF]]-ReviewCalcs[[#This Row],[Proposed PAF]])*ReviewCalcs[[#This Row],[AOH]]*ReviewCalcs[[#This Row],[IEFE]], 0)</f>
        <v>0</v>
      </c>
      <c r="AW285" s="118">
        <f>ReviewCalcs[[#This Row],[Control Existing Energy (kWh)]]*kWh_Incentive_Rate</f>
        <v>0</v>
      </c>
      <c r="AX285" s="118">
        <f>ReviewCalcs[[#This Row],[Control Proposed Energy (kWh)]]*kWh_Incentive_Rate</f>
        <v>0</v>
      </c>
      <c r="AY285" s="70">
        <f>ReviewCalcs[[#This Row],[Control Energy Savings (kWh)]]*kWh_Incentive_Rate</f>
        <v>0</v>
      </c>
      <c r="AZ285" s="70" t="e">
        <f>ReviewCalcs[[#This Row],[Fixture Existing Demand (kW)]]+ReviewCalcs[[#This Row],[Control Existing Demand (kW)]]</f>
        <v>#VALUE!</v>
      </c>
      <c r="BA285" s="70" t="e">
        <f>ReviewCalcs[[#This Row],[Fixture Proposed Demand (kW)]]+ReviewCalcs[[#This Row],[Control Proposed Demand (kW)]]</f>
        <v>#VALUE!</v>
      </c>
      <c r="BB285" s="118">
        <f>ReviewCalcs[[#This Row],[Fixture Demand Savings (kW)]]+ReviewCalcs[[#This Row],[Control Demand Savings (kW)]]</f>
        <v>0</v>
      </c>
      <c r="BC285" s="118">
        <f>ReviewCalcs[[#This Row],[Fixture Existing Energy (kWh)]]+ReviewCalcs[[#This Row],[Control Existing Energy (kWh)]]</f>
        <v>0</v>
      </c>
      <c r="BD285" s="118">
        <f>ReviewCalcs[[#This Row],[Fixture Proposed Energy (kWh)]]+ReviewCalcs[[#This Row],[Control Proposed Energy (kWh)]]</f>
        <v>0</v>
      </c>
      <c r="BE285" s="118">
        <f>ReviewCalcs[[#This Row],[Fixture Energy Savings]]+ReviewCalcs[[#This Row],[Control Energy Savings (kWh)]]</f>
        <v>0</v>
      </c>
      <c r="BF285" s="118">
        <f>ReviewCalcs[[#This Row],[Fixture Existing Cost ($)]]+ReviewCalcs[[#This Row],[Control Existing Cost ($)]]</f>
        <v>0</v>
      </c>
      <c r="BG285" s="118">
        <f>ReviewCalcs[[#This Row],[Fixture Proposed Cost ($)]]+ReviewCalcs[[#This Row],[Controls Proposed Cost ($)]]</f>
        <v>0</v>
      </c>
      <c r="BH285" s="70">
        <f>ReviewCalcs[[#This Row],[Total Energy Savings (kWh)]]*Avg_KWh_Rate</f>
        <v>0</v>
      </c>
      <c r="BI28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5" s="70">
        <f>ReviewCalcs[[#This Row],[Retrofit Cost]]</f>
        <v>0</v>
      </c>
      <c r="BK285" s="70">
        <f>ReviewCalcs[[#This Row],[Retrofit Cost]]-ReviewCalcs[[#This Row],[Incentive ($)]]</f>
        <v>0</v>
      </c>
      <c r="BL285" s="118" t="e">
        <f>IFERROR(ReviewCalcs[[#This Row],[Net Project Cost ($)]]/ReviewCalcs[[#This Row],[Fixture Energy Cost Savings ($)]], #N/A)</f>
        <v>#N/A</v>
      </c>
      <c r="BM285" s="118" t="e">
        <f>IF(VLOOKUP(ReviewCalcs[[#This Row],[Existing Fixture Code]], Table7[[FIXTURE CODE]:[Baseline Fixture Code]], 8, FALSE)="N", VLOOKUP(ReviewCalcs[[#This Row],[Existing Fixture Code]], Table7[[FIXTURE CODE]:[Baseline Fixture Code]], 9, FALSE), ReviewCalcs[[#This Row],[Existing Fixture Code]])</f>
        <v>#N/A</v>
      </c>
      <c r="BN285" s="118" t="e">
        <f>INDEX(Table7[WATT/ FIXT], MATCH(ReviewCalcs[Baseline Fixture Code], Table7[FIXTURE CODE], 0))</f>
        <v>#N/A</v>
      </c>
      <c r="BO285" s="118">
        <f>IFERROR((ReviewCalcs[[#This Row],[Existing Fixture Quantity]]*ReviewCalcs[[#This Row],[Baseline Fixture Watts]]/1000-ReviewCalcs[[#This Row],[Proposed Fixture Quantity]]*ReviewCalcs[[#This Row],[Proposed Fixture Watts]]/1000)*ReviewCalcs[[#This Row],[Existing CF]]*ReviewCalcs[[#This Row],[IEFD]], 0)</f>
        <v>0</v>
      </c>
      <c r="BP28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5" s="118">
        <f>IF(ReviewCalcs[[#This Row],[Existing CF]]=ReviewCalcs[[#This Row],[Proposed CF]], 0, ReviewCalcs[[#This Row],[Proposed Fixture Quantity]]*ReviewCalcs[[#This Row],[Proposed Fixture Watts]]/1000*ReviewCalcs[[#This Row],[Proposed CF]]*ReviewCalcs[[#This Row],[IEFD]])</f>
        <v>0</v>
      </c>
      <c r="BR285" s="118">
        <f>IFERROR(ReviewCalcs[[#This Row],[Proposed Fixture Quantity]]*ReviewCalcs[[#This Row],[Proposed Fixture Watts]]/1000*(ReviewCalcs[[#This Row],[Existing PAF]]-ReviewCalcs[[#This Row],[Proposed PAF]])*ReviewCalcs[[#This Row],[AOH]]*ReviewCalcs[[#This Row],[IEFE]],0)</f>
        <v>0</v>
      </c>
      <c r="BS285" s="118">
        <f>ReviewCalcs[[#This Row],[Incentive Fixture Demand Savings (kW)]]+ReviewCalcs[[#This Row],[Incentive Control Demand Savings (kW)]]</f>
        <v>0</v>
      </c>
      <c r="BT285" s="118">
        <f>ReviewCalcs[[#This Row],[Incentive Fixture Energy Savings (kWh)]]+ReviewCalcs[[#This Row],[Incentive Control Energy Savings (kWh)]]</f>
        <v>0</v>
      </c>
      <c r="BU285" s="73"/>
    </row>
    <row r="286" spans="1:73" ht="30" customHeight="1">
      <c r="A286" s="68">
        <v>283</v>
      </c>
      <c r="B286" s="96">
        <f>VLOOKUP(ReviewCalcs[[#This Row],[Project Index]], ProjectInput[], D$1, FALSE)</f>
        <v>0</v>
      </c>
      <c r="C286" s="97">
        <f>VLOOKUP(ReviewCalcs[[#This Row],[Project Index]], ProjectInput[], E$1, FALSE)</f>
        <v>0</v>
      </c>
      <c r="D286" s="97">
        <f>VLOOKUP(ReviewCalcs[[#This Row],[Project Index]], ProjectInput[], F$1, FALSE)</f>
        <v>0</v>
      </c>
      <c r="E286" s="97">
        <f>VLOOKUP(ReviewCalcs[[#This Row],[Project Index]], ProjectInput[], G$1, FALSE)</f>
        <v>0</v>
      </c>
      <c r="F286" s="97">
        <f>VLOOKUP(ReviewCalcs[[#This Row],[Project Index]], ProjectInput[], H$1, FALSE)</f>
        <v>0</v>
      </c>
      <c r="G286" s="98" t="str">
        <f>VLOOKUP(ReviewCalcs[[#This Row],[Project Index]], ProjectInput[], I$1, FALSE)</f>
        <v/>
      </c>
      <c r="H286" s="96">
        <f>VLOOKUP(ReviewCalcs[[#This Row],[Project Index]], ProjectInput[], J$1, FALSE)</f>
        <v>0</v>
      </c>
      <c r="I286" s="97">
        <f>VLOOKUP(ReviewCalcs[[#This Row],[Project Index]], ProjectInput[], K$1, FALSE)</f>
        <v>0</v>
      </c>
      <c r="J286" s="97">
        <f>VLOOKUP(ReviewCalcs[[#This Row],[Project Index]], ProjectInput[], L$1, FALSE)</f>
        <v>0</v>
      </c>
      <c r="K286" s="97">
        <f>VLOOKUP(ReviewCalcs[[#This Row],[Project Index]], ProjectInput[], M$1, FALSE)</f>
        <v>0</v>
      </c>
      <c r="L286" s="97">
        <f>VLOOKUP(ReviewCalcs[[#This Row],[Project Index]], ProjectInput[], N$1, FALSE)</f>
        <v>0</v>
      </c>
      <c r="M286" s="98" t="str">
        <f>VLOOKUP(ReviewCalcs[[#This Row],[Project Index]], ProjectInput[], O$1, FALSE)</f>
        <v/>
      </c>
      <c r="N286" s="96">
        <f>VLOOKUP(ReviewCalcs[[#This Row],[Project Index]], ProjectInput[], P$1, FALSE)</f>
        <v>0</v>
      </c>
      <c r="O286" s="97">
        <f>VLOOKUP(ReviewCalcs[[#This Row],[Project Index]], ProjectInput[], Q$1, FALSE)</f>
        <v>0</v>
      </c>
      <c r="P286" s="97">
        <f>VLOOKUP(ReviewCalcs[[#This Row],[Project Index]], ProjectInput[], R$1, FALSE)</f>
        <v>0</v>
      </c>
      <c r="Q286" s="97">
        <f>VLOOKUP(ReviewCalcs[[#This Row],[Project Index]], ProjectInput[], S$1, FALSE)</f>
        <v>0</v>
      </c>
      <c r="R286" s="97">
        <f>VLOOKUP(ReviewCalcs[[#This Row],[Project Index]], ProjectInput[], T$1, FALSE)</f>
        <v>0</v>
      </c>
      <c r="S286" s="97">
        <f>VLOOKUP(ReviewCalcs[[#This Row],[Project Index]], ProjectInput[], U$1, FALSE)</f>
        <v>0</v>
      </c>
      <c r="T286" s="97">
        <f>VLOOKUP(ReviewCalcs[[#This Row],[Project Index]], ProjectInput[], V$1, FALSE)</f>
        <v>0</v>
      </c>
      <c r="U286" s="97">
        <f>VLOOKUP(ReviewCalcs[[#This Row],[Project Index]], ProjectInput[], W$1, FALSE)</f>
        <v>0</v>
      </c>
      <c r="V286" s="98" t="str">
        <f>VLOOKUP(ReviewCalcs[[#This Row],[Project Index]], ProjectInput[], X$1, FALSE)</f>
        <v/>
      </c>
      <c r="W28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6" s="75" t="e">
        <f>IF(VLOOKUP(ReviewCalcs[[#This Row],[Proposed Fixture Code]], Table7[[FIXTURE CODE]:[Baseline Fixture Code]], 8, FALSE)="N", "ERROR", "PASS")</f>
        <v>#N/A</v>
      </c>
      <c r="Y28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6" s="75" t="e">
        <f>IF(OR(ReviewCalcs[[#This Row],[Baseline Fixture Watts]]&gt;=ReviewCalcs[[#This Row],[Proposed Fixture Watts]],ReviewCalcs[[#This Row],[Existing Fixture Watts]]&gt;=ReviewCalcs[[#This Row],[Proposed Fixture Watts]] ), "PASS", "ERROR")</f>
        <v>#N/A</v>
      </c>
      <c r="AA286" s="69" t="e">
        <f>VLOOKUP(ReviewCalcs[[#This Row],[Space Conditions]], Table_365[], 5, FALSE)</f>
        <v>#N/A</v>
      </c>
      <c r="AB286" s="68" t="str">
        <f>ReviewCalcs[[#This Row],[Annual Hours]]</f>
        <v/>
      </c>
      <c r="AC286" s="68" t="e">
        <f>VLOOKUP(ReviewCalcs[[#This Row],[Space Conditions]], Table_365[], 6, FALSE)</f>
        <v>#N/A</v>
      </c>
      <c r="AD286" s="68">
        <f>IF(ReviewCalcs[[#This Row],[Existing Control(s)]]='Tables &amp; Ranges'!$A$25, VLOOKUP(ReviewCalcs[[#This Row],[Building/Space Type]], Table_364[], 3, FALSE), CF_Contols)</f>
        <v>0.26</v>
      </c>
      <c r="AE286" s="68" t="e">
        <f>VLOOKUP(ReviewCalcs[[#This Row],[Existing Control(s)]], Table_358[], 2, FALSE)</f>
        <v>#N/A</v>
      </c>
      <c r="AF286" s="68">
        <f>IF(ReviewCalcs[[#This Row],[Proposed Control(s)]]='Tables &amp; Ranges'!$A$25, VLOOKUP(ReviewCalcs[[#This Row],[Building/Space Type]], Table_364[], 3, FALSE), CF_Contols)</f>
        <v>0.26</v>
      </c>
      <c r="AG286" s="68" t="e">
        <f>VLOOKUP(ReviewCalcs[[#This Row],[Proposed Control(s)]], Table_358[], 2, FALSE)</f>
        <v>#N/A</v>
      </c>
      <c r="AH286" s="68">
        <f>IFERROR((ReviewCalcs[[#This Row],[Existing Fixture Quantity]]*ReviewCalcs[[#This Row],[Existing Fixture Watts]]/1000)*ReviewCalcs[[#This Row],[Existing CF]]*ReviewCalcs[[#This Row],[IEFD]], 0)</f>
        <v>0</v>
      </c>
      <c r="AI286" s="68">
        <f>IFERROR((ReviewCalcs[[#This Row],[Proposed Fixture Quantity]]*ReviewCalcs[[#This Row],[Proposed Fixture Watts]]/1000)*ReviewCalcs[[#This Row],[Existing CF]]*ReviewCalcs[[#This Row],[IEFD]], 0)</f>
        <v>0</v>
      </c>
      <c r="AJ286" s="118">
        <f>IFERROR((ReviewCalcs[[#This Row],[Existing Fixture Quantity]]*ReviewCalcs[[#This Row],[Existing Fixture Watts]]/1000-ReviewCalcs[[#This Row],[Proposed Fixture Quantity]]*ReviewCalcs[[#This Row],[Proposed Fixture Watts]]/1000)*ReviewCalcs[[#This Row],[Existing CF]]*ReviewCalcs[[#This Row],[IEFD]], 0)</f>
        <v>0</v>
      </c>
      <c r="AK286" s="118">
        <f>IFERROR((ReviewCalcs[[#This Row],[Existing Fixture Quantity]]*ReviewCalcs[[#This Row],[Existing Fixture Watts]]/1000)*ReviewCalcs[[#This Row],[AOH]]*ReviewCalcs[[#This Row],[IEFE]]*ReviewCalcs[[#This Row],[Existing PAF]], 0)</f>
        <v>0</v>
      </c>
      <c r="AL286" s="118">
        <f>IFERROR((ReviewCalcs[[#This Row],[Proposed Fixture Quantity]]*ReviewCalcs[[#This Row],[Proposed Fixture Watts]]/1000)*ReviewCalcs[[#This Row],[AOH]]*ReviewCalcs[[#This Row],[IEFE]]*ReviewCalcs[[#This Row],[Existing PAF]], 0)</f>
        <v>0</v>
      </c>
      <c r="AM28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6" s="118">
        <f>ReviewCalcs[[#This Row],[Fixture Existing Energy (kWh)]]*Avg_KWh_Rate</f>
        <v>0</v>
      </c>
      <c r="AO286" s="118">
        <f>ReviewCalcs[[#This Row],[Fixture Proposed Energy (kWh)]]*Avg_KWh_Rate</f>
        <v>0</v>
      </c>
      <c r="AP286" s="70">
        <f>ReviewCalcs[[#This Row],[Fixture Energy Savings]]*Avg_KWh_Rate</f>
        <v>0</v>
      </c>
      <c r="AQ286" s="129" t="e">
        <f>ReviewCalcs[[#This Row],[Existing Fixture Quantity]]*ReviewCalcs[[#This Row],[Existing Fixture Watts]]/1000*ReviewCalcs[[#This Row],[Existing CF]]*ReviewCalcs[[#This Row],[IEFD]]</f>
        <v>#VALUE!</v>
      </c>
      <c r="AR286" s="129" t="e">
        <f>ReviewCalcs[[#This Row],[Proposed Fixture Quantity]]*ReviewCalcs[[#This Row],[Proposed Fixture Watts]]/1000*ReviewCalcs[[#This Row],[Proposed CF]]*ReviewCalcs[[#This Row],[IEFD]]</f>
        <v>#VALUE!</v>
      </c>
      <c r="AS286" s="118">
        <f>IF(ReviewCalcs[[#This Row],[Existing CF]]=ReviewCalcs[[#This Row],[Proposed CF]], 0, ReviewCalcs[[#This Row],[Proposed Fixture Quantity]]*ReviewCalcs[[#This Row],[Proposed Fixture Watts]]/1000*ReviewCalcs[[#This Row],[Proposed CF]]*ReviewCalcs[[#This Row],[IEFD]])</f>
        <v>0</v>
      </c>
      <c r="AT286" s="118">
        <f>IFERROR(ReviewCalcs[[#This Row],[Existing Fixture Quantity]]*ReviewCalcs[[#This Row],[Existing Fixture Watts]]/1000*ReviewCalcs[[#This Row],[Existing PAF]]*ReviewCalcs[[#This Row],[AOH]]*ReviewCalcs[[#This Row],[IEFE]], 0)</f>
        <v>0</v>
      </c>
      <c r="AU286" s="118">
        <f>IFERROR(ReviewCalcs[[#This Row],[Proposed Fixture Quantity]]*ReviewCalcs[[#This Row],[Proposed Fixture Watts]]/1000*ReviewCalcs[[#This Row],[Proposed PAF]]*ReviewCalcs[[#This Row],[AOH]]*ReviewCalcs[[#This Row],[IEFE]], 0)</f>
        <v>0</v>
      </c>
      <c r="AV286" s="118">
        <f>IFERROR(ReviewCalcs[[#This Row],[Proposed Fixture Quantity]]*ReviewCalcs[[#This Row],[Proposed Fixture Watts]]/1000*(ReviewCalcs[[#This Row],[Existing PAF]]-ReviewCalcs[[#This Row],[Proposed PAF]])*ReviewCalcs[[#This Row],[AOH]]*ReviewCalcs[[#This Row],[IEFE]], 0)</f>
        <v>0</v>
      </c>
      <c r="AW286" s="118">
        <f>ReviewCalcs[[#This Row],[Control Existing Energy (kWh)]]*kWh_Incentive_Rate</f>
        <v>0</v>
      </c>
      <c r="AX286" s="118">
        <f>ReviewCalcs[[#This Row],[Control Proposed Energy (kWh)]]*kWh_Incentive_Rate</f>
        <v>0</v>
      </c>
      <c r="AY286" s="70">
        <f>ReviewCalcs[[#This Row],[Control Energy Savings (kWh)]]*kWh_Incentive_Rate</f>
        <v>0</v>
      </c>
      <c r="AZ286" s="70" t="e">
        <f>ReviewCalcs[[#This Row],[Fixture Existing Demand (kW)]]+ReviewCalcs[[#This Row],[Control Existing Demand (kW)]]</f>
        <v>#VALUE!</v>
      </c>
      <c r="BA286" s="70" t="e">
        <f>ReviewCalcs[[#This Row],[Fixture Proposed Demand (kW)]]+ReviewCalcs[[#This Row],[Control Proposed Demand (kW)]]</f>
        <v>#VALUE!</v>
      </c>
      <c r="BB286" s="118">
        <f>ReviewCalcs[[#This Row],[Fixture Demand Savings (kW)]]+ReviewCalcs[[#This Row],[Control Demand Savings (kW)]]</f>
        <v>0</v>
      </c>
      <c r="BC286" s="118">
        <f>ReviewCalcs[[#This Row],[Fixture Existing Energy (kWh)]]+ReviewCalcs[[#This Row],[Control Existing Energy (kWh)]]</f>
        <v>0</v>
      </c>
      <c r="BD286" s="118">
        <f>ReviewCalcs[[#This Row],[Fixture Proposed Energy (kWh)]]+ReviewCalcs[[#This Row],[Control Proposed Energy (kWh)]]</f>
        <v>0</v>
      </c>
      <c r="BE286" s="118">
        <f>ReviewCalcs[[#This Row],[Fixture Energy Savings]]+ReviewCalcs[[#This Row],[Control Energy Savings (kWh)]]</f>
        <v>0</v>
      </c>
      <c r="BF286" s="118">
        <f>ReviewCalcs[[#This Row],[Fixture Existing Cost ($)]]+ReviewCalcs[[#This Row],[Control Existing Cost ($)]]</f>
        <v>0</v>
      </c>
      <c r="BG286" s="118">
        <f>ReviewCalcs[[#This Row],[Fixture Proposed Cost ($)]]+ReviewCalcs[[#This Row],[Controls Proposed Cost ($)]]</f>
        <v>0</v>
      </c>
      <c r="BH286" s="70">
        <f>ReviewCalcs[[#This Row],[Total Energy Savings (kWh)]]*Avg_KWh_Rate</f>
        <v>0</v>
      </c>
      <c r="BI28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6" s="70">
        <f>ReviewCalcs[[#This Row],[Retrofit Cost]]</f>
        <v>0</v>
      </c>
      <c r="BK286" s="70">
        <f>ReviewCalcs[[#This Row],[Retrofit Cost]]-ReviewCalcs[[#This Row],[Incentive ($)]]</f>
        <v>0</v>
      </c>
      <c r="BL286" s="118" t="e">
        <f>IFERROR(ReviewCalcs[[#This Row],[Net Project Cost ($)]]/ReviewCalcs[[#This Row],[Fixture Energy Cost Savings ($)]], #N/A)</f>
        <v>#N/A</v>
      </c>
      <c r="BM286" s="118" t="e">
        <f>IF(VLOOKUP(ReviewCalcs[[#This Row],[Existing Fixture Code]], Table7[[FIXTURE CODE]:[Baseline Fixture Code]], 8, FALSE)="N", VLOOKUP(ReviewCalcs[[#This Row],[Existing Fixture Code]], Table7[[FIXTURE CODE]:[Baseline Fixture Code]], 9, FALSE), ReviewCalcs[[#This Row],[Existing Fixture Code]])</f>
        <v>#N/A</v>
      </c>
      <c r="BN286" s="118" t="e">
        <f>INDEX(Table7[WATT/ FIXT], MATCH(ReviewCalcs[Baseline Fixture Code], Table7[FIXTURE CODE], 0))</f>
        <v>#N/A</v>
      </c>
      <c r="BO286" s="118">
        <f>IFERROR((ReviewCalcs[[#This Row],[Existing Fixture Quantity]]*ReviewCalcs[[#This Row],[Baseline Fixture Watts]]/1000-ReviewCalcs[[#This Row],[Proposed Fixture Quantity]]*ReviewCalcs[[#This Row],[Proposed Fixture Watts]]/1000)*ReviewCalcs[[#This Row],[Existing CF]]*ReviewCalcs[[#This Row],[IEFD]], 0)</f>
        <v>0</v>
      </c>
      <c r="BP28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6" s="118">
        <f>IF(ReviewCalcs[[#This Row],[Existing CF]]=ReviewCalcs[[#This Row],[Proposed CF]], 0, ReviewCalcs[[#This Row],[Proposed Fixture Quantity]]*ReviewCalcs[[#This Row],[Proposed Fixture Watts]]/1000*ReviewCalcs[[#This Row],[Proposed CF]]*ReviewCalcs[[#This Row],[IEFD]])</f>
        <v>0</v>
      </c>
      <c r="BR286" s="118">
        <f>IFERROR(ReviewCalcs[[#This Row],[Proposed Fixture Quantity]]*ReviewCalcs[[#This Row],[Proposed Fixture Watts]]/1000*(ReviewCalcs[[#This Row],[Existing PAF]]-ReviewCalcs[[#This Row],[Proposed PAF]])*ReviewCalcs[[#This Row],[AOH]]*ReviewCalcs[[#This Row],[IEFE]],0)</f>
        <v>0</v>
      </c>
      <c r="BS286" s="118">
        <f>ReviewCalcs[[#This Row],[Incentive Fixture Demand Savings (kW)]]+ReviewCalcs[[#This Row],[Incentive Control Demand Savings (kW)]]</f>
        <v>0</v>
      </c>
      <c r="BT286" s="118">
        <f>ReviewCalcs[[#This Row],[Incentive Fixture Energy Savings (kWh)]]+ReviewCalcs[[#This Row],[Incentive Control Energy Savings (kWh)]]</f>
        <v>0</v>
      </c>
      <c r="BU286" s="73"/>
    </row>
    <row r="287" spans="1:73" ht="30" customHeight="1">
      <c r="A287" s="68">
        <v>284</v>
      </c>
      <c r="B287" s="96">
        <f>VLOOKUP(ReviewCalcs[[#This Row],[Project Index]], ProjectInput[], D$1, FALSE)</f>
        <v>0</v>
      </c>
      <c r="C287" s="97">
        <f>VLOOKUP(ReviewCalcs[[#This Row],[Project Index]], ProjectInput[], E$1, FALSE)</f>
        <v>0</v>
      </c>
      <c r="D287" s="97">
        <f>VLOOKUP(ReviewCalcs[[#This Row],[Project Index]], ProjectInput[], F$1, FALSE)</f>
        <v>0</v>
      </c>
      <c r="E287" s="97">
        <f>VLOOKUP(ReviewCalcs[[#This Row],[Project Index]], ProjectInput[], G$1, FALSE)</f>
        <v>0</v>
      </c>
      <c r="F287" s="97">
        <f>VLOOKUP(ReviewCalcs[[#This Row],[Project Index]], ProjectInput[], H$1, FALSE)</f>
        <v>0</v>
      </c>
      <c r="G287" s="98" t="str">
        <f>VLOOKUP(ReviewCalcs[[#This Row],[Project Index]], ProjectInput[], I$1, FALSE)</f>
        <v/>
      </c>
      <c r="H287" s="96">
        <f>VLOOKUP(ReviewCalcs[[#This Row],[Project Index]], ProjectInput[], J$1, FALSE)</f>
        <v>0</v>
      </c>
      <c r="I287" s="97">
        <f>VLOOKUP(ReviewCalcs[[#This Row],[Project Index]], ProjectInput[], K$1, FALSE)</f>
        <v>0</v>
      </c>
      <c r="J287" s="97">
        <f>VLOOKUP(ReviewCalcs[[#This Row],[Project Index]], ProjectInput[], L$1, FALSE)</f>
        <v>0</v>
      </c>
      <c r="K287" s="97">
        <f>VLOOKUP(ReviewCalcs[[#This Row],[Project Index]], ProjectInput[], M$1, FALSE)</f>
        <v>0</v>
      </c>
      <c r="L287" s="97">
        <f>VLOOKUP(ReviewCalcs[[#This Row],[Project Index]], ProjectInput[], N$1, FALSE)</f>
        <v>0</v>
      </c>
      <c r="M287" s="98" t="str">
        <f>VLOOKUP(ReviewCalcs[[#This Row],[Project Index]], ProjectInput[], O$1, FALSE)</f>
        <v/>
      </c>
      <c r="N287" s="96">
        <f>VLOOKUP(ReviewCalcs[[#This Row],[Project Index]], ProjectInput[], P$1, FALSE)</f>
        <v>0</v>
      </c>
      <c r="O287" s="97">
        <f>VLOOKUP(ReviewCalcs[[#This Row],[Project Index]], ProjectInput[], Q$1, FALSE)</f>
        <v>0</v>
      </c>
      <c r="P287" s="97">
        <f>VLOOKUP(ReviewCalcs[[#This Row],[Project Index]], ProjectInput[], R$1, FALSE)</f>
        <v>0</v>
      </c>
      <c r="Q287" s="97">
        <f>VLOOKUP(ReviewCalcs[[#This Row],[Project Index]], ProjectInput[], S$1, FALSE)</f>
        <v>0</v>
      </c>
      <c r="R287" s="97">
        <f>VLOOKUP(ReviewCalcs[[#This Row],[Project Index]], ProjectInput[], T$1, FALSE)</f>
        <v>0</v>
      </c>
      <c r="S287" s="97">
        <f>VLOOKUP(ReviewCalcs[[#This Row],[Project Index]], ProjectInput[], U$1, FALSE)</f>
        <v>0</v>
      </c>
      <c r="T287" s="97">
        <f>VLOOKUP(ReviewCalcs[[#This Row],[Project Index]], ProjectInput[], V$1, FALSE)</f>
        <v>0</v>
      </c>
      <c r="U287" s="97">
        <f>VLOOKUP(ReviewCalcs[[#This Row],[Project Index]], ProjectInput[], W$1, FALSE)</f>
        <v>0</v>
      </c>
      <c r="V287" s="98" t="str">
        <f>VLOOKUP(ReviewCalcs[[#This Row],[Project Index]], ProjectInput[], X$1, FALSE)</f>
        <v/>
      </c>
      <c r="W28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7" s="75" t="e">
        <f>IF(VLOOKUP(ReviewCalcs[[#This Row],[Proposed Fixture Code]], Table7[[FIXTURE CODE]:[Baseline Fixture Code]], 8, FALSE)="N", "ERROR", "PASS")</f>
        <v>#N/A</v>
      </c>
      <c r="Y28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7" s="75" t="e">
        <f>IF(OR(ReviewCalcs[[#This Row],[Baseline Fixture Watts]]&gt;=ReviewCalcs[[#This Row],[Proposed Fixture Watts]],ReviewCalcs[[#This Row],[Existing Fixture Watts]]&gt;=ReviewCalcs[[#This Row],[Proposed Fixture Watts]] ), "PASS", "ERROR")</f>
        <v>#N/A</v>
      </c>
      <c r="AA287" s="69" t="e">
        <f>VLOOKUP(ReviewCalcs[[#This Row],[Space Conditions]], Table_365[], 5, FALSE)</f>
        <v>#N/A</v>
      </c>
      <c r="AB287" s="68" t="str">
        <f>ReviewCalcs[[#This Row],[Annual Hours]]</f>
        <v/>
      </c>
      <c r="AC287" s="68" t="e">
        <f>VLOOKUP(ReviewCalcs[[#This Row],[Space Conditions]], Table_365[], 6, FALSE)</f>
        <v>#N/A</v>
      </c>
      <c r="AD287" s="68">
        <f>IF(ReviewCalcs[[#This Row],[Existing Control(s)]]='Tables &amp; Ranges'!$A$25, VLOOKUP(ReviewCalcs[[#This Row],[Building/Space Type]], Table_364[], 3, FALSE), CF_Contols)</f>
        <v>0.26</v>
      </c>
      <c r="AE287" s="68" t="e">
        <f>VLOOKUP(ReviewCalcs[[#This Row],[Existing Control(s)]], Table_358[], 2, FALSE)</f>
        <v>#N/A</v>
      </c>
      <c r="AF287" s="68">
        <f>IF(ReviewCalcs[[#This Row],[Proposed Control(s)]]='Tables &amp; Ranges'!$A$25, VLOOKUP(ReviewCalcs[[#This Row],[Building/Space Type]], Table_364[], 3, FALSE), CF_Contols)</f>
        <v>0.26</v>
      </c>
      <c r="AG287" s="68" t="e">
        <f>VLOOKUP(ReviewCalcs[[#This Row],[Proposed Control(s)]], Table_358[], 2, FALSE)</f>
        <v>#N/A</v>
      </c>
      <c r="AH287" s="68">
        <f>IFERROR((ReviewCalcs[[#This Row],[Existing Fixture Quantity]]*ReviewCalcs[[#This Row],[Existing Fixture Watts]]/1000)*ReviewCalcs[[#This Row],[Existing CF]]*ReviewCalcs[[#This Row],[IEFD]], 0)</f>
        <v>0</v>
      </c>
      <c r="AI287" s="68">
        <f>IFERROR((ReviewCalcs[[#This Row],[Proposed Fixture Quantity]]*ReviewCalcs[[#This Row],[Proposed Fixture Watts]]/1000)*ReviewCalcs[[#This Row],[Existing CF]]*ReviewCalcs[[#This Row],[IEFD]], 0)</f>
        <v>0</v>
      </c>
      <c r="AJ287" s="118">
        <f>IFERROR((ReviewCalcs[[#This Row],[Existing Fixture Quantity]]*ReviewCalcs[[#This Row],[Existing Fixture Watts]]/1000-ReviewCalcs[[#This Row],[Proposed Fixture Quantity]]*ReviewCalcs[[#This Row],[Proposed Fixture Watts]]/1000)*ReviewCalcs[[#This Row],[Existing CF]]*ReviewCalcs[[#This Row],[IEFD]], 0)</f>
        <v>0</v>
      </c>
      <c r="AK287" s="118">
        <f>IFERROR((ReviewCalcs[[#This Row],[Existing Fixture Quantity]]*ReviewCalcs[[#This Row],[Existing Fixture Watts]]/1000)*ReviewCalcs[[#This Row],[AOH]]*ReviewCalcs[[#This Row],[IEFE]]*ReviewCalcs[[#This Row],[Existing PAF]], 0)</f>
        <v>0</v>
      </c>
      <c r="AL287" s="118">
        <f>IFERROR((ReviewCalcs[[#This Row],[Proposed Fixture Quantity]]*ReviewCalcs[[#This Row],[Proposed Fixture Watts]]/1000)*ReviewCalcs[[#This Row],[AOH]]*ReviewCalcs[[#This Row],[IEFE]]*ReviewCalcs[[#This Row],[Existing PAF]], 0)</f>
        <v>0</v>
      </c>
      <c r="AM28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7" s="118">
        <f>ReviewCalcs[[#This Row],[Fixture Existing Energy (kWh)]]*Avg_KWh_Rate</f>
        <v>0</v>
      </c>
      <c r="AO287" s="118">
        <f>ReviewCalcs[[#This Row],[Fixture Proposed Energy (kWh)]]*Avg_KWh_Rate</f>
        <v>0</v>
      </c>
      <c r="AP287" s="70">
        <f>ReviewCalcs[[#This Row],[Fixture Energy Savings]]*Avg_KWh_Rate</f>
        <v>0</v>
      </c>
      <c r="AQ287" s="129" t="e">
        <f>ReviewCalcs[[#This Row],[Existing Fixture Quantity]]*ReviewCalcs[[#This Row],[Existing Fixture Watts]]/1000*ReviewCalcs[[#This Row],[Existing CF]]*ReviewCalcs[[#This Row],[IEFD]]</f>
        <v>#VALUE!</v>
      </c>
      <c r="AR287" s="129" t="e">
        <f>ReviewCalcs[[#This Row],[Proposed Fixture Quantity]]*ReviewCalcs[[#This Row],[Proposed Fixture Watts]]/1000*ReviewCalcs[[#This Row],[Proposed CF]]*ReviewCalcs[[#This Row],[IEFD]]</f>
        <v>#VALUE!</v>
      </c>
      <c r="AS287" s="118">
        <f>IF(ReviewCalcs[[#This Row],[Existing CF]]=ReviewCalcs[[#This Row],[Proposed CF]], 0, ReviewCalcs[[#This Row],[Proposed Fixture Quantity]]*ReviewCalcs[[#This Row],[Proposed Fixture Watts]]/1000*ReviewCalcs[[#This Row],[Proposed CF]]*ReviewCalcs[[#This Row],[IEFD]])</f>
        <v>0</v>
      </c>
      <c r="AT287" s="118">
        <f>IFERROR(ReviewCalcs[[#This Row],[Existing Fixture Quantity]]*ReviewCalcs[[#This Row],[Existing Fixture Watts]]/1000*ReviewCalcs[[#This Row],[Existing PAF]]*ReviewCalcs[[#This Row],[AOH]]*ReviewCalcs[[#This Row],[IEFE]], 0)</f>
        <v>0</v>
      </c>
      <c r="AU287" s="118">
        <f>IFERROR(ReviewCalcs[[#This Row],[Proposed Fixture Quantity]]*ReviewCalcs[[#This Row],[Proposed Fixture Watts]]/1000*ReviewCalcs[[#This Row],[Proposed PAF]]*ReviewCalcs[[#This Row],[AOH]]*ReviewCalcs[[#This Row],[IEFE]], 0)</f>
        <v>0</v>
      </c>
      <c r="AV287" s="118">
        <f>IFERROR(ReviewCalcs[[#This Row],[Proposed Fixture Quantity]]*ReviewCalcs[[#This Row],[Proposed Fixture Watts]]/1000*(ReviewCalcs[[#This Row],[Existing PAF]]-ReviewCalcs[[#This Row],[Proposed PAF]])*ReviewCalcs[[#This Row],[AOH]]*ReviewCalcs[[#This Row],[IEFE]], 0)</f>
        <v>0</v>
      </c>
      <c r="AW287" s="118">
        <f>ReviewCalcs[[#This Row],[Control Existing Energy (kWh)]]*kWh_Incentive_Rate</f>
        <v>0</v>
      </c>
      <c r="AX287" s="118">
        <f>ReviewCalcs[[#This Row],[Control Proposed Energy (kWh)]]*kWh_Incentive_Rate</f>
        <v>0</v>
      </c>
      <c r="AY287" s="70">
        <f>ReviewCalcs[[#This Row],[Control Energy Savings (kWh)]]*kWh_Incentive_Rate</f>
        <v>0</v>
      </c>
      <c r="AZ287" s="70" t="e">
        <f>ReviewCalcs[[#This Row],[Fixture Existing Demand (kW)]]+ReviewCalcs[[#This Row],[Control Existing Demand (kW)]]</f>
        <v>#VALUE!</v>
      </c>
      <c r="BA287" s="70" t="e">
        <f>ReviewCalcs[[#This Row],[Fixture Proposed Demand (kW)]]+ReviewCalcs[[#This Row],[Control Proposed Demand (kW)]]</f>
        <v>#VALUE!</v>
      </c>
      <c r="BB287" s="118">
        <f>ReviewCalcs[[#This Row],[Fixture Demand Savings (kW)]]+ReviewCalcs[[#This Row],[Control Demand Savings (kW)]]</f>
        <v>0</v>
      </c>
      <c r="BC287" s="118">
        <f>ReviewCalcs[[#This Row],[Fixture Existing Energy (kWh)]]+ReviewCalcs[[#This Row],[Control Existing Energy (kWh)]]</f>
        <v>0</v>
      </c>
      <c r="BD287" s="118">
        <f>ReviewCalcs[[#This Row],[Fixture Proposed Energy (kWh)]]+ReviewCalcs[[#This Row],[Control Proposed Energy (kWh)]]</f>
        <v>0</v>
      </c>
      <c r="BE287" s="118">
        <f>ReviewCalcs[[#This Row],[Fixture Energy Savings]]+ReviewCalcs[[#This Row],[Control Energy Savings (kWh)]]</f>
        <v>0</v>
      </c>
      <c r="BF287" s="118">
        <f>ReviewCalcs[[#This Row],[Fixture Existing Cost ($)]]+ReviewCalcs[[#This Row],[Control Existing Cost ($)]]</f>
        <v>0</v>
      </c>
      <c r="BG287" s="118">
        <f>ReviewCalcs[[#This Row],[Fixture Proposed Cost ($)]]+ReviewCalcs[[#This Row],[Controls Proposed Cost ($)]]</f>
        <v>0</v>
      </c>
      <c r="BH287" s="70">
        <f>ReviewCalcs[[#This Row],[Total Energy Savings (kWh)]]*Avg_KWh_Rate</f>
        <v>0</v>
      </c>
      <c r="BI28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7" s="70">
        <f>ReviewCalcs[[#This Row],[Retrofit Cost]]</f>
        <v>0</v>
      </c>
      <c r="BK287" s="70">
        <f>ReviewCalcs[[#This Row],[Retrofit Cost]]-ReviewCalcs[[#This Row],[Incentive ($)]]</f>
        <v>0</v>
      </c>
      <c r="BL287" s="118" t="e">
        <f>IFERROR(ReviewCalcs[[#This Row],[Net Project Cost ($)]]/ReviewCalcs[[#This Row],[Fixture Energy Cost Savings ($)]], #N/A)</f>
        <v>#N/A</v>
      </c>
      <c r="BM287" s="118" t="e">
        <f>IF(VLOOKUP(ReviewCalcs[[#This Row],[Existing Fixture Code]], Table7[[FIXTURE CODE]:[Baseline Fixture Code]], 8, FALSE)="N", VLOOKUP(ReviewCalcs[[#This Row],[Existing Fixture Code]], Table7[[FIXTURE CODE]:[Baseline Fixture Code]], 9, FALSE), ReviewCalcs[[#This Row],[Existing Fixture Code]])</f>
        <v>#N/A</v>
      </c>
      <c r="BN287" s="118" t="e">
        <f>INDEX(Table7[WATT/ FIXT], MATCH(ReviewCalcs[Baseline Fixture Code], Table7[FIXTURE CODE], 0))</f>
        <v>#N/A</v>
      </c>
      <c r="BO287" s="118">
        <f>IFERROR((ReviewCalcs[[#This Row],[Existing Fixture Quantity]]*ReviewCalcs[[#This Row],[Baseline Fixture Watts]]/1000-ReviewCalcs[[#This Row],[Proposed Fixture Quantity]]*ReviewCalcs[[#This Row],[Proposed Fixture Watts]]/1000)*ReviewCalcs[[#This Row],[Existing CF]]*ReviewCalcs[[#This Row],[IEFD]], 0)</f>
        <v>0</v>
      </c>
      <c r="BP28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7" s="118">
        <f>IF(ReviewCalcs[[#This Row],[Existing CF]]=ReviewCalcs[[#This Row],[Proposed CF]], 0, ReviewCalcs[[#This Row],[Proposed Fixture Quantity]]*ReviewCalcs[[#This Row],[Proposed Fixture Watts]]/1000*ReviewCalcs[[#This Row],[Proposed CF]]*ReviewCalcs[[#This Row],[IEFD]])</f>
        <v>0</v>
      </c>
      <c r="BR287" s="118">
        <f>IFERROR(ReviewCalcs[[#This Row],[Proposed Fixture Quantity]]*ReviewCalcs[[#This Row],[Proposed Fixture Watts]]/1000*(ReviewCalcs[[#This Row],[Existing PAF]]-ReviewCalcs[[#This Row],[Proposed PAF]])*ReviewCalcs[[#This Row],[AOH]]*ReviewCalcs[[#This Row],[IEFE]],0)</f>
        <v>0</v>
      </c>
      <c r="BS287" s="118">
        <f>ReviewCalcs[[#This Row],[Incentive Fixture Demand Savings (kW)]]+ReviewCalcs[[#This Row],[Incentive Control Demand Savings (kW)]]</f>
        <v>0</v>
      </c>
      <c r="BT287" s="118">
        <f>ReviewCalcs[[#This Row],[Incentive Fixture Energy Savings (kWh)]]+ReviewCalcs[[#This Row],[Incentive Control Energy Savings (kWh)]]</f>
        <v>0</v>
      </c>
      <c r="BU287" s="73"/>
    </row>
    <row r="288" spans="1:73" ht="30" customHeight="1">
      <c r="A288" s="68">
        <v>285</v>
      </c>
      <c r="B288" s="96">
        <f>VLOOKUP(ReviewCalcs[[#This Row],[Project Index]], ProjectInput[], D$1, FALSE)</f>
        <v>0</v>
      </c>
      <c r="C288" s="97">
        <f>VLOOKUP(ReviewCalcs[[#This Row],[Project Index]], ProjectInput[], E$1, FALSE)</f>
        <v>0</v>
      </c>
      <c r="D288" s="97">
        <f>VLOOKUP(ReviewCalcs[[#This Row],[Project Index]], ProjectInput[], F$1, FALSE)</f>
        <v>0</v>
      </c>
      <c r="E288" s="97">
        <f>VLOOKUP(ReviewCalcs[[#This Row],[Project Index]], ProjectInput[], G$1, FALSE)</f>
        <v>0</v>
      </c>
      <c r="F288" s="97">
        <f>VLOOKUP(ReviewCalcs[[#This Row],[Project Index]], ProjectInput[], H$1, FALSE)</f>
        <v>0</v>
      </c>
      <c r="G288" s="98" t="str">
        <f>VLOOKUP(ReviewCalcs[[#This Row],[Project Index]], ProjectInput[], I$1, FALSE)</f>
        <v/>
      </c>
      <c r="H288" s="96">
        <f>VLOOKUP(ReviewCalcs[[#This Row],[Project Index]], ProjectInput[], J$1, FALSE)</f>
        <v>0</v>
      </c>
      <c r="I288" s="97">
        <f>VLOOKUP(ReviewCalcs[[#This Row],[Project Index]], ProjectInput[], K$1, FALSE)</f>
        <v>0</v>
      </c>
      <c r="J288" s="97">
        <f>VLOOKUP(ReviewCalcs[[#This Row],[Project Index]], ProjectInput[], L$1, FALSE)</f>
        <v>0</v>
      </c>
      <c r="K288" s="97">
        <f>VLOOKUP(ReviewCalcs[[#This Row],[Project Index]], ProjectInput[], M$1, FALSE)</f>
        <v>0</v>
      </c>
      <c r="L288" s="97">
        <f>VLOOKUP(ReviewCalcs[[#This Row],[Project Index]], ProjectInput[], N$1, FALSE)</f>
        <v>0</v>
      </c>
      <c r="M288" s="98" t="str">
        <f>VLOOKUP(ReviewCalcs[[#This Row],[Project Index]], ProjectInput[], O$1, FALSE)</f>
        <v/>
      </c>
      <c r="N288" s="96">
        <f>VLOOKUP(ReviewCalcs[[#This Row],[Project Index]], ProjectInput[], P$1, FALSE)</f>
        <v>0</v>
      </c>
      <c r="O288" s="97">
        <f>VLOOKUP(ReviewCalcs[[#This Row],[Project Index]], ProjectInput[], Q$1, FALSE)</f>
        <v>0</v>
      </c>
      <c r="P288" s="97">
        <f>VLOOKUP(ReviewCalcs[[#This Row],[Project Index]], ProjectInput[], R$1, FALSE)</f>
        <v>0</v>
      </c>
      <c r="Q288" s="97">
        <f>VLOOKUP(ReviewCalcs[[#This Row],[Project Index]], ProjectInput[], S$1, FALSE)</f>
        <v>0</v>
      </c>
      <c r="R288" s="97">
        <f>VLOOKUP(ReviewCalcs[[#This Row],[Project Index]], ProjectInput[], T$1, FALSE)</f>
        <v>0</v>
      </c>
      <c r="S288" s="97">
        <f>VLOOKUP(ReviewCalcs[[#This Row],[Project Index]], ProjectInput[], U$1, FALSE)</f>
        <v>0</v>
      </c>
      <c r="T288" s="97">
        <f>VLOOKUP(ReviewCalcs[[#This Row],[Project Index]], ProjectInput[], V$1, FALSE)</f>
        <v>0</v>
      </c>
      <c r="U288" s="97">
        <f>VLOOKUP(ReviewCalcs[[#This Row],[Project Index]], ProjectInput[], W$1, FALSE)</f>
        <v>0</v>
      </c>
      <c r="V288" s="98" t="str">
        <f>VLOOKUP(ReviewCalcs[[#This Row],[Project Index]], ProjectInput[], X$1, FALSE)</f>
        <v/>
      </c>
      <c r="W28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8" s="75" t="e">
        <f>IF(VLOOKUP(ReviewCalcs[[#This Row],[Proposed Fixture Code]], Table7[[FIXTURE CODE]:[Baseline Fixture Code]], 8, FALSE)="N", "ERROR", "PASS")</f>
        <v>#N/A</v>
      </c>
      <c r="Y28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8" s="75" t="e">
        <f>IF(OR(ReviewCalcs[[#This Row],[Baseline Fixture Watts]]&gt;=ReviewCalcs[[#This Row],[Proposed Fixture Watts]],ReviewCalcs[[#This Row],[Existing Fixture Watts]]&gt;=ReviewCalcs[[#This Row],[Proposed Fixture Watts]] ), "PASS", "ERROR")</f>
        <v>#N/A</v>
      </c>
      <c r="AA288" s="69" t="e">
        <f>VLOOKUP(ReviewCalcs[[#This Row],[Space Conditions]], Table_365[], 5, FALSE)</f>
        <v>#N/A</v>
      </c>
      <c r="AB288" s="68" t="str">
        <f>ReviewCalcs[[#This Row],[Annual Hours]]</f>
        <v/>
      </c>
      <c r="AC288" s="68" t="e">
        <f>VLOOKUP(ReviewCalcs[[#This Row],[Space Conditions]], Table_365[], 6, FALSE)</f>
        <v>#N/A</v>
      </c>
      <c r="AD288" s="68">
        <f>IF(ReviewCalcs[[#This Row],[Existing Control(s)]]='Tables &amp; Ranges'!$A$25, VLOOKUP(ReviewCalcs[[#This Row],[Building/Space Type]], Table_364[], 3, FALSE), CF_Contols)</f>
        <v>0.26</v>
      </c>
      <c r="AE288" s="68" t="e">
        <f>VLOOKUP(ReviewCalcs[[#This Row],[Existing Control(s)]], Table_358[], 2, FALSE)</f>
        <v>#N/A</v>
      </c>
      <c r="AF288" s="68">
        <f>IF(ReviewCalcs[[#This Row],[Proposed Control(s)]]='Tables &amp; Ranges'!$A$25, VLOOKUP(ReviewCalcs[[#This Row],[Building/Space Type]], Table_364[], 3, FALSE), CF_Contols)</f>
        <v>0.26</v>
      </c>
      <c r="AG288" s="68" t="e">
        <f>VLOOKUP(ReviewCalcs[[#This Row],[Proposed Control(s)]], Table_358[], 2, FALSE)</f>
        <v>#N/A</v>
      </c>
      <c r="AH288" s="68">
        <f>IFERROR((ReviewCalcs[[#This Row],[Existing Fixture Quantity]]*ReviewCalcs[[#This Row],[Existing Fixture Watts]]/1000)*ReviewCalcs[[#This Row],[Existing CF]]*ReviewCalcs[[#This Row],[IEFD]], 0)</f>
        <v>0</v>
      </c>
      <c r="AI288" s="68">
        <f>IFERROR((ReviewCalcs[[#This Row],[Proposed Fixture Quantity]]*ReviewCalcs[[#This Row],[Proposed Fixture Watts]]/1000)*ReviewCalcs[[#This Row],[Existing CF]]*ReviewCalcs[[#This Row],[IEFD]], 0)</f>
        <v>0</v>
      </c>
      <c r="AJ288" s="118">
        <f>IFERROR((ReviewCalcs[[#This Row],[Existing Fixture Quantity]]*ReviewCalcs[[#This Row],[Existing Fixture Watts]]/1000-ReviewCalcs[[#This Row],[Proposed Fixture Quantity]]*ReviewCalcs[[#This Row],[Proposed Fixture Watts]]/1000)*ReviewCalcs[[#This Row],[Existing CF]]*ReviewCalcs[[#This Row],[IEFD]], 0)</f>
        <v>0</v>
      </c>
      <c r="AK288" s="118">
        <f>IFERROR((ReviewCalcs[[#This Row],[Existing Fixture Quantity]]*ReviewCalcs[[#This Row],[Existing Fixture Watts]]/1000)*ReviewCalcs[[#This Row],[AOH]]*ReviewCalcs[[#This Row],[IEFE]]*ReviewCalcs[[#This Row],[Existing PAF]], 0)</f>
        <v>0</v>
      </c>
      <c r="AL288" s="118">
        <f>IFERROR((ReviewCalcs[[#This Row],[Proposed Fixture Quantity]]*ReviewCalcs[[#This Row],[Proposed Fixture Watts]]/1000)*ReviewCalcs[[#This Row],[AOH]]*ReviewCalcs[[#This Row],[IEFE]]*ReviewCalcs[[#This Row],[Existing PAF]], 0)</f>
        <v>0</v>
      </c>
      <c r="AM28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8" s="118">
        <f>ReviewCalcs[[#This Row],[Fixture Existing Energy (kWh)]]*Avg_KWh_Rate</f>
        <v>0</v>
      </c>
      <c r="AO288" s="118">
        <f>ReviewCalcs[[#This Row],[Fixture Proposed Energy (kWh)]]*Avg_KWh_Rate</f>
        <v>0</v>
      </c>
      <c r="AP288" s="70">
        <f>ReviewCalcs[[#This Row],[Fixture Energy Savings]]*Avg_KWh_Rate</f>
        <v>0</v>
      </c>
      <c r="AQ288" s="129" t="e">
        <f>ReviewCalcs[[#This Row],[Existing Fixture Quantity]]*ReviewCalcs[[#This Row],[Existing Fixture Watts]]/1000*ReviewCalcs[[#This Row],[Existing CF]]*ReviewCalcs[[#This Row],[IEFD]]</f>
        <v>#VALUE!</v>
      </c>
      <c r="AR288" s="129" t="e">
        <f>ReviewCalcs[[#This Row],[Proposed Fixture Quantity]]*ReviewCalcs[[#This Row],[Proposed Fixture Watts]]/1000*ReviewCalcs[[#This Row],[Proposed CF]]*ReviewCalcs[[#This Row],[IEFD]]</f>
        <v>#VALUE!</v>
      </c>
      <c r="AS288" s="118">
        <f>IF(ReviewCalcs[[#This Row],[Existing CF]]=ReviewCalcs[[#This Row],[Proposed CF]], 0, ReviewCalcs[[#This Row],[Proposed Fixture Quantity]]*ReviewCalcs[[#This Row],[Proposed Fixture Watts]]/1000*ReviewCalcs[[#This Row],[Proposed CF]]*ReviewCalcs[[#This Row],[IEFD]])</f>
        <v>0</v>
      </c>
      <c r="AT288" s="118">
        <f>IFERROR(ReviewCalcs[[#This Row],[Existing Fixture Quantity]]*ReviewCalcs[[#This Row],[Existing Fixture Watts]]/1000*ReviewCalcs[[#This Row],[Existing PAF]]*ReviewCalcs[[#This Row],[AOH]]*ReviewCalcs[[#This Row],[IEFE]], 0)</f>
        <v>0</v>
      </c>
      <c r="AU288" s="118">
        <f>IFERROR(ReviewCalcs[[#This Row],[Proposed Fixture Quantity]]*ReviewCalcs[[#This Row],[Proposed Fixture Watts]]/1000*ReviewCalcs[[#This Row],[Proposed PAF]]*ReviewCalcs[[#This Row],[AOH]]*ReviewCalcs[[#This Row],[IEFE]], 0)</f>
        <v>0</v>
      </c>
      <c r="AV288" s="118">
        <f>IFERROR(ReviewCalcs[[#This Row],[Proposed Fixture Quantity]]*ReviewCalcs[[#This Row],[Proposed Fixture Watts]]/1000*(ReviewCalcs[[#This Row],[Existing PAF]]-ReviewCalcs[[#This Row],[Proposed PAF]])*ReviewCalcs[[#This Row],[AOH]]*ReviewCalcs[[#This Row],[IEFE]], 0)</f>
        <v>0</v>
      </c>
      <c r="AW288" s="118">
        <f>ReviewCalcs[[#This Row],[Control Existing Energy (kWh)]]*kWh_Incentive_Rate</f>
        <v>0</v>
      </c>
      <c r="AX288" s="118">
        <f>ReviewCalcs[[#This Row],[Control Proposed Energy (kWh)]]*kWh_Incentive_Rate</f>
        <v>0</v>
      </c>
      <c r="AY288" s="70">
        <f>ReviewCalcs[[#This Row],[Control Energy Savings (kWh)]]*kWh_Incentive_Rate</f>
        <v>0</v>
      </c>
      <c r="AZ288" s="70" t="e">
        <f>ReviewCalcs[[#This Row],[Fixture Existing Demand (kW)]]+ReviewCalcs[[#This Row],[Control Existing Demand (kW)]]</f>
        <v>#VALUE!</v>
      </c>
      <c r="BA288" s="70" t="e">
        <f>ReviewCalcs[[#This Row],[Fixture Proposed Demand (kW)]]+ReviewCalcs[[#This Row],[Control Proposed Demand (kW)]]</f>
        <v>#VALUE!</v>
      </c>
      <c r="BB288" s="118">
        <f>ReviewCalcs[[#This Row],[Fixture Demand Savings (kW)]]+ReviewCalcs[[#This Row],[Control Demand Savings (kW)]]</f>
        <v>0</v>
      </c>
      <c r="BC288" s="118">
        <f>ReviewCalcs[[#This Row],[Fixture Existing Energy (kWh)]]+ReviewCalcs[[#This Row],[Control Existing Energy (kWh)]]</f>
        <v>0</v>
      </c>
      <c r="BD288" s="118">
        <f>ReviewCalcs[[#This Row],[Fixture Proposed Energy (kWh)]]+ReviewCalcs[[#This Row],[Control Proposed Energy (kWh)]]</f>
        <v>0</v>
      </c>
      <c r="BE288" s="118">
        <f>ReviewCalcs[[#This Row],[Fixture Energy Savings]]+ReviewCalcs[[#This Row],[Control Energy Savings (kWh)]]</f>
        <v>0</v>
      </c>
      <c r="BF288" s="118">
        <f>ReviewCalcs[[#This Row],[Fixture Existing Cost ($)]]+ReviewCalcs[[#This Row],[Control Existing Cost ($)]]</f>
        <v>0</v>
      </c>
      <c r="BG288" s="118">
        <f>ReviewCalcs[[#This Row],[Fixture Proposed Cost ($)]]+ReviewCalcs[[#This Row],[Controls Proposed Cost ($)]]</f>
        <v>0</v>
      </c>
      <c r="BH288" s="70">
        <f>ReviewCalcs[[#This Row],[Total Energy Savings (kWh)]]*Avg_KWh_Rate</f>
        <v>0</v>
      </c>
      <c r="BI28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8" s="70">
        <f>ReviewCalcs[[#This Row],[Retrofit Cost]]</f>
        <v>0</v>
      </c>
      <c r="BK288" s="70">
        <f>ReviewCalcs[[#This Row],[Retrofit Cost]]-ReviewCalcs[[#This Row],[Incentive ($)]]</f>
        <v>0</v>
      </c>
      <c r="BL288" s="118" t="e">
        <f>IFERROR(ReviewCalcs[[#This Row],[Net Project Cost ($)]]/ReviewCalcs[[#This Row],[Fixture Energy Cost Savings ($)]], #N/A)</f>
        <v>#N/A</v>
      </c>
      <c r="BM288" s="118" t="e">
        <f>IF(VLOOKUP(ReviewCalcs[[#This Row],[Existing Fixture Code]], Table7[[FIXTURE CODE]:[Baseline Fixture Code]], 8, FALSE)="N", VLOOKUP(ReviewCalcs[[#This Row],[Existing Fixture Code]], Table7[[FIXTURE CODE]:[Baseline Fixture Code]], 9, FALSE), ReviewCalcs[[#This Row],[Existing Fixture Code]])</f>
        <v>#N/A</v>
      </c>
      <c r="BN288" s="118" t="e">
        <f>INDEX(Table7[WATT/ FIXT], MATCH(ReviewCalcs[Baseline Fixture Code], Table7[FIXTURE CODE], 0))</f>
        <v>#N/A</v>
      </c>
      <c r="BO288" s="118">
        <f>IFERROR((ReviewCalcs[[#This Row],[Existing Fixture Quantity]]*ReviewCalcs[[#This Row],[Baseline Fixture Watts]]/1000-ReviewCalcs[[#This Row],[Proposed Fixture Quantity]]*ReviewCalcs[[#This Row],[Proposed Fixture Watts]]/1000)*ReviewCalcs[[#This Row],[Existing CF]]*ReviewCalcs[[#This Row],[IEFD]], 0)</f>
        <v>0</v>
      </c>
      <c r="BP28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8" s="118">
        <f>IF(ReviewCalcs[[#This Row],[Existing CF]]=ReviewCalcs[[#This Row],[Proposed CF]], 0, ReviewCalcs[[#This Row],[Proposed Fixture Quantity]]*ReviewCalcs[[#This Row],[Proposed Fixture Watts]]/1000*ReviewCalcs[[#This Row],[Proposed CF]]*ReviewCalcs[[#This Row],[IEFD]])</f>
        <v>0</v>
      </c>
      <c r="BR288" s="118">
        <f>IFERROR(ReviewCalcs[[#This Row],[Proposed Fixture Quantity]]*ReviewCalcs[[#This Row],[Proposed Fixture Watts]]/1000*(ReviewCalcs[[#This Row],[Existing PAF]]-ReviewCalcs[[#This Row],[Proposed PAF]])*ReviewCalcs[[#This Row],[AOH]]*ReviewCalcs[[#This Row],[IEFE]],0)</f>
        <v>0</v>
      </c>
      <c r="BS288" s="118">
        <f>ReviewCalcs[[#This Row],[Incentive Fixture Demand Savings (kW)]]+ReviewCalcs[[#This Row],[Incentive Control Demand Savings (kW)]]</f>
        <v>0</v>
      </c>
      <c r="BT288" s="118">
        <f>ReviewCalcs[[#This Row],[Incentive Fixture Energy Savings (kWh)]]+ReviewCalcs[[#This Row],[Incentive Control Energy Savings (kWh)]]</f>
        <v>0</v>
      </c>
      <c r="BU288" s="73"/>
    </row>
    <row r="289" spans="1:73" ht="30" customHeight="1">
      <c r="A289" s="68">
        <v>286</v>
      </c>
      <c r="B289" s="96">
        <f>VLOOKUP(ReviewCalcs[[#This Row],[Project Index]], ProjectInput[], D$1, FALSE)</f>
        <v>0</v>
      </c>
      <c r="C289" s="97">
        <f>VLOOKUP(ReviewCalcs[[#This Row],[Project Index]], ProjectInput[], E$1, FALSE)</f>
        <v>0</v>
      </c>
      <c r="D289" s="97">
        <f>VLOOKUP(ReviewCalcs[[#This Row],[Project Index]], ProjectInput[], F$1, FALSE)</f>
        <v>0</v>
      </c>
      <c r="E289" s="97">
        <f>VLOOKUP(ReviewCalcs[[#This Row],[Project Index]], ProjectInput[], G$1, FALSE)</f>
        <v>0</v>
      </c>
      <c r="F289" s="97">
        <f>VLOOKUP(ReviewCalcs[[#This Row],[Project Index]], ProjectInput[], H$1, FALSE)</f>
        <v>0</v>
      </c>
      <c r="G289" s="98" t="str">
        <f>VLOOKUP(ReviewCalcs[[#This Row],[Project Index]], ProjectInput[], I$1, FALSE)</f>
        <v/>
      </c>
      <c r="H289" s="96">
        <f>VLOOKUP(ReviewCalcs[[#This Row],[Project Index]], ProjectInput[], J$1, FALSE)</f>
        <v>0</v>
      </c>
      <c r="I289" s="97">
        <f>VLOOKUP(ReviewCalcs[[#This Row],[Project Index]], ProjectInput[], K$1, FALSE)</f>
        <v>0</v>
      </c>
      <c r="J289" s="97">
        <f>VLOOKUP(ReviewCalcs[[#This Row],[Project Index]], ProjectInput[], L$1, FALSE)</f>
        <v>0</v>
      </c>
      <c r="K289" s="97">
        <f>VLOOKUP(ReviewCalcs[[#This Row],[Project Index]], ProjectInput[], M$1, FALSE)</f>
        <v>0</v>
      </c>
      <c r="L289" s="97">
        <f>VLOOKUP(ReviewCalcs[[#This Row],[Project Index]], ProjectInput[], N$1, FALSE)</f>
        <v>0</v>
      </c>
      <c r="M289" s="98" t="str">
        <f>VLOOKUP(ReviewCalcs[[#This Row],[Project Index]], ProjectInput[], O$1, FALSE)</f>
        <v/>
      </c>
      <c r="N289" s="96">
        <f>VLOOKUP(ReviewCalcs[[#This Row],[Project Index]], ProjectInput[], P$1, FALSE)</f>
        <v>0</v>
      </c>
      <c r="O289" s="97">
        <f>VLOOKUP(ReviewCalcs[[#This Row],[Project Index]], ProjectInput[], Q$1, FALSE)</f>
        <v>0</v>
      </c>
      <c r="P289" s="97">
        <f>VLOOKUP(ReviewCalcs[[#This Row],[Project Index]], ProjectInput[], R$1, FALSE)</f>
        <v>0</v>
      </c>
      <c r="Q289" s="97">
        <f>VLOOKUP(ReviewCalcs[[#This Row],[Project Index]], ProjectInput[], S$1, FALSE)</f>
        <v>0</v>
      </c>
      <c r="R289" s="97">
        <f>VLOOKUP(ReviewCalcs[[#This Row],[Project Index]], ProjectInput[], T$1, FALSE)</f>
        <v>0</v>
      </c>
      <c r="S289" s="97">
        <f>VLOOKUP(ReviewCalcs[[#This Row],[Project Index]], ProjectInput[], U$1, FALSE)</f>
        <v>0</v>
      </c>
      <c r="T289" s="97">
        <f>VLOOKUP(ReviewCalcs[[#This Row],[Project Index]], ProjectInput[], V$1, FALSE)</f>
        <v>0</v>
      </c>
      <c r="U289" s="97">
        <f>VLOOKUP(ReviewCalcs[[#This Row],[Project Index]], ProjectInput[], W$1, FALSE)</f>
        <v>0</v>
      </c>
      <c r="V289" s="98" t="str">
        <f>VLOOKUP(ReviewCalcs[[#This Row],[Project Index]], ProjectInput[], X$1, FALSE)</f>
        <v/>
      </c>
      <c r="W28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89" s="75" t="e">
        <f>IF(VLOOKUP(ReviewCalcs[[#This Row],[Proposed Fixture Code]], Table7[[FIXTURE CODE]:[Baseline Fixture Code]], 8, FALSE)="N", "ERROR", "PASS")</f>
        <v>#N/A</v>
      </c>
      <c r="Y28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89" s="75" t="e">
        <f>IF(OR(ReviewCalcs[[#This Row],[Baseline Fixture Watts]]&gt;=ReviewCalcs[[#This Row],[Proposed Fixture Watts]],ReviewCalcs[[#This Row],[Existing Fixture Watts]]&gt;=ReviewCalcs[[#This Row],[Proposed Fixture Watts]] ), "PASS", "ERROR")</f>
        <v>#N/A</v>
      </c>
      <c r="AA289" s="69" t="e">
        <f>VLOOKUP(ReviewCalcs[[#This Row],[Space Conditions]], Table_365[], 5, FALSE)</f>
        <v>#N/A</v>
      </c>
      <c r="AB289" s="68" t="str">
        <f>ReviewCalcs[[#This Row],[Annual Hours]]</f>
        <v/>
      </c>
      <c r="AC289" s="68" t="e">
        <f>VLOOKUP(ReviewCalcs[[#This Row],[Space Conditions]], Table_365[], 6, FALSE)</f>
        <v>#N/A</v>
      </c>
      <c r="AD289" s="68">
        <f>IF(ReviewCalcs[[#This Row],[Existing Control(s)]]='Tables &amp; Ranges'!$A$25, VLOOKUP(ReviewCalcs[[#This Row],[Building/Space Type]], Table_364[], 3, FALSE), CF_Contols)</f>
        <v>0.26</v>
      </c>
      <c r="AE289" s="68" t="e">
        <f>VLOOKUP(ReviewCalcs[[#This Row],[Existing Control(s)]], Table_358[], 2, FALSE)</f>
        <v>#N/A</v>
      </c>
      <c r="AF289" s="68">
        <f>IF(ReviewCalcs[[#This Row],[Proposed Control(s)]]='Tables &amp; Ranges'!$A$25, VLOOKUP(ReviewCalcs[[#This Row],[Building/Space Type]], Table_364[], 3, FALSE), CF_Contols)</f>
        <v>0.26</v>
      </c>
      <c r="AG289" s="68" t="e">
        <f>VLOOKUP(ReviewCalcs[[#This Row],[Proposed Control(s)]], Table_358[], 2, FALSE)</f>
        <v>#N/A</v>
      </c>
      <c r="AH289" s="68">
        <f>IFERROR((ReviewCalcs[[#This Row],[Existing Fixture Quantity]]*ReviewCalcs[[#This Row],[Existing Fixture Watts]]/1000)*ReviewCalcs[[#This Row],[Existing CF]]*ReviewCalcs[[#This Row],[IEFD]], 0)</f>
        <v>0</v>
      </c>
      <c r="AI289" s="68">
        <f>IFERROR((ReviewCalcs[[#This Row],[Proposed Fixture Quantity]]*ReviewCalcs[[#This Row],[Proposed Fixture Watts]]/1000)*ReviewCalcs[[#This Row],[Existing CF]]*ReviewCalcs[[#This Row],[IEFD]], 0)</f>
        <v>0</v>
      </c>
      <c r="AJ289" s="118">
        <f>IFERROR((ReviewCalcs[[#This Row],[Existing Fixture Quantity]]*ReviewCalcs[[#This Row],[Existing Fixture Watts]]/1000-ReviewCalcs[[#This Row],[Proposed Fixture Quantity]]*ReviewCalcs[[#This Row],[Proposed Fixture Watts]]/1000)*ReviewCalcs[[#This Row],[Existing CF]]*ReviewCalcs[[#This Row],[IEFD]], 0)</f>
        <v>0</v>
      </c>
      <c r="AK289" s="118">
        <f>IFERROR((ReviewCalcs[[#This Row],[Existing Fixture Quantity]]*ReviewCalcs[[#This Row],[Existing Fixture Watts]]/1000)*ReviewCalcs[[#This Row],[AOH]]*ReviewCalcs[[#This Row],[IEFE]]*ReviewCalcs[[#This Row],[Existing PAF]], 0)</f>
        <v>0</v>
      </c>
      <c r="AL289" s="118">
        <f>IFERROR((ReviewCalcs[[#This Row],[Proposed Fixture Quantity]]*ReviewCalcs[[#This Row],[Proposed Fixture Watts]]/1000)*ReviewCalcs[[#This Row],[AOH]]*ReviewCalcs[[#This Row],[IEFE]]*ReviewCalcs[[#This Row],[Existing PAF]], 0)</f>
        <v>0</v>
      </c>
      <c r="AM28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89" s="118">
        <f>ReviewCalcs[[#This Row],[Fixture Existing Energy (kWh)]]*Avg_KWh_Rate</f>
        <v>0</v>
      </c>
      <c r="AO289" s="118">
        <f>ReviewCalcs[[#This Row],[Fixture Proposed Energy (kWh)]]*Avg_KWh_Rate</f>
        <v>0</v>
      </c>
      <c r="AP289" s="70">
        <f>ReviewCalcs[[#This Row],[Fixture Energy Savings]]*Avg_KWh_Rate</f>
        <v>0</v>
      </c>
      <c r="AQ289" s="129" t="e">
        <f>ReviewCalcs[[#This Row],[Existing Fixture Quantity]]*ReviewCalcs[[#This Row],[Existing Fixture Watts]]/1000*ReviewCalcs[[#This Row],[Existing CF]]*ReviewCalcs[[#This Row],[IEFD]]</f>
        <v>#VALUE!</v>
      </c>
      <c r="AR289" s="129" t="e">
        <f>ReviewCalcs[[#This Row],[Proposed Fixture Quantity]]*ReviewCalcs[[#This Row],[Proposed Fixture Watts]]/1000*ReviewCalcs[[#This Row],[Proposed CF]]*ReviewCalcs[[#This Row],[IEFD]]</f>
        <v>#VALUE!</v>
      </c>
      <c r="AS289" s="118">
        <f>IF(ReviewCalcs[[#This Row],[Existing CF]]=ReviewCalcs[[#This Row],[Proposed CF]], 0, ReviewCalcs[[#This Row],[Proposed Fixture Quantity]]*ReviewCalcs[[#This Row],[Proposed Fixture Watts]]/1000*ReviewCalcs[[#This Row],[Proposed CF]]*ReviewCalcs[[#This Row],[IEFD]])</f>
        <v>0</v>
      </c>
      <c r="AT289" s="118">
        <f>IFERROR(ReviewCalcs[[#This Row],[Existing Fixture Quantity]]*ReviewCalcs[[#This Row],[Existing Fixture Watts]]/1000*ReviewCalcs[[#This Row],[Existing PAF]]*ReviewCalcs[[#This Row],[AOH]]*ReviewCalcs[[#This Row],[IEFE]], 0)</f>
        <v>0</v>
      </c>
      <c r="AU289" s="118">
        <f>IFERROR(ReviewCalcs[[#This Row],[Proposed Fixture Quantity]]*ReviewCalcs[[#This Row],[Proposed Fixture Watts]]/1000*ReviewCalcs[[#This Row],[Proposed PAF]]*ReviewCalcs[[#This Row],[AOH]]*ReviewCalcs[[#This Row],[IEFE]], 0)</f>
        <v>0</v>
      </c>
      <c r="AV289" s="118">
        <f>IFERROR(ReviewCalcs[[#This Row],[Proposed Fixture Quantity]]*ReviewCalcs[[#This Row],[Proposed Fixture Watts]]/1000*(ReviewCalcs[[#This Row],[Existing PAF]]-ReviewCalcs[[#This Row],[Proposed PAF]])*ReviewCalcs[[#This Row],[AOH]]*ReviewCalcs[[#This Row],[IEFE]], 0)</f>
        <v>0</v>
      </c>
      <c r="AW289" s="118">
        <f>ReviewCalcs[[#This Row],[Control Existing Energy (kWh)]]*kWh_Incentive_Rate</f>
        <v>0</v>
      </c>
      <c r="AX289" s="118">
        <f>ReviewCalcs[[#This Row],[Control Proposed Energy (kWh)]]*kWh_Incentive_Rate</f>
        <v>0</v>
      </c>
      <c r="AY289" s="70">
        <f>ReviewCalcs[[#This Row],[Control Energy Savings (kWh)]]*kWh_Incentive_Rate</f>
        <v>0</v>
      </c>
      <c r="AZ289" s="70" t="e">
        <f>ReviewCalcs[[#This Row],[Fixture Existing Demand (kW)]]+ReviewCalcs[[#This Row],[Control Existing Demand (kW)]]</f>
        <v>#VALUE!</v>
      </c>
      <c r="BA289" s="70" t="e">
        <f>ReviewCalcs[[#This Row],[Fixture Proposed Demand (kW)]]+ReviewCalcs[[#This Row],[Control Proposed Demand (kW)]]</f>
        <v>#VALUE!</v>
      </c>
      <c r="BB289" s="118">
        <f>ReviewCalcs[[#This Row],[Fixture Demand Savings (kW)]]+ReviewCalcs[[#This Row],[Control Demand Savings (kW)]]</f>
        <v>0</v>
      </c>
      <c r="BC289" s="118">
        <f>ReviewCalcs[[#This Row],[Fixture Existing Energy (kWh)]]+ReviewCalcs[[#This Row],[Control Existing Energy (kWh)]]</f>
        <v>0</v>
      </c>
      <c r="BD289" s="118">
        <f>ReviewCalcs[[#This Row],[Fixture Proposed Energy (kWh)]]+ReviewCalcs[[#This Row],[Control Proposed Energy (kWh)]]</f>
        <v>0</v>
      </c>
      <c r="BE289" s="118">
        <f>ReviewCalcs[[#This Row],[Fixture Energy Savings]]+ReviewCalcs[[#This Row],[Control Energy Savings (kWh)]]</f>
        <v>0</v>
      </c>
      <c r="BF289" s="118">
        <f>ReviewCalcs[[#This Row],[Fixture Existing Cost ($)]]+ReviewCalcs[[#This Row],[Control Existing Cost ($)]]</f>
        <v>0</v>
      </c>
      <c r="BG289" s="118">
        <f>ReviewCalcs[[#This Row],[Fixture Proposed Cost ($)]]+ReviewCalcs[[#This Row],[Controls Proposed Cost ($)]]</f>
        <v>0</v>
      </c>
      <c r="BH289" s="70">
        <f>ReviewCalcs[[#This Row],[Total Energy Savings (kWh)]]*Avg_KWh_Rate</f>
        <v>0</v>
      </c>
      <c r="BI28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89" s="70">
        <f>ReviewCalcs[[#This Row],[Retrofit Cost]]</f>
        <v>0</v>
      </c>
      <c r="BK289" s="70">
        <f>ReviewCalcs[[#This Row],[Retrofit Cost]]-ReviewCalcs[[#This Row],[Incentive ($)]]</f>
        <v>0</v>
      </c>
      <c r="BL289" s="118" t="e">
        <f>IFERROR(ReviewCalcs[[#This Row],[Net Project Cost ($)]]/ReviewCalcs[[#This Row],[Fixture Energy Cost Savings ($)]], #N/A)</f>
        <v>#N/A</v>
      </c>
      <c r="BM289" s="118" t="e">
        <f>IF(VLOOKUP(ReviewCalcs[[#This Row],[Existing Fixture Code]], Table7[[FIXTURE CODE]:[Baseline Fixture Code]], 8, FALSE)="N", VLOOKUP(ReviewCalcs[[#This Row],[Existing Fixture Code]], Table7[[FIXTURE CODE]:[Baseline Fixture Code]], 9, FALSE), ReviewCalcs[[#This Row],[Existing Fixture Code]])</f>
        <v>#N/A</v>
      </c>
      <c r="BN289" s="118" t="e">
        <f>INDEX(Table7[WATT/ FIXT], MATCH(ReviewCalcs[Baseline Fixture Code], Table7[FIXTURE CODE], 0))</f>
        <v>#N/A</v>
      </c>
      <c r="BO289" s="118">
        <f>IFERROR((ReviewCalcs[[#This Row],[Existing Fixture Quantity]]*ReviewCalcs[[#This Row],[Baseline Fixture Watts]]/1000-ReviewCalcs[[#This Row],[Proposed Fixture Quantity]]*ReviewCalcs[[#This Row],[Proposed Fixture Watts]]/1000)*ReviewCalcs[[#This Row],[Existing CF]]*ReviewCalcs[[#This Row],[IEFD]], 0)</f>
        <v>0</v>
      </c>
      <c r="BP28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89" s="118">
        <f>IF(ReviewCalcs[[#This Row],[Existing CF]]=ReviewCalcs[[#This Row],[Proposed CF]], 0, ReviewCalcs[[#This Row],[Proposed Fixture Quantity]]*ReviewCalcs[[#This Row],[Proposed Fixture Watts]]/1000*ReviewCalcs[[#This Row],[Proposed CF]]*ReviewCalcs[[#This Row],[IEFD]])</f>
        <v>0</v>
      </c>
      <c r="BR289" s="118">
        <f>IFERROR(ReviewCalcs[[#This Row],[Proposed Fixture Quantity]]*ReviewCalcs[[#This Row],[Proposed Fixture Watts]]/1000*(ReviewCalcs[[#This Row],[Existing PAF]]-ReviewCalcs[[#This Row],[Proposed PAF]])*ReviewCalcs[[#This Row],[AOH]]*ReviewCalcs[[#This Row],[IEFE]],0)</f>
        <v>0</v>
      </c>
      <c r="BS289" s="118">
        <f>ReviewCalcs[[#This Row],[Incentive Fixture Demand Savings (kW)]]+ReviewCalcs[[#This Row],[Incentive Control Demand Savings (kW)]]</f>
        <v>0</v>
      </c>
      <c r="BT289" s="118">
        <f>ReviewCalcs[[#This Row],[Incentive Fixture Energy Savings (kWh)]]+ReviewCalcs[[#This Row],[Incentive Control Energy Savings (kWh)]]</f>
        <v>0</v>
      </c>
      <c r="BU289" s="73"/>
    </row>
    <row r="290" spans="1:73" ht="30" customHeight="1">
      <c r="A290" s="68">
        <v>287</v>
      </c>
      <c r="B290" s="96">
        <f>VLOOKUP(ReviewCalcs[[#This Row],[Project Index]], ProjectInput[], D$1, FALSE)</f>
        <v>0</v>
      </c>
      <c r="C290" s="97">
        <f>VLOOKUP(ReviewCalcs[[#This Row],[Project Index]], ProjectInput[], E$1, FALSE)</f>
        <v>0</v>
      </c>
      <c r="D290" s="97">
        <f>VLOOKUP(ReviewCalcs[[#This Row],[Project Index]], ProjectInput[], F$1, FALSE)</f>
        <v>0</v>
      </c>
      <c r="E290" s="97">
        <f>VLOOKUP(ReviewCalcs[[#This Row],[Project Index]], ProjectInput[], G$1, FALSE)</f>
        <v>0</v>
      </c>
      <c r="F290" s="97">
        <f>VLOOKUP(ReviewCalcs[[#This Row],[Project Index]], ProjectInput[], H$1, FALSE)</f>
        <v>0</v>
      </c>
      <c r="G290" s="98" t="str">
        <f>VLOOKUP(ReviewCalcs[[#This Row],[Project Index]], ProjectInput[], I$1, FALSE)</f>
        <v/>
      </c>
      <c r="H290" s="96">
        <f>VLOOKUP(ReviewCalcs[[#This Row],[Project Index]], ProjectInput[], J$1, FALSE)</f>
        <v>0</v>
      </c>
      <c r="I290" s="97">
        <f>VLOOKUP(ReviewCalcs[[#This Row],[Project Index]], ProjectInput[], K$1, FALSE)</f>
        <v>0</v>
      </c>
      <c r="J290" s="97">
        <f>VLOOKUP(ReviewCalcs[[#This Row],[Project Index]], ProjectInput[], L$1, FALSE)</f>
        <v>0</v>
      </c>
      <c r="K290" s="97">
        <f>VLOOKUP(ReviewCalcs[[#This Row],[Project Index]], ProjectInput[], M$1, FALSE)</f>
        <v>0</v>
      </c>
      <c r="L290" s="97">
        <f>VLOOKUP(ReviewCalcs[[#This Row],[Project Index]], ProjectInput[], N$1, FALSE)</f>
        <v>0</v>
      </c>
      <c r="M290" s="98" t="str">
        <f>VLOOKUP(ReviewCalcs[[#This Row],[Project Index]], ProjectInput[], O$1, FALSE)</f>
        <v/>
      </c>
      <c r="N290" s="96">
        <f>VLOOKUP(ReviewCalcs[[#This Row],[Project Index]], ProjectInput[], P$1, FALSE)</f>
        <v>0</v>
      </c>
      <c r="O290" s="97">
        <f>VLOOKUP(ReviewCalcs[[#This Row],[Project Index]], ProjectInput[], Q$1, FALSE)</f>
        <v>0</v>
      </c>
      <c r="P290" s="97">
        <f>VLOOKUP(ReviewCalcs[[#This Row],[Project Index]], ProjectInput[], R$1, FALSE)</f>
        <v>0</v>
      </c>
      <c r="Q290" s="97">
        <f>VLOOKUP(ReviewCalcs[[#This Row],[Project Index]], ProjectInput[], S$1, FALSE)</f>
        <v>0</v>
      </c>
      <c r="R290" s="97">
        <f>VLOOKUP(ReviewCalcs[[#This Row],[Project Index]], ProjectInput[], T$1, FALSE)</f>
        <v>0</v>
      </c>
      <c r="S290" s="97">
        <f>VLOOKUP(ReviewCalcs[[#This Row],[Project Index]], ProjectInput[], U$1, FALSE)</f>
        <v>0</v>
      </c>
      <c r="T290" s="97">
        <f>VLOOKUP(ReviewCalcs[[#This Row],[Project Index]], ProjectInput[], V$1, FALSE)</f>
        <v>0</v>
      </c>
      <c r="U290" s="97">
        <f>VLOOKUP(ReviewCalcs[[#This Row],[Project Index]], ProjectInput[], W$1, FALSE)</f>
        <v>0</v>
      </c>
      <c r="V290" s="98" t="str">
        <f>VLOOKUP(ReviewCalcs[[#This Row],[Project Index]], ProjectInput[], X$1, FALSE)</f>
        <v/>
      </c>
      <c r="W29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0" s="75" t="e">
        <f>IF(VLOOKUP(ReviewCalcs[[#This Row],[Proposed Fixture Code]], Table7[[FIXTURE CODE]:[Baseline Fixture Code]], 8, FALSE)="N", "ERROR", "PASS")</f>
        <v>#N/A</v>
      </c>
      <c r="Y29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0" s="75" t="e">
        <f>IF(OR(ReviewCalcs[[#This Row],[Baseline Fixture Watts]]&gt;=ReviewCalcs[[#This Row],[Proposed Fixture Watts]],ReviewCalcs[[#This Row],[Existing Fixture Watts]]&gt;=ReviewCalcs[[#This Row],[Proposed Fixture Watts]] ), "PASS", "ERROR")</f>
        <v>#N/A</v>
      </c>
      <c r="AA290" s="69" t="e">
        <f>VLOOKUP(ReviewCalcs[[#This Row],[Space Conditions]], Table_365[], 5, FALSE)</f>
        <v>#N/A</v>
      </c>
      <c r="AB290" s="68" t="str">
        <f>ReviewCalcs[[#This Row],[Annual Hours]]</f>
        <v/>
      </c>
      <c r="AC290" s="68" t="e">
        <f>VLOOKUP(ReviewCalcs[[#This Row],[Space Conditions]], Table_365[], 6, FALSE)</f>
        <v>#N/A</v>
      </c>
      <c r="AD290" s="68">
        <f>IF(ReviewCalcs[[#This Row],[Existing Control(s)]]='Tables &amp; Ranges'!$A$25, VLOOKUP(ReviewCalcs[[#This Row],[Building/Space Type]], Table_364[], 3, FALSE), CF_Contols)</f>
        <v>0.26</v>
      </c>
      <c r="AE290" s="68" t="e">
        <f>VLOOKUP(ReviewCalcs[[#This Row],[Existing Control(s)]], Table_358[], 2, FALSE)</f>
        <v>#N/A</v>
      </c>
      <c r="AF290" s="68">
        <f>IF(ReviewCalcs[[#This Row],[Proposed Control(s)]]='Tables &amp; Ranges'!$A$25, VLOOKUP(ReviewCalcs[[#This Row],[Building/Space Type]], Table_364[], 3, FALSE), CF_Contols)</f>
        <v>0.26</v>
      </c>
      <c r="AG290" s="68" t="e">
        <f>VLOOKUP(ReviewCalcs[[#This Row],[Proposed Control(s)]], Table_358[], 2, FALSE)</f>
        <v>#N/A</v>
      </c>
      <c r="AH290" s="68">
        <f>IFERROR((ReviewCalcs[[#This Row],[Existing Fixture Quantity]]*ReviewCalcs[[#This Row],[Existing Fixture Watts]]/1000)*ReviewCalcs[[#This Row],[Existing CF]]*ReviewCalcs[[#This Row],[IEFD]], 0)</f>
        <v>0</v>
      </c>
      <c r="AI290" s="68">
        <f>IFERROR((ReviewCalcs[[#This Row],[Proposed Fixture Quantity]]*ReviewCalcs[[#This Row],[Proposed Fixture Watts]]/1000)*ReviewCalcs[[#This Row],[Existing CF]]*ReviewCalcs[[#This Row],[IEFD]], 0)</f>
        <v>0</v>
      </c>
      <c r="AJ290" s="118">
        <f>IFERROR((ReviewCalcs[[#This Row],[Existing Fixture Quantity]]*ReviewCalcs[[#This Row],[Existing Fixture Watts]]/1000-ReviewCalcs[[#This Row],[Proposed Fixture Quantity]]*ReviewCalcs[[#This Row],[Proposed Fixture Watts]]/1000)*ReviewCalcs[[#This Row],[Existing CF]]*ReviewCalcs[[#This Row],[IEFD]], 0)</f>
        <v>0</v>
      </c>
      <c r="AK290" s="118">
        <f>IFERROR((ReviewCalcs[[#This Row],[Existing Fixture Quantity]]*ReviewCalcs[[#This Row],[Existing Fixture Watts]]/1000)*ReviewCalcs[[#This Row],[AOH]]*ReviewCalcs[[#This Row],[IEFE]]*ReviewCalcs[[#This Row],[Existing PAF]], 0)</f>
        <v>0</v>
      </c>
      <c r="AL290" s="118">
        <f>IFERROR((ReviewCalcs[[#This Row],[Proposed Fixture Quantity]]*ReviewCalcs[[#This Row],[Proposed Fixture Watts]]/1000)*ReviewCalcs[[#This Row],[AOH]]*ReviewCalcs[[#This Row],[IEFE]]*ReviewCalcs[[#This Row],[Existing PAF]], 0)</f>
        <v>0</v>
      </c>
      <c r="AM29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0" s="118">
        <f>ReviewCalcs[[#This Row],[Fixture Existing Energy (kWh)]]*Avg_KWh_Rate</f>
        <v>0</v>
      </c>
      <c r="AO290" s="118">
        <f>ReviewCalcs[[#This Row],[Fixture Proposed Energy (kWh)]]*Avg_KWh_Rate</f>
        <v>0</v>
      </c>
      <c r="AP290" s="70">
        <f>ReviewCalcs[[#This Row],[Fixture Energy Savings]]*Avg_KWh_Rate</f>
        <v>0</v>
      </c>
      <c r="AQ290" s="129" t="e">
        <f>ReviewCalcs[[#This Row],[Existing Fixture Quantity]]*ReviewCalcs[[#This Row],[Existing Fixture Watts]]/1000*ReviewCalcs[[#This Row],[Existing CF]]*ReviewCalcs[[#This Row],[IEFD]]</f>
        <v>#VALUE!</v>
      </c>
      <c r="AR290" s="129" t="e">
        <f>ReviewCalcs[[#This Row],[Proposed Fixture Quantity]]*ReviewCalcs[[#This Row],[Proposed Fixture Watts]]/1000*ReviewCalcs[[#This Row],[Proposed CF]]*ReviewCalcs[[#This Row],[IEFD]]</f>
        <v>#VALUE!</v>
      </c>
      <c r="AS290" s="118">
        <f>IF(ReviewCalcs[[#This Row],[Existing CF]]=ReviewCalcs[[#This Row],[Proposed CF]], 0, ReviewCalcs[[#This Row],[Proposed Fixture Quantity]]*ReviewCalcs[[#This Row],[Proposed Fixture Watts]]/1000*ReviewCalcs[[#This Row],[Proposed CF]]*ReviewCalcs[[#This Row],[IEFD]])</f>
        <v>0</v>
      </c>
      <c r="AT290" s="118">
        <f>IFERROR(ReviewCalcs[[#This Row],[Existing Fixture Quantity]]*ReviewCalcs[[#This Row],[Existing Fixture Watts]]/1000*ReviewCalcs[[#This Row],[Existing PAF]]*ReviewCalcs[[#This Row],[AOH]]*ReviewCalcs[[#This Row],[IEFE]], 0)</f>
        <v>0</v>
      </c>
      <c r="AU290" s="118">
        <f>IFERROR(ReviewCalcs[[#This Row],[Proposed Fixture Quantity]]*ReviewCalcs[[#This Row],[Proposed Fixture Watts]]/1000*ReviewCalcs[[#This Row],[Proposed PAF]]*ReviewCalcs[[#This Row],[AOH]]*ReviewCalcs[[#This Row],[IEFE]], 0)</f>
        <v>0</v>
      </c>
      <c r="AV290" s="118">
        <f>IFERROR(ReviewCalcs[[#This Row],[Proposed Fixture Quantity]]*ReviewCalcs[[#This Row],[Proposed Fixture Watts]]/1000*(ReviewCalcs[[#This Row],[Existing PAF]]-ReviewCalcs[[#This Row],[Proposed PAF]])*ReviewCalcs[[#This Row],[AOH]]*ReviewCalcs[[#This Row],[IEFE]], 0)</f>
        <v>0</v>
      </c>
      <c r="AW290" s="118">
        <f>ReviewCalcs[[#This Row],[Control Existing Energy (kWh)]]*kWh_Incentive_Rate</f>
        <v>0</v>
      </c>
      <c r="AX290" s="118">
        <f>ReviewCalcs[[#This Row],[Control Proposed Energy (kWh)]]*kWh_Incentive_Rate</f>
        <v>0</v>
      </c>
      <c r="AY290" s="70">
        <f>ReviewCalcs[[#This Row],[Control Energy Savings (kWh)]]*kWh_Incentive_Rate</f>
        <v>0</v>
      </c>
      <c r="AZ290" s="70" t="e">
        <f>ReviewCalcs[[#This Row],[Fixture Existing Demand (kW)]]+ReviewCalcs[[#This Row],[Control Existing Demand (kW)]]</f>
        <v>#VALUE!</v>
      </c>
      <c r="BA290" s="70" t="e">
        <f>ReviewCalcs[[#This Row],[Fixture Proposed Demand (kW)]]+ReviewCalcs[[#This Row],[Control Proposed Demand (kW)]]</f>
        <v>#VALUE!</v>
      </c>
      <c r="BB290" s="118">
        <f>ReviewCalcs[[#This Row],[Fixture Demand Savings (kW)]]+ReviewCalcs[[#This Row],[Control Demand Savings (kW)]]</f>
        <v>0</v>
      </c>
      <c r="BC290" s="118">
        <f>ReviewCalcs[[#This Row],[Fixture Existing Energy (kWh)]]+ReviewCalcs[[#This Row],[Control Existing Energy (kWh)]]</f>
        <v>0</v>
      </c>
      <c r="BD290" s="118">
        <f>ReviewCalcs[[#This Row],[Fixture Proposed Energy (kWh)]]+ReviewCalcs[[#This Row],[Control Proposed Energy (kWh)]]</f>
        <v>0</v>
      </c>
      <c r="BE290" s="118">
        <f>ReviewCalcs[[#This Row],[Fixture Energy Savings]]+ReviewCalcs[[#This Row],[Control Energy Savings (kWh)]]</f>
        <v>0</v>
      </c>
      <c r="BF290" s="118">
        <f>ReviewCalcs[[#This Row],[Fixture Existing Cost ($)]]+ReviewCalcs[[#This Row],[Control Existing Cost ($)]]</f>
        <v>0</v>
      </c>
      <c r="BG290" s="118">
        <f>ReviewCalcs[[#This Row],[Fixture Proposed Cost ($)]]+ReviewCalcs[[#This Row],[Controls Proposed Cost ($)]]</f>
        <v>0</v>
      </c>
      <c r="BH290" s="70">
        <f>ReviewCalcs[[#This Row],[Total Energy Savings (kWh)]]*Avg_KWh_Rate</f>
        <v>0</v>
      </c>
      <c r="BI29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0" s="70">
        <f>ReviewCalcs[[#This Row],[Retrofit Cost]]</f>
        <v>0</v>
      </c>
      <c r="BK290" s="70">
        <f>ReviewCalcs[[#This Row],[Retrofit Cost]]-ReviewCalcs[[#This Row],[Incentive ($)]]</f>
        <v>0</v>
      </c>
      <c r="BL290" s="118" t="e">
        <f>IFERROR(ReviewCalcs[[#This Row],[Net Project Cost ($)]]/ReviewCalcs[[#This Row],[Fixture Energy Cost Savings ($)]], #N/A)</f>
        <v>#N/A</v>
      </c>
      <c r="BM290" s="118" t="e">
        <f>IF(VLOOKUP(ReviewCalcs[[#This Row],[Existing Fixture Code]], Table7[[FIXTURE CODE]:[Baseline Fixture Code]], 8, FALSE)="N", VLOOKUP(ReviewCalcs[[#This Row],[Existing Fixture Code]], Table7[[FIXTURE CODE]:[Baseline Fixture Code]], 9, FALSE), ReviewCalcs[[#This Row],[Existing Fixture Code]])</f>
        <v>#N/A</v>
      </c>
      <c r="BN290" s="118" t="e">
        <f>INDEX(Table7[WATT/ FIXT], MATCH(ReviewCalcs[Baseline Fixture Code], Table7[FIXTURE CODE], 0))</f>
        <v>#N/A</v>
      </c>
      <c r="BO290" s="118">
        <f>IFERROR((ReviewCalcs[[#This Row],[Existing Fixture Quantity]]*ReviewCalcs[[#This Row],[Baseline Fixture Watts]]/1000-ReviewCalcs[[#This Row],[Proposed Fixture Quantity]]*ReviewCalcs[[#This Row],[Proposed Fixture Watts]]/1000)*ReviewCalcs[[#This Row],[Existing CF]]*ReviewCalcs[[#This Row],[IEFD]], 0)</f>
        <v>0</v>
      </c>
      <c r="BP29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0" s="118">
        <f>IF(ReviewCalcs[[#This Row],[Existing CF]]=ReviewCalcs[[#This Row],[Proposed CF]], 0, ReviewCalcs[[#This Row],[Proposed Fixture Quantity]]*ReviewCalcs[[#This Row],[Proposed Fixture Watts]]/1000*ReviewCalcs[[#This Row],[Proposed CF]]*ReviewCalcs[[#This Row],[IEFD]])</f>
        <v>0</v>
      </c>
      <c r="BR290" s="118">
        <f>IFERROR(ReviewCalcs[[#This Row],[Proposed Fixture Quantity]]*ReviewCalcs[[#This Row],[Proposed Fixture Watts]]/1000*(ReviewCalcs[[#This Row],[Existing PAF]]-ReviewCalcs[[#This Row],[Proposed PAF]])*ReviewCalcs[[#This Row],[AOH]]*ReviewCalcs[[#This Row],[IEFE]],0)</f>
        <v>0</v>
      </c>
      <c r="BS290" s="118">
        <f>ReviewCalcs[[#This Row],[Incentive Fixture Demand Savings (kW)]]+ReviewCalcs[[#This Row],[Incentive Control Demand Savings (kW)]]</f>
        <v>0</v>
      </c>
      <c r="BT290" s="118">
        <f>ReviewCalcs[[#This Row],[Incentive Fixture Energy Savings (kWh)]]+ReviewCalcs[[#This Row],[Incentive Control Energy Savings (kWh)]]</f>
        <v>0</v>
      </c>
      <c r="BU290" s="73"/>
    </row>
    <row r="291" spans="1:73" ht="30" customHeight="1">
      <c r="A291" s="68">
        <v>288</v>
      </c>
      <c r="B291" s="96">
        <f>VLOOKUP(ReviewCalcs[[#This Row],[Project Index]], ProjectInput[], D$1, FALSE)</f>
        <v>0</v>
      </c>
      <c r="C291" s="97">
        <f>VLOOKUP(ReviewCalcs[[#This Row],[Project Index]], ProjectInput[], E$1, FALSE)</f>
        <v>0</v>
      </c>
      <c r="D291" s="97">
        <f>VLOOKUP(ReviewCalcs[[#This Row],[Project Index]], ProjectInput[], F$1, FALSE)</f>
        <v>0</v>
      </c>
      <c r="E291" s="97">
        <f>VLOOKUP(ReviewCalcs[[#This Row],[Project Index]], ProjectInput[], G$1, FALSE)</f>
        <v>0</v>
      </c>
      <c r="F291" s="97">
        <f>VLOOKUP(ReviewCalcs[[#This Row],[Project Index]], ProjectInput[], H$1, FALSE)</f>
        <v>0</v>
      </c>
      <c r="G291" s="98" t="str">
        <f>VLOOKUP(ReviewCalcs[[#This Row],[Project Index]], ProjectInput[], I$1, FALSE)</f>
        <v/>
      </c>
      <c r="H291" s="96">
        <f>VLOOKUP(ReviewCalcs[[#This Row],[Project Index]], ProjectInput[], J$1, FALSE)</f>
        <v>0</v>
      </c>
      <c r="I291" s="97">
        <f>VLOOKUP(ReviewCalcs[[#This Row],[Project Index]], ProjectInput[], K$1, FALSE)</f>
        <v>0</v>
      </c>
      <c r="J291" s="97">
        <f>VLOOKUP(ReviewCalcs[[#This Row],[Project Index]], ProjectInput[], L$1, FALSE)</f>
        <v>0</v>
      </c>
      <c r="K291" s="97">
        <f>VLOOKUP(ReviewCalcs[[#This Row],[Project Index]], ProjectInput[], M$1, FALSE)</f>
        <v>0</v>
      </c>
      <c r="L291" s="97">
        <f>VLOOKUP(ReviewCalcs[[#This Row],[Project Index]], ProjectInput[], N$1, FALSE)</f>
        <v>0</v>
      </c>
      <c r="M291" s="98" t="str">
        <f>VLOOKUP(ReviewCalcs[[#This Row],[Project Index]], ProjectInput[], O$1, FALSE)</f>
        <v/>
      </c>
      <c r="N291" s="96">
        <f>VLOOKUP(ReviewCalcs[[#This Row],[Project Index]], ProjectInput[], P$1, FALSE)</f>
        <v>0</v>
      </c>
      <c r="O291" s="97">
        <f>VLOOKUP(ReviewCalcs[[#This Row],[Project Index]], ProjectInput[], Q$1, FALSE)</f>
        <v>0</v>
      </c>
      <c r="P291" s="97">
        <f>VLOOKUP(ReviewCalcs[[#This Row],[Project Index]], ProjectInput[], R$1, FALSE)</f>
        <v>0</v>
      </c>
      <c r="Q291" s="97">
        <f>VLOOKUP(ReviewCalcs[[#This Row],[Project Index]], ProjectInput[], S$1, FALSE)</f>
        <v>0</v>
      </c>
      <c r="R291" s="97">
        <f>VLOOKUP(ReviewCalcs[[#This Row],[Project Index]], ProjectInput[], T$1, FALSE)</f>
        <v>0</v>
      </c>
      <c r="S291" s="97">
        <f>VLOOKUP(ReviewCalcs[[#This Row],[Project Index]], ProjectInput[], U$1, FALSE)</f>
        <v>0</v>
      </c>
      <c r="T291" s="97">
        <f>VLOOKUP(ReviewCalcs[[#This Row],[Project Index]], ProjectInput[], V$1, FALSE)</f>
        <v>0</v>
      </c>
      <c r="U291" s="97">
        <f>VLOOKUP(ReviewCalcs[[#This Row],[Project Index]], ProjectInput[], W$1, FALSE)</f>
        <v>0</v>
      </c>
      <c r="V291" s="98" t="str">
        <f>VLOOKUP(ReviewCalcs[[#This Row],[Project Index]], ProjectInput[], X$1, FALSE)</f>
        <v/>
      </c>
      <c r="W29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1" s="75" t="e">
        <f>IF(VLOOKUP(ReviewCalcs[[#This Row],[Proposed Fixture Code]], Table7[[FIXTURE CODE]:[Baseline Fixture Code]], 8, FALSE)="N", "ERROR", "PASS")</f>
        <v>#N/A</v>
      </c>
      <c r="Y29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1" s="75" t="e">
        <f>IF(OR(ReviewCalcs[[#This Row],[Baseline Fixture Watts]]&gt;=ReviewCalcs[[#This Row],[Proposed Fixture Watts]],ReviewCalcs[[#This Row],[Existing Fixture Watts]]&gt;=ReviewCalcs[[#This Row],[Proposed Fixture Watts]] ), "PASS", "ERROR")</f>
        <v>#N/A</v>
      </c>
      <c r="AA291" s="69" t="e">
        <f>VLOOKUP(ReviewCalcs[[#This Row],[Space Conditions]], Table_365[], 5, FALSE)</f>
        <v>#N/A</v>
      </c>
      <c r="AB291" s="68" t="str">
        <f>ReviewCalcs[[#This Row],[Annual Hours]]</f>
        <v/>
      </c>
      <c r="AC291" s="68" t="e">
        <f>VLOOKUP(ReviewCalcs[[#This Row],[Space Conditions]], Table_365[], 6, FALSE)</f>
        <v>#N/A</v>
      </c>
      <c r="AD291" s="68">
        <f>IF(ReviewCalcs[[#This Row],[Existing Control(s)]]='Tables &amp; Ranges'!$A$25, VLOOKUP(ReviewCalcs[[#This Row],[Building/Space Type]], Table_364[], 3, FALSE), CF_Contols)</f>
        <v>0.26</v>
      </c>
      <c r="AE291" s="68" t="e">
        <f>VLOOKUP(ReviewCalcs[[#This Row],[Existing Control(s)]], Table_358[], 2, FALSE)</f>
        <v>#N/A</v>
      </c>
      <c r="AF291" s="68">
        <f>IF(ReviewCalcs[[#This Row],[Proposed Control(s)]]='Tables &amp; Ranges'!$A$25, VLOOKUP(ReviewCalcs[[#This Row],[Building/Space Type]], Table_364[], 3, FALSE), CF_Contols)</f>
        <v>0.26</v>
      </c>
      <c r="AG291" s="68" t="e">
        <f>VLOOKUP(ReviewCalcs[[#This Row],[Proposed Control(s)]], Table_358[], 2, FALSE)</f>
        <v>#N/A</v>
      </c>
      <c r="AH291" s="68">
        <f>IFERROR((ReviewCalcs[[#This Row],[Existing Fixture Quantity]]*ReviewCalcs[[#This Row],[Existing Fixture Watts]]/1000)*ReviewCalcs[[#This Row],[Existing CF]]*ReviewCalcs[[#This Row],[IEFD]], 0)</f>
        <v>0</v>
      </c>
      <c r="AI291" s="68">
        <f>IFERROR((ReviewCalcs[[#This Row],[Proposed Fixture Quantity]]*ReviewCalcs[[#This Row],[Proposed Fixture Watts]]/1000)*ReviewCalcs[[#This Row],[Existing CF]]*ReviewCalcs[[#This Row],[IEFD]], 0)</f>
        <v>0</v>
      </c>
      <c r="AJ291" s="118">
        <f>IFERROR((ReviewCalcs[[#This Row],[Existing Fixture Quantity]]*ReviewCalcs[[#This Row],[Existing Fixture Watts]]/1000-ReviewCalcs[[#This Row],[Proposed Fixture Quantity]]*ReviewCalcs[[#This Row],[Proposed Fixture Watts]]/1000)*ReviewCalcs[[#This Row],[Existing CF]]*ReviewCalcs[[#This Row],[IEFD]], 0)</f>
        <v>0</v>
      </c>
      <c r="AK291" s="118">
        <f>IFERROR((ReviewCalcs[[#This Row],[Existing Fixture Quantity]]*ReviewCalcs[[#This Row],[Existing Fixture Watts]]/1000)*ReviewCalcs[[#This Row],[AOH]]*ReviewCalcs[[#This Row],[IEFE]]*ReviewCalcs[[#This Row],[Existing PAF]], 0)</f>
        <v>0</v>
      </c>
      <c r="AL291" s="118">
        <f>IFERROR((ReviewCalcs[[#This Row],[Proposed Fixture Quantity]]*ReviewCalcs[[#This Row],[Proposed Fixture Watts]]/1000)*ReviewCalcs[[#This Row],[AOH]]*ReviewCalcs[[#This Row],[IEFE]]*ReviewCalcs[[#This Row],[Existing PAF]], 0)</f>
        <v>0</v>
      </c>
      <c r="AM29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1" s="118">
        <f>ReviewCalcs[[#This Row],[Fixture Existing Energy (kWh)]]*Avg_KWh_Rate</f>
        <v>0</v>
      </c>
      <c r="AO291" s="118">
        <f>ReviewCalcs[[#This Row],[Fixture Proposed Energy (kWh)]]*Avg_KWh_Rate</f>
        <v>0</v>
      </c>
      <c r="AP291" s="70">
        <f>ReviewCalcs[[#This Row],[Fixture Energy Savings]]*Avg_KWh_Rate</f>
        <v>0</v>
      </c>
      <c r="AQ291" s="129" t="e">
        <f>ReviewCalcs[[#This Row],[Existing Fixture Quantity]]*ReviewCalcs[[#This Row],[Existing Fixture Watts]]/1000*ReviewCalcs[[#This Row],[Existing CF]]*ReviewCalcs[[#This Row],[IEFD]]</f>
        <v>#VALUE!</v>
      </c>
      <c r="AR291" s="129" t="e">
        <f>ReviewCalcs[[#This Row],[Proposed Fixture Quantity]]*ReviewCalcs[[#This Row],[Proposed Fixture Watts]]/1000*ReviewCalcs[[#This Row],[Proposed CF]]*ReviewCalcs[[#This Row],[IEFD]]</f>
        <v>#VALUE!</v>
      </c>
      <c r="AS291" s="118">
        <f>IF(ReviewCalcs[[#This Row],[Existing CF]]=ReviewCalcs[[#This Row],[Proposed CF]], 0, ReviewCalcs[[#This Row],[Proposed Fixture Quantity]]*ReviewCalcs[[#This Row],[Proposed Fixture Watts]]/1000*ReviewCalcs[[#This Row],[Proposed CF]]*ReviewCalcs[[#This Row],[IEFD]])</f>
        <v>0</v>
      </c>
      <c r="AT291" s="118">
        <f>IFERROR(ReviewCalcs[[#This Row],[Existing Fixture Quantity]]*ReviewCalcs[[#This Row],[Existing Fixture Watts]]/1000*ReviewCalcs[[#This Row],[Existing PAF]]*ReviewCalcs[[#This Row],[AOH]]*ReviewCalcs[[#This Row],[IEFE]], 0)</f>
        <v>0</v>
      </c>
      <c r="AU291" s="118">
        <f>IFERROR(ReviewCalcs[[#This Row],[Proposed Fixture Quantity]]*ReviewCalcs[[#This Row],[Proposed Fixture Watts]]/1000*ReviewCalcs[[#This Row],[Proposed PAF]]*ReviewCalcs[[#This Row],[AOH]]*ReviewCalcs[[#This Row],[IEFE]], 0)</f>
        <v>0</v>
      </c>
      <c r="AV291" s="118">
        <f>IFERROR(ReviewCalcs[[#This Row],[Proposed Fixture Quantity]]*ReviewCalcs[[#This Row],[Proposed Fixture Watts]]/1000*(ReviewCalcs[[#This Row],[Existing PAF]]-ReviewCalcs[[#This Row],[Proposed PAF]])*ReviewCalcs[[#This Row],[AOH]]*ReviewCalcs[[#This Row],[IEFE]], 0)</f>
        <v>0</v>
      </c>
      <c r="AW291" s="118">
        <f>ReviewCalcs[[#This Row],[Control Existing Energy (kWh)]]*kWh_Incentive_Rate</f>
        <v>0</v>
      </c>
      <c r="AX291" s="118">
        <f>ReviewCalcs[[#This Row],[Control Proposed Energy (kWh)]]*kWh_Incentive_Rate</f>
        <v>0</v>
      </c>
      <c r="AY291" s="70">
        <f>ReviewCalcs[[#This Row],[Control Energy Savings (kWh)]]*kWh_Incentive_Rate</f>
        <v>0</v>
      </c>
      <c r="AZ291" s="70" t="e">
        <f>ReviewCalcs[[#This Row],[Fixture Existing Demand (kW)]]+ReviewCalcs[[#This Row],[Control Existing Demand (kW)]]</f>
        <v>#VALUE!</v>
      </c>
      <c r="BA291" s="70" t="e">
        <f>ReviewCalcs[[#This Row],[Fixture Proposed Demand (kW)]]+ReviewCalcs[[#This Row],[Control Proposed Demand (kW)]]</f>
        <v>#VALUE!</v>
      </c>
      <c r="BB291" s="118">
        <f>ReviewCalcs[[#This Row],[Fixture Demand Savings (kW)]]+ReviewCalcs[[#This Row],[Control Demand Savings (kW)]]</f>
        <v>0</v>
      </c>
      <c r="BC291" s="118">
        <f>ReviewCalcs[[#This Row],[Fixture Existing Energy (kWh)]]+ReviewCalcs[[#This Row],[Control Existing Energy (kWh)]]</f>
        <v>0</v>
      </c>
      <c r="BD291" s="118">
        <f>ReviewCalcs[[#This Row],[Fixture Proposed Energy (kWh)]]+ReviewCalcs[[#This Row],[Control Proposed Energy (kWh)]]</f>
        <v>0</v>
      </c>
      <c r="BE291" s="118">
        <f>ReviewCalcs[[#This Row],[Fixture Energy Savings]]+ReviewCalcs[[#This Row],[Control Energy Savings (kWh)]]</f>
        <v>0</v>
      </c>
      <c r="BF291" s="118">
        <f>ReviewCalcs[[#This Row],[Fixture Existing Cost ($)]]+ReviewCalcs[[#This Row],[Control Existing Cost ($)]]</f>
        <v>0</v>
      </c>
      <c r="BG291" s="118">
        <f>ReviewCalcs[[#This Row],[Fixture Proposed Cost ($)]]+ReviewCalcs[[#This Row],[Controls Proposed Cost ($)]]</f>
        <v>0</v>
      </c>
      <c r="BH291" s="70">
        <f>ReviewCalcs[[#This Row],[Total Energy Savings (kWh)]]*Avg_KWh_Rate</f>
        <v>0</v>
      </c>
      <c r="BI29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1" s="70">
        <f>ReviewCalcs[[#This Row],[Retrofit Cost]]</f>
        <v>0</v>
      </c>
      <c r="BK291" s="70">
        <f>ReviewCalcs[[#This Row],[Retrofit Cost]]-ReviewCalcs[[#This Row],[Incentive ($)]]</f>
        <v>0</v>
      </c>
      <c r="BL291" s="118" t="e">
        <f>IFERROR(ReviewCalcs[[#This Row],[Net Project Cost ($)]]/ReviewCalcs[[#This Row],[Fixture Energy Cost Savings ($)]], #N/A)</f>
        <v>#N/A</v>
      </c>
      <c r="BM291" s="118" t="e">
        <f>IF(VLOOKUP(ReviewCalcs[[#This Row],[Existing Fixture Code]], Table7[[FIXTURE CODE]:[Baseline Fixture Code]], 8, FALSE)="N", VLOOKUP(ReviewCalcs[[#This Row],[Existing Fixture Code]], Table7[[FIXTURE CODE]:[Baseline Fixture Code]], 9, FALSE), ReviewCalcs[[#This Row],[Existing Fixture Code]])</f>
        <v>#N/A</v>
      </c>
      <c r="BN291" s="118" t="e">
        <f>INDEX(Table7[WATT/ FIXT], MATCH(ReviewCalcs[Baseline Fixture Code], Table7[FIXTURE CODE], 0))</f>
        <v>#N/A</v>
      </c>
      <c r="BO291" s="118">
        <f>IFERROR((ReviewCalcs[[#This Row],[Existing Fixture Quantity]]*ReviewCalcs[[#This Row],[Baseline Fixture Watts]]/1000-ReviewCalcs[[#This Row],[Proposed Fixture Quantity]]*ReviewCalcs[[#This Row],[Proposed Fixture Watts]]/1000)*ReviewCalcs[[#This Row],[Existing CF]]*ReviewCalcs[[#This Row],[IEFD]], 0)</f>
        <v>0</v>
      </c>
      <c r="BP29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1" s="118">
        <f>IF(ReviewCalcs[[#This Row],[Existing CF]]=ReviewCalcs[[#This Row],[Proposed CF]], 0, ReviewCalcs[[#This Row],[Proposed Fixture Quantity]]*ReviewCalcs[[#This Row],[Proposed Fixture Watts]]/1000*ReviewCalcs[[#This Row],[Proposed CF]]*ReviewCalcs[[#This Row],[IEFD]])</f>
        <v>0</v>
      </c>
      <c r="BR291" s="118">
        <f>IFERROR(ReviewCalcs[[#This Row],[Proposed Fixture Quantity]]*ReviewCalcs[[#This Row],[Proposed Fixture Watts]]/1000*(ReviewCalcs[[#This Row],[Existing PAF]]-ReviewCalcs[[#This Row],[Proposed PAF]])*ReviewCalcs[[#This Row],[AOH]]*ReviewCalcs[[#This Row],[IEFE]],0)</f>
        <v>0</v>
      </c>
      <c r="BS291" s="118">
        <f>ReviewCalcs[[#This Row],[Incentive Fixture Demand Savings (kW)]]+ReviewCalcs[[#This Row],[Incentive Control Demand Savings (kW)]]</f>
        <v>0</v>
      </c>
      <c r="BT291" s="118">
        <f>ReviewCalcs[[#This Row],[Incentive Fixture Energy Savings (kWh)]]+ReviewCalcs[[#This Row],[Incentive Control Energy Savings (kWh)]]</f>
        <v>0</v>
      </c>
      <c r="BU291" s="73"/>
    </row>
    <row r="292" spans="1:73" ht="30" customHeight="1">
      <c r="A292" s="68">
        <v>289</v>
      </c>
      <c r="B292" s="96">
        <f>VLOOKUP(ReviewCalcs[[#This Row],[Project Index]], ProjectInput[], D$1, FALSE)</f>
        <v>0</v>
      </c>
      <c r="C292" s="97">
        <f>VLOOKUP(ReviewCalcs[[#This Row],[Project Index]], ProjectInput[], E$1, FALSE)</f>
        <v>0</v>
      </c>
      <c r="D292" s="97">
        <f>VLOOKUP(ReviewCalcs[[#This Row],[Project Index]], ProjectInput[], F$1, FALSE)</f>
        <v>0</v>
      </c>
      <c r="E292" s="97">
        <f>VLOOKUP(ReviewCalcs[[#This Row],[Project Index]], ProjectInput[], G$1, FALSE)</f>
        <v>0</v>
      </c>
      <c r="F292" s="97">
        <f>VLOOKUP(ReviewCalcs[[#This Row],[Project Index]], ProjectInput[], H$1, FALSE)</f>
        <v>0</v>
      </c>
      <c r="G292" s="98" t="str">
        <f>VLOOKUP(ReviewCalcs[[#This Row],[Project Index]], ProjectInput[], I$1, FALSE)</f>
        <v/>
      </c>
      <c r="H292" s="96">
        <f>VLOOKUP(ReviewCalcs[[#This Row],[Project Index]], ProjectInput[], J$1, FALSE)</f>
        <v>0</v>
      </c>
      <c r="I292" s="97">
        <f>VLOOKUP(ReviewCalcs[[#This Row],[Project Index]], ProjectInput[], K$1, FALSE)</f>
        <v>0</v>
      </c>
      <c r="J292" s="97">
        <f>VLOOKUP(ReviewCalcs[[#This Row],[Project Index]], ProjectInput[], L$1, FALSE)</f>
        <v>0</v>
      </c>
      <c r="K292" s="97">
        <f>VLOOKUP(ReviewCalcs[[#This Row],[Project Index]], ProjectInput[], M$1, FALSE)</f>
        <v>0</v>
      </c>
      <c r="L292" s="97">
        <f>VLOOKUP(ReviewCalcs[[#This Row],[Project Index]], ProjectInput[], N$1, FALSE)</f>
        <v>0</v>
      </c>
      <c r="M292" s="98" t="str">
        <f>VLOOKUP(ReviewCalcs[[#This Row],[Project Index]], ProjectInput[], O$1, FALSE)</f>
        <v/>
      </c>
      <c r="N292" s="96">
        <f>VLOOKUP(ReviewCalcs[[#This Row],[Project Index]], ProjectInput[], P$1, FALSE)</f>
        <v>0</v>
      </c>
      <c r="O292" s="97">
        <f>VLOOKUP(ReviewCalcs[[#This Row],[Project Index]], ProjectInput[], Q$1, FALSE)</f>
        <v>0</v>
      </c>
      <c r="P292" s="97">
        <f>VLOOKUP(ReviewCalcs[[#This Row],[Project Index]], ProjectInput[], R$1, FALSE)</f>
        <v>0</v>
      </c>
      <c r="Q292" s="97">
        <f>VLOOKUP(ReviewCalcs[[#This Row],[Project Index]], ProjectInput[], S$1, FALSE)</f>
        <v>0</v>
      </c>
      <c r="R292" s="97">
        <f>VLOOKUP(ReviewCalcs[[#This Row],[Project Index]], ProjectInput[], T$1, FALSE)</f>
        <v>0</v>
      </c>
      <c r="S292" s="97">
        <f>VLOOKUP(ReviewCalcs[[#This Row],[Project Index]], ProjectInput[], U$1, FALSE)</f>
        <v>0</v>
      </c>
      <c r="T292" s="97">
        <f>VLOOKUP(ReviewCalcs[[#This Row],[Project Index]], ProjectInput[], V$1, FALSE)</f>
        <v>0</v>
      </c>
      <c r="U292" s="97">
        <f>VLOOKUP(ReviewCalcs[[#This Row],[Project Index]], ProjectInput[], W$1, FALSE)</f>
        <v>0</v>
      </c>
      <c r="V292" s="98" t="str">
        <f>VLOOKUP(ReviewCalcs[[#This Row],[Project Index]], ProjectInput[], X$1, FALSE)</f>
        <v/>
      </c>
      <c r="W29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2" s="75" t="e">
        <f>IF(VLOOKUP(ReviewCalcs[[#This Row],[Proposed Fixture Code]], Table7[[FIXTURE CODE]:[Baseline Fixture Code]], 8, FALSE)="N", "ERROR", "PASS")</f>
        <v>#N/A</v>
      </c>
      <c r="Y29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2" s="75" t="e">
        <f>IF(OR(ReviewCalcs[[#This Row],[Baseline Fixture Watts]]&gt;=ReviewCalcs[[#This Row],[Proposed Fixture Watts]],ReviewCalcs[[#This Row],[Existing Fixture Watts]]&gt;=ReviewCalcs[[#This Row],[Proposed Fixture Watts]] ), "PASS", "ERROR")</f>
        <v>#N/A</v>
      </c>
      <c r="AA292" s="69" t="e">
        <f>VLOOKUP(ReviewCalcs[[#This Row],[Space Conditions]], Table_365[], 5, FALSE)</f>
        <v>#N/A</v>
      </c>
      <c r="AB292" s="68" t="str">
        <f>ReviewCalcs[[#This Row],[Annual Hours]]</f>
        <v/>
      </c>
      <c r="AC292" s="68" t="e">
        <f>VLOOKUP(ReviewCalcs[[#This Row],[Space Conditions]], Table_365[], 6, FALSE)</f>
        <v>#N/A</v>
      </c>
      <c r="AD292" s="68">
        <f>IF(ReviewCalcs[[#This Row],[Existing Control(s)]]='Tables &amp; Ranges'!$A$25, VLOOKUP(ReviewCalcs[[#This Row],[Building/Space Type]], Table_364[], 3, FALSE), CF_Contols)</f>
        <v>0.26</v>
      </c>
      <c r="AE292" s="68" t="e">
        <f>VLOOKUP(ReviewCalcs[[#This Row],[Existing Control(s)]], Table_358[], 2, FALSE)</f>
        <v>#N/A</v>
      </c>
      <c r="AF292" s="68">
        <f>IF(ReviewCalcs[[#This Row],[Proposed Control(s)]]='Tables &amp; Ranges'!$A$25, VLOOKUP(ReviewCalcs[[#This Row],[Building/Space Type]], Table_364[], 3, FALSE), CF_Contols)</f>
        <v>0.26</v>
      </c>
      <c r="AG292" s="68" t="e">
        <f>VLOOKUP(ReviewCalcs[[#This Row],[Proposed Control(s)]], Table_358[], 2, FALSE)</f>
        <v>#N/A</v>
      </c>
      <c r="AH292" s="68">
        <f>IFERROR((ReviewCalcs[[#This Row],[Existing Fixture Quantity]]*ReviewCalcs[[#This Row],[Existing Fixture Watts]]/1000)*ReviewCalcs[[#This Row],[Existing CF]]*ReviewCalcs[[#This Row],[IEFD]], 0)</f>
        <v>0</v>
      </c>
      <c r="AI292" s="68">
        <f>IFERROR((ReviewCalcs[[#This Row],[Proposed Fixture Quantity]]*ReviewCalcs[[#This Row],[Proposed Fixture Watts]]/1000)*ReviewCalcs[[#This Row],[Existing CF]]*ReviewCalcs[[#This Row],[IEFD]], 0)</f>
        <v>0</v>
      </c>
      <c r="AJ292" s="118">
        <f>IFERROR((ReviewCalcs[[#This Row],[Existing Fixture Quantity]]*ReviewCalcs[[#This Row],[Existing Fixture Watts]]/1000-ReviewCalcs[[#This Row],[Proposed Fixture Quantity]]*ReviewCalcs[[#This Row],[Proposed Fixture Watts]]/1000)*ReviewCalcs[[#This Row],[Existing CF]]*ReviewCalcs[[#This Row],[IEFD]], 0)</f>
        <v>0</v>
      </c>
      <c r="AK292" s="118">
        <f>IFERROR((ReviewCalcs[[#This Row],[Existing Fixture Quantity]]*ReviewCalcs[[#This Row],[Existing Fixture Watts]]/1000)*ReviewCalcs[[#This Row],[AOH]]*ReviewCalcs[[#This Row],[IEFE]]*ReviewCalcs[[#This Row],[Existing PAF]], 0)</f>
        <v>0</v>
      </c>
      <c r="AL292" s="118">
        <f>IFERROR((ReviewCalcs[[#This Row],[Proposed Fixture Quantity]]*ReviewCalcs[[#This Row],[Proposed Fixture Watts]]/1000)*ReviewCalcs[[#This Row],[AOH]]*ReviewCalcs[[#This Row],[IEFE]]*ReviewCalcs[[#This Row],[Existing PAF]], 0)</f>
        <v>0</v>
      </c>
      <c r="AM29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2" s="118">
        <f>ReviewCalcs[[#This Row],[Fixture Existing Energy (kWh)]]*Avg_KWh_Rate</f>
        <v>0</v>
      </c>
      <c r="AO292" s="118">
        <f>ReviewCalcs[[#This Row],[Fixture Proposed Energy (kWh)]]*Avg_KWh_Rate</f>
        <v>0</v>
      </c>
      <c r="AP292" s="70">
        <f>ReviewCalcs[[#This Row],[Fixture Energy Savings]]*Avg_KWh_Rate</f>
        <v>0</v>
      </c>
      <c r="AQ292" s="129" t="e">
        <f>ReviewCalcs[[#This Row],[Existing Fixture Quantity]]*ReviewCalcs[[#This Row],[Existing Fixture Watts]]/1000*ReviewCalcs[[#This Row],[Existing CF]]*ReviewCalcs[[#This Row],[IEFD]]</f>
        <v>#VALUE!</v>
      </c>
      <c r="AR292" s="129" t="e">
        <f>ReviewCalcs[[#This Row],[Proposed Fixture Quantity]]*ReviewCalcs[[#This Row],[Proposed Fixture Watts]]/1000*ReviewCalcs[[#This Row],[Proposed CF]]*ReviewCalcs[[#This Row],[IEFD]]</f>
        <v>#VALUE!</v>
      </c>
      <c r="AS292" s="118">
        <f>IF(ReviewCalcs[[#This Row],[Existing CF]]=ReviewCalcs[[#This Row],[Proposed CF]], 0, ReviewCalcs[[#This Row],[Proposed Fixture Quantity]]*ReviewCalcs[[#This Row],[Proposed Fixture Watts]]/1000*ReviewCalcs[[#This Row],[Proposed CF]]*ReviewCalcs[[#This Row],[IEFD]])</f>
        <v>0</v>
      </c>
      <c r="AT292" s="118">
        <f>IFERROR(ReviewCalcs[[#This Row],[Existing Fixture Quantity]]*ReviewCalcs[[#This Row],[Existing Fixture Watts]]/1000*ReviewCalcs[[#This Row],[Existing PAF]]*ReviewCalcs[[#This Row],[AOH]]*ReviewCalcs[[#This Row],[IEFE]], 0)</f>
        <v>0</v>
      </c>
      <c r="AU292" s="118">
        <f>IFERROR(ReviewCalcs[[#This Row],[Proposed Fixture Quantity]]*ReviewCalcs[[#This Row],[Proposed Fixture Watts]]/1000*ReviewCalcs[[#This Row],[Proposed PAF]]*ReviewCalcs[[#This Row],[AOH]]*ReviewCalcs[[#This Row],[IEFE]], 0)</f>
        <v>0</v>
      </c>
      <c r="AV292" s="118">
        <f>IFERROR(ReviewCalcs[[#This Row],[Proposed Fixture Quantity]]*ReviewCalcs[[#This Row],[Proposed Fixture Watts]]/1000*(ReviewCalcs[[#This Row],[Existing PAF]]-ReviewCalcs[[#This Row],[Proposed PAF]])*ReviewCalcs[[#This Row],[AOH]]*ReviewCalcs[[#This Row],[IEFE]], 0)</f>
        <v>0</v>
      </c>
      <c r="AW292" s="118">
        <f>ReviewCalcs[[#This Row],[Control Existing Energy (kWh)]]*kWh_Incentive_Rate</f>
        <v>0</v>
      </c>
      <c r="AX292" s="118">
        <f>ReviewCalcs[[#This Row],[Control Proposed Energy (kWh)]]*kWh_Incentive_Rate</f>
        <v>0</v>
      </c>
      <c r="AY292" s="70">
        <f>ReviewCalcs[[#This Row],[Control Energy Savings (kWh)]]*kWh_Incentive_Rate</f>
        <v>0</v>
      </c>
      <c r="AZ292" s="70" t="e">
        <f>ReviewCalcs[[#This Row],[Fixture Existing Demand (kW)]]+ReviewCalcs[[#This Row],[Control Existing Demand (kW)]]</f>
        <v>#VALUE!</v>
      </c>
      <c r="BA292" s="70" t="e">
        <f>ReviewCalcs[[#This Row],[Fixture Proposed Demand (kW)]]+ReviewCalcs[[#This Row],[Control Proposed Demand (kW)]]</f>
        <v>#VALUE!</v>
      </c>
      <c r="BB292" s="118">
        <f>ReviewCalcs[[#This Row],[Fixture Demand Savings (kW)]]+ReviewCalcs[[#This Row],[Control Demand Savings (kW)]]</f>
        <v>0</v>
      </c>
      <c r="BC292" s="118">
        <f>ReviewCalcs[[#This Row],[Fixture Existing Energy (kWh)]]+ReviewCalcs[[#This Row],[Control Existing Energy (kWh)]]</f>
        <v>0</v>
      </c>
      <c r="BD292" s="118">
        <f>ReviewCalcs[[#This Row],[Fixture Proposed Energy (kWh)]]+ReviewCalcs[[#This Row],[Control Proposed Energy (kWh)]]</f>
        <v>0</v>
      </c>
      <c r="BE292" s="118">
        <f>ReviewCalcs[[#This Row],[Fixture Energy Savings]]+ReviewCalcs[[#This Row],[Control Energy Savings (kWh)]]</f>
        <v>0</v>
      </c>
      <c r="BF292" s="118">
        <f>ReviewCalcs[[#This Row],[Fixture Existing Cost ($)]]+ReviewCalcs[[#This Row],[Control Existing Cost ($)]]</f>
        <v>0</v>
      </c>
      <c r="BG292" s="118">
        <f>ReviewCalcs[[#This Row],[Fixture Proposed Cost ($)]]+ReviewCalcs[[#This Row],[Controls Proposed Cost ($)]]</f>
        <v>0</v>
      </c>
      <c r="BH292" s="70">
        <f>ReviewCalcs[[#This Row],[Total Energy Savings (kWh)]]*Avg_KWh_Rate</f>
        <v>0</v>
      </c>
      <c r="BI29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2" s="70">
        <f>ReviewCalcs[[#This Row],[Retrofit Cost]]</f>
        <v>0</v>
      </c>
      <c r="BK292" s="70">
        <f>ReviewCalcs[[#This Row],[Retrofit Cost]]-ReviewCalcs[[#This Row],[Incentive ($)]]</f>
        <v>0</v>
      </c>
      <c r="BL292" s="118" t="e">
        <f>IFERROR(ReviewCalcs[[#This Row],[Net Project Cost ($)]]/ReviewCalcs[[#This Row],[Fixture Energy Cost Savings ($)]], #N/A)</f>
        <v>#N/A</v>
      </c>
      <c r="BM292" s="118" t="e">
        <f>IF(VLOOKUP(ReviewCalcs[[#This Row],[Existing Fixture Code]], Table7[[FIXTURE CODE]:[Baseline Fixture Code]], 8, FALSE)="N", VLOOKUP(ReviewCalcs[[#This Row],[Existing Fixture Code]], Table7[[FIXTURE CODE]:[Baseline Fixture Code]], 9, FALSE), ReviewCalcs[[#This Row],[Existing Fixture Code]])</f>
        <v>#N/A</v>
      </c>
      <c r="BN292" s="118" t="e">
        <f>INDEX(Table7[WATT/ FIXT], MATCH(ReviewCalcs[Baseline Fixture Code], Table7[FIXTURE CODE], 0))</f>
        <v>#N/A</v>
      </c>
      <c r="BO292" s="118">
        <f>IFERROR((ReviewCalcs[[#This Row],[Existing Fixture Quantity]]*ReviewCalcs[[#This Row],[Baseline Fixture Watts]]/1000-ReviewCalcs[[#This Row],[Proposed Fixture Quantity]]*ReviewCalcs[[#This Row],[Proposed Fixture Watts]]/1000)*ReviewCalcs[[#This Row],[Existing CF]]*ReviewCalcs[[#This Row],[IEFD]], 0)</f>
        <v>0</v>
      </c>
      <c r="BP29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2" s="118">
        <f>IF(ReviewCalcs[[#This Row],[Existing CF]]=ReviewCalcs[[#This Row],[Proposed CF]], 0, ReviewCalcs[[#This Row],[Proposed Fixture Quantity]]*ReviewCalcs[[#This Row],[Proposed Fixture Watts]]/1000*ReviewCalcs[[#This Row],[Proposed CF]]*ReviewCalcs[[#This Row],[IEFD]])</f>
        <v>0</v>
      </c>
      <c r="BR292" s="118">
        <f>IFERROR(ReviewCalcs[[#This Row],[Proposed Fixture Quantity]]*ReviewCalcs[[#This Row],[Proposed Fixture Watts]]/1000*(ReviewCalcs[[#This Row],[Existing PAF]]-ReviewCalcs[[#This Row],[Proposed PAF]])*ReviewCalcs[[#This Row],[AOH]]*ReviewCalcs[[#This Row],[IEFE]],0)</f>
        <v>0</v>
      </c>
      <c r="BS292" s="118">
        <f>ReviewCalcs[[#This Row],[Incentive Fixture Demand Savings (kW)]]+ReviewCalcs[[#This Row],[Incentive Control Demand Savings (kW)]]</f>
        <v>0</v>
      </c>
      <c r="BT292" s="118">
        <f>ReviewCalcs[[#This Row],[Incentive Fixture Energy Savings (kWh)]]+ReviewCalcs[[#This Row],[Incentive Control Energy Savings (kWh)]]</f>
        <v>0</v>
      </c>
      <c r="BU292" s="73"/>
    </row>
    <row r="293" spans="1:73" ht="30" customHeight="1">
      <c r="A293" s="68">
        <v>290</v>
      </c>
      <c r="B293" s="96">
        <f>VLOOKUP(ReviewCalcs[[#This Row],[Project Index]], ProjectInput[], D$1, FALSE)</f>
        <v>0</v>
      </c>
      <c r="C293" s="97">
        <f>VLOOKUP(ReviewCalcs[[#This Row],[Project Index]], ProjectInput[], E$1, FALSE)</f>
        <v>0</v>
      </c>
      <c r="D293" s="97">
        <f>VLOOKUP(ReviewCalcs[[#This Row],[Project Index]], ProjectInput[], F$1, FALSE)</f>
        <v>0</v>
      </c>
      <c r="E293" s="97">
        <f>VLOOKUP(ReviewCalcs[[#This Row],[Project Index]], ProjectInput[], G$1, FALSE)</f>
        <v>0</v>
      </c>
      <c r="F293" s="97">
        <f>VLOOKUP(ReviewCalcs[[#This Row],[Project Index]], ProjectInput[], H$1, FALSE)</f>
        <v>0</v>
      </c>
      <c r="G293" s="98" t="str">
        <f>VLOOKUP(ReviewCalcs[[#This Row],[Project Index]], ProjectInput[], I$1, FALSE)</f>
        <v/>
      </c>
      <c r="H293" s="96">
        <f>VLOOKUP(ReviewCalcs[[#This Row],[Project Index]], ProjectInput[], J$1, FALSE)</f>
        <v>0</v>
      </c>
      <c r="I293" s="97">
        <f>VLOOKUP(ReviewCalcs[[#This Row],[Project Index]], ProjectInput[], K$1, FALSE)</f>
        <v>0</v>
      </c>
      <c r="J293" s="97">
        <f>VLOOKUP(ReviewCalcs[[#This Row],[Project Index]], ProjectInput[], L$1, FALSE)</f>
        <v>0</v>
      </c>
      <c r="K293" s="97">
        <f>VLOOKUP(ReviewCalcs[[#This Row],[Project Index]], ProjectInput[], M$1, FALSE)</f>
        <v>0</v>
      </c>
      <c r="L293" s="97">
        <f>VLOOKUP(ReviewCalcs[[#This Row],[Project Index]], ProjectInput[], N$1, FALSE)</f>
        <v>0</v>
      </c>
      <c r="M293" s="98" t="str">
        <f>VLOOKUP(ReviewCalcs[[#This Row],[Project Index]], ProjectInput[], O$1, FALSE)</f>
        <v/>
      </c>
      <c r="N293" s="96">
        <f>VLOOKUP(ReviewCalcs[[#This Row],[Project Index]], ProjectInput[], P$1, FALSE)</f>
        <v>0</v>
      </c>
      <c r="O293" s="97">
        <f>VLOOKUP(ReviewCalcs[[#This Row],[Project Index]], ProjectInput[], Q$1, FALSE)</f>
        <v>0</v>
      </c>
      <c r="P293" s="97">
        <f>VLOOKUP(ReviewCalcs[[#This Row],[Project Index]], ProjectInput[], R$1, FALSE)</f>
        <v>0</v>
      </c>
      <c r="Q293" s="97">
        <f>VLOOKUP(ReviewCalcs[[#This Row],[Project Index]], ProjectInput[], S$1, FALSE)</f>
        <v>0</v>
      </c>
      <c r="R293" s="97">
        <f>VLOOKUP(ReviewCalcs[[#This Row],[Project Index]], ProjectInput[], T$1, FALSE)</f>
        <v>0</v>
      </c>
      <c r="S293" s="97">
        <f>VLOOKUP(ReviewCalcs[[#This Row],[Project Index]], ProjectInput[], U$1, FALSE)</f>
        <v>0</v>
      </c>
      <c r="T293" s="97">
        <f>VLOOKUP(ReviewCalcs[[#This Row],[Project Index]], ProjectInput[], V$1, FALSE)</f>
        <v>0</v>
      </c>
      <c r="U293" s="97">
        <f>VLOOKUP(ReviewCalcs[[#This Row],[Project Index]], ProjectInput[], W$1, FALSE)</f>
        <v>0</v>
      </c>
      <c r="V293" s="98" t="str">
        <f>VLOOKUP(ReviewCalcs[[#This Row],[Project Index]], ProjectInput[], X$1, FALSE)</f>
        <v/>
      </c>
      <c r="W29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3" s="75" t="e">
        <f>IF(VLOOKUP(ReviewCalcs[[#This Row],[Proposed Fixture Code]], Table7[[FIXTURE CODE]:[Baseline Fixture Code]], 8, FALSE)="N", "ERROR", "PASS")</f>
        <v>#N/A</v>
      </c>
      <c r="Y29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3" s="75" t="e">
        <f>IF(OR(ReviewCalcs[[#This Row],[Baseline Fixture Watts]]&gt;=ReviewCalcs[[#This Row],[Proposed Fixture Watts]],ReviewCalcs[[#This Row],[Existing Fixture Watts]]&gt;=ReviewCalcs[[#This Row],[Proposed Fixture Watts]] ), "PASS", "ERROR")</f>
        <v>#N/A</v>
      </c>
      <c r="AA293" s="69" t="e">
        <f>VLOOKUP(ReviewCalcs[[#This Row],[Space Conditions]], Table_365[], 5, FALSE)</f>
        <v>#N/A</v>
      </c>
      <c r="AB293" s="68" t="str">
        <f>ReviewCalcs[[#This Row],[Annual Hours]]</f>
        <v/>
      </c>
      <c r="AC293" s="68" t="e">
        <f>VLOOKUP(ReviewCalcs[[#This Row],[Space Conditions]], Table_365[], 6, FALSE)</f>
        <v>#N/A</v>
      </c>
      <c r="AD293" s="68">
        <f>IF(ReviewCalcs[[#This Row],[Existing Control(s)]]='Tables &amp; Ranges'!$A$25, VLOOKUP(ReviewCalcs[[#This Row],[Building/Space Type]], Table_364[], 3, FALSE), CF_Contols)</f>
        <v>0.26</v>
      </c>
      <c r="AE293" s="68" t="e">
        <f>VLOOKUP(ReviewCalcs[[#This Row],[Existing Control(s)]], Table_358[], 2, FALSE)</f>
        <v>#N/A</v>
      </c>
      <c r="AF293" s="68">
        <f>IF(ReviewCalcs[[#This Row],[Proposed Control(s)]]='Tables &amp; Ranges'!$A$25, VLOOKUP(ReviewCalcs[[#This Row],[Building/Space Type]], Table_364[], 3, FALSE), CF_Contols)</f>
        <v>0.26</v>
      </c>
      <c r="AG293" s="68" t="e">
        <f>VLOOKUP(ReviewCalcs[[#This Row],[Proposed Control(s)]], Table_358[], 2, FALSE)</f>
        <v>#N/A</v>
      </c>
      <c r="AH293" s="68">
        <f>IFERROR((ReviewCalcs[[#This Row],[Existing Fixture Quantity]]*ReviewCalcs[[#This Row],[Existing Fixture Watts]]/1000)*ReviewCalcs[[#This Row],[Existing CF]]*ReviewCalcs[[#This Row],[IEFD]], 0)</f>
        <v>0</v>
      </c>
      <c r="AI293" s="68">
        <f>IFERROR((ReviewCalcs[[#This Row],[Proposed Fixture Quantity]]*ReviewCalcs[[#This Row],[Proposed Fixture Watts]]/1000)*ReviewCalcs[[#This Row],[Existing CF]]*ReviewCalcs[[#This Row],[IEFD]], 0)</f>
        <v>0</v>
      </c>
      <c r="AJ293" s="118">
        <f>IFERROR((ReviewCalcs[[#This Row],[Existing Fixture Quantity]]*ReviewCalcs[[#This Row],[Existing Fixture Watts]]/1000-ReviewCalcs[[#This Row],[Proposed Fixture Quantity]]*ReviewCalcs[[#This Row],[Proposed Fixture Watts]]/1000)*ReviewCalcs[[#This Row],[Existing CF]]*ReviewCalcs[[#This Row],[IEFD]], 0)</f>
        <v>0</v>
      </c>
      <c r="AK293" s="118">
        <f>IFERROR((ReviewCalcs[[#This Row],[Existing Fixture Quantity]]*ReviewCalcs[[#This Row],[Existing Fixture Watts]]/1000)*ReviewCalcs[[#This Row],[AOH]]*ReviewCalcs[[#This Row],[IEFE]]*ReviewCalcs[[#This Row],[Existing PAF]], 0)</f>
        <v>0</v>
      </c>
      <c r="AL293" s="118">
        <f>IFERROR((ReviewCalcs[[#This Row],[Proposed Fixture Quantity]]*ReviewCalcs[[#This Row],[Proposed Fixture Watts]]/1000)*ReviewCalcs[[#This Row],[AOH]]*ReviewCalcs[[#This Row],[IEFE]]*ReviewCalcs[[#This Row],[Existing PAF]], 0)</f>
        <v>0</v>
      </c>
      <c r="AM29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3" s="118">
        <f>ReviewCalcs[[#This Row],[Fixture Existing Energy (kWh)]]*Avg_KWh_Rate</f>
        <v>0</v>
      </c>
      <c r="AO293" s="118">
        <f>ReviewCalcs[[#This Row],[Fixture Proposed Energy (kWh)]]*Avg_KWh_Rate</f>
        <v>0</v>
      </c>
      <c r="AP293" s="70">
        <f>ReviewCalcs[[#This Row],[Fixture Energy Savings]]*Avg_KWh_Rate</f>
        <v>0</v>
      </c>
      <c r="AQ293" s="129" t="e">
        <f>ReviewCalcs[[#This Row],[Existing Fixture Quantity]]*ReviewCalcs[[#This Row],[Existing Fixture Watts]]/1000*ReviewCalcs[[#This Row],[Existing CF]]*ReviewCalcs[[#This Row],[IEFD]]</f>
        <v>#VALUE!</v>
      </c>
      <c r="AR293" s="129" t="e">
        <f>ReviewCalcs[[#This Row],[Proposed Fixture Quantity]]*ReviewCalcs[[#This Row],[Proposed Fixture Watts]]/1000*ReviewCalcs[[#This Row],[Proposed CF]]*ReviewCalcs[[#This Row],[IEFD]]</f>
        <v>#VALUE!</v>
      </c>
      <c r="AS293" s="118">
        <f>IF(ReviewCalcs[[#This Row],[Existing CF]]=ReviewCalcs[[#This Row],[Proposed CF]], 0, ReviewCalcs[[#This Row],[Proposed Fixture Quantity]]*ReviewCalcs[[#This Row],[Proposed Fixture Watts]]/1000*ReviewCalcs[[#This Row],[Proposed CF]]*ReviewCalcs[[#This Row],[IEFD]])</f>
        <v>0</v>
      </c>
      <c r="AT293" s="118">
        <f>IFERROR(ReviewCalcs[[#This Row],[Existing Fixture Quantity]]*ReviewCalcs[[#This Row],[Existing Fixture Watts]]/1000*ReviewCalcs[[#This Row],[Existing PAF]]*ReviewCalcs[[#This Row],[AOH]]*ReviewCalcs[[#This Row],[IEFE]], 0)</f>
        <v>0</v>
      </c>
      <c r="AU293" s="118">
        <f>IFERROR(ReviewCalcs[[#This Row],[Proposed Fixture Quantity]]*ReviewCalcs[[#This Row],[Proposed Fixture Watts]]/1000*ReviewCalcs[[#This Row],[Proposed PAF]]*ReviewCalcs[[#This Row],[AOH]]*ReviewCalcs[[#This Row],[IEFE]], 0)</f>
        <v>0</v>
      </c>
      <c r="AV293" s="118">
        <f>IFERROR(ReviewCalcs[[#This Row],[Proposed Fixture Quantity]]*ReviewCalcs[[#This Row],[Proposed Fixture Watts]]/1000*(ReviewCalcs[[#This Row],[Existing PAF]]-ReviewCalcs[[#This Row],[Proposed PAF]])*ReviewCalcs[[#This Row],[AOH]]*ReviewCalcs[[#This Row],[IEFE]], 0)</f>
        <v>0</v>
      </c>
      <c r="AW293" s="118">
        <f>ReviewCalcs[[#This Row],[Control Existing Energy (kWh)]]*kWh_Incentive_Rate</f>
        <v>0</v>
      </c>
      <c r="AX293" s="118">
        <f>ReviewCalcs[[#This Row],[Control Proposed Energy (kWh)]]*kWh_Incentive_Rate</f>
        <v>0</v>
      </c>
      <c r="AY293" s="70">
        <f>ReviewCalcs[[#This Row],[Control Energy Savings (kWh)]]*kWh_Incentive_Rate</f>
        <v>0</v>
      </c>
      <c r="AZ293" s="70" t="e">
        <f>ReviewCalcs[[#This Row],[Fixture Existing Demand (kW)]]+ReviewCalcs[[#This Row],[Control Existing Demand (kW)]]</f>
        <v>#VALUE!</v>
      </c>
      <c r="BA293" s="70" t="e">
        <f>ReviewCalcs[[#This Row],[Fixture Proposed Demand (kW)]]+ReviewCalcs[[#This Row],[Control Proposed Demand (kW)]]</f>
        <v>#VALUE!</v>
      </c>
      <c r="BB293" s="118">
        <f>ReviewCalcs[[#This Row],[Fixture Demand Savings (kW)]]+ReviewCalcs[[#This Row],[Control Demand Savings (kW)]]</f>
        <v>0</v>
      </c>
      <c r="BC293" s="118">
        <f>ReviewCalcs[[#This Row],[Fixture Existing Energy (kWh)]]+ReviewCalcs[[#This Row],[Control Existing Energy (kWh)]]</f>
        <v>0</v>
      </c>
      <c r="BD293" s="118">
        <f>ReviewCalcs[[#This Row],[Fixture Proposed Energy (kWh)]]+ReviewCalcs[[#This Row],[Control Proposed Energy (kWh)]]</f>
        <v>0</v>
      </c>
      <c r="BE293" s="118">
        <f>ReviewCalcs[[#This Row],[Fixture Energy Savings]]+ReviewCalcs[[#This Row],[Control Energy Savings (kWh)]]</f>
        <v>0</v>
      </c>
      <c r="BF293" s="118">
        <f>ReviewCalcs[[#This Row],[Fixture Existing Cost ($)]]+ReviewCalcs[[#This Row],[Control Existing Cost ($)]]</f>
        <v>0</v>
      </c>
      <c r="BG293" s="118">
        <f>ReviewCalcs[[#This Row],[Fixture Proposed Cost ($)]]+ReviewCalcs[[#This Row],[Controls Proposed Cost ($)]]</f>
        <v>0</v>
      </c>
      <c r="BH293" s="70">
        <f>ReviewCalcs[[#This Row],[Total Energy Savings (kWh)]]*Avg_KWh_Rate</f>
        <v>0</v>
      </c>
      <c r="BI29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3" s="70">
        <f>ReviewCalcs[[#This Row],[Retrofit Cost]]</f>
        <v>0</v>
      </c>
      <c r="BK293" s="70">
        <f>ReviewCalcs[[#This Row],[Retrofit Cost]]-ReviewCalcs[[#This Row],[Incentive ($)]]</f>
        <v>0</v>
      </c>
      <c r="BL293" s="118" t="e">
        <f>IFERROR(ReviewCalcs[[#This Row],[Net Project Cost ($)]]/ReviewCalcs[[#This Row],[Fixture Energy Cost Savings ($)]], #N/A)</f>
        <v>#N/A</v>
      </c>
      <c r="BM293" s="118" t="e">
        <f>IF(VLOOKUP(ReviewCalcs[[#This Row],[Existing Fixture Code]], Table7[[FIXTURE CODE]:[Baseline Fixture Code]], 8, FALSE)="N", VLOOKUP(ReviewCalcs[[#This Row],[Existing Fixture Code]], Table7[[FIXTURE CODE]:[Baseline Fixture Code]], 9, FALSE), ReviewCalcs[[#This Row],[Existing Fixture Code]])</f>
        <v>#N/A</v>
      </c>
      <c r="BN293" s="118" t="e">
        <f>INDEX(Table7[WATT/ FIXT], MATCH(ReviewCalcs[Baseline Fixture Code], Table7[FIXTURE CODE], 0))</f>
        <v>#N/A</v>
      </c>
      <c r="BO293" s="118">
        <f>IFERROR((ReviewCalcs[[#This Row],[Existing Fixture Quantity]]*ReviewCalcs[[#This Row],[Baseline Fixture Watts]]/1000-ReviewCalcs[[#This Row],[Proposed Fixture Quantity]]*ReviewCalcs[[#This Row],[Proposed Fixture Watts]]/1000)*ReviewCalcs[[#This Row],[Existing CF]]*ReviewCalcs[[#This Row],[IEFD]], 0)</f>
        <v>0</v>
      </c>
      <c r="BP29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3" s="118">
        <f>IF(ReviewCalcs[[#This Row],[Existing CF]]=ReviewCalcs[[#This Row],[Proposed CF]], 0, ReviewCalcs[[#This Row],[Proposed Fixture Quantity]]*ReviewCalcs[[#This Row],[Proposed Fixture Watts]]/1000*ReviewCalcs[[#This Row],[Proposed CF]]*ReviewCalcs[[#This Row],[IEFD]])</f>
        <v>0</v>
      </c>
      <c r="BR293" s="118">
        <f>IFERROR(ReviewCalcs[[#This Row],[Proposed Fixture Quantity]]*ReviewCalcs[[#This Row],[Proposed Fixture Watts]]/1000*(ReviewCalcs[[#This Row],[Existing PAF]]-ReviewCalcs[[#This Row],[Proposed PAF]])*ReviewCalcs[[#This Row],[AOH]]*ReviewCalcs[[#This Row],[IEFE]],0)</f>
        <v>0</v>
      </c>
      <c r="BS293" s="118">
        <f>ReviewCalcs[[#This Row],[Incentive Fixture Demand Savings (kW)]]+ReviewCalcs[[#This Row],[Incentive Control Demand Savings (kW)]]</f>
        <v>0</v>
      </c>
      <c r="BT293" s="118">
        <f>ReviewCalcs[[#This Row],[Incentive Fixture Energy Savings (kWh)]]+ReviewCalcs[[#This Row],[Incentive Control Energy Savings (kWh)]]</f>
        <v>0</v>
      </c>
      <c r="BU293" s="73"/>
    </row>
    <row r="294" spans="1:73" ht="30" customHeight="1">
      <c r="A294" s="68">
        <v>291</v>
      </c>
      <c r="B294" s="96">
        <f>VLOOKUP(ReviewCalcs[[#This Row],[Project Index]], ProjectInput[], D$1, FALSE)</f>
        <v>0</v>
      </c>
      <c r="C294" s="97">
        <f>VLOOKUP(ReviewCalcs[[#This Row],[Project Index]], ProjectInput[], E$1, FALSE)</f>
        <v>0</v>
      </c>
      <c r="D294" s="97">
        <f>VLOOKUP(ReviewCalcs[[#This Row],[Project Index]], ProjectInput[], F$1, FALSE)</f>
        <v>0</v>
      </c>
      <c r="E294" s="97">
        <f>VLOOKUP(ReviewCalcs[[#This Row],[Project Index]], ProjectInput[], G$1, FALSE)</f>
        <v>0</v>
      </c>
      <c r="F294" s="97">
        <f>VLOOKUP(ReviewCalcs[[#This Row],[Project Index]], ProjectInput[], H$1, FALSE)</f>
        <v>0</v>
      </c>
      <c r="G294" s="98" t="str">
        <f>VLOOKUP(ReviewCalcs[[#This Row],[Project Index]], ProjectInput[], I$1, FALSE)</f>
        <v/>
      </c>
      <c r="H294" s="96">
        <f>VLOOKUP(ReviewCalcs[[#This Row],[Project Index]], ProjectInput[], J$1, FALSE)</f>
        <v>0</v>
      </c>
      <c r="I294" s="97">
        <f>VLOOKUP(ReviewCalcs[[#This Row],[Project Index]], ProjectInput[], K$1, FALSE)</f>
        <v>0</v>
      </c>
      <c r="J294" s="97">
        <f>VLOOKUP(ReviewCalcs[[#This Row],[Project Index]], ProjectInput[], L$1, FALSE)</f>
        <v>0</v>
      </c>
      <c r="K294" s="97">
        <f>VLOOKUP(ReviewCalcs[[#This Row],[Project Index]], ProjectInput[], M$1, FALSE)</f>
        <v>0</v>
      </c>
      <c r="L294" s="97">
        <f>VLOOKUP(ReviewCalcs[[#This Row],[Project Index]], ProjectInput[], N$1, FALSE)</f>
        <v>0</v>
      </c>
      <c r="M294" s="98" t="str">
        <f>VLOOKUP(ReviewCalcs[[#This Row],[Project Index]], ProjectInput[], O$1, FALSE)</f>
        <v/>
      </c>
      <c r="N294" s="96">
        <f>VLOOKUP(ReviewCalcs[[#This Row],[Project Index]], ProjectInput[], P$1, FALSE)</f>
        <v>0</v>
      </c>
      <c r="O294" s="97">
        <f>VLOOKUP(ReviewCalcs[[#This Row],[Project Index]], ProjectInput[], Q$1, FALSE)</f>
        <v>0</v>
      </c>
      <c r="P294" s="97">
        <f>VLOOKUP(ReviewCalcs[[#This Row],[Project Index]], ProjectInput[], R$1, FALSE)</f>
        <v>0</v>
      </c>
      <c r="Q294" s="97">
        <f>VLOOKUP(ReviewCalcs[[#This Row],[Project Index]], ProjectInput[], S$1, FALSE)</f>
        <v>0</v>
      </c>
      <c r="R294" s="97">
        <f>VLOOKUP(ReviewCalcs[[#This Row],[Project Index]], ProjectInput[], T$1, FALSE)</f>
        <v>0</v>
      </c>
      <c r="S294" s="97">
        <f>VLOOKUP(ReviewCalcs[[#This Row],[Project Index]], ProjectInput[], U$1, FALSE)</f>
        <v>0</v>
      </c>
      <c r="T294" s="97">
        <f>VLOOKUP(ReviewCalcs[[#This Row],[Project Index]], ProjectInput[], V$1, FALSE)</f>
        <v>0</v>
      </c>
      <c r="U294" s="97">
        <f>VLOOKUP(ReviewCalcs[[#This Row],[Project Index]], ProjectInput[], W$1, FALSE)</f>
        <v>0</v>
      </c>
      <c r="V294" s="98" t="str">
        <f>VLOOKUP(ReviewCalcs[[#This Row],[Project Index]], ProjectInput[], X$1, FALSE)</f>
        <v/>
      </c>
      <c r="W294"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4" s="75" t="e">
        <f>IF(VLOOKUP(ReviewCalcs[[#This Row],[Proposed Fixture Code]], Table7[[FIXTURE CODE]:[Baseline Fixture Code]], 8, FALSE)="N", "ERROR", "PASS")</f>
        <v>#N/A</v>
      </c>
      <c r="Y294"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4" s="75" t="e">
        <f>IF(OR(ReviewCalcs[[#This Row],[Baseline Fixture Watts]]&gt;=ReviewCalcs[[#This Row],[Proposed Fixture Watts]],ReviewCalcs[[#This Row],[Existing Fixture Watts]]&gt;=ReviewCalcs[[#This Row],[Proposed Fixture Watts]] ), "PASS", "ERROR")</f>
        <v>#N/A</v>
      </c>
      <c r="AA294" s="69" t="e">
        <f>VLOOKUP(ReviewCalcs[[#This Row],[Space Conditions]], Table_365[], 5, FALSE)</f>
        <v>#N/A</v>
      </c>
      <c r="AB294" s="68" t="str">
        <f>ReviewCalcs[[#This Row],[Annual Hours]]</f>
        <v/>
      </c>
      <c r="AC294" s="68" t="e">
        <f>VLOOKUP(ReviewCalcs[[#This Row],[Space Conditions]], Table_365[], 6, FALSE)</f>
        <v>#N/A</v>
      </c>
      <c r="AD294" s="68">
        <f>IF(ReviewCalcs[[#This Row],[Existing Control(s)]]='Tables &amp; Ranges'!$A$25, VLOOKUP(ReviewCalcs[[#This Row],[Building/Space Type]], Table_364[], 3, FALSE), CF_Contols)</f>
        <v>0.26</v>
      </c>
      <c r="AE294" s="68" t="e">
        <f>VLOOKUP(ReviewCalcs[[#This Row],[Existing Control(s)]], Table_358[], 2, FALSE)</f>
        <v>#N/A</v>
      </c>
      <c r="AF294" s="68">
        <f>IF(ReviewCalcs[[#This Row],[Proposed Control(s)]]='Tables &amp; Ranges'!$A$25, VLOOKUP(ReviewCalcs[[#This Row],[Building/Space Type]], Table_364[], 3, FALSE), CF_Contols)</f>
        <v>0.26</v>
      </c>
      <c r="AG294" s="68" t="e">
        <f>VLOOKUP(ReviewCalcs[[#This Row],[Proposed Control(s)]], Table_358[], 2, FALSE)</f>
        <v>#N/A</v>
      </c>
      <c r="AH294" s="68">
        <f>IFERROR((ReviewCalcs[[#This Row],[Existing Fixture Quantity]]*ReviewCalcs[[#This Row],[Existing Fixture Watts]]/1000)*ReviewCalcs[[#This Row],[Existing CF]]*ReviewCalcs[[#This Row],[IEFD]], 0)</f>
        <v>0</v>
      </c>
      <c r="AI294" s="68">
        <f>IFERROR((ReviewCalcs[[#This Row],[Proposed Fixture Quantity]]*ReviewCalcs[[#This Row],[Proposed Fixture Watts]]/1000)*ReviewCalcs[[#This Row],[Existing CF]]*ReviewCalcs[[#This Row],[IEFD]], 0)</f>
        <v>0</v>
      </c>
      <c r="AJ294" s="118">
        <f>IFERROR((ReviewCalcs[[#This Row],[Existing Fixture Quantity]]*ReviewCalcs[[#This Row],[Existing Fixture Watts]]/1000-ReviewCalcs[[#This Row],[Proposed Fixture Quantity]]*ReviewCalcs[[#This Row],[Proposed Fixture Watts]]/1000)*ReviewCalcs[[#This Row],[Existing CF]]*ReviewCalcs[[#This Row],[IEFD]], 0)</f>
        <v>0</v>
      </c>
      <c r="AK294" s="118">
        <f>IFERROR((ReviewCalcs[[#This Row],[Existing Fixture Quantity]]*ReviewCalcs[[#This Row],[Existing Fixture Watts]]/1000)*ReviewCalcs[[#This Row],[AOH]]*ReviewCalcs[[#This Row],[IEFE]]*ReviewCalcs[[#This Row],[Existing PAF]], 0)</f>
        <v>0</v>
      </c>
      <c r="AL294" s="118">
        <f>IFERROR((ReviewCalcs[[#This Row],[Proposed Fixture Quantity]]*ReviewCalcs[[#This Row],[Proposed Fixture Watts]]/1000)*ReviewCalcs[[#This Row],[AOH]]*ReviewCalcs[[#This Row],[IEFE]]*ReviewCalcs[[#This Row],[Existing PAF]], 0)</f>
        <v>0</v>
      </c>
      <c r="AM294"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4" s="118">
        <f>ReviewCalcs[[#This Row],[Fixture Existing Energy (kWh)]]*Avg_KWh_Rate</f>
        <v>0</v>
      </c>
      <c r="AO294" s="118">
        <f>ReviewCalcs[[#This Row],[Fixture Proposed Energy (kWh)]]*Avg_KWh_Rate</f>
        <v>0</v>
      </c>
      <c r="AP294" s="70">
        <f>ReviewCalcs[[#This Row],[Fixture Energy Savings]]*Avg_KWh_Rate</f>
        <v>0</v>
      </c>
      <c r="AQ294" s="129" t="e">
        <f>ReviewCalcs[[#This Row],[Existing Fixture Quantity]]*ReviewCalcs[[#This Row],[Existing Fixture Watts]]/1000*ReviewCalcs[[#This Row],[Existing CF]]*ReviewCalcs[[#This Row],[IEFD]]</f>
        <v>#VALUE!</v>
      </c>
      <c r="AR294" s="129" t="e">
        <f>ReviewCalcs[[#This Row],[Proposed Fixture Quantity]]*ReviewCalcs[[#This Row],[Proposed Fixture Watts]]/1000*ReviewCalcs[[#This Row],[Proposed CF]]*ReviewCalcs[[#This Row],[IEFD]]</f>
        <v>#VALUE!</v>
      </c>
      <c r="AS294" s="118">
        <f>IF(ReviewCalcs[[#This Row],[Existing CF]]=ReviewCalcs[[#This Row],[Proposed CF]], 0, ReviewCalcs[[#This Row],[Proposed Fixture Quantity]]*ReviewCalcs[[#This Row],[Proposed Fixture Watts]]/1000*ReviewCalcs[[#This Row],[Proposed CF]]*ReviewCalcs[[#This Row],[IEFD]])</f>
        <v>0</v>
      </c>
      <c r="AT294" s="118">
        <f>IFERROR(ReviewCalcs[[#This Row],[Existing Fixture Quantity]]*ReviewCalcs[[#This Row],[Existing Fixture Watts]]/1000*ReviewCalcs[[#This Row],[Existing PAF]]*ReviewCalcs[[#This Row],[AOH]]*ReviewCalcs[[#This Row],[IEFE]], 0)</f>
        <v>0</v>
      </c>
      <c r="AU294" s="118">
        <f>IFERROR(ReviewCalcs[[#This Row],[Proposed Fixture Quantity]]*ReviewCalcs[[#This Row],[Proposed Fixture Watts]]/1000*ReviewCalcs[[#This Row],[Proposed PAF]]*ReviewCalcs[[#This Row],[AOH]]*ReviewCalcs[[#This Row],[IEFE]], 0)</f>
        <v>0</v>
      </c>
      <c r="AV294" s="118">
        <f>IFERROR(ReviewCalcs[[#This Row],[Proposed Fixture Quantity]]*ReviewCalcs[[#This Row],[Proposed Fixture Watts]]/1000*(ReviewCalcs[[#This Row],[Existing PAF]]-ReviewCalcs[[#This Row],[Proposed PAF]])*ReviewCalcs[[#This Row],[AOH]]*ReviewCalcs[[#This Row],[IEFE]], 0)</f>
        <v>0</v>
      </c>
      <c r="AW294" s="118">
        <f>ReviewCalcs[[#This Row],[Control Existing Energy (kWh)]]*kWh_Incentive_Rate</f>
        <v>0</v>
      </c>
      <c r="AX294" s="118">
        <f>ReviewCalcs[[#This Row],[Control Proposed Energy (kWh)]]*kWh_Incentive_Rate</f>
        <v>0</v>
      </c>
      <c r="AY294" s="70">
        <f>ReviewCalcs[[#This Row],[Control Energy Savings (kWh)]]*kWh_Incentive_Rate</f>
        <v>0</v>
      </c>
      <c r="AZ294" s="70" t="e">
        <f>ReviewCalcs[[#This Row],[Fixture Existing Demand (kW)]]+ReviewCalcs[[#This Row],[Control Existing Demand (kW)]]</f>
        <v>#VALUE!</v>
      </c>
      <c r="BA294" s="70" t="e">
        <f>ReviewCalcs[[#This Row],[Fixture Proposed Demand (kW)]]+ReviewCalcs[[#This Row],[Control Proposed Demand (kW)]]</f>
        <v>#VALUE!</v>
      </c>
      <c r="BB294" s="118">
        <f>ReviewCalcs[[#This Row],[Fixture Demand Savings (kW)]]+ReviewCalcs[[#This Row],[Control Demand Savings (kW)]]</f>
        <v>0</v>
      </c>
      <c r="BC294" s="118">
        <f>ReviewCalcs[[#This Row],[Fixture Existing Energy (kWh)]]+ReviewCalcs[[#This Row],[Control Existing Energy (kWh)]]</f>
        <v>0</v>
      </c>
      <c r="BD294" s="118">
        <f>ReviewCalcs[[#This Row],[Fixture Proposed Energy (kWh)]]+ReviewCalcs[[#This Row],[Control Proposed Energy (kWh)]]</f>
        <v>0</v>
      </c>
      <c r="BE294" s="118">
        <f>ReviewCalcs[[#This Row],[Fixture Energy Savings]]+ReviewCalcs[[#This Row],[Control Energy Savings (kWh)]]</f>
        <v>0</v>
      </c>
      <c r="BF294" s="118">
        <f>ReviewCalcs[[#This Row],[Fixture Existing Cost ($)]]+ReviewCalcs[[#This Row],[Control Existing Cost ($)]]</f>
        <v>0</v>
      </c>
      <c r="BG294" s="118">
        <f>ReviewCalcs[[#This Row],[Fixture Proposed Cost ($)]]+ReviewCalcs[[#This Row],[Controls Proposed Cost ($)]]</f>
        <v>0</v>
      </c>
      <c r="BH294" s="70">
        <f>ReviewCalcs[[#This Row],[Total Energy Savings (kWh)]]*Avg_KWh_Rate</f>
        <v>0</v>
      </c>
      <c r="BI294"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4" s="70">
        <f>ReviewCalcs[[#This Row],[Retrofit Cost]]</f>
        <v>0</v>
      </c>
      <c r="BK294" s="70">
        <f>ReviewCalcs[[#This Row],[Retrofit Cost]]-ReviewCalcs[[#This Row],[Incentive ($)]]</f>
        <v>0</v>
      </c>
      <c r="BL294" s="118" t="e">
        <f>IFERROR(ReviewCalcs[[#This Row],[Net Project Cost ($)]]/ReviewCalcs[[#This Row],[Fixture Energy Cost Savings ($)]], #N/A)</f>
        <v>#N/A</v>
      </c>
      <c r="BM294" s="118" t="e">
        <f>IF(VLOOKUP(ReviewCalcs[[#This Row],[Existing Fixture Code]], Table7[[FIXTURE CODE]:[Baseline Fixture Code]], 8, FALSE)="N", VLOOKUP(ReviewCalcs[[#This Row],[Existing Fixture Code]], Table7[[FIXTURE CODE]:[Baseline Fixture Code]], 9, FALSE), ReviewCalcs[[#This Row],[Existing Fixture Code]])</f>
        <v>#N/A</v>
      </c>
      <c r="BN294" s="118" t="e">
        <f>INDEX(Table7[WATT/ FIXT], MATCH(ReviewCalcs[Baseline Fixture Code], Table7[FIXTURE CODE], 0))</f>
        <v>#N/A</v>
      </c>
      <c r="BO294" s="118">
        <f>IFERROR((ReviewCalcs[[#This Row],[Existing Fixture Quantity]]*ReviewCalcs[[#This Row],[Baseline Fixture Watts]]/1000-ReviewCalcs[[#This Row],[Proposed Fixture Quantity]]*ReviewCalcs[[#This Row],[Proposed Fixture Watts]]/1000)*ReviewCalcs[[#This Row],[Existing CF]]*ReviewCalcs[[#This Row],[IEFD]], 0)</f>
        <v>0</v>
      </c>
      <c r="BP294"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4" s="118">
        <f>IF(ReviewCalcs[[#This Row],[Existing CF]]=ReviewCalcs[[#This Row],[Proposed CF]], 0, ReviewCalcs[[#This Row],[Proposed Fixture Quantity]]*ReviewCalcs[[#This Row],[Proposed Fixture Watts]]/1000*ReviewCalcs[[#This Row],[Proposed CF]]*ReviewCalcs[[#This Row],[IEFD]])</f>
        <v>0</v>
      </c>
      <c r="BR294" s="118">
        <f>IFERROR(ReviewCalcs[[#This Row],[Proposed Fixture Quantity]]*ReviewCalcs[[#This Row],[Proposed Fixture Watts]]/1000*(ReviewCalcs[[#This Row],[Existing PAF]]-ReviewCalcs[[#This Row],[Proposed PAF]])*ReviewCalcs[[#This Row],[AOH]]*ReviewCalcs[[#This Row],[IEFE]],0)</f>
        <v>0</v>
      </c>
      <c r="BS294" s="118">
        <f>ReviewCalcs[[#This Row],[Incentive Fixture Demand Savings (kW)]]+ReviewCalcs[[#This Row],[Incentive Control Demand Savings (kW)]]</f>
        <v>0</v>
      </c>
      <c r="BT294" s="118">
        <f>ReviewCalcs[[#This Row],[Incentive Fixture Energy Savings (kWh)]]+ReviewCalcs[[#This Row],[Incentive Control Energy Savings (kWh)]]</f>
        <v>0</v>
      </c>
      <c r="BU294" s="73"/>
    </row>
    <row r="295" spans="1:73" ht="30" customHeight="1">
      <c r="A295" s="68">
        <v>292</v>
      </c>
      <c r="B295" s="96">
        <f>VLOOKUP(ReviewCalcs[[#This Row],[Project Index]], ProjectInput[], D$1, FALSE)</f>
        <v>0</v>
      </c>
      <c r="C295" s="97">
        <f>VLOOKUP(ReviewCalcs[[#This Row],[Project Index]], ProjectInput[], E$1, FALSE)</f>
        <v>0</v>
      </c>
      <c r="D295" s="97">
        <f>VLOOKUP(ReviewCalcs[[#This Row],[Project Index]], ProjectInput[], F$1, FALSE)</f>
        <v>0</v>
      </c>
      <c r="E295" s="97">
        <f>VLOOKUP(ReviewCalcs[[#This Row],[Project Index]], ProjectInput[], G$1, FALSE)</f>
        <v>0</v>
      </c>
      <c r="F295" s="97">
        <f>VLOOKUP(ReviewCalcs[[#This Row],[Project Index]], ProjectInput[], H$1, FALSE)</f>
        <v>0</v>
      </c>
      <c r="G295" s="98" t="str">
        <f>VLOOKUP(ReviewCalcs[[#This Row],[Project Index]], ProjectInput[], I$1, FALSE)</f>
        <v/>
      </c>
      <c r="H295" s="96">
        <f>VLOOKUP(ReviewCalcs[[#This Row],[Project Index]], ProjectInput[], J$1, FALSE)</f>
        <v>0</v>
      </c>
      <c r="I295" s="97">
        <f>VLOOKUP(ReviewCalcs[[#This Row],[Project Index]], ProjectInput[], K$1, FALSE)</f>
        <v>0</v>
      </c>
      <c r="J295" s="97">
        <f>VLOOKUP(ReviewCalcs[[#This Row],[Project Index]], ProjectInput[], L$1, FALSE)</f>
        <v>0</v>
      </c>
      <c r="K295" s="97">
        <f>VLOOKUP(ReviewCalcs[[#This Row],[Project Index]], ProjectInput[], M$1, FALSE)</f>
        <v>0</v>
      </c>
      <c r="L295" s="97">
        <f>VLOOKUP(ReviewCalcs[[#This Row],[Project Index]], ProjectInput[], N$1, FALSE)</f>
        <v>0</v>
      </c>
      <c r="M295" s="98" t="str">
        <f>VLOOKUP(ReviewCalcs[[#This Row],[Project Index]], ProjectInput[], O$1, FALSE)</f>
        <v/>
      </c>
      <c r="N295" s="96">
        <f>VLOOKUP(ReviewCalcs[[#This Row],[Project Index]], ProjectInput[], P$1, FALSE)</f>
        <v>0</v>
      </c>
      <c r="O295" s="97">
        <f>VLOOKUP(ReviewCalcs[[#This Row],[Project Index]], ProjectInput[], Q$1, FALSE)</f>
        <v>0</v>
      </c>
      <c r="P295" s="97">
        <f>VLOOKUP(ReviewCalcs[[#This Row],[Project Index]], ProjectInput[], R$1, FALSE)</f>
        <v>0</v>
      </c>
      <c r="Q295" s="97">
        <f>VLOOKUP(ReviewCalcs[[#This Row],[Project Index]], ProjectInput[], S$1, FALSE)</f>
        <v>0</v>
      </c>
      <c r="R295" s="97">
        <f>VLOOKUP(ReviewCalcs[[#This Row],[Project Index]], ProjectInput[], T$1, FALSE)</f>
        <v>0</v>
      </c>
      <c r="S295" s="97">
        <f>VLOOKUP(ReviewCalcs[[#This Row],[Project Index]], ProjectInput[], U$1, FALSE)</f>
        <v>0</v>
      </c>
      <c r="T295" s="97">
        <f>VLOOKUP(ReviewCalcs[[#This Row],[Project Index]], ProjectInput[], V$1, FALSE)</f>
        <v>0</v>
      </c>
      <c r="U295" s="97">
        <f>VLOOKUP(ReviewCalcs[[#This Row],[Project Index]], ProjectInput[], W$1, FALSE)</f>
        <v>0</v>
      </c>
      <c r="V295" s="98" t="str">
        <f>VLOOKUP(ReviewCalcs[[#This Row],[Project Index]], ProjectInput[], X$1, FALSE)</f>
        <v/>
      </c>
      <c r="W295"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5" s="75" t="e">
        <f>IF(VLOOKUP(ReviewCalcs[[#This Row],[Proposed Fixture Code]], Table7[[FIXTURE CODE]:[Baseline Fixture Code]], 8, FALSE)="N", "ERROR", "PASS")</f>
        <v>#N/A</v>
      </c>
      <c r="Y295"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5" s="75" t="e">
        <f>IF(OR(ReviewCalcs[[#This Row],[Baseline Fixture Watts]]&gt;=ReviewCalcs[[#This Row],[Proposed Fixture Watts]],ReviewCalcs[[#This Row],[Existing Fixture Watts]]&gt;=ReviewCalcs[[#This Row],[Proposed Fixture Watts]] ), "PASS", "ERROR")</f>
        <v>#N/A</v>
      </c>
      <c r="AA295" s="69" t="e">
        <f>VLOOKUP(ReviewCalcs[[#This Row],[Space Conditions]], Table_365[], 5, FALSE)</f>
        <v>#N/A</v>
      </c>
      <c r="AB295" s="68" t="str">
        <f>ReviewCalcs[[#This Row],[Annual Hours]]</f>
        <v/>
      </c>
      <c r="AC295" s="68" t="e">
        <f>VLOOKUP(ReviewCalcs[[#This Row],[Space Conditions]], Table_365[], 6, FALSE)</f>
        <v>#N/A</v>
      </c>
      <c r="AD295" s="68">
        <f>IF(ReviewCalcs[[#This Row],[Existing Control(s)]]='Tables &amp; Ranges'!$A$25, VLOOKUP(ReviewCalcs[[#This Row],[Building/Space Type]], Table_364[], 3, FALSE), CF_Contols)</f>
        <v>0.26</v>
      </c>
      <c r="AE295" s="68" t="e">
        <f>VLOOKUP(ReviewCalcs[[#This Row],[Existing Control(s)]], Table_358[], 2, FALSE)</f>
        <v>#N/A</v>
      </c>
      <c r="AF295" s="68">
        <f>IF(ReviewCalcs[[#This Row],[Proposed Control(s)]]='Tables &amp; Ranges'!$A$25, VLOOKUP(ReviewCalcs[[#This Row],[Building/Space Type]], Table_364[], 3, FALSE), CF_Contols)</f>
        <v>0.26</v>
      </c>
      <c r="AG295" s="68" t="e">
        <f>VLOOKUP(ReviewCalcs[[#This Row],[Proposed Control(s)]], Table_358[], 2, FALSE)</f>
        <v>#N/A</v>
      </c>
      <c r="AH295" s="68">
        <f>IFERROR((ReviewCalcs[[#This Row],[Existing Fixture Quantity]]*ReviewCalcs[[#This Row],[Existing Fixture Watts]]/1000)*ReviewCalcs[[#This Row],[Existing CF]]*ReviewCalcs[[#This Row],[IEFD]], 0)</f>
        <v>0</v>
      </c>
      <c r="AI295" s="68">
        <f>IFERROR((ReviewCalcs[[#This Row],[Proposed Fixture Quantity]]*ReviewCalcs[[#This Row],[Proposed Fixture Watts]]/1000)*ReviewCalcs[[#This Row],[Existing CF]]*ReviewCalcs[[#This Row],[IEFD]], 0)</f>
        <v>0</v>
      </c>
      <c r="AJ295" s="118">
        <f>IFERROR((ReviewCalcs[[#This Row],[Existing Fixture Quantity]]*ReviewCalcs[[#This Row],[Existing Fixture Watts]]/1000-ReviewCalcs[[#This Row],[Proposed Fixture Quantity]]*ReviewCalcs[[#This Row],[Proposed Fixture Watts]]/1000)*ReviewCalcs[[#This Row],[Existing CF]]*ReviewCalcs[[#This Row],[IEFD]], 0)</f>
        <v>0</v>
      </c>
      <c r="AK295" s="118">
        <f>IFERROR((ReviewCalcs[[#This Row],[Existing Fixture Quantity]]*ReviewCalcs[[#This Row],[Existing Fixture Watts]]/1000)*ReviewCalcs[[#This Row],[AOH]]*ReviewCalcs[[#This Row],[IEFE]]*ReviewCalcs[[#This Row],[Existing PAF]], 0)</f>
        <v>0</v>
      </c>
      <c r="AL295" s="118">
        <f>IFERROR((ReviewCalcs[[#This Row],[Proposed Fixture Quantity]]*ReviewCalcs[[#This Row],[Proposed Fixture Watts]]/1000)*ReviewCalcs[[#This Row],[AOH]]*ReviewCalcs[[#This Row],[IEFE]]*ReviewCalcs[[#This Row],[Existing PAF]], 0)</f>
        <v>0</v>
      </c>
      <c r="AM295"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5" s="118">
        <f>ReviewCalcs[[#This Row],[Fixture Existing Energy (kWh)]]*Avg_KWh_Rate</f>
        <v>0</v>
      </c>
      <c r="AO295" s="118">
        <f>ReviewCalcs[[#This Row],[Fixture Proposed Energy (kWh)]]*Avg_KWh_Rate</f>
        <v>0</v>
      </c>
      <c r="AP295" s="70">
        <f>ReviewCalcs[[#This Row],[Fixture Energy Savings]]*Avg_KWh_Rate</f>
        <v>0</v>
      </c>
      <c r="AQ295" s="129" t="e">
        <f>ReviewCalcs[[#This Row],[Existing Fixture Quantity]]*ReviewCalcs[[#This Row],[Existing Fixture Watts]]/1000*ReviewCalcs[[#This Row],[Existing CF]]*ReviewCalcs[[#This Row],[IEFD]]</f>
        <v>#VALUE!</v>
      </c>
      <c r="AR295" s="129" t="e">
        <f>ReviewCalcs[[#This Row],[Proposed Fixture Quantity]]*ReviewCalcs[[#This Row],[Proposed Fixture Watts]]/1000*ReviewCalcs[[#This Row],[Proposed CF]]*ReviewCalcs[[#This Row],[IEFD]]</f>
        <v>#VALUE!</v>
      </c>
      <c r="AS295" s="118">
        <f>IF(ReviewCalcs[[#This Row],[Existing CF]]=ReviewCalcs[[#This Row],[Proposed CF]], 0, ReviewCalcs[[#This Row],[Proposed Fixture Quantity]]*ReviewCalcs[[#This Row],[Proposed Fixture Watts]]/1000*ReviewCalcs[[#This Row],[Proposed CF]]*ReviewCalcs[[#This Row],[IEFD]])</f>
        <v>0</v>
      </c>
      <c r="AT295" s="118">
        <f>IFERROR(ReviewCalcs[[#This Row],[Existing Fixture Quantity]]*ReviewCalcs[[#This Row],[Existing Fixture Watts]]/1000*ReviewCalcs[[#This Row],[Existing PAF]]*ReviewCalcs[[#This Row],[AOH]]*ReviewCalcs[[#This Row],[IEFE]], 0)</f>
        <v>0</v>
      </c>
      <c r="AU295" s="118">
        <f>IFERROR(ReviewCalcs[[#This Row],[Proposed Fixture Quantity]]*ReviewCalcs[[#This Row],[Proposed Fixture Watts]]/1000*ReviewCalcs[[#This Row],[Proposed PAF]]*ReviewCalcs[[#This Row],[AOH]]*ReviewCalcs[[#This Row],[IEFE]], 0)</f>
        <v>0</v>
      </c>
      <c r="AV295" s="118">
        <f>IFERROR(ReviewCalcs[[#This Row],[Proposed Fixture Quantity]]*ReviewCalcs[[#This Row],[Proposed Fixture Watts]]/1000*(ReviewCalcs[[#This Row],[Existing PAF]]-ReviewCalcs[[#This Row],[Proposed PAF]])*ReviewCalcs[[#This Row],[AOH]]*ReviewCalcs[[#This Row],[IEFE]], 0)</f>
        <v>0</v>
      </c>
      <c r="AW295" s="118">
        <f>ReviewCalcs[[#This Row],[Control Existing Energy (kWh)]]*kWh_Incentive_Rate</f>
        <v>0</v>
      </c>
      <c r="AX295" s="118">
        <f>ReviewCalcs[[#This Row],[Control Proposed Energy (kWh)]]*kWh_Incentive_Rate</f>
        <v>0</v>
      </c>
      <c r="AY295" s="70">
        <f>ReviewCalcs[[#This Row],[Control Energy Savings (kWh)]]*kWh_Incentive_Rate</f>
        <v>0</v>
      </c>
      <c r="AZ295" s="70" t="e">
        <f>ReviewCalcs[[#This Row],[Fixture Existing Demand (kW)]]+ReviewCalcs[[#This Row],[Control Existing Demand (kW)]]</f>
        <v>#VALUE!</v>
      </c>
      <c r="BA295" s="70" t="e">
        <f>ReviewCalcs[[#This Row],[Fixture Proposed Demand (kW)]]+ReviewCalcs[[#This Row],[Control Proposed Demand (kW)]]</f>
        <v>#VALUE!</v>
      </c>
      <c r="BB295" s="118">
        <f>ReviewCalcs[[#This Row],[Fixture Demand Savings (kW)]]+ReviewCalcs[[#This Row],[Control Demand Savings (kW)]]</f>
        <v>0</v>
      </c>
      <c r="BC295" s="118">
        <f>ReviewCalcs[[#This Row],[Fixture Existing Energy (kWh)]]+ReviewCalcs[[#This Row],[Control Existing Energy (kWh)]]</f>
        <v>0</v>
      </c>
      <c r="BD295" s="118">
        <f>ReviewCalcs[[#This Row],[Fixture Proposed Energy (kWh)]]+ReviewCalcs[[#This Row],[Control Proposed Energy (kWh)]]</f>
        <v>0</v>
      </c>
      <c r="BE295" s="118">
        <f>ReviewCalcs[[#This Row],[Fixture Energy Savings]]+ReviewCalcs[[#This Row],[Control Energy Savings (kWh)]]</f>
        <v>0</v>
      </c>
      <c r="BF295" s="118">
        <f>ReviewCalcs[[#This Row],[Fixture Existing Cost ($)]]+ReviewCalcs[[#This Row],[Control Existing Cost ($)]]</f>
        <v>0</v>
      </c>
      <c r="BG295" s="118">
        <f>ReviewCalcs[[#This Row],[Fixture Proposed Cost ($)]]+ReviewCalcs[[#This Row],[Controls Proposed Cost ($)]]</f>
        <v>0</v>
      </c>
      <c r="BH295" s="70">
        <f>ReviewCalcs[[#This Row],[Total Energy Savings (kWh)]]*Avg_KWh_Rate</f>
        <v>0</v>
      </c>
      <c r="BI295"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5" s="70">
        <f>ReviewCalcs[[#This Row],[Retrofit Cost]]</f>
        <v>0</v>
      </c>
      <c r="BK295" s="70">
        <f>ReviewCalcs[[#This Row],[Retrofit Cost]]-ReviewCalcs[[#This Row],[Incentive ($)]]</f>
        <v>0</v>
      </c>
      <c r="BL295" s="118" t="e">
        <f>IFERROR(ReviewCalcs[[#This Row],[Net Project Cost ($)]]/ReviewCalcs[[#This Row],[Fixture Energy Cost Savings ($)]], #N/A)</f>
        <v>#N/A</v>
      </c>
      <c r="BM295" s="118" t="e">
        <f>IF(VLOOKUP(ReviewCalcs[[#This Row],[Existing Fixture Code]], Table7[[FIXTURE CODE]:[Baseline Fixture Code]], 8, FALSE)="N", VLOOKUP(ReviewCalcs[[#This Row],[Existing Fixture Code]], Table7[[FIXTURE CODE]:[Baseline Fixture Code]], 9, FALSE), ReviewCalcs[[#This Row],[Existing Fixture Code]])</f>
        <v>#N/A</v>
      </c>
      <c r="BN295" s="118" t="e">
        <f>INDEX(Table7[WATT/ FIXT], MATCH(ReviewCalcs[Baseline Fixture Code], Table7[FIXTURE CODE], 0))</f>
        <v>#N/A</v>
      </c>
      <c r="BO295" s="118">
        <f>IFERROR((ReviewCalcs[[#This Row],[Existing Fixture Quantity]]*ReviewCalcs[[#This Row],[Baseline Fixture Watts]]/1000-ReviewCalcs[[#This Row],[Proposed Fixture Quantity]]*ReviewCalcs[[#This Row],[Proposed Fixture Watts]]/1000)*ReviewCalcs[[#This Row],[Existing CF]]*ReviewCalcs[[#This Row],[IEFD]], 0)</f>
        <v>0</v>
      </c>
      <c r="BP295"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5" s="118">
        <f>IF(ReviewCalcs[[#This Row],[Existing CF]]=ReviewCalcs[[#This Row],[Proposed CF]], 0, ReviewCalcs[[#This Row],[Proposed Fixture Quantity]]*ReviewCalcs[[#This Row],[Proposed Fixture Watts]]/1000*ReviewCalcs[[#This Row],[Proposed CF]]*ReviewCalcs[[#This Row],[IEFD]])</f>
        <v>0</v>
      </c>
      <c r="BR295" s="118">
        <f>IFERROR(ReviewCalcs[[#This Row],[Proposed Fixture Quantity]]*ReviewCalcs[[#This Row],[Proposed Fixture Watts]]/1000*(ReviewCalcs[[#This Row],[Existing PAF]]-ReviewCalcs[[#This Row],[Proposed PAF]])*ReviewCalcs[[#This Row],[AOH]]*ReviewCalcs[[#This Row],[IEFE]],0)</f>
        <v>0</v>
      </c>
      <c r="BS295" s="118">
        <f>ReviewCalcs[[#This Row],[Incentive Fixture Demand Savings (kW)]]+ReviewCalcs[[#This Row],[Incentive Control Demand Savings (kW)]]</f>
        <v>0</v>
      </c>
      <c r="BT295" s="118">
        <f>ReviewCalcs[[#This Row],[Incentive Fixture Energy Savings (kWh)]]+ReviewCalcs[[#This Row],[Incentive Control Energy Savings (kWh)]]</f>
        <v>0</v>
      </c>
      <c r="BU295" s="73"/>
    </row>
    <row r="296" spans="1:73" ht="30" customHeight="1">
      <c r="A296" s="68">
        <v>293</v>
      </c>
      <c r="B296" s="96">
        <f>VLOOKUP(ReviewCalcs[[#This Row],[Project Index]], ProjectInput[], D$1, FALSE)</f>
        <v>0</v>
      </c>
      <c r="C296" s="97">
        <f>VLOOKUP(ReviewCalcs[[#This Row],[Project Index]], ProjectInput[], E$1, FALSE)</f>
        <v>0</v>
      </c>
      <c r="D296" s="97">
        <f>VLOOKUP(ReviewCalcs[[#This Row],[Project Index]], ProjectInput[], F$1, FALSE)</f>
        <v>0</v>
      </c>
      <c r="E296" s="97">
        <f>VLOOKUP(ReviewCalcs[[#This Row],[Project Index]], ProjectInput[], G$1, FALSE)</f>
        <v>0</v>
      </c>
      <c r="F296" s="97">
        <f>VLOOKUP(ReviewCalcs[[#This Row],[Project Index]], ProjectInput[], H$1, FALSE)</f>
        <v>0</v>
      </c>
      <c r="G296" s="98" t="str">
        <f>VLOOKUP(ReviewCalcs[[#This Row],[Project Index]], ProjectInput[], I$1, FALSE)</f>
        <v/>
      </c>
      <c r="H296" s="96">
        <f>VLOOKUP(ReviewCalcs[[#This Row],[Project Index]], ProjectInput[], J$1, FALSE)</f>
        <v>0</v>
      </c>
      <c r="I296" s="97">
        <f>VLOOKUP(ReviewCalcs[[#This Row],[Project Index]], ProjectInput[], K$1, FALSE)</f>
        <v>0</v>
      </c>
      <c r="J296" s="97">
        <f>VLOOKUP(ReviewCalcs[[#This Row],[Project Index]], ProjectInput[], L$1, FALSE)</f>
        <v>0</v>
      </c>
      <c r="K296" s="97">
        <f>VLOOKUP(ReviewCalcs[[#This Row],[Project Index]], ProjectInput[], M$1, FALSE)</f>
        <v>0</v>
      </c>
      <c r="L296" s="97">
        <f>VLOOKUP(ReviewCalcs[[#This Row],[Project Index]], ProjectInput[], N$1, FALSE)</f>
        <v>0</v>
      </c>
      <c r="M296" s="98" t="str">
        <f>VLOOKUP(ReviewCalcs[[#This Row],[Project Index]], ProjectInput[], O$1, FALSE)</f>
        <v/>
      </c>
      <c r="N296" s="96">
        <f>VLOOKUP(ReviewCalcs[[#This Row],[Project Index]], ProjectInput[], P$1, FALSE)</f>
        <v>0</v>
      </c>
      <c r="O296" s="97">
        <f>VLOOKUP(ReviewCalcs[[#This Row],[Project Index]], ProjectInput[], Q$1, FALSE)</f>
        <v>0</v>
      </c>
      <c r="P296" s="97">
        <f>VLOOKUP(ReviewCalcs[[#This Row],[Project Index]], ProjectInput[], R$1, FALSE)</f>
        <v>0</v>
      </c>
      <c r="Q296" s="97">
        <f>VLOOKUP(ReviewCalcs[[#This Row],[Project Index]], ProjectInput[], S$1, FALSE)</f>
        <v>0</v>
      </c>
      <c r="R296" s="97">
        <f>VLOOKUP(ReviewCalcs[[#This Row],[Project Index]], ProjectInput[], T$1, FALSE)</f>
        <v>0</v>
      </c>
      <c r="S296" s="97">
        <f>VLOOKUP(ReviewCalcs[[#This Row],[Project Index]], ProjectInput[], U$1, FALSE)</f>
        <v>0</v>
      </c>
      <c r="T296" s="97">
        <f>VLOOKUP(ReviewCalcs[[#This Row],[Project Index]], ProjectInput[], V$1, FALSE)</f>
        <v>0</v>
      </c>
      <c r="U296" s="97">
        <f>VLOOKUP(ReviewCalcs[[#This Row],[Project Index]], ProjectInput[], W$1, FALSE)</f>
        <v>0</v>
      </c>
      <c r="V296" s="98" t="str">
        <f>VLOOKUP(ReviewCalcs[[#This Row],[Project Index]], ProjectInput[], X$1, FALSE)</f>
        <v/>
      </c>
      <c r="W296"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6" s="75" t="e">
        <f>IF(VLOOKUP(ReviewCalcs[[#This Row],[Proposed Fixture Code]], Table7[[FIXTURE CODE]:[Baseline Fixture Code]], 8, FALSE)="N", "ERROR", "PASS")</f>
        <v>#N/A</v>
      </c>
      <c r="Y296"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6" s="75" t="e">
        <f>IF(OR(ReviewCalcs[[#This Row],[Baseline Fixture Watts]]&gt;=ReviewCalcs[[#This Row],[Proposed Fixture Watts]],ReviewCalcs[[#This Row],[Existing Fixture Watts]]&gt;=ReviewCalcs[[#This Row],[Proposed Fixture Watts]] ), "PASS", "ERROR")</f>
        <v>#N/A</v>
      </c>
      <c r="AA296" s="69" t="e">
        <f>VLOOKUP(ReviewCalcs[[#This Row],[Space Conditions]], Table_365[], 5, FALSE)</f>
        <v>#N/A</v>
      </c>
      <c r="AB296" s="68" t="str">
        <f>ReviewCalcs[[#This Row],[Annual Hours]]</f>
        <v/>
      </c>
      <c r="AC296" s="68" t="e">
        <f>VLOOKUP(ReviewCalcs[[#This Row],[Space Conditions]], Table_365[], 6, FALSE)</f>
        <v>#N/A</v>
      </c>
      <c r="AD296" s="68">
        <f>IF(ReviewCalcs[[#This Row],[Existing Control(s)]]='Tables &amp; Ranges'!$A$25, VLOOKUP(ReviewCalcs[[#This Row],[Building/Space Type]], Table_364[], 3, FALSE), CF_Contols)</f>
        <v>0.26</v>
      </c>
      <c r="AE296" s="68" t="e">
        <f>VLOOKUP(ReviewCalcs[[#This Row],[Existing Control(s)]], Table_358[], 2, FALSE)</f>
        <v>#N/A</v>
      </c>
      <c r="AF296" s="68">
        <f>IF(ReviewCalcs[[#This Row],[Proposed Control(s)]]='Tables &amp; Ranges'!$A$25, VLOOKUP(ReviewCalcs[[#This Row],[Building/Space Type]], Table_364[], 3, FALSE), CF_Contols)</f>
        <v>0.26</v>
      </c>
      <c r="AG296" s="68" t="e">
        <f>VLOOKUP(ReviewCalcs[[#This Row],[Proposed Control(s)]], Table_358[], 2, FALSE)</f>
        <v>#N/A</v>
      </c>
      <c r="AH296" s="68">
        <f>IFERROR((ReviewCalcs[[#This Row],[Existing Fixture Quantity]]*ReviewCalcs[[#This Row],[Existing Fixture Watts]]/1000)*ReviewCalcs[[#This Row],[Existing CF]]*ReviewCalcs[[#This Row],[IEFD]], 0)</f>
        <v>0</v>
      </c>
      <c r="AI296" s="68">
        <f>IFERROR((ReviewCalcs[[#This Row],[Proposed Fixture Quantity]]*ReviewCalcs[[#This Row],[Proposed Fixture Watts]]/1000)*ReviewCalcs[[#This Row],[Existing CF]]*ReviewCalcs[[#This Row],[IEFD]], 0)</f>
        <v>0</v>
      </c>
      <c r="AJ296" s="118">
        <f>IFERROR((ReviewCalcs[[#This Row],[Existing Fixture Quantity]]*ReviewCalcs[[#This Row],[Existing Fixture Watts]]/1000-ReviewCalcs[[#This Row],[Proposed Fixture Quantity]]*ReviewCalcs[[#This Row],[Proposed Fixture Watts]]/1000)*ReviewCalcs[[#This Row],[Existing CF]]*ReviewCalcs[[#This Row],[IEFD]], 0)</f>
        <v>0</v>
      </c>
      <c r="AK296" s="118">
        <f>IFERROR((ReviewCalcs[[#This Row],[Existing Fixture Quantity]]*ReviewCalcs[[#This Row],[Existing Fixture Watts]]/1000)*ReviewCalcs[[#This Row],[AOH]]*ReviewCalcs[[#This Row],[IEFE]]*ReviewCalcs[[#This Row],[Existing PAF]], 0)</f>
        <v>0</v>
      </c>
      <c r="AL296" s="118">
        <f>IFERROR((ReviewCalcs[[#This Row],[Proposed Fixture Quantity]]*ReviewCalcs[[#This Row],[Proposed Fixture Watts]]/1000)*ReviewCalcs[[#This Row],[AOH]]*ReviewCalcs[[#This Row],[IEFE]]*ReviewCalcs[[#This Row],[Existing PAF]], 0)</f>
        <v>0</v>
      </c>
      <c r="AM296"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6" s="118">
        <f>ReviewCalcs[[#This Row],[Fixture Existing Energy (kWh)]]*Avg_KWh_Rate</f>
        <v>0</v>
      </c>
      <c r="AO296" s="118">
        <f>ReviewCalcs[[#This Row],[Fixture Proposed Energy (kWh)]]*Avg_KWh_Rate</f>
        <v>0</v>
      </c>
      <c r="AP296" s="70">
        <f>ReviewCalcs[[#This Row],[Fixture Energy Savings]]*Avg_KWh_Rate</f>
        <v>0</v>
      </c>
      <c r="AQ296" s="129" t="e">
        <f>ReviewCalcs[[#This Row],[Existing Fixture Quantity]]*ReviewCalcs[[#This Row],[Existing Fixture Watts]]/1000*ReviewCalcs[[#This Row],[Existing CF]]*ReviewCalcs[[#This Row],[IEFD]]</f>
        <v>#VALUE!</v>
      </c>
      <c r="AR296" s="129" t="e">
        <f>ReviewCalcs[[#This Row],[Proposed Fixture Quantity]]*ReviewCalcs[[#This Row],[Proposed Fixture Watts]]/1000*ReviewCalcs[[#This Row],[Proposed CF]]*ReviewCalcs[[#This Row],[IEFD]]</f>
        <v>#VALUE!</v>
      </c>
      <c r="AS296" s="118">
        <f>IF(ReviewCalcs[[#This Row],[Existing CF]]=ReviewCalcs[[#This Row],[Proposed CF]], 0, ReviewCalcs[[#This Row],[Proposed Fixture Quantity]]*ReviewCalcs[[#This Row],[Proposed Fixture Watts]]/1000*ReviewCalcs[[#This Row],[Proposed CF]]*ReviewCalcs[[#This Row],[IEFD]])</f>
        <v>0</v>
      </c>
      <c r="AT296" s="118">
        <f>IFERROR(ReviewCalcs[[#This Row],[Existing Fixture Quantity]]*ReviewCalcs[[#This Row],[Existing Fixture Watts]]/1000*ReviewCalcs[[#This Row],[Existing PAF]]*ReviewCalcs[[#This Row],[AOH]]*ReviewCalcs[[#This Row],[IEFE]], 0)</f>
        <v>0</v>
      </c>
      <c r="AU296" s="118">
        <f>IFERROR(ReviewCalcs[[#This Row],[Proposed Fixture Quantity]]*ReviewCalcs[[#This Row],[Proposed Fixture Watts]]/1000*ReviewCalcs[[#This Row],[Proposed PAF]]*ReviewCalcs[[#This Row],[AOH]]*ReviewCalcs[[#This Row],[IEFE]], 0)</f>
        <v>0</v>
      </c>
      <c r="AV296" s="118">
        <f>IFERROR(ReviewCalcs[[#This Row],[Proposed Fixture Quantity]]*ReviewCalcs[[#This Row],[Proposed Fixture Watts]]/1000*(ReviewCalcs[[#This Row],[Existing PAF]]-ReviewCalcs[[#This Row],[Proposed PAF]])*ReviewCalcs[[#This Row],[AOH]]*ReviewCalcs[[#This Row],[IEFE]], 0)</f>
        <v>0</v>
      </c>
      <c r="AW296" s="118">
        <f>ReviewCalcs[[#This Row],[Control Existing Energy (kWh)]]*kWh_Incentive_Rate</f>
        <v>0</v>
      </c>
      <c r="AX296" s="118">
        <f>ReviewCalcs[[#This Row],[Control Proposed Energy (kWh)]]*kWh_Incentive_Rate</f>
        <v>0</v>
      </c>
      <c r="AY296" s="70">
        <f>ReviewCalcs[[#This Row],[Control Energy Savings (kWh)]]*kWh_Incentive_Rate</f>
        <v>0</v>
      </c>
      <c r="AZ296" s="70" t="e">
        <f>ReviewCalcs[[#This Row],[Fixture Existing Demand (kW)]]+ReviewCalcs[[#This Row],[Control Existing Demand (kW)]]</f>
        <v>#VALUE!</v>
      </c>
      <c r="BA296" s="70" t="e">
        <f>ReviewCalcs[[#This Row],[Fixture Proposed Demand (kW)]]+ReviewCalcs[[#This Row],[Control Proposed Demand (kW)]]</f>
        <v>#VALUE!</v>
      </c>
      <c r="BB296" s="118">
        <f>ReviewCalcs[[#This Row],[Fixture Demand Savings (kW)]]+ReviewCalcs[[#This Row],[Control Demand Savings (kW)]]</f>
        <v>0</v>
      </c>
      <c r="BC296" s="118">
        <f>ReviewCalcs[[#This Row],[Fixture Existing Energy (kWh)]]+ReviewCalcs[[#This Row],[Control Existing Energy (kWh)]]</f>
        <v>0</v>
      </c>
      <c r="BD296" s="118">
        <f>ReviewCalcs[[#This Row],[Fixture Proposed Energy (kWh)]]+ReviewCalcs[[#This Row],[Control Proposed Energy (kWh)]]</f>
        <v>0</v>
      </c>
      <c r="BE296" s="118">
        <f>ReviewCalcs[[#This Row],[Fixture Energy Savings]]+ReviewCalcs[[#This Row],[Control Energy Savings (kWh)]]</f>
        <v>0</v>
      </c>
      <c r="BF296" s="118">
        <f>ReviewCalcs[[#This Row],[Fixture Existing Cost ($)]]+ReviewCalcs[[#This Row],[Control Existing Cost ($)]]</f>
        <v>0</v>
      </c>
      <c r="BG296" s="118">
        <f>ReviewCalcs[[#This Row],[Fixture Proposed Cost ($)]]+ReviewCalcs[[#This Row],[Controls Proposed Cost ($)]]</f>
        <v>0</v>
      </c>
      <c r="BH296" s="70">
        <f>ReviewCalcs[[#This Row],[Total Energy Savings (kWh)]]*Avg_KWh_Rate</f>
        <v>0</v>
      </c>
      <c r="BI296"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6" s="70">
        <f>ReviewCalcs[[#This Row],[Retrofit Cost]]</f>
        <v>0</v>
      </c>
      <c r="BK296" s="70">
        <f>ReviewCalcs[[#This Row],[Retrofit Cost]]-ReviewCalcs[[#This Row],[Incentive ($)]]</f>
        <v>0</v>
      </c>
      <c r="BL296" s="118" t="e">
        <f>IFERROR(ReviewCalcs[[#This Row],[Net Project Cost ($)]]/ReviewCalcs[[#This Row],[Fixture Energy Cost Savings ($)]], #N/A)</f>
        <v>#N/A</v>
      </c>
      <c r="BM296" s="118" t="e">
        <f>IF(VLOOKUP(ReviewCalcs[[#This Row],[Existing Fixture Code]], Table7[[FIXTURE CODE]:[Baseline Fixture Code]], 8, FALSE)="N", VLOOKUP(ReviewCalcs[[#This Row],[Existing Fixture Code]], Table7[[FIXTURE CODE]:[Baseline Fixture Code]], 9, FALSE), ReviewCalcs[[#This Row],[Existing Fixture Code]])</f>
        <v>#N/A</v>
      </c>
      <c r="BN296" s="118" t="e">
        <f>INDEX(Table7[WATT/ FIXT], MATCH(ReviewCalcs[Baseline Fixture Code], Table7[FIXTURE CODE], 0))</f>
        <v>#N/A</v>
      </c>
      <c r="BO296" s="118">
        <f>IFERROR((ReviewCalcs[[#This Row],[Existing Fixture Quantity]]*ReviewCalcs[[#This Row],[Baseline Fixture Watts]]/1000-ReviewCalcs[[#This Row],[Proposed Fixture Quantity]]*ReviewCalcs[[#This Row],[Proposed Fixture Watts]]/1000)*ReviewCalcs[[#This Row],[Existing CF]]*ReviewCalcs[[#This Row],[IEFD]], 0)</f>
        <v>0</v>
      </c>
      <c r="BP296"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6" s="118">
        <f>IF(ReviewCalcs[[#This Row],[Existing CF]]=ReviewCalcs[[#This Row],[Proposed CF]], 0, ReviewCalcs[[#This Row],[Proposed Fixture Quantity]]*ReviewCalcs[[#This Row],[Proposed Fixture Watts]]/1000*ReviewCalcs[[#This Row],[Proposed CF]]*ReviewCalcs[[#This Row],[IEFD]])</f>
        <v>0</v>
      </c>
      <c r="BR296" s="118">
        <f>IFERROR(ReviewCalcs[[#This Row],[Proposed Fixture Quantity]]*ReviewCalcs[[#This Row],[Proposed Fixture Watts]]/1000*(ReviewCalcs[[#This Row],[Existing PAF]]-ReviewCalcs[[#This Row],[Proposed PAF]])*ReviewCalcs[[#This Row],[AOH]]*ReviewCalcs[[#This Row],[IEFE]],0)</f>
        <v>0</v>
      </c>
      <c r="BS296" s="118">
        <f>ReviewCalcs[[#This Row],[Incentive Fixture Demand Savings (kW)]]+ReviewCalcs[[#This Row],[Incentive Control Demand Savings (kW)]]</f>
        <v>0</v>
      </c>
      <c r="BT296" s="118">
        <f>ReviewCalcs[[#This Row],[Incentive Fixture Energy Savings (kWh)]]+ReviewCalcs[[#This Row],[Incentive Control Energy Savings (kWh)]]</f>
        <v>0</v>
      </c>
      <c r="BU296" s="73"/>
    </row>
    <row r="297" spans="1:73" ht="30" customHeight="1">
      <c r="A297" s="68">
        <v>294</v>
      </c>
      <c r="B297" s="96">
        <f>VLOOKUP(ReviewCalcs[[#This Row],[Project Index]], ProjectInput[], D$1, FALSE)</f>
        <v>0</v>
      </c>
      <c r="C297" s="97">
        <f>VLOOKUP(ReviewCalcs[[#This Row],[Project Index]], ProjectInput[], E$1, FALSE)</f>
        <v>0</v>
      </c>
      <c r="D297" s="97">
        <f>VLOOKUP(ReviewCalcs[[#This Row],[Project Index]], ProjectInput[], F$1, FALSE)</f>
        <v>0</v>
      </c>
      <c r="E297" s="97">
        <f>VLOOKUP(ReviewCalcs[[#This Row],[Project Index]], ProjectInput[], G$1, FALSE)</f>
        <v>0</v>
      </c>
      <c r="F297" s="97">
        <f>VLOOKUP(ReviewCalcs[[#This Row],[Project Index]], ProjectInput[], H$1, FALSE)</f>
        <v>0</v>
      </c>
      <c r="G297" s="98" t="str">
        <f>VLOOKUP(ReviewCalcs[[#This Row],[Project Index]], ProjectInput[], I$1, FALSE)</f>
        <v/>
      </c>
      <c r="H297" s="96">
        <f>VLOOKUP(ReviewCalcs[[#This Row],[Project Index]], ProjectInput[], J$1, FALSE)</f>
        <v>0</v>
      </c>
      <c r="I297" s="97">
        <f>VLOOKUP(ReviewCalcs[[#This Row],[Project Index]], ProjectInput[], K$1, FALSE)</f>
        <v>0</v>
      </c>
      <c r="J297" s="97">
        <f>VLOOKUP(ReviewCalcs[[#This Row],[Project Index]], ProjectInput[], L$1, FALSE)</f>
        <v>0</v>
      </c>
      <c r="K297" s="97">
        <f>VLOOKUP(ReviewCalcs[[#This Row],[Project Index]], ProjectInput[], M$1, FALSE)</f>
        <v>0</v>
      </c>
      <c r="L297" s="97">
        <f>VLOOKUP(ReviewCalcs[[#This Row],[Project Index]], ProjectInput[], N$1, FALSE)</f>
        <v>0</v>
      </c>
      <c r="M297" s="98" t="str">
        <f>VLOOKUP(ReviewCalcs[[#This Row],[Project Index]], ProjectInput[], O$1, FALSE)</f>
        <v/>
      </c>
      <c r="N297" s="96">
        <f>VLOOKUP(ReviewCalcs[[#This Row],[Project Index]], ProjectInput[], P$1, FALSE)</f>
        <v>0</v>
      </c>
      <c r="O297" s="97">
        <f>VLOOKUP(ReviewCalcs[[#This Row],[Project Index]], ProjectInput[], Q$1, FALSE)</f>
        <v>0</v>
      </c>
      <c r="P297" s="97">
        <f>VLOOKUP(ReviewCalcs[[#This Row],[Project Index]], ProjectInput[], R$1, FALSE)</f>
        <v>0</v>
      </c>
      <c r="Q297" s="97">
        <f>VLOOKUP(ReviewCalcs[[#This Row],[Project Index]], ProjectInput[], S$1, FALSE)</f>
        <v>0</v>
      </c>
      <c r="R297" s="97">
        <f>VLOOKUP(ReviewCalcs[[#This Row],[Project Index]], ProjectInput[], T$1, FALSE)</f>
        <v>0</v>
      </c>
      <c r="S297" s="97">
        <f>VLOOKUP(ReviewCalcs[[#This Row],[Project Index]], ProjectInput[], U$1, FALSE)</f>
        <v>0</v>
      </c>
      <c r="T297" s="97">
        <f>VLOOKUP(ReviewCalcs[[#This Row],[Project Index]], ProjectInput[], V$1, FALSE)</f>
        <v>0</v>
      </c>
      <c r="U297" s="97">
        <f>VLOOKUP(ReviewCalcs[[#This Row],[Project Index]], ProjectInput[], W$1, FALSE)</f>
        <v>0</v>
      </c>
      <c r="V297" s="98" t="str">
        <f>VLOOKUP(ReviewCalcs[[#This Row],[Project Index]], ProjectInput[], X$1, FALSE)</f>
        <v/>
      </c>
      <c r="W297"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7" s="75" t="e">
        <f>IF(VLOOKUP(ReviewCalcs[[#This Row],[Proposed Fixture Code]], Table7[[FIXTURE CODE]:[Baseline Fixture Code]], 8, FALSE)="N", "ERROR", "PASS")</f>
        <v>#N/A</v>
      </c>
      <c r="Y297"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7" s="75" t="e">
        <f>IF(OR(ReviewCalcs[[#This Row],[Baseline Fixture Watts]]&gt;=ReviewCalcs[[#This Row],[Proposed Fixture Watts]],ReviewCalcs[[#This Row],[Existing Fixture Watts]]&gt;=ReviewCalcs[[#This Row],[Proposed Fixture Watts]] ), "PASS", "ERROR")</f>
        <v>#N/A</v>
      </c>
      <c r="AA297" s="69" t="e">
        <f>VLOOKUP(ReviewCalcs[[#This Row],[Space Conditions]], Table_365[], 5, FALSE)</f>
        <v>#N/A</v>
      </c>
      <c r="AB297" s="68" t="str">
        <f>ReviewCalcs[[#This Row],[Annual Hours]]</f>
        <v/>
      </c>
      <c r="AC297" s="68" t="e">
        <f>VLOOKUP(ReviewCalcs[[#This Row],[Space Conditions]], Table_365[], 6, FALSE)</f>
        <v>#N/A</v>
      </c>
      <c r="AD297" s="68">
        <f>IF(ReviewCalcs[[#This Row],[Existing Control(s)]]='Tables &amp; Ranges'!$A$25, VLOOKUP(ReviewCalcs[[#This Row],[Building/Space Type]], Table_364[], 3, FALSE), CF_Contols)</f>
        <v>0.26</v>
      </c>
      <c r="AE297" s="68" t="e">
        <f>VLOOKUP(ReviewCalcs[[#This Row],[Existing Control(s)]], Table_358[], 2, FALSE)</f>
        <v>#N/A</v>
      </c>
      <c r="AF297" s="68">
        <f>IF(ReviewCalcs[[#This Row],[Proposed Control(s)]]='Tables &amp; Ranges'!$A$25, VLOOKUP(ReviewCalcs[[#This Row],[Building/Space Type]], Table_364[], 3, FALSE), CF_Contols)</f>
        <v>0.26</v>
      </c>
      <c r="AG297" s="68" t="e">
        <f>VLOOKUP(ReviewCalcs[[#This Row],[Proposed Control(s)]], Table_358[], 2, FALSE)</f>
        <v>#N/A</v>
      </c>
      <c r="AH297" s="68">
        <f>IFERROR((ReviewCalcs[[#This Row],[Existing Fixture Quantity]]*ReviewCalcs[[#This Row],[Existing Fixture Watts]]/1000)*ReviewCalcs[[#This Row],[Existing CF]]*ReviewCalcs[[#This Row],[IEFD]], 0)</f>
        <v>0</v>
      </c>
      <c r="AI297" s="68">
        <f>IFERROR((ReviewCalcs[[#This Row],[Proposed Fixture Quantity]]*ReviewCalcs[[#This Row],[Proposed Fixture Watts]]/1000)*ReviewCalcs[[#This Row],[Existing CF]]*ReviewCalcs[[#This Row],[IEFD]], 0)</f>
        <v>0</v>
      </c>
      <c r="AJ297" s="118">
        <f>IFERROR((ReviewCalcs[[#This Row],[Existing Fixture Quantity]]*ReviewCalcs[[#This Row],[Existing Fixture Watts]]/1000-ReviewCalcs[[#This Row],[Proposed Fixture Quantity]]*ReviewCalcs[[#This Row],[Proposed Fixture Watts]]/1000)*ReviewCalcs[[#This Row],[Existing CF]]*ReviewCalcs[[#This Row],[IEFD]], 0)</f>
        <v>0</v>
      </c>
      <c r="AK297" s="118">
        <f>IFERROR((ReviewCalcs[[#This Row],[Existing Fixture Quantity]]*ReviewCalcs[[#This Row],[Existing Fixture Watts]]/1000)*ReviewCalcs[[#This Row],[AOH]]*ReviewCalcs[[#This Row],[IEFE]]*ReviewCalcs[[#This Row],[Existing PAF]], 0)</f>
        <v>0</v>
      </c>
      <c r="AL297" s="118">
        <f>IFERROR((ReviewCalcs[[#This Row],[Proposed Fixture Quantity]]*ReviewCalcs[[#This Row],[Proposed Fixture Watts]]/1000)*ReviewCalcs[[#This Row],[AOH]]*ReviewCalcs[[#This Row],[IEFE]]*ReviewCalcs[[#This Row],[Existing PAF]], 0)</f>
        <v>0</v>
      </c>
      <c r="AM297"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7" s="118">
        <f>ReviewCalcs[[#This Row],[Fixture Existing Energy (kWh)]]*Avg_KWh_Rate</f>
        <v>0</v>
      </c>
      <c r="AO297" s="118">
        <f>ReviewCalcs[[#This Row],[Fixture Proposed Energy (kWh)]]*Avg_KWh_Rate</f>
        <v>0</v>
      </c>
      <c r="AP297" s="70">
        <f>ReviewCalcs[[#This Row],[Fixture Energy Savings]]*Avg_KWh_Rate</f>
        <v>0</v>
      </c>
      <c r="AQ297" s="129" t="e">
        <f>ReviewCalcs[[#This Row],[Existing Fixture Quantity]]*ReviewCalcs[[#This Row],[Existing Fixture Watts]]/1000*ReviewCalcs[[#This Row],[Existing CF]]*ReviewCalcs[[#This Row],[IEFD]]</f>
        <v>#VALUE!</v>
      </c>
      <c r="AR297" s="129" t="e">
        <f>ReviewCalcs[[#This Row],[Proposed Fixture Quantity]]*ReviewCalcs[[#This Row],[Proposed Fixture Watts]]/1000*ReviewCalcs[[#This Row],[Proposed CF]]*ReviewCalcs[[#This Row],[IEFD]]</f>
        <v>#VALUE!</v>
      </c>
      <c r="AS297" s="118">
        <f>IF(ReviewCalcs[[#This Row],[Existing CF]]=ReviewCalcs[[#This Row],[Proposed CF]], 0, ReviewCalcs[[#This Row],[Proposed Fixture Quantity]]*ReviewCalcs[[#This Row],[Proposed Fixture Watts]]/1000*ReviewCalcs[[#This Row],[Proposed CF]]*ReviewCalcs[[#This Row],[IEFD]])</f>
        <v>0</v>
      </c>
      <c r="AT297" s="118">
        <f>IFERROR(ReviewCalcs[[#This Row],[Existing Fixture Quantity]]*ReviewCalcs[[#This Row],[Existing Fixture Watts]]/1000*ReviewCalcs[[#This Row],[Existing PAF]]*ReviewCalcs[[#This Row],[AOH]]*ReviewCalcs[[#This Row],[IEFE]], 0)</f>
        <v>0</v>
      </c>
      <c r="AU297" s="118">
        <f>IFERROR(ReviewCalcs[[#This Row],[Proposed Fixture Quantity]]*ReviewCalcs[[#This Row],[Proposed Fixture Watts]]/1000*ReviewCalcs[[#This Row],[Proposed PAF]]*ReviewCalcs[[#This Row],[AOH]]*ReviewCalcs[[#This Row],[IEFE]], 0)</f>
        <v>0</v>
      </c>
      <c r="AV297" s="118">
        <f>IFERROR(ReviewCalcs[[#This Row],[Proposed Fixture Quantity]]*ReviewCalcs[[#This Row],[Proposed Fixture Watts]]/1000*(ReviewCalcs[[#This Row],[Existing PAF]]-ReviewCalcs[[#This Row],[Proposed PAF]])*ReviewCalcs[[#This Row],[AOH]]*ReviewCalcs[[#This Row],[IEFE]], 0)</f>
        <v>0</v>
      </c>
      <c r="AW297" s="118">
        <f>ReviewCalcs[[#This Row],[Control Existing Energy (kWh)]]*kWh_Incentive_Rate</f>
        <v>0</v>
      </c>
      <c r="AX297" s="118">
        <f>ReviewCalcs[[#This Row],[Control Proposed Energy (kWh)]]*kWh_Incentive_Rate</f>
        <v>0</v>
      </c>
      <c r="AY297" s="70">
        <f>ReviewCalcs[[#This Row],[Control Energy Savings (kWh)]]*kWh_Incentive_Rate</f>
        <v>0</v>
      </c>
      <c r="AZ297" s="70" t="e">
        <f>ReviewCalcs[[#This Row],[Fixture Existing Demand (kW)]]+ReviewCalcs[[#This Row],[Control Existing Demand (kW)]]</f>
        <v>#VALUE!</v>
      </c>
      <c r="BA297" s="70" t="e">
        <f>ReviewCalcs[[#This Row],[Fixture Proposed Demand (kW)]]+ReviewCalcs[[#This Row],[Control Proposed Demand (kW)]]</f>
        <v>#VALUE!</v>
      </c>
      <c r="BB297" s="118">
        <f>ReviewCalcs[[#This Row],[Fixture Demand Savings (kW)]]+ReviewCalcs[[#This Row],[Control Demand Savings (kW)]]</f>
        <v>0</v>
      </c>
      <c r="BC297" s="118">
        <f>ReviewCalcs[[#This Row],[Fixture Existing Energy (kWh)]]+ReviewCalcs[[#This Row],[Control Existing Energy (kWh)]]</f>
        <v>0</v>
      </c>
      <c r="BD297" s="118">
        <f>ReviewCalcs[[#This Row],[Fixture Proposed Energy (kWh)]]+ReviewCalcs[[#This Row],[Control Proposed Energy (kWh)]]</f>
        <v>0</v>
      </c>
      <c r="BE297" s="118">
        <f>ReviewCalcs[[#This Row],[Fixture Energy Savings]]+ReviewCalcs[[#This Row],[Control Energy Savings (kWh)]]</f>
        <v>0</v>
      </c>
      <c r="BF297" s="118">
        <f>ReviewCalcs[[#This Row],[Fixture Existing Cost ($)]]+ReviewCalcs[[#This Row],[Control Existing Cost ($)]]</f>
        <v>0</v>
      </c>
      <c r="BG297" s="118">
        <f>ReviewCalcs[[#This Row],[Fixture Proposed Cost ($)]]+ReviewCalcs[[#This Row],[Controls Proposed Cost ($)]]</f>
        <v>0</v>
      </c>
      <c r="BH297" s="70">
        <f>ReviewCalcs[[#This Row],[Total Energy Savings (kWh)]]*Avg_KWh_Rate</f>
        <v>0</v>
      </c>
      <c r="BI297"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7" s="70">
        <f>ReviewCalcs[[#This Row],[Retrofit Cost]]</f>
        <v>0</v>
      </c>
      <c r="BK297" s="70">
        <f>ReviewCalcs[[#This Row],[Retrofit Cost]]-ReviewCalcs[[#This Row],[Incentive ($)]]</f>
        <v>0</v>
      </c>
      <c r="BL297" s="118" t="e">
        <f>IFERROR(ReviewCalcs[[#This Row],[Net Project Cost ($)]]/ReviewCalcs[[#This Row],[Fixture Energy Cost Savings ($)]], #N/A)</f>
        <v>#N/A</v>
      </c>
      <c r="BM297" s="118" t="e">
        <f>IF(VLOOKUP(ReviewCalcs[[#This Row],[Existing Fixture Code]], Table7[[FIXTURE CODE]:[Baseline Fixture Code]], 8, FALSE)="N", VLOOKUP(ReviewCalcs[[#This Row],[Existing Fixture Code]], Table7[[FIXTURE CODE]:[Baseline Fixture Code]], 9, FALSE), ReviewCalcs[[#This Row],[Existing Fixture Code]])</f>
        <v>#N/A</v>
      </c>
      <c r="BN297" s="118" t="e">
        <f>INDEX(Table7[WATT/ FIXT], MATCH(ReviewCalcs[Baseline Fixture Code], Table7[FIXTURE CODE], 0))</f>
        <v>#N/A</v>
      </c>
      <c r="BO297" s="118">
        <f>IFERROR((ReviewCalcs[[#This Row],[Existing Fixture Quantity]]*ReviewCalcs[[#This Row],[Baseline Fixture Watts]]/1000-ReviewCalcs[[#This Row],[Proposed Fixture Quantity]]*ReviewCalcs[[#This Row],[Proposed Fixture Watts]]/1000)*ReviewCalcs[[#This Row],[Existing CF]]*ReviewCalcs[[#This Row],[IEFD]], 0)</f>
        <v>0</v>
      </c>
      <c r="BP297"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7" s="118">
        <f>IF(ReviewCalcs[[#This Row],[Existing CF]]=ReviewCalcs[[#This Row],[Proposed CF]], 0, ReviewCalcs[[#This Row],[Proposed Fixture Quantity]]*ReviewCalcs[[#This Row],[Proposed Fixture Watts]]/1000*ReviewCalcs[[#This Row],[Proposed CF]]*ReviewCalcs[[#This Row],[IEFD]])</f>
        <v>0</v>
      </c>
      <c r="BR297" s="118">
        <f>IFERROR(ReviewCalcs[[#This Row],[Proposed Fixture Quantity]]*ReviewCalcs[[#This Row],[Proposed Fixture Watts]]/1000*(ReviewCalcs[[#This Row],[Existing PAF]]-ReviewCalcs[[#This Row],[Proposed PAF]])*ReviewCalcs[[#This Row],[AOH]]*ReviewCalcs[[#This Row],[IEFE]],0)</f>
        <v>0</v>
      </c>
      <c r="BS297" s="118">
        <f>ReviewCalcs[[#This Row],[Incentive Fixture Demand Savings (kW)]]+ReviewCalcs[[#This Row],[Incentive Control Demand Savings (kW)]]</f>
        <v>0</v>
      </c>
      <c r="BT297" s="118">
        <f>ReviewCalcs[[#This Row],[Incentive Fixture Energy Savings (kWh)]]+ReviewCalcs[[#This Row],[Incentive Control Energy Savings (kWh)]]</f>
        <v>0</v>
      </c>
      <c r="BU297" s="73"/>
    </row>
    <row r="298" spans="1:73" ht="30" customHeight="1">
      <c r="A298" s="68">
        <v>295</v>
      </c>
      <c r="B298" s="96">
        <f>VLOOKUP(ReviewCalcs[[#This Row],[Project Index]], ProjectInput[], D$1, FALSE)</f>
        <v>0</v>
      </c>
      <c r="C298" s="97">
        <f>VLOOKUP(ReviewCalcs[[#This Row],[Project Index]], ProjectInput[], E$1, FALSE)</f>
        <v>0</v>
      </c>
      <c r="D298" s="97">
        <f>VLOOKUP(ReviewCalcs[[#This Row],[Project Index]], ProjectInput[], F$1, FALSE)</f>
        <v>0</v>
      </c>
      <c r="E298" s="97">
        <f>VLOOKUP(ReviewCalcs[[#This Row],[Project Index]], ProjectInput[], G$1, FALSE)</f>
        <v>0</v>
      </c>
      <c r="F298" s="97">
        <f>VLOOKUP(ReviewCalcs[[#This Row],[Project Index]], ProjectInput[], H$1, FALSE)</f>
        <v>0</v>
      </c>
      <c r="G298" s="98" t="str">
        <f>VLOOKUP(ReviewCalcs[[#This Row],[Project Index]], ProjectInput[], I$1, FALSE)</f>
        <v/>
      </c>
      <c r="H298" s="96">
        <f>VLOOKUP(ReviewCalcs[[#This Row],[Project Index]], ProjectInput[], J$1, FALSE)</f>
        <v>0</v>
      </c>
      <c r="I298" s="97">
        <f>VLOOKUP(ReviewCalcs[[#This Row],[Project Index]], ProjectInput[], K$1, FALSE)</f>
        <v>0</v>
      </c>
      <c r="J298" s="97">
        <f>VLOOKUP(ReviewCalcs[[#This Row],[Project Index]], ProjectInput[], L$1, FALSE)</f>
        <v>0</v>
      </c>
      <c r="K298" s="97">
        <f>VLOOKUP(ReviewCalcs[[#This Row],[Project Index]], ProjectInput[], M$1, FALSE)</f>
        <v>0</v>
      </c>
      <c r="L298" s="97">
        <f>VLOOKUP(ReviewCalcs[[#This Row],[Project Index]], ProjectInput[], N$1, FALSE)</f>
        <v>0</v>
      </c>
      <c r="M298" s="98" t="str">
        <f>VLOOKUP(ReviewCalcs[[#This Row],[Project Index]], ProjectInput[], O$1, FALSE)</f>
        <v/>
      </c>
      <c r="N298" s="96">
        <f>VLOOKUP(ReviewCalcs[[#This Row],[Project Index]], ProjectInput[], P$1, FALSE)</f>
        <v>0</v>
      </c>
      <c r="O298" s="97">
        <f>VLOOKUP(ReviewCalcs[[#This Row],[Project Index]], ProjectInput[], Q$1, FALSE)</f>
        <v>0</v>
      </c>
      <c r="P298" s="97">
        <f>VLOOKUP(ReviewCalcs[[#This Row],[Project Index]], ProjectInput[], R$1, FALSE)</f>
        <v>0</v>
      </c>
      <c r="Q298" s="97">
        <f>VLOOKUP(ReviewCalcs[[#This Row],[Project Index]], ProjectInput[], S$1, FALSE)</f>
        <v>0</v>
      </c>
      <c r="R298" s="97">
        <f>VLOOKUP(ReviewCalcs[[#This Row],[Project Index]], ProjectInput[], T$1, FALSE)</f>
        <v>0</v>
      </c>
      <c r="S298" s="97">
        <f>VLOOKUP(ReviewCalcs[[#This Row],[Project Index]], ProjectInput[], U$1, FALSE)</f>
        <v>0</v>
      </c>
      <c r="T298" s="97">
        <f>VLOOKUP(ReviewCalcs[[#This Row],[Project Index]], ProjectInput[], V$1, FALSE)</f>
        <v>0</v>
      </c>
      <c r="U298" s="97">
        <f>VLOOKUP(ReviewCalcs[[#This Row],[Project Index]], ProjectInput[], W$1, FALSE)</f>
        <v>0</v>
      </c>
      <c r="V298" s="98" t="str">
        <f>VLOOKUP(ReviewCalcs[[#This Row],[Project Index]], ProjectInput[], X$1, FALSE)</f>
        <v/>
      </c>
      <c r="W298"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8" s="75" t="e">
        <f>IF(VLOOKUP(ReviewCalcs[[#This Row],[Proposed Fixture Code]], Table7[[FIXTURE CODE]:[Baseline Fixture Code]], 8, FALSE)="N", "ERROR", "PASS")</f>
        <v>#N/A</v>
      </c>
      <c r="Y298"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8" s="75" t="e">
        <f>IF(OR(ReviewCalcs[[#This Row],[Baseline Fixture Watts]]&gt;=ReviewCalcs[[#This Row],[Proposed Fixture Watts]],ReviewCalcs[[#This Row],[Existing Fixture Watts]]&gt;=ReviewCalcs[[#This Row],[Proposed Fixture Watts]] ), "PASS", "ERROR")</f>
        <v>#N/A</v>
      </c>
      <c r="AA298" s="69" t="e">
        <f>VLOOKUP(ReviewCalcs[[#This Row],[Space Conditions]], Table_365[], 5, FALSE)</f>
        <v>#N/A</v>
      </c>
      <c r="AB298" s="68" t="str">
        <f>ReviewCalcs[[#This Row],[Annual Hours]]</f>
        <v/>
      </c>
      <c r="AC298" s="68" t="e">
        <f>VLOOKUP(ReviewCalcs[[#This Row],[Space Conditions]], Table_365[], 6, FALSE)</f>
        <v>#N/A</v>
      </c>
      <c r="AD298" s="68">
        <f>IF(ReviewCalcs[[#This Row],[Existing Control(s)]]='Tables &amp; Ranges'!$A$25, VLOOKUP(ReviewCalcs[[#This Row],[Building/Space Type]], Table_364[], 3, FALSE), CF_Contols)</f>
        <v>0.26</v>
      </c>
      <c r="AE298" s="68" t="e">
        <f>VLOOKUP(ReviewCalcs[[#This Row],[Existing Control(s)]], Table_358[], 2, FALSE)</f>
        <v>#N/A</v>
      </c>
      <c r="AF298" s="68">
        <f>IF(ReviewCalcs[[#This Row],[Proposed Control(s)]]='Tables &amp; Ranges'!$A$25, VLOOKUP(ReviewCalcs[[#This Row],[Building/Space Type]], Table_364[], 3, FALSE), CF_Contols)</f>
        <v>0.26</v>
      </c>
      <c r="AG298" s="68" t="e">
        <f>VLOOKUP(ReviewCalcs[[#This Row],[Proposed Control(s)]], Table_358[], 2, FALSE)</f>
        <v>#N/A</v>
      </c>
      <c r="AH298" s="68">
        <f>IFERROR((ReviewCalcs[[#This Row],[Existing Fixture Quantity]]*ReviewCalcs[[#This Row],[Existing Fixture Watts]]/1000)*ReviewCalcs[[#This Row],[Existing CF]]*ReviewCalcs[[#This Row],[IEFD]], 0)</f>
        <v>0</v>
      </c>
      <c r="AI298" s="68">
        <f>IFERROR((ReviewCalcs[[#This Row],[Proposed Fixture Quantity]]*ReviewCalcs[[#This Row],[Proposed Fixture Watts]]/1000)*ReviewCalcs[[#This Row],[Existing CF]]*ReviewCalcs[[#This Row],[IEFD]], 0)</f>
        <v>0</v>
      </c>
      <c r="AJ298" s="118">
        <f>IFERROR((ReviewCalcs[[#This Row],[Existing Fixture Quantity]]*ReviewCalcs[[#This Row],[Existing Fixture Watts]]/1000-ReviewCalcs[[#This Row],[Proposed Fixture Quantity]]*ReviewCalcs[[#This Row],[Proposed Fixture Watts]]/1000)*ReviewCalcs[[#This Row],[Existing CF]]*ReviewCalcs[[#This Row],[IEFD]], 0)</f>
        <v>0</v>
      </c>
      <c r="AK298" s="118">
        <f>IFERROR((ReviewCalcs[[#This Row],[Existing Fixture Quantity]]*ReviewCalcs[[#This Row],[Existing Fixture Watts]]/1000)*ReviewCalcs[[#This Row],[AOH]]*ReviewCalcs[[#This Row],[IEFE]]*ReviewCalcs[[#This Row],[Existing PAF]], 0)</f>
        <v>0</v>
      </c>
      <c r="AL298" s="118">
        <f>IFERROR((ReviewCalcs[[#This Row],[Proposed Fixture Quantity]]*ReviewCalcs[[#This Row],[Proposed Fixture Watts]]/1000)*ReviewCalcs[[#This Row],[AOH]]*ReviewCalcs[[#This Row],[IEFE]]*ReviewCalcs[[#This Row],[Existing PAF]], 0)</f>
        <v>0</v>
      </c>
      <c r="AM298"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8" s="118">
        <f>ReviewCalcs[[#This Row],[Fixture Existing Energy (kWh)]]*Avg_KWh_Rate</f>
        <v>0</v>
      </c>
      <c r="AO298" s="118">
        <f>ReviewCalcs[[#This Row],[Fixture Proposed Energy (kWh)]]*Avg_KWh_Rate</f>
        <v>0</v>
      </c>
      <c r="AP298" s="70">
        <f>ReviewCalcs[[#This Row],[Fixture Energy Savings]]*Avg_KWh_Rate</f>
        <v>0</v>
      </c>
      <c r="AQ298" s="129" t="e">
        <f>ReviewCalcs[[#This Row],[Existing Fixture Quantity]]*ReviewCalcs[[#This Row],[Existing Fixture Watts]]/1000*ReviewCalcs[[#This Row],[Existing CF]]*ReviewCalcs[[#This Row],[IEFD]]</f>
        <v>#VALUE!</v>
      </c>
      <c r="AR298" s="129" t="e">
        <f>ReviewCalcs[[#This Row],[Proposed Fixture Quantity]]*ReviewCalcs[[#This Row],[Proposed Fixture Watts]]/1000*ReviewCalcs[[#This Row],[Proposed CF]]*ReviewCalcs[[#This Row],[IEFD]]</f>
        <v>#VALUE!</v>
      </c>
      <c r="AS298" s="118">
        <f>IF(ReviewCalcs[[#This Row],[Existing CF]]=ReviewCalcs[[#This Row],[Proposed CF]], 0, ReviewCalcs[[#This Row],[Proposed Fixture Quantity]]*ReviewCalcs[[#This Row],[Proposed Fixture Watts]]/1000*ReviewCalcs[[#This Row],[Proposed CF]]*ReviewCalcs[[#This Row],[IEFD]])</f>
        <v>0</v>
      </c>
      <c r="AT298" s="118">
        <f>IFERROR(ReviewCalcs[[#This Row],[Existing Fixture Quantity]]*ReviewCalcs[[#This Row],[Existing Fixture Watts]]/1000*ReviewCalcs[[#This Row],[Existing PAF]]*ReviewCalcs[[#This Row],[AOH]]*ReviewCalcs[[#This Row],[IEFE]], 0)</f>
        <v>0</v>
      </c>
      <c r="AU298" s="118">
        <f>IFERROR(ReviewCalcs[[#This Row],[Proposed Fixture Quantity]]*ReviewCalcs[[#This Row],[Proposed Fixture Watts]]/1000*ReviewCalcs[[#This Row],[Proposed PAF]]*ReviewCalcs[[#This Row],[AOH]]*ReviewCalcs[[#This Row],[IEFE]], 0)</f>
        <v>0</v>
      </c>
      <c r="AV298" s="118">
        <f>IFERROR(ReviewCalcs[[#This Row],[Proposed Fixture Quantity]]*ReviewCalcs[[#This Row],[Proposed Fixture Watts]]/1000*(ReviewCalcs[[#This Row],[Existing PAF]]-ReviewCalcs[[#This Row],[Proposed PAF]])*ReviewCalcs[[#This Row],[AOH]]*ReviewCalcs[[#This Row],[IEFE]], 0)</f>
        <v>0</v>
      </c>
      <c r="AW298" s="118">
        <f>ReviewCalcs[[#This Row],[Control Existing Energy (kWh)]]*kWh_Incentive_Rate</f>
        <v>0</v>
      </c>
      <c r="AX298" s="118">
        <f>ReviewCalcs[[#This Row],[Control Proposed Energy (kWh)]]*kWh_Incentive_Rate</f>
        <v>0</v>
      </c>
      <c r="AY298" s="70">
        <f>ReviewCalcs[[#This Row],[Control Energy Savings (kWh)]]*kWh_Incentive_Rate</f>
        <v>0</v>
      </c>
      <c r="AZ298" s="70" t="e">
        <f>ReviewCalcs[[#This Row],[Fixture Existing Demand (kW)]]+ReviewCalcs[[#This Row],[Control Existing Demand (kW)]]</f>
        <v>#VALUE!</v>
      </c>
      <c r="BA298" s="70" t="e">
        <f>ReviewCalcs[[#This Row],[Fixture Proposed Demand (kW)]]+ReviewCalcs[[#This Row],[Control Proposed Demand (kW)]]</f>
        <v>#VALUE!</v>
      </c>
      <c r="BB298" s="118">
        <f>ReviewCalcs[[#This Row],[Fixture Demand Savings (kW)]]+ReviewCalcs[[#This Row],[Control Demand Savings (kW)]]</f>
        <v>0</v>
      </c>
      <c r="BC298" s="118">
        <f>ReviewCalcs[[#This Row],[Fixture Existing Energy (kWh)]]+ReviewCalcs[[#This Row],[Control Existing Energy (kWh)]]</f>
        <v>0</v>
      </c>
      <c r="BD298" s="118">
        <f>ReviewCalcs[[#This Row],[Fixture Proposed Energy (kWh)]]+ReviewCalcs[[#This Row],[Control Proposed Energy (kWh)]]</f>
        <v>0</v>
      </c>
      <c r="BE298" s="118">
        <f>ReviewCalcs[[#This Row],[Fixture Energy Savings]]+ReviewCalcs[[#This Row],[Control Energy Savings (kWh)]]</f>
        <v>0</v>
      </c>
      <c r="BF298" s="118">
        <f>ReviewCalcs[[#This Row],[Fixture Existing Cost ($)]]+ReviewCalcs[[#This Row],[Control Existing Cost ($)]]</f>
        <v>0</v>
      </c>
      <c r="BG298" s="118">
        <f>ReviewCalcs[[#This Row],[Fixture Proposed Cost ($)]]+ReviewCalcs[[#This Row],[Controls Proposed Cost ($)]]</f>
        <v>0</v>
      </c>
      <c r="BH298" s="70">
        <f>ReviewCalcs[[#This Row],[Total Energy Savings (kWh)]]*Avg_KWh_Rate</f>
        <v>0</v>
      </c>
      <c r="BI298"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8" s="70">
        <f>ReviewCalcs[[#This Row],[Retrofit Cost]]</f>
        <v>0</v>
      </c>
      <c r="BK298" s="70">
        <f>ReviewCalcs[[#This Row],[Retrofit Cost]]-ReviewCalcs[[#This Row],[Incentive ($)]]</f>
        <v>0</v>
      </c>
      <c r="BL298" s="118" t="e">
        <f>IFERROR(ReviewCalcs[[#This Row],[Net Project Cost ($)]]/ReviewCalcs[[#This Row],[Fixture Energy Cost Savings ($)]], #N/A)</f>
        <v>#N/A</v>
      </c>
      <c r="BM298" s="118" t="e">
        <f>IF(VLOOKUP(ReviewCalcs[[#This Row],[Existing Fixture Code]], Table7[[FIXTURE CODE]:[Baseline Fixture Code]], 8, FALSE)="N", VLOOKUP(ReviewCalcs[[#This Row],[Existing Fixture Code]], Table7[[FIXTURE CODE]:[Baseline Fixture Code]], 9, FALSE), ReviewCalcs[[#This Row],[Existing Fixture Code]])</f>
        <v>#N/A</v>
      </c>
      <c r="BN298" s="118" t="e">
        <f>INDEX(Table7[WATT/ FIXT], MATCH(ReviewCalcs[Baseline Fixture Code], Table7[FIXTURE CODE], 0))</f>
        <v>#N/A</v>
      </c>
      <c r="BO298" s="118">
        <f>IFERROR((ReviewCalcs[[#This Row],[Existing Fixture Quantity]]*ReviewCalcs[[#This Row],[Baseline Fixture Watts]]/1000-ReviewCalcs[[#This Row],[Proposed Fixture Quantity]]*ReviewCalcs[[#This Row],[Proposed Fixture Watts]]/1000)*ReviewCalcs[[#This Row],[Existing CF]]*ReviewCalcs[[#This Row],[IEFD]], 0)</f>
        <v>0</v>
      </c>
      <c r="BP298"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8" s="118">
        <f>IF(ReviewCalcs[[#This Row],[Existing CF]]=ReviewCalcs[[#This Row],[Proposed CF]], 0, ReviewCalcs[[#This Row],[Proposed Fixture Quantity]]*ReviewCalcs[[#This Row],[Proposed Fixture Watts]]/1000*ReviewCalcs[[#This Row],[Proposed CF]]*ReviewCalcs[[#This Row],[IEFD]])</f>
        <v>0</v>
      </c>
      <c r="BR298" s="118">
        <f>IFERROR(ReviewCalcs[[#This Row],[Proposed Fixture Quantity]]*ReviewCalcs[[#This Row],[Proposed Fixture Watts]]/1000*(ReviewCalcs[[#This Row],[Existing PAF]]-ReviewCalcs[[#This Row],[Proposed PAF]])*ReviewCalcs[[#This Row],[AOH]]*ReviewCalcs[[#This Row],[IEFE]],0)</f>
        <v>0</v>
      </c>
      <c r="BS298" s="118">
        <f>ReviewCalcs[[#This Row],[Incentive Fixture Demand Savings (kW)]]+ReviewCalcs[[#This Row],[Incentive Control Demand Savings (kW)]]</f>
        <v>0</v>
      </c>
      <c r="BT298" s="118">
        <f>ReviewCalcs[[#This Row],[Incentive Fixture Energy Savings (kWh)]]+ReviewCalcs[[#This Row],[Incentive Control Energy Savings (kWh)]]</f>
        <v>0</v>
      </c>
      <c r="BU298" s="73"/>
    </row>
    <row r="299" spans="1:73" ht="30" customHeight="1">
      <c r="A299" s="68">
        <v>296</v>
      </c>
      <c r="B299" s="96">
        <f>VLOOKUP(ReviewCalcs[[#This Row],[Project Index]], ProjectInput[], D$1, FALSE)</f>
        <v>0</v>
      </c>
      <c r="C299" s="97">
        <f>VLOOKUP(ReviewCalcs[[#This Row],[Project Index]], ProjectInput[], E$1, FALSE)</f>
        <v>0</v>
      </c>
      <c r="D299" s="97">
        <f>VLOOKUP(ReviewCalcs[[#This Row],[Project Index]], ProjectInput[], F$1, FALSE)</f>
        <v>0</v>
      </c>
      <c r="E299" s="97">
        <f>VLOOKUP(ReviewCalcs[[#This Row],[Project Index]], ProjectInput[], G$1, FALSE)</f>
        <v>0</v>
      </c>
      <c r="F299" s="97">
        <f>VLOOKUP(ReviewCalcs[[#This Row],[Project Index]], ProjectInput[], H$1, FALSE)</f>
        <v>0</v>
      </c>
      <c r="G299" s="98" t="str">
        <f>VLOOKUP(ReviewCalcs[[#This Row],[Project Index]], ProjectInput[], I$1, FALSE)</f>
        <v/>
      </c>
      <c r="H299" s="96">
        <f>VLOOKUP(ReviewCalcs[[#This Row],[Project Index]], ProjectInput[], J$1, FALSE)</f>
        <v>0</v>
      </c>
      <c r="I299" s="97">
        <f>VLOOKUP(ReviewCalcs[[#This Row],[Project Index]], ProjectInput[], K$1, FALSE)</f>
        <v>0</v>
      </c>
      <c r="J299" s="97">
        <f>VLOOKUP(ReviewCalcs[[#This Row],[Project Index]], ProjectInput[], L$1, FALSE)</f>
        <v>0</v>
      </c>
      <c r="K299" s="97">
        <f>VLOOKUP(ReviewCalcs[[#This Row],[Project Index]], ProjectInput[], M$1, FALSE)</f>
        <v>0</v>
      </c>
      <c r="L299" s="97">
        <f>VLOOKUP(ReviewCalcs[[#This Row],[Project Index]], ProjectInput[], N$1, FALSE)</f>
        <v>0</v>
      </c>
      <c r="M299" s="98" t="str">
        <f>VLOOKUP(ReviewCalcs[[#This Row],[Project Index]], ProjectInput[], O$1, FALSE)</f>
        <v/>
      </c>
      <c r="N299" s="96">
        <f>VLOOKUP(ReviewCalcs[[#This Row],[Project Index]], ProjectInput[], P$1, FALSE)</f>
        <v>0</v>
      </c>
      <c r="O299" s="97">
        <f>VLOOKUP(ReviewCalcs[[#This Row],[Project Index]], ProjectInput[], Q$1, FALSE)</f>
        <v>0</v>
      </c>
      <c r="P299" s="97">
        <f>VLOOKUP(ReviewCalcs[[#This Row],[Project Index]], ProjectInput[], R$1, FALSE)</f>
        <v>0</v>
      </c>
      <c r="Q299" s="97">
        <f>VLOOKUP(ReviewCalcs[[#This Row],[Project Index]], ProjectInput[], S$1, FALSE)</f>
        <v>0</v>
      </c>
      <c r="R299" s="97">
        <f>VLOOKUP(ReviewCalcs[[#This Row],[Project Index]], ProjectInput[], T$1, FALSE)</f>
        <v>0</v>
      </c>
      <c r="S299" s="97">
        <f>VLOOKUP(ReviewCalcs[[#This Row],[Project Index]], ProjectInput[], U$1, FALSE)</f>
        <v>0</v>
      </c>
      <c r="T299" s="97">
        <f>VLOOKUP(ReviewCalcs[[#This Row],[Project Index]], ProjectInput[], V$1, FALSE)</f>
        <v>0</v>
      </c>
      <c r="U299" s="97">
        <f>VLOOKUP(ReviewCalcs[[#This Row],[Project Index]], ProjectInput[], W$1, FALSE)</f>
        <v>0</v>
      </c>
      <c r="V299" s="98" t="str">
        <f>VLOOKUP(ReviewCalcs[[#This Row],[Project Index]], ProjectInput[], X$1, FALSE)</f>
        <v/>
      </c>
      <c r="W299"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299" s="75" t="e">
        <f>IF(VLOOKUP(ReviewCalcs[[#This Row],[Proposed Fixture Code]], Table7[[FIXTURE CODE]:[Baseline Fixture Code]], 8, FALSE)="N", "ERROR", "PASS")</f>
        <v>#N/A</v>
      </c>
      <c r="Y299"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299" s="75" t="e">
        <f>IF(OR(ReviewCalcs[[#This Row],[Baseline Fixture Watts]]&gt;=ReviewCalcs[[#This Row],[Proposed Fixture Watts]],ReviewCalcs[[#This Row],[Existing Fixture Watts]]&gt;=ReviewCalcs[[#This Row],[Proposed Fixture Watts]] ), "PASS", "ERROR")</f>
        <v>#N/A</v>
      </c>
      <c r="AA299" s="69" t="e">
        <f>VLOOKUP(ReviewCalcs[[#This Row],[Space Conditions]], Table_365[], 5, FALSE)</f>
        <v>#N/A</v>
      </c>
      <c r="AB299" s="68" t="str">
        <f>ReviewCalcs[[#This Row],[Annual Hours]]</f>
        <v/>
      </c>
      <c r="AC299" s="68" t="e">
        <f>VLOOKUP(ReviewCalcs[[#This Row],[Space Conditions]], Table_365[], 6, FALSE)</f>
        <v>#N/A</v>
      </c>
      <c r="AD299" s="68">
        <f>IF(ReviewCalcs[[#This Row],[Existing Control(s)]]='Tables &amp; Ranges'!$A$25, VLOOKUP(ReviewCalcs[[#This Row],[Building/Space Type]], Table_364[], 3, FALSE), CF_Contols)</f>
        <v>0.26</v>
      </c>
      <c r="AE299" s="68" t="e">
        <f>VLOOKUP(ReviewCalcs[[#This Row],[Existing Control(s)]], Table_358[], 2, FALSE)</f>
        <v>#N/A</v>
      </c>
      <c r="AF299" s="68">
        <f>IF(ReviewCalcs[[#This Row],[Proposed Control(s)]]='Tables &amp; Ranges'!$A$25, VLOOKUP(ReviewCalcs[[#This Row],[Building/Space Type]], Table_364[], 3, FALSE), CF_Contols)</f>
        <v>0.26</v>
      </c>
      <c r="AG299" s="68" t="e">
        <f>VLOOKUP(ReviewCalcs[[#This Row],[Proposed Control(s)]], Table_358[], 2, FALSE)</f>
        <v>#N/A</v>
      </c>
      <c r="AH299" s="68">
        <f>IFERROR((ReviewCalcs[[#This Row],[Existing Fixture Quantity]]*ReviewCalcs[[#This Row],[Existing Fixture Watts]]/1000)*ReviewCalcs[[#This Row],[Existing CF]]*ReviewCalcs[[#This Row],[IEFD]], 0)</f>
        <v>0</v>
      </c>
      <c r="AI299" s="68">
        <f>IFERROR((ReviewCalcs[[#This Row],[Proposed Fixture Quantity]]*ReviewCalcs[[#This Row],[Proposed Fixture Watts]]/1000)*ReviewCalcs[[#This Row],[Existing CF]]*ReviewCalcs[[#This Row],[IEFD]], 0)</f>
        <v>0</v>
      </c>
      <c r="AJ299" s="118">
        <f>IFERROR((ReviewCalcs[[#This Row],[Existing Fixture Quantity]]*ReviewCalcs[[#This Row],[Existing Fixture Watts]]/1000-ReviewCalcs[[#This Row],[Proposed Fixture Quantity]]*ReviewCalcs[[#This Row],[Proposed Fixture Watts]]/1000)*ReviewCalcs[[#This Row],[Existing CF]]*ReviewCalcs[[#This Row],[IEFD]], 0)</f>
        <v>0</v>
      </c>
      <c r="AK299" s="118">
        <f>IFERROR((ReviewCalcs[[#This Row],[Existing Fixture Quantity]]*ReviewCalcs[[#This Row],[Existing Fixture Watts]]/1000)*ReviewCalcs[[#This Row],[AOH]]*ReviewCalcs[[#This Row],[IEFE]]*ReviewCalcs[[#This Row],[Existing PAF]], 0)</f>
        <v>0</v>
      </c>
      <c r="AL299" s="118">
        <f>IFERROR((ReviewCalcs[[#This Row],[Proposed Fixture Quantity]]*ReviewCalcs[[#This Row],[Proposed Fixture Watts]]/1000)*ReviewCalcs[[#This Row],[AOH]]*ReviewCalcs[[#This Row],[IEFE]]*ReviewCalcs[[#This Row],[Existing PAF]], 0)</f>
        <v>0</v>
      </c>
      <c r="AM299"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299" s="118">
        <f>ReviewCalcs[[#This Row],[Fixture Existing Energy (kWh)]]*Avg_KWh_Rate</f>
        <v>0</v>
      </c>
      <c r="AO299" s="118">
        <f>ReviewCalcs[[#This Row],[Fixture Proposed Energy (kWh)]]*Avg_KWh_Rate</f>
        <v>0</v>
      </c>
      <c r="AP299" s="70">
        <f>ReviewCalcs[[#This Row],[Fixture Energy Savings]]*Avg_KWh_Rate</f>
        <v>0</v>
      </c>
      <c r="AQ299" s="129" t="e">
        <f>ReviewCalcs[[#This Row],[Existing Fixture Quantity]]*ReviewCalcs[[#This Row],[Existing Fixture Watts]]/1000*ReviewCalcs[[#This Row],[Existing CF]]*ReviewCalcs[[#This Row],[IEFD]]</f>
        <v>#VALUE!</v>
      </c>
      <c r="AR299" s="129" t="e">
        <f>ReviewCalcs[[#This Row],[Proposed Fixture Quantity]]*ReviewCalcs[[#This Row],[Proposed Fixture Watts]]/1000*ReviewCalcs[[#This Row],[Proposed CF]]*ReviewCalcs[[#This Row],[IEFD]]</f>
        <v>#VALUE!</v>
      </c>
      <c r="AS299" s="118">
        <f>IF(ReviewCalcs[[#This Row],[Existing CF]]=ReviewCalcs[[#This Row],[Proposed CF]], 0, ReviewCalcs[[#This Row],[Proposed Fixture Quantity]]*ReviewCalcs[[#This Row],[Proposed Fixture Watts]]/1000*ReviewCalcs[[#This Row],[Proposed CF]]*ReviewCalcs[[#This Row],[IEFD]])</f>
        <v>0</v>
      </c>
      <c r="AT299" s="118">
        <f>IFERROR(ReviewCalcs[[#This Row],[Existing Fixture Quantity]]*ReviewCalcs[[#This Row],[Existing Fixture Watts]]/1000*ReviewCalcs[[#This Row],[Existing PAF]]*ReviewCalcs[[#This Row],[AOH]]*ReviewCalcs[[#This Row],[IEFE]], 0)</f>
        <v>0</v>
      </c>
      <c r="AU299" s="118">
        <f>IFERROR(ReviewCalcs[[#This Row],[Proposed Fixture Quantity]]*ReviewCalcs[[#This Row],[Proposed Fixture Watts]]/1000*ReviewCalcs[[#This Row],[Proposed PAF]]*ReviewCalcs[[#This Row],[AOH]]*ReviewCalcs[[#This Row],[IEFE]], 0)</f>
        <v>0</v>
      </c>
      <c r="AV299" s="118">
        <f>IFERROR(ReviewCalcs[[#This Row],[Proposed Fixture Quantity]]*ReviewCalcs[[#This Row],[Proposed Fixture Watts]]/1000*(ReviewCalcs[[#This Row],[Existing PAF]]-ReviewCalcs[[#This Row],[Proposed PAF]])*ReviewCalcs[[#This Row],[AOH]]*ReviewCalcs[[#This Row],[IEFE]], 0)</f>
        <v>0</v>
      </c>
      <c r="AW299" s="118">
        <f>ReviewCalcs[[#This Row],[Control Existing Energy (kWh)]]*kWh_Incentive_Rate</f>
        <v>0</v>
      </c>
      <c r="AX299" s="118">
        <f>ReviewCalcs[[#This Row],[Control Proposed Energy (kWh)]]*kWh_Incentive_Rate</f>
        <v>0</v>
      </c>
      <c r="AY299" s="70">
        <f>ReviewCalcs[[#This Row],[Control Energy Savings (kWh)]]*kWh_Incentive_Rate</f>
        <v>0</v>
      </c>
      <c r="AZ299" s="70" t="e">
        <f>ReviewCalcs[[#This Row],[Fixture Existing Demand (kW)]]+ReviewCalcs[[#This Row],[Control Existing Demand (kW)]]</f>
        <v>#VALUE!</v>
      </c>
      <c r="BA299" s="70" t="e">
        <f>ReviewCalcs[[#This Row],[Fixture Proposed Demand (kW)]]+ReviewCalcs[[#This Row],[Control Proposed Demand (kW)]]</f>
        <v>#VALUE!</v>
      </c>
      <c r="BB299" s="118">
        <f>ReviewCalcs[[#This Row],[Fixture Demand Savings (kW)]]+ReviewCalcs[[#This Row],[Control Demand Savings (kW)]]</f>
        <v>0</v>
      </c>
      <c r="BC299" s="118">
        <f>ReviewCalcs[[#This Row],[Fixture Existing Energy (kWh)]]+ReviewCalcs[[#This Row],[Control Existing Energy (kWh)]]</f>
        <v>0</v>
      </c>
      <c r="BD299" s="118">
        <f>ReviewCalcs[[#This Row],[Fixture Proposed Energy (kWh)]]+ReviewCalcs[[#This Row],[Control Proposed Energy (kWh)]]</f>
        <v>0</v>
      </c>
      <c r="BE299" s="118">
        <f>ReviewCalcs[[#This Row],[Fixture Energy Savings]]+ReviewCalcs[[#This Row],[Control Energy Savings (kWh)]]</f>
        <v>0</v>
      </c>
      <c r="BF299" s="118">
        <f>ReviewCalcs[[#This Row],[Fixture Existing Cost ($)]]+ReviewCalcs[[#This Row],[Control Existing Cost ($)]]</f>
        <v>0</v>
      </c>
      <c r="BG299" s="118">
        <f>ReviewCalcs[[#This Row],[Fixture Proposed Cost ($)]]+ReviewCalcs[[#This Row],[Controls Proposed Cost ($)]]</f>
        <v>0</v>
      </c>
      <c r="BH299" s="70">
        <f>ReviewCalcs[[#This Row],[Total Energy Savings (kWh)]]*Avg_KWh_Rate</f>
        <v>0</v>
      </c>
      <c r="BI299"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299" s="70">
        <f>ReviewCalcs[[#This Row],[Retrofit Cost]]</f>
        <v>0</v>
      </c>
      <c r="BK299" s="70">
        <f>ReviewCalcs[[#This Row],[Retrofit Cost]]-ReviewCalcs[[#This Row],[Incentive ($)]]</f>
        <v>0</v>
      </c>
      <c r="BL299" s="118" t="e">
        <f>IFERROR(ReviewCalcs[[#This Row],[Net Project Cost ($)]]/ReviewCalcs[[#This Row],[Fixture Energy Cost Savings ($)]], #N/A)</f>
        <v>#N/A</v>
      </c>
      <c r="BM299" s="118" t="e">
        <f>IF(VLOOKUP(ReviewCalcs[[#This Row],[Existing Fixture Code]], Table7[[FIXTURE CODE]:[Baseline Fixture Code]], 8, FALSE)="N", VLOOKUP(ReviewCalcs[[#This Row],[Existing Fixture Code]], Table7[[FIXTURE CODE]:[Baseline Fixture Code]], 9, FALSE), ReviewCalcs[[#This Row],[Existing Fixture Code]])</f>
        <v>#N/A</v>
      </c>
      <c r="BN299" s="118" t="e">
        <f>INDEX(Table7[WATT/ FIXT], MATCH(ReviewCalcs[Baseline Fixture Code], Table7[FIXTURE CODE], 0))</f>
        <v>#N/A</v>
      </c>
      <c r="BO299" s="118">
        <f>IFERROR((ReviewCalcs[[#This Row],[Existing Fixture Quantity]]*ReviewCalcs[[#This Row],[Baseline Fixture Watts]]/1000-ReviewCalcs[[#This Row],[Proposed Fixture Quantity]]*ReviewCalcs[[#This Row],[Proposed Fixture Watts]]/1000)*ReviewCalcs[[#This Row],[Existing CF]]*ReviewCalcs[[#This Row],[IEFD]], 0)</f>
        <v>0</v>
      </c>
      <c r="BP299"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299" s="118">
        <f>IF(ReviewCalcs[[#This Row],[Existing CF]]=ReviewCalcs[[#This Row],[Proposed CF]], 0, ReviewCalcs[[#This Row],[Proposed Fixture Quantity]]*ReviewCalcs[[#This Row],[Proposed Fixture Watts]]/1000*ReviewCalcs[[#This Row],[Proposed CF]]*ReviewCalcs[[#This Row],[IEFD]])</f>
        <v>0</v>
      </c>
      <c r="BR299" s="118">
        <f>IFERROR(ReviewCalcs[[#This Row],[Proposed Fixture Quantity]]*ReviewCalcs[[#This Row],[Proposed Fixture Watts]]/1000*(ReviewCalcs[[#This Row],[Existing PAF]]-ReviewCalcs[[#This Row],[Proposed PAF]])*ReviewCalcs[[#This Row],[AOH]]*ReviewCalcs[[#This Row],[IEFE]],0)</f>
        <v>0</v>
      </c>
      <c r="BS299" s="118">
        <f>ReviewCalcs[[#This Row],[Incentive Fixture Demand Savings (kW)]]+ReviewCalcs[[#This Row],[Incentive Control Demand Savings (kW)]]</f>
        <v>0</v>
      </c>
      <c r="BT299" s="118">
        <f>ReviewCalcs[[#This Row],[Incentive Fixture Energy Savings (kWh)]]+ReviewCalcs[[#This Row],[Incentive Control Energy Savings (kWh)]]</f>
        <v>0</v>
      </c>
      <c r="BU299" s="73"/>
    </row>
    <row r="300" spans="1:73" ht="30" customHeight="1">
      <c r="A300" s="68">
        <v>297</v>
      </c>
      <c r="B300" s="96">
        <f>VLOOKUP(ReviewCalcs[[#This Row],[Project Index]], ProjectInput[], D$1, FALSE)</f>
        <v>0</v>
      </c>
      <c r="C300" s="97">
        <f>VLOOKUP(ReviewCalcs[[#This Row],[Project Index]], ProjectInput[], E$1, FALSE)</f>
        <v>0</v>
      </c>
      <c r="D300" s="97">
        <f>VLOOKUP(ReviewCalcs[[#This Row],[Project Index]], ProjectInput[], F$1, FALSE)</f>
        <v>0</v>
      </c>
      <c r="E300" s="97">
        <f>VLOOKUP(ReviewCalcs[[#This Row],[Project Index]], ProjectInput[], G$1, FALSE)</f>
        <v>0</v>
      </c>
      <c r="F300" s="97">
        <f>VLOOKUP(ReviewCalcs[[#This Row],[Project Index]], ProjectInput[], H$1, FALSE)</f>
        <v>0</v>
      </c>
      <c r="G300" s="98" t="str">
        <f>VLOOKUP(ReviewCalcs[[#This Row],[Project Index]], ProjectInput[], I$1, FALSE)</f>
        <v/>
      </c>
      <c r="H300" s="96">
        <f>VLOOKUP(ReviewCalcs[[#This Row],[Project Index]], ProjectInput[], J$1, FALSE)</f>
        <v>0</v>
      </c>
      <c r="I300" s="97">
        <f>VLOOKUP(ReviewCalcs[[#This Row],[Project Index]], ProjectInput[], K$1, FALSE)</f>
        <v>0</v>
      </c>
      <c r="J300" s="97">
        <f>VLOOKUP(ReviewCalcs[[#This Row],[Project Index]], ProjectInput[], L$1, FALSE)</f>
        <v>0</v>
      </c>
      <c r="K300" s="97">
        <f>VLOOKUP(ReviewCalcs[[#This Row],[Project Index]], ProjectInput[], M$1, FALSE)</f>
        <v>0</v>
      </c>
      <c r="L300" s="97">
        <f>VLOOKUP(ReviewCalcs[[#This Row],[Project Index]], ProjectInput[], N$1, FALSE)</f>
        <v>0</v>
      </c>
      <c r="M300" s="98" t="str">
        <f>VLOOKUP(ReviewCalcs[[#This Row],[Project Index]], ProjectInput[], O$1, FALSE)</f>
        <v/>
      </c>
      <c r="N300" s="96">
        <f>VLOOKUP(ReviewCalcs[[#This Row],[Project Index]], ProjectInput[], P$1, FALSE)</f>
        <v>0</v>
      </c>
      <c r="O300" s="97">
        <f>VLOOKUP(ReviewCalcs[[#This Row],[Project Index]], ProjectInput[], Q$1, FALSE)</f>
        <v>0</v>
      </c>
      <c r="P300" s="97">
        <f>VLOOKUP(ReviewCalcs[[#This Row],[Project Index]], ProjectInput[], R$1, FALSE)</f>
        <v>0</v>
      </c>
      <c r="Q300" s="97">
        <f>VLOOKUP(ReviewCalcs[[#This Row],[Project Index]], ProjectInput[], S$1, FALSE)</f>
        <v>0</v>
      </c>
      <c r="R300" s="97">
        <f>VLOOKUP(ReviewCalcs[[#This Row],[Project Index]], ProjectInput[], T$1, FALSE)</f>
        <v>0</v>
      </c>
      <c r="S300" s="97">
        <f>VLOOKUP(ReviewCalcs[[#This Row],[Project Index]], ProjectInput[], U$1, FALSE)</f>
        <v>0</v>
      </c>
      <c r="T300" s="97">
        <f>VLOOKUP(ReviewCalcs[[#This Row],[Project Index]], ProjectInput[], V$1, FALSE)</f>
        <v>0</v>
      </c>
      <c r="U300" s="97">
        <f>VLOOKUP(ReviewCalcs[[#This Row],[Project Index]], ProjectInput[], W$1, FALSE)</f>
        <v>0</v>
      </c>
      <c r="V300" s="98" t="str">
        <f>VLOOKUP(ReviewCalcs[[#This Row],[Project Index]], ProjectInput[], X$1, FALSE)</f>
        <v/>
      </c>
      <c r="W300"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0" s="75" t="e">
        <f>IF(VLOOKUP(ReviewCalcs[[#This Row],[Proposed Fixture Code]], Table7[[FIXTURE CODE]:[Baseline Fixture Code]], 8, FALSE)="N", "ERROR", "PASS")</f>
        <v>#N/A</v>
      </c>
      <c r="Y300"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0" s="75" t="e">
        <f>IF(OR(ReviewCalcs[[#This Row],[Baseline Fixture Watts]]&gt;=ReviewCalcs[[#This Row],[Proposed Fixture Watts]],ReviewCalcs[[#This Row],[Existing Fixture Watts]]&gt;=ReviewCalcs[[#This Row],[Proposed Fixture Watts]] ), "PASS", "ERROR")</f>
        <v>#N/A</v>
      </c>
      <c r="AA300" s="69" t="e">
        <f>VLOOKUP(ReviewCalcs[[#This Row],[Space Conditions]], Table_365[], 5, FALSE)</f>
        <v>#N/A</v>
      </c>
      <c r="AB300" s="68" t="str">
        <f>ReviewCalcs[[#This Row],[Annual Hours]]</f>
        <v/>
      </c>
      <c r="AC300" s="68" t="e">
        <f>VLOOKUP(ReviewCalcs[[#This Row],[Space Conditions]], Table_365[], 6, FALSE)</f>
        <v>#N/A</v>
      </c>
      <c r="AD300" s="68">
        <f>IF(ReviewCalcs[[#This Row],[Existing Control(s)]]='Tables &amp; Ranges'!$A$25, VLOOKUP(ReviewCalcs[[#This Row],[Building/Space Type]], Table_364[], 3, FALSE), CF_Contols)</f>
        <v>0.26</v>
      </c>
      <c r="AE300" s="68" t="e">
        <f>VLOOKUP(ReviewCalcs[[#This Row],[Existing Control(s)]], Table_358[], 2, FALSE)</f>
        <v>#N/A</v>
      </c>
      <c r="AF300" s="68">
        <f>IF(ReviewCalcs[[#This Row],[Proposed Control(s)]]='Tables &amp; Ranges'!$A$25, VLOOKUP(ReviewCalcs[[#This Row],[Building/Space Type]], Table_364[], 3, FALSE), CF_Contols)</f>
        <v>0.26</v>
      </c>
      <c r="AG300" s="68" t="e">
        <f>VLOOKUP(ReviewCalcs[[#This Row],[Proposed Control(s)]], Table_358[], 2, FALSE)</f>
        <v>#N/A</v>
      </c>
      <c r="AH300" s="68">
        <f>IFERROR((ReviewCalcs[[#This Row],[Existing Fixture Quantity]]*ReviewCalcs[[#This Row],[Existing Fixture Watts]]/1000)*ReviewCalcs[[#This Row],[Existing CF]]*ReviewCalcs[[#This Row],[IEFD]], 0)</f>
        <v>0</v>
      </c>
      <c r="AI300" s="68">
        <f>IFERROR((ReviewCalcs[[#This Row],[Proposed Fixture Quantity]]*ReviewCalcs[[#This Row],[Proposed Fixture Watts]]/1000)*ReviewCalcs[[#This Row],[Existing CF]]*ReviewCalcs[[#This Row],[IEFD]], 0)</f>
        <v>0</v>
      </c>
      <c r="AJ300" s="118">
        <f>IFERROR((ReviewCalcs[[#This Row],[Existing Fixture Quantity]]*ReviewCalcs[[#This Row],[Existing Fixture Watts]]/1000-ReviewCalcs[[#This Row],[Proposed Fixture Quantity]]*ReviewCalcs[[#This Row],[Proposed Fixture Watts]]/1000)*ReviewCalcs[[#This Row],[Existing CF]]*ReviewCalcs[[#This Row],[IEFD]], 0)</f>
        <v>0</v>
      </c>
      <c r="AK300" s="118">
        <f>IFERROR((ReviewCalcs[[#This Row],[Existing Fixture Quantity]]*ReviewCalcs[[#This Row],[Existing Fixture Watts]]/1000)*ReviewCalcs[[#This Row],[AOH]]*ReviewCalcs[[#This Row],[IEFE]]*ReviewCalcs[[#This Row],[Existing PAF]], 0)</f>
        <v>0</v>
      </c>
      <c r="AL300" s="118">
        <f>IFERROR((ReviewCalcs[[#This Row],[Proposed Fixture Quantity]]*ReviewCalcs[[#This Row],[Proposed Fixture Watts]]/1000)*ReviewCalcs[[#This Row],[AOH]]*ReviewCalcs[[#This Row],[IEFE]]*ReviewCalcs[[#This Row],[Existing PAF]], 0)</f>
        <v>0</v>
      </c>
      <c r="AM300"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0" s="118">
        <f>ReviewCalcs[[#This Row],[Fixture Existing Energy (kWh)]]*Avg_KWh_Rate</f>
        <v>0</v>
      </c>
      <c r="AO300" s="118">
        <f>ReviewCalcs[[#This Row],[Fixture Proposed Energy (kWh)]]*Avg_KWh_Rate</f>
        <v>0</v>
      </c>
      <c r="AP300" s="70">
        <f>ReviewCalcs[[#This Row],[Fixture Energy Savings]]*Avg_KWh_Rate</f>
        <v>0</v>
      </c>
      <c r="AQ300" s="129" t="e">
        <f>ReviewCalcs[[#This Row],[Existing Fixture Quantity]]*ReviewCalcs[[#This Row],[Existing Fixture Watts]]/1000*ReviewCalcs[[#This Row],[Existing CF]]*ReviewCalcs[[#This Row],[IEFD]]</f>
        <v>#VALUE!</v>
      </c>
      <c r="AR300" s="129" t="e">
        <f>ReviewCalcs[[#This Row],[Proposed Fixture Quantity]]*ReviewCalcs[[#This Row],[Proposed Fixture Watts]]/1000*ReviewCalcs[[#This Row],[Proposed CF]]*ReviewCalcs[[#This Row],[IEFD]]</f>
        <v>#VALUE!</v>
      </c>
      <c r="AS300" s="118">
        <f>IF(ReviewCalcs[[#This Row],[Existing CF]]=ReviewCalcs[[#This Row],[Proposed CF]], 0, ReviewCalcs[[#This Row],[Proposed Fixture Quantity]]*ReviewCalcs[[#This Row],[Proposed Fixture Watts]]/1000*ReviewCalcs[[#This Row],[Proposed CF]]*ReviewCalcs[[#This Row],[IEFD]])</f>
        <v>0</v>
      </c>
      <c r="AT300" s="118">
        <f>IFERROR(ReviewCalcs[[#This Row],[Existing Fixture Quantity]]*ReviewCalcs[[#This Row],[Existing Fixture Watts]]/1000*ReviewCalcs[[#This Row],[Existing PAF]]*ReviewCalcs[[#This Row],[AOH]]*ReviewCalcs[[#This Row],[IEFE]], 0)</f>
        <v>0</v>
      </c>
      <c r="AU300" s="118">
        <f>IFERROR(ReviewCalcs[[#This Row],[Proposed Fixture Quantity]]*ReviewCalcs[[#This Row],[Proposed Fixture Watts]]/1000*ReviewCalcs[[#This Row],[Proposed PAF]]*ReviewCalcs[[#This Row],[AOH]]*ReviewCalcs[[#This Row],[IEFE]], 0)</f>
        <v>0</v>
      </c>
      <c r="AV300" s="118">
        <f>IFERROR(ReviewCalcs[[#This Row],[Proposed Fixture Quantity]]*ReviewCalcs[[#This Row],[Proposed Fixture Watts]]/1000*(ReviewCalcs[[#This Row],[Existing PAF]]-ReviewCalcs[[#This Row],[Proposed PAF]])*ReviewCalcs[[#This Row],[AOH]]*ReviewCalcs[[#This Row],[IEFE]], 0)</f>
        <v>0</v>
      </c>
      <c r="AW300" s="118">
        <f>ReviewCalcs[[#This Row],[Control Existing Energy (kWh)]]*kWh_Incentive_Rate</f>
        <v>0</v>
      </c>
      <c r="AX300" s="118">
        <f>ReviewCalcs[[#This Row],[Control Proposed Energy (kWh)]]*kWh_Incentive_Rate</f>
        <v>0</v>
      </c>
      <c r="AY300" s="70">
        <f>ReviewCalcs[[#This Row],[Control Energy Savings (kWh)]]*kWh_Incentive_Rate</f>
        <v>0</v>
      </c>
      <c r="AZ300" s="70" t="e">
        <f>ReviewCalcs[[#This Row],[Fixture Existing Demand (kW)]]+ReviewCalcs[[#This Row],[Control Existing Demand (kW)]]</f>
        <v>#VALUE!</v>
      </c>
      <c r="BA300" s="70" t="e">
        <f>ReviewCalcs[[#This Row],[Fixture Proposed Demand (kW)]]+ReviewCalcs[[#This Row],[Control Proposed Demand (kW)]]</f>
        <v>#VALUE!</v>
      </c>
      <c r="BB300" s="118">
        <f>ReviewCalcs[[#This Row],[Fixture Demand Savings (kW)]]+ReviewCalcs[[#This Row],[Control Demand Savings (kW)]]</f>
        <v>0</v>
      </c>
      <c r="BC300" s="118">
        <f>ReviewCalcs[[#This Row],[Fixture Existing Energy (kWh)]]+ReviewCalcs[[#This Row],[Control Existing Energy (kWh)]]</f>
        <v>0</v>
      </c>
      <c r="BD300" s="118">
        <f>ReviewCalcs[[#This Row],[Fixture Proposed Energy (kWh)]]+ReviewCalcs[[#This Row],[Control Proposed Energy (kWh)]]</f>
        <v>0</v>
      </c>
      <c r="BE300" s="118">
        <f>ReviewCalcs[[#This Row],[Fixture Energy Savings]]+ReviewCalcs[[#This Row],[Control Energy Savings (kWh)]]</f>
        <v>0</v>
      </c>
      <c r="BF300" s="118">
        <f>ReviewCalcs[[#This Row],[Fixture Existing Cost ($)]]+ReviewCalcs[[#This Row],[Control Existing Cost ($)]]</f>
        <v>0</v>
      </c>
      <c r="BG300" s="118">
        <f>ReviewCalcs[[#This Row],[Fixture Proposed Cost ($)]]+ReviewCalcs[[#This Row],[Controls Proposed Cost ($)]]</f>
        <v>0</v>
      </c>
      <c r="BH300" s="70">
        <f>ReviewCalcs[[#This Row],[Total Energy Savings (kWh)]]*Avg_KWh_Rate</f>
        <v>0</v>
      </c>
      <c r="BI300"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00" s="70">
        <f>ReviewCalcs[[#This Row],[Retrofit Cost]]</f>
        <v>0</v>
      </c>
      <c r="BK300" s="70">
        <f>ReviewCalcs[[#This Row],[Retrofit Cost]]-ReviewCalcs[[#This Row],[Incentive ($)]]</f>
        <v>0</v>
      </c>
      <c r="BL300" s="118" t="e">
        <f>IFERROR(ReviewCalcs[[#This Row],[Net Project Cost ($)]]/ReviewCalcs[[#This Row],[Fixture Energy Cost Savings ($)]], #N/A)</f>
        <v>#N/A</v>
      </c>
      <c r="BM300" s="118" t="e">
        <f>IF(VLOOKUP(ReviewCalcs[[#This Row],[Existing Fixture Code]], Table7[[FIXTURE CODE]:[Baseline Fixture Code]], 8, FALSE)="N", VLOOKUP(ReviewCalcs[[#This Row],[Existing Fixture Code]], Table7[[FIXTURE CODE]:[Baseline Fixture Code]], 9, FALSE), ReviewCalcs[[#This Row],[Existing Fixture Code]])</f>
        <v>#N/A</v>
      </c>
      <c r="BN300" s="118" t="e">
        <f>INDEX(Table7[WATT/ FIXT], MATCH(ReviewCalcs[Baseline Fixture Code], Table7[FIXTURE CODE], 0))</f>
        <v>#N/A</v>
      </c>
      <c r="BO300" s="118">
        <f>IFERROR((ReviewCalcs[[#This Row],[Existing Fixture Quantity]]*ReviewCalcs[[#This Row],[Baseline Fixture Watts]]/1000-ReviewCalcs[[#This Row],[Proposed Fixture Quantity]]*ReviewCalcs[[#This Row],[Proposed Fixture Watts]]/1000)*ReviewCalcs[[#This Row],[Existing CF]]*ReviewCalcs[[#This Row],[IEFD]], 0)</f>
        <v>0</v>
      </c>
      <c r="BP300"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0" s="118">
        <f>IF(ReviewCalcs[[#This Row],[Existing CF]]=ReviewCalcs[[#This Row],[Proposed CF]], 0, ReviewCalcs[[#This Row],[Proposed Fixture Quantity]]*ReviewCalcs[[#This Row],[Proposed Fixture Watts]]/1000*ReviewCalcs[[#This Row],[Proposed CF]]*ReviewCalcs[[#This Row],[IEFD]])</f>
        <v>0</v>
      </c>
      <c r="BR300" s="118">
        <f>IFERROR(ReviewCalcs[[#This Row],[Proposed Fixture Quantity]]*ReviewCalcs[[#This Row],[Proposed Fixture Watts]]/1000*(ReviewCalcs[[#This Row],[Existing PAF]]-ReviewCalcs[[#This Row],[Proposed PAF]])*ReviewCalcs[[#This Row],[AOH]]*ReviewCalcs[[#This Row],[IEFE]],0)</f>
        <v>0</v>
      </c>
      <c r="BS300" s="118">
        <f>ReviewCalcs[[#This Row],[Incentive Fixture Demand Savings (kW)]]+ReviewCalcs[[#This Row],[Incentive Control Demand Savings (kW)]]</f>
        <v>0</v>
      </c>
      <c r="BT300" s="118">
        <f>ReviewCalcs[[#This Row],[Incentive Fixture Energy Savings (kWh)]]+ReviewCalcs[[#This Row],[Incentive Control Energy Savings (kWh)]]</f>
        <v>0</v>
      </c>
      <c r="BU300" s="73"/>
    </row>
    <row r="301" spans="1:73" ht="30" customHeight="1">
      <c r="A301" s="68">
        <v>298</v>
      </c>
      <c r="B301" s="96">
        <f>VLOOKUP(ReviewCalcs[[#This Row],[Project Index]], ProjectInput[], D$1, FALSE)</f>
        <v>0</v>
      </c>
      <c r="C301" s="97">
        <f>VLOOKUP(ReviewCalcs[[#This Row],[Project Index]], ProjectInput[], E$1, FALSE)</f>
        <v>0</v>
      </c>
      <c r="D301" s="97">
        <f>VLOOKUP(ReviewCalcs[[#This Row],[Project Index]], ProjectInput[], F$1, FALSE)</f>
        <v>0</v>
      </c>
      <c r="E301" s="97">
        <f>VLOOKUP(ReviewCalcs[[#This Row],[Project Index]], ProjectInput[], G$1, FALSE)</f>
        <v>0</v>
      </c>
      <c r="F301" s="97">
        <f>VLOOKUP(ReviewCalcs[[#This Row],[Project Index]], ProjectInput[], H$1, FALSE)</f>
        <v>0</v>
      </c>
      <c r="G301" s="98" t="str">
        <f>VLOOKUP(ReviewCalcs[[#This Row],[Project Index]], ProjectInput[], I$1, FALSE)</f>
        <v/>
      </c>
      <c r="H301" s="96">
        <f>VLOOKUP(ReviewCalcs[[#This Row],[Project Index]], ProjectInput[], J$1, FALSE)</f>
        <v>0</v>
      </c>
      <c r="I301" s="97">
        <f>VLOOKUP(ReviewCalcs[[#This Row],[Project Index]], ProjectInput[], K$1, FALSE)</f>
        <v>0</v>
      </c>
      <c r="J301" s="97">
        <f>VLOOKUP(ReviewCalcs[[#This Row],[Project Index]], ProjectInput[], L$1, FALSE)</f>
        <v>0</v>
      </c>
      <c r="K301" s="97">
        <f>VLOOKUP(ReviewCalcs[[#This Row],[Project Index]], ProjectInput[], M$1, FALSE)</f>
        <v>0</v>
      </c>
      <c r="L301" s="97">
        <f>VLOOKUP(ReviewCalcs[[#This Row],[Project Index]], ProjectInput[], N$1, FALSE)</f>
        <v>0</v>
      </c>
      <c r="M301" s="98" t="str">
        <f>VLOOKUP(ReviewCalcs[[#This Row],[Project Index]], ProjectInput[], O$1, FALSE)</f>
        <v/>
      </c>
      <c r="N301" s="96">
        <f>VLOOKUP(ReviewCalcs[[#This Row],[Project Index]], ProjectInput[], P$1, FALSE)</f>
        <v>0</v>
      </c>
      <c r="O301" s="97">
        <f>VLOOKUP(ReviewCalcs[[#This Row],[Project Index]], ProjectInput[], Q$1, FALSE)</f>
        <v>0</v>
      </c>
      <c r="P301" s="97">
        <f>VLOOKUP(ReviewCalcs[[#This Row],[Project Index]], ProjectInput[], R$1, FALSE)</f>
        <v>0</v>
      </c>
      <c r="Q301" s="97">
        <f>VLOOKUP(ReviewCalcs[[#This Row],[Project Index]], ProjectInput[], S$1, FALSE)</f>
        <v>0</v>
      </c>
      <c r="R301" s="97">
        <f>VLOOKUP(ReviewCalcs[[#This Row],[Project Index]], ProjectInput[], T$1, FALSE)</f>
        <v>0</v>
      </c>
      <c r="S301" s="97">
        <f>VLOOKUP(ReviewCalcs[[#This Row],[Project Index]], ProjectInput[], U$1, FALSE)</f>
        <v>0</v>
      </c>
      <c r="T301" s="97">
        <f>VLOOKUP(ReviewCalcs[[#This Row],[Project Index]], ProjectInput[], V$1, FALSE)</f>
        <v>0</v>
      </c>
      <c r="U301" s="97">
        <f>VLOOKUP(ReviewCalcs[[#This Row],[Project Index]], ProjectInput[], W$1, FALSE)</f>
        <v>0</v>
      </c>
      <c r="V301" s="98" t="str">
        <f>VLOOKUP(ReviewCalcs[[#This Row],[Project Index]], ProjectInput[], X$1, FALSE)</f>
        <v/>
      </c>
      <c r="W301"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1" s="75" t="e">
        <f>IF(VLOOKUP(ReviewCalcs[[#This Row],[Proposed Fixture Code]], Table7[[FIXTURE CODE]:[Baseline Fixture Code]], 8, FALSE)="N", "ERROR", "PASS")</f>
        <v>#N/A</v>
      </c>
      <c r="Y301"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1" s="75" t="e">
        <f>IF(OR(ReviewCalcs[[#This Row],[Baseline Fixture Watts]]&gt;=ReviewCalcs[[#This Row],[Proposed Fixture Watts]],ReviewCalcs[[#This Row],[Existing Fixture Watts]]&gt;=ReviewCalcs[[#This Row],[Proposed Fixture Watts]] ), "PASS", "ERROR")</f>
        <v>#N/A</v>
      </c>
      <c r="AA301" s="69" t="e">
        <f>VLOOKUP(ReviewCalcs[[#This Row],[Space Conditions]], Table_365[], 5, FALSE)</f>
        <v>#N/A</v>
      </c>
      <c r="AB301" s="68" t="str">
        <f>ReviewCalcs[[#This Row],[Annual Hours]]</f>
        <v/>
      </c>
      <c r="AC301" s="68" t="e">
        <f>VLOOKUP(ReviewCalcs[[#This Row],[Space Conditions]], Table_365[], 6, FALSE)</f>
        <v>#N/A</v>
      </c>
      <c r="AD301" s="68">
        <f>IF(ReviewCalcs[[#This Row],[Existing Control(s)]]='Tables &amp; Ranges'!$A$25, VLOOKUP(ReviewCalcs[[#This Row],[Building/Space Type]], Table_364[], 3, FALSE), CF_Contols)</f>
        <v>0.26</v>
      </c>
      <c r="AE301" s="68" t="e">
        <f>VLOOKUP(ReviewCalcs[[#This Row],[Existing Control(s)]], Table_358[], 2, FALSE)</f>
        <v>#N/A</v>
      </c>
      <c r="AF301" s="68">
        <f>IF(ReviewCalcs[[#This Row],[Proposed Control(s)]]='Tables &amp; Ranges'!$A$25, VLOOKUP(ReviewCalcs[[#This Row],[Building/Space Type]], Table_364[], 3, FALSE), CF_Contols)</f>
        <v>0.26</v>
      </c>
      <c r="AG301" s="68" t="e">
        <f>VLOOKUP(ReviewCalcs[[#This Row],[Proposed Control(s)]], Table_358[], 2, FALSE)</f>
        <v>#N/A</v>
      </c>
      <c r="AH301" s="68">
        <f>IFERROR((ReviewCalcs[[#This Row],[Existing Fixture Quantity]]*ReviewCalcs[[#This Row],[Existing Fixture Watts]]/1000)*ReviewCalcs[[#This Row],[Existing CF]]*ReviewCalcs[[#This Row],[IEFD]], 0)</f>
        <v>0</v>
      </c>
      <c r="AI301" s="68">
        <f>IFERROR((ReviewCalcs[[#This Row],[Proposed Fixture Quantity]]*ReviewCalcs[[#This Row],[Proposed Fixture Watts]]/1000)*ReviewCalcs[[#This Row],[Existing CF]]*ReviewCalcs[[#This Row],[IEFD]], 0)</f>
        <v>0</v>
      </c>
      <c r="AJ301" s="118">
        <f>IFERROR((ReviewCalcs[[#This Row],[Existing Fixture Quantity]]*ReviewCalcs[[#This Row],[Existing Fixture Watts]]/1000-ReviewCalcs[[#This Row],[Proposed Fixture Quantity]]*ReviewCalcs[[#This Row],[Proposed Fixture Watts]]/1000)*ReviewCalcs[[#This Row],[Existing CF]]*ReviewCalcs[[#This Row],[IEFD]], 0)</f>
        <v>0</v>
      </c>
      <c r="AK301" s="118">
        <f>IFERROR((ReviewCalcs[[#This Row],[Existing Fixture Quantity]]*ReviewCalcs[[#This Row],[Existing Fixture Watts]]/1000)*ReviewCalcs[[#This Row],[AOH]]*ReviewCalcs[[#This Row],[IEFE]]*ReviewCalcs[[#This Row],[Existing PAF]], 0)</f>
        <v>0</v>
      </c>
      <c r="AL301" s="118">
        <f>IFERROR((ReviewCalcs[[#This Row],[Proposed Fixture Quantity]]*ReviewCalcs[[#This Row],[Proposed Fixture Watts]]/1000)*ReviewCalcs[[#This Row],[AOH]]*ReviewCalcs[[#This Row],[IEFE]]*ReviewCalcs[[#This Row],[Existing PAF]], 0)</f>
        <v>0</v>
      </c>
      <c r="AM301"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1" s="118">
        <f>ReviewCalcs[[#This Row],[Fixture Existing Energy (kWh)]]*Avg_KWh_Rate</f>
        <v>0</v>
      </c>
      <c r="AO301" s="118">
        <f>ReviewCalcs[[#This Row],[Fixture Proposed Energy (kWh)]]*Avg_KWh_Rate</f>
        <v>0</v>
      </c>
      <c r="AP301" s="70">
        <f>ReviewCalcs[[#This Row],[Fixture Energy Savings]]*Avg_KWh_Rate</f>
        <v>0</v>
      </c>
      <c r="AQ301" s="129" t="e">
        <f>ReviewCalcs[[#This Row],[Existing Fixture Quantity]]*ReviewCalcs[[#This Row],[Existing Fixture Watts]]/1000*ReviewCalcs[[#This Row],[Existing CF]]*ReviewCalcs[[#This Row],[IEFD]]</f>
        <v>#VALUE!</v>
      </c>
      <c r="AR301" s="129" t="e">
        <f>ReviewCalcs[[#This Row],[Proposed Fixture Quantity]]*ReviewCalcs[[#This Row],[Proposed Fixture Watts]]/1000*ReviewCalcs[[#This Row],[Proposed CF]]*ReviewCalcs[[#This Row],[IEFD]]</f>
        <v>#VALUE!</v>
      </c>
      <c r="AS301" s="118">
        <f>IF(ReviewCalcs[[#This Row],[Existing CF]]=ReviewCalcs[[#This Row],[Proposed CF]], 0, ReviewCalcs[[#This Row],[Proposed Fixture Quantity]]*ReviewCalcs[[#This Row],[Proposed Fixture Watts]]/1000*ReviewCalcs[[#This Row],[Proposed CF]]*ReviewCalcs[[#This Row],[IEFD]])</f>
        <v>0</v>
      </c>
      <c r="AT301" s="118">
        <f>IFERROR(ReviewCalcs[[#This Row],[Existing Fixture Quantity]]*ReviewCalcs[[#This Row],[Existing Fixture Watts]]/1000*ReviewCalcs[[#This Row],[Existing PAF]]*ReviewCalcs[[#This Row],[AOH]]*ReviewCalcs[[#This Row],[IEFE]], 0)</f>
        <v>0</v>
      </c>
      <c r="AU301" s="118">
        <f>IFERROR(ReviewCalcs[[#This Row],[Proposed Fixture Quantity]]*ReviewCalcs[[#This Row],[Proposed Fixture Watts]]/1000*ReviewCalcs[[#This Row],[Proposed PAF]]*ReviewCalcs[[#This Row],[AOH]]*ReviewCalcs[[#This Row],[IEFE]], 0)</f>
        <v>0</v>
      </c>
      <c r="AV301" s="118">
        <f>IFERROR(ReviewCalcs[[#This Row],[Proposed Fixture Quantity]]*ReviewCalcs[[#This Row],[Proposed Fixture Watts]]/1000*(ReviewCalcs[[#This Row],[Existing PAF]]-ReviewCalcs[[#This Row],[Proposed PAF]])*ReviewCalcs[[#This Row],[AOH]]*ReviewCalcs[[#This Row],[IEFE]], 0)</f>
        <v>0</v>
      </c>
      <c r="AW301" s="118">
        <f>ReviewCalcs[[#This Row],[Control Existing Energy (kWh)]]*kWh_Incentive_Rate</f>
        <v>0</v>
      </c>
      <c r="AX301" s="118">
        <f>ReviewCalcs[[#This Row],[Control Proposed Energy (kWh)]]*kWh_Incentive_Rate</f>
        <v>0</v>
      </c>
      <c r="AY301" s="70">
        <f>ReviewCalcs[[#This Row],[Control Energy Savings (kWh)]]*kWh_Incentive_Rate</f>
        <v>0</v>
      </c>
      <c r="AZ301" s="70" t="e">
        <f>ReviewCalcs[[#This Row],[Fixture Existing Demand (kW)]]+ReviewCalcs[[#This Row],[Control Existing Demand (kW)]]</f>
        <v>#VALUE!</v>
      </c>
      <c r="BA301" s="70" t="e">
        <f>ReviewCalcs[[#This Row],[Fixture Proposed Demand (kW)]]+ReviewCalcs[[#This Row],[Control Proposed Demand (kW)]]</f>
        <v>#VALUE!</v>
      </c>
      <c r="BB301" s="118">
        <f>ReviewCalcs[[#This Row],[Fixture Demand Savings (kW)]]+ReviewCalcs[[#This Row],[Control Demand Savings (kW)]]</f>
        <v>0</v>
      </c>
      <c r="BC301" s="118">
        <f>ReviewCalcs[[#This Row],[Fixture Existing Energy (kWh)]]+ReviewCalcs[[#This Row],[Control Existing Energy (kWh)]]</f>
        <v>0</v>
      </c>
      <c r="BD301" s="118">
        <f>ReviewCalcs[[#This Row],[Fixture Proposed Energy (kWh)]]+ReviewCalcs[[#This Row],[Control Proposed Energy (kWh)]]</f>
        <v>0</v>
      </c>
      <c r="BE301" s="118">
        <f>ReviewCalcs[[#This Row],[Fixture Energy Savings]]+ReviewCalcs[[#This Row],[Control Energy Savings (kWh)]]</f>
        <v>0</v>
      </c>
      <c r="BF301" s="118">
        <f>ReviewCalcs[[#This Row],[Fixture Existing Cost ($)]]+ReviewCalcs[[#This Row],[Control Existing Cost ($)]]</f>
        <v>0</v>
      </c>
      <c r="BG301" s="118">
        <f>ReviewCalcs[[#This Row],[Fixture Proposed Cost ($)]]+ReviewCalcs[[#This Row],[Controls Proposed Cost ($)]]</f>
        <v>0</v>
      </c>
      <c r="BH301" s="70">
        <f>ReviewCalcs[[#This Row],[Total Energy Savings (kWh)]]*Avg_KWh_Rate</f>
        <v>0</v>
      </c>
      <c r="BI301"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01" s="70">
        <f>ReviewCalcs[[#This Row],[Retrofit Cost]]</f>
        <v>0</v>
      </c>
      <c r="BK301" s="70">
        <f>ReviewCalcs[[#This Row],[Retrofit Cost]]-ReviewCalcs[[#This Row],[Incentive ($)]]</f>
        <v>0</v>
      </c>
      <c r="BL301" s="118" t="e">
        <f>IFERROR(ReviewCalcs[[#This Row],[Net Project Cost ($)]]/ReviewCalcs[[#This Row],[Fixture Energy Cost Savings ($)]], #N/A)</f>
        <v>#N/A</v>
      </c>
      <c r="BM301" s="118" t="e">
        <f>IF(VLOOKUP(ReviewCalcs[[#This Row],[Existing Fixture Code]], Table7[[FIXTURE CODE]:[Baseline Fixture Code]], 8, FALSE)="N", VLOOKUP(ReviewCalcs[[#This Row],[Existing Fixture Code]], Table7[[FIXTURE CODE]:[Baseline Fixture Code]], 9, FALSE), ReviewCalcs[[#This Row],[Existing Fixture Code]])</f>
        <v>#N/A</v>
      </c>
      <c r="BN301" s="118" t="e">
        <f>INDEX(Table7[WATT/ FIXT], MATCH(ReviewCalcs[Baseline Fixture Code], Table7[FIXTURE CODE], 0))</f>
        <v>#N/A</v>
      </c>
      <c r="BO301" s="118">
        <f>IFERROR((ReviewCalcs[[#This Row],[Existing Fixture Quantity]]*ReviewCalcs[[#This Row],[Baseline Fixture Watts]]/1000-ReviewCalcs[[#This Row],[Proposed Fixture Quantity]]*ReviewCalcs[[#This Row],[Proposed Fixture Watts]]/1000)*ReviewCalcs[[#This Row],[Existing CF]]*ReviewCalcs[[#This Row],[IEFD]], 0)</f>
        <v>0</v>
      </c>
      <c r="BP301"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1" s="118">
        <f>IF(ReviewCalcs[[#This Row],[Existing CF]]=ReviewCalcs[[#This Row],[Proposed CF]], 0, ReviewCalcs[[#This Row],[Proposed Fixture Quantity]]*ReviewCalcs[[#This Row],[Proposed Fixture Watts]]/1000*ReviewCalcs[[#This Row],[Proposed CF]]*ReviewCalcs[[#This Row],[IEFD]])</f>
        <v>0</v>
      </c>
      <c r="BR301" s="118">
        <f>IFERROR(ReviewCalcs[[#This Row],[Proposed Fixture Quantity]]*ReviewCalcs[[#This Row],[Proposed Fixture Watts]]/1000*(ReviewCalcs[[#This Row],[Existing PAF]]-ReviewCalcs[[#This Row],[Proposed PAF]])*ReviewCalcs[[#This Row],[AOH]]*ReviewCalcs[[#This Row],[IEFE]],0)</f>
        <v>0</v>
      </c>
      <c r="BS301" s="118">
        <f>ReviewCalcs[[#This Row],[Incentive Fixture Demand Savings (kW)]]+ReviewCalcs[[#This Row],[Incentive Control Demand Savings (kW)]]</f>
        <v>0</v>
      </c>
      <c r="BT301" s="118">
        <f>ReviewCalcs[[#This Row],[Incentive Fixture Energy Savings (kWh)]]+ReviewCalcs[[#This Row],[Incentive Control Energy Savings (kWh)]]</f>
        <v>0</v>
      </c>
      <c r="BU301" s="73"/>
    </row>
    <row r="302" spans="1:73" ht="30" customHeight="1">
      <c r="A302" s="68">
        <v>299</v>
      </c>
      <c r="B302" s="96">
        <f>VLOOKUP(ReviewCalcs[[#This Row],[Project Index]], ProjectInput[], D$1, FALSE)</f>
        <v>0</v>
      </c>
      <c r="C302" s="97">
        <f>VLOOKUP(ReviewCalcs[[#This Row],[Project Index]], ProjectInput[], E$1, FALSE)</f>
        <v>0</v>
      </c>
      <c r="D302" s="97">
        <f>VLOOKUP(ReviewCalcs[[#This Row],[Project Index]], ProjectInput[], F$1, FALSE)</f>
        <v>0</v>
      </c>
      <c r="E302" s="97">
        <f>VLOOKUP(ReviewCalcs[[#This Row],[Project Index]], ProjectInput[], G$1, FALSE)</f>
        <v>0</v>
      </c>
      <c r="F302" s="97">
        <f>VLOOKUP(ReviewCalcs[[#This Row],[Project Index]], ProjectInput[], H$1, FALSE)</f>
        <v>0</v>
      </c>
      <c r="G302" s="98" t="str">
        <f>VLOOKUP(ReviewCalcs[[#This Row],[Project Index]], ProjectInput[], I$1, FALSE)</f>
        <v/>
      </c>
      <c r="H302" s="96">
        <f>VLOOKUP(ReviewCalcs[[#This Row],[Project Index]], ProjectInput[], J$1, FALSE)</f>
        <v>0</v>
      </c>
      <c r="I302" s="97">
        <f>VLOOKUP(ReviewCalcs[[#This Row],[Project Index]], ProjectInput[], K$1, FALSE)</f>
        <v>0</v>
      </c>
      <c r="J302" s="97">
        <f>VLOOKUP(ReviewCalcs[[#This Row],[Project Index]], ProjectInput[], L$1, FALSE)</f>
        <v>0</v>
      </c>
      <c r="K302" s="97">
        <f>VLOOKUP(ReviewCalcs[[#This Row],[Project Index]], ProjectInput[], M$1, FALSE)</f>
        <v>0</v>
      </c>
      <c r="L302" s="97">
        <f>VLOOKUP(ReviewCalcs[[#This Row],[Project Index]], ProjectInput[], N$1, FALSE)</f>
        <v>0</v>
      </c>
      <c r="M302" s="98" t="str">
        <f>VLOOKUP(ReviewCalcs[[#This Row],[Project Index]], ProjectInput[], O$1, FALSE)</f>
        <v/>
      </c>
      <c r="N302" s="96">
        <f>VLOOKUP(ReviewCalcs[[#This Row],[Project Index]], ProjectInput[], P$1, FALSE)</f>
        <v>0</v>
      </c>
      <c r="O302" s="97">
        <f>VLOOKUP(ReviewCalcs[[#This Row],[Project Index]], ProjectInput[], Q$1, FALSE)</f>
        <v>0</v>
      </c>
      <c r="P302" s="97">
        <f>VLOOKUP(ReviewCalcs[[#This Row],[Project Index]], ProjectInput[], R$1, FALSE)</f>
        <v>0</v>
      </c>
      <c r="Q302" s="97">
        <f>VLOOKUP(ReviewCalcs[[#This Row],[Project Index]], ProjectInput[], S$1, FALSE)</f>
        <v>0</v>
      </c>
      <c r="R302" s="97">
        <f>VLOOKUP(ReviewCalcs[[#This Row],[Project Index]], ProjectInput[], T$1, FALSE)</f>
        <v>0</v>
      </c>
      <c r="S302" s="97">
        <f>VLOOKUP(ReviewCalcs[[#This Row],[Project Index]], ProjectInput[], U$1, FALSE)</f>
        <v>0</v>
      </c>
      <c r="T302" s="97">
        <f>VLOOKUP(ReviewCalcs[[#This Row],[Project Index]], ProjectInput[], V$1, FALSE)</f>
        <v>0</v>
      </c>
      <c r="U302" s="97">
        <f>VLOOKUP(ReviewCalcs[[#This Row],[Project Index]], ProjectInput[], W$1, FALSE)</f>
        <v>0</v>
      </c>
      <c r="V302" s="98" t="str">
        <f>VLOOKUP(ReviewCalcs[[#This Row],[Project Index]], ProjectInput[], X$1, FALSE)</f>
        <v/>
      </c>
      <c r="W302"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2" s="75" t="e">
        <f>IF(VLOOKUP(ReviewCalcs[[#This Row],[Proposed Fixture Code]], Table7[[FIXTURE CODE]:[Baseline Fixture Code]], 8, FALSE)="N", "ERROR", "PASS")</f>
        <v>#N/A</v>
      </c>
      <c r="Y302"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2" s="75" t="e">
        <f>IF(OR(ReviewCalcs[[#This Row],[Baseline Fixture Watts]]&gt;=ReviewCalcs[[#This Row],[Proposed Fixture Watts]],ReviewCalcs[[#This Row],[Existing Fixture Watts]]&gt;=ReviewCalcs[[#This Row],[Proposed Fixture Watts]] ), "PASS", "ERROR")</f>
        <v>#N/A</v>
      </c>
      <c r="AA302" s="69" t="e">
        <f>VLOOKUP(ReviewCalcs[[#This Row],[Space Conditions]], Table_365[], 5, FALSE)</f>
        <v>#N/A</v>
      </c>
      <c r="AB302" s="68" t="str">
        <f>ReviewCalcs[[#This Row],[Annual Hours]]</f>
        <v/>
      </c>
      <c r="AC302" s="68" t="e">
        <f>VLOOKUP(ReviewCalcs[[#This Row],[Space Conditions]], Table_365[], 6, FALSE)</f>
        <v>#N/A</v>
      </c>
      <c r="AD302" s="68">
        <f>IF(ReviewCalcs[[#This Row],[Existing Control(s)]]='Tables &amp; Ranges'!$A$25, VLOOKUP(ReviewCalcs[[#This Row],[Building/Space Type]], Table_364[], 3, FALSE), CF_Contols)</f>
        <v>0.26</v>
      </c>
      <c r="AE302" s="68" t="e">
        <f>VLOOKUP(ReviewCalcs[[#This Row],[Existing Control(s)]], Table_358[], 2, FALSE)</f>
        <v>#N/A</v>
      </c>
      <c r="AF302" s="68">
        <f>IF(ReviewCalcs[[#This Row],[Proposed Control(s)]]='Tables &amp; Ranges'!$A$25, VLOOKUP(ReviewCalcs[[#This Row],[Building/Space Type]], Table_364[], 3, FALSE), CF_Contols)</f>
        <v>0.26</v>
      </c>
      <c r="AG302" s="68" t="e">
        <f>VLOOKUP(ReviewCalcs[[#This Row],[Proposed Control(s)]], Table_358[], 2, FALSE)</f>
        <v>#N/A</v>
      </c>
      <c r="AH302" s="68">
        <f>IFERROR((ReviewCalcs[[#This Row],[Existing Fixture Quantity]]*ReviewCalcs[[#This Row],[Existing Fixture Watts]]/1000)*ReviewCalcs[[#This Row],[Existing CF]]*ReviewCalcs[[#This Row],[IEFD]], 0)</f>
        <v>0</v>
      </c>
      <c r="AI302" s="68">
        <f>IFERROR((ReviewCalcs[[#This Row],[Proposed Fixture Quantity]]*ReviewCalcs[[#This Row],[Proposed Fixture Watts]]/1000)*ReviewCalcs[[#This Row],[Existing CF]]*ReviewCalcs[[#This Row],[IEFD]], 0)</f>
        <v>0</v>
      </c>
      <c r="AJ302" s="118">
        <f>IFERROR((ReviewCalcs[[#This Row],[Existing Fixture Quantity]]*ReviewCalcs[[#This Row],[Existing Fixture Watts]]/1000-ReviewCalcs[[#This Row],[Proposed Fixture Quantity]]*ReviewCalcs[[#This Row],[Proposed Fixture Watts]]/1000)*ReviewCalcs[[#This Row],[Existing CF]]*ReviewCalcs[[#This Row],[IEFD]], 0)</f>
        <v>0</v>
      </c>
      <c r="AK302" s="118">
        <f>IFERROR((ReviewCalcs[[#This Row],[Existing Fixture Quantity]]*ReviewCalcs[[#This Row],[Existing Fixture Watts]]/1000)*ReviewCalcs[[#This Row],[AOH]]*ReviewCalcs[[#This Row],[IEFE]]*ReviewCalcs[[#This Row],[Existing PAF]], 0)</f>
        <v>0</v>
      </c>
      <c r="AL302" s="118">
        <f>IFERROR((ReviewCalcs[[#This Row],[Proposed Fixture Quantity]]*ReviewCalcs[[#This Row],[Proposed Fixture Watts]]/1000)*ReviewCalcs[[#This Row],[AOH]]*ReviewCalcs[[#This Row],[IEFE]]*ReviewCalcs[[#This Row],[Existing PAF]], 0)</f>
        <v>0</v>
      </c>
      <c r="AM302"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2" s="118">
        <f>ReviewCalcs[[#This Row],[Fixture Existing Energy (kWh)]]*Avg_KWh_Rate</f>
        <v>0</v>
      </c>
      <c r="AO302" s="118">
        <f>ReviewCalcs[[#This Row],[Fixture Proposed Energy (kWh)]]*Avg_KWh_Rate</f>
        <v>0</v>
      </c>
      <c r="AP302" s="70">
        <f>ReviewCalcs[[#This Row],[Fixture Energy Savings]]*Avg_KWh_Rate</f>
        <v>0</v>
      </c>
      <c r="AQ302" s="129" t="e">
        <f>ReviewCalcs[[#This Row],[Existing Fixture Quantity]]*ReviewCalcs[[#This Row],[Existing Fixture Watts]]/1000*ReviewCalcs[[#This Row],[Existing CF]]*ReviewCalcs[[#This Row],[IEFD]]</f>
        <v>#VALUE!</v>
      </c>
      <c r="AR302" s="129" t="e">
        <f>ReviewCalcs[[#This Row],[Proposed Fixture Quantity]]*ReviewCalcs[[#This Row],[Proposed Fixture Watts]]/1000*ReviewCalcs[[#This Row],[Proposed CF]]*ReviewCalcs[[#This Row],[IEFD]]</f>
        <v>#VALUE!</v>
      </c>
      <c r="AS302" s="118">
        <f>IF(ReviewCalcs[[#This Row],[Existing CF]]=ReviewCalcs[[#This Row],[Proposed CF]], 0, ReviewCalcs[[#This Row],[Proposed Fixture Quantity]]*ReviewCalcs[[#This Row],[Proposed Fixture Watts]]/1000*ReviewCalcs[[#This Row],[Proposed CF]]*ReviewCalcs[[#This Row],[IEFD]])</f>
        <v>0</v>
      </c>
      <c r="AT302" s="118">
        <f>IFERROR(ReviewCalcs[[#This Row],[Existing Fixture Quantity]]*ReviewCalcs[[#This Row],[Existing Fixture Watts]]/1000*ReviewCalcs[[#This Row],[Existing PAF]]*ReviewCalcs[[#This Row],[AOH]]*ReviewCalcs[[#This Row],[IEFE]], 0)</f>
        <v>0</v>
      </c>
      <c r="AU302" s="118">
        <f>IFERROR(ReviewCalcs[[#This Row],[Proposed Fixture Quantity]]*ReviewCalcs[[#This Row],[Proposed Fixture Watts]]/1000*ReviewCalcs[[#This Row],[Proposed PAF]]*ReviewCalcs[[#This Row],[AOH]]*ReviewCalcs[[#This Row],[IEFE]], 0)</f>
        <v>0</v>
      </c>
      <c r="AV302" s="118">
        <f>IFERROR(ReviewCalcs[[#This Row],[Proposed Fixture Quantity]]*ReviewCalcs[[#This Row],[Proposed Fixture Watts]]/1000*(ReviewCalcs[[#This Row],[Existing PAF]]-ReviewCalcs[[#This Row],[Proposed PAF]])*ReviewCalcs[[#This Row],[AOH]]*ReviewCalcs[[#This Row],[IEFE]], 0)</f>
        <v>0</v>
      </c>
      <c r="AW302" s="118">
        <f>ReviewCalcs[[#This Row],[Control Existing Energy (kWh)]]*kWh_Incentive_Rate</f>
        <v>0</v>
      </c>
      <c r="AX302" s="118">
        <f>ReviewCalcs[[#This Row],[Control Proposed Energy (kWh)]]*kWh_Incentive_Rate</f>
        <v>0</v>
      </c>
      <c r="AY302" s="70">
        <f>ReviewCalcs[[#This Row],[Control Energy Savings (kWh)]]*kWh_Incentive_Rate</f>
        <v>0</v>
      </c>
      <c r="AZ302" s="70" t="e">
        <f>ReviewCalcs[[#This Row],[Fixture Existing Demand (kW)]]+ReviewCalcs[[#This Row],[Control Existing Demand (kW)]]</f>
        <v>#VALUE!</v>
      </c>
      <c r="BA302" s="70" t="e">
        <f>ReviewCalcs[[#This Row],[Fixture Proposed Demand (kW)]]+ReviewCalcs[[#This Row],[Control Proposed Demand (kW)]]</f>
        <v>#VALUE!</v>
      </c>
      <c r="BB302" s="118">
        <f>ReviewCalcs[[#This Row],[Fixture Demand Savings (kW)]]+ReviewCalcs[[#This Row],[Control Demand Savings (kW)]]</f>
        <v>0</v>
      </c>
      <c r="BC302" s="118">
        <f>ReviewCalcs[[#This Row],[Fixture Existing Energy (kWh)]]+ReviewCalcs[[#This Row],[Control Existing Energy (kWh)]]</f>
        <v>0</v>
      </c>
      <c r="BD302" s="118">
        <f>ReviewCalcs[[#This Row],[Fixture Proposed Energy (kWh)]]+ReviewCalcs[[#This Row],[Control Proposed Energy (kWh)]]</f>
        <v>0</v>
      </c>
      <c r="BE302" s="118">
        <f>ReviewCalcs[[#This Row],[Fixture Energy Savings]]+ReviewCalcs[[#This Row],[Control Energy Savings (kWh)]]</f>
        <v>0</v>
      </c>
      <c r="BF302" s="118">
        <f>ReviewCalcs[[#This Row],[Fixture Existing Cost ($)]]+ReviewCalcs[[#This Row],[Control Existing Cost ($)]]</f>
        <v>0</v>
      </c>
      <c r="BG302" s="118">
        <f>ReviewCalcs[[#This Row],[Fixture Proposed Cost ($)]]+ReviewCalcs[[#This Row],[Controls Proposed Cost ($)]]</f>
        <v>0</v>
      </c>
      <c r="BH302" s="70">
        <f>ReviewCalcs[[#This Row],[Total Energy Savings (kWh)]]*Avg_KWh_Rate</f>
        <v>0</v>
      </c>
      <c r="BI302"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02" s="70">
        <f>ReviewCalcs[[#This Row],[Retrofit Cost]]</f>
        <v>0</v>
      </c>
      <c r="BK302" s="70">
        <f>ReviewCalcs[[#This Row],[Retrofit Cost]]-ReviewCalcs[[#This Row],[Incentive ($)]]</f>
        <v>0</v>
      </c>
      <c r="BL302" s="118" t="e">
        <f>IFERROR(ReviewCalcs[[#This Row],[Net Project Cost ($)]]/ReviewCalcs[[#This Row],[Fixture Energy Cost Savings ($)]], #N/A)</f>
        <v>#N/A</v>
      </c>
      <c r="BM302" s="118" t="e">
        <f>IF(VLOOKUP(ReviewCalcs[[#This Row],[Existing Fixture Code]], Table7[[FIXTURE CODE]:[Baseline Fixture Code]], 8, FALSE)="N", VLOOKUP(ReviewCalcs[[#This Row],[Existing Fixture Code]], Table7[[FIXTURE CODE]:[Baseline Fixture Code]], 9, FALSE), ReviewCalcs[[#This Row],[Existing Fixture Code]])</f>
        <v>#N/A</v>
      </c>
      <c r="BN302" s="118" t="e">
        <f>INDEX(Table7[WATT/ FIXT], MATCH(ReviewCalcs[Baseline Fixture Code], Table7[FIXTURE CODE], 0))</f>
        <v>#N/A</v>
      </c>
      <c r="BO302" s="118">
        <f>IFERROR((ReviewCalcs[[#This Row],[Existing Fixture Quantity]]*ReviewCalcs[[#This Row],[Baseline Fixture Watts]]/1000-ReviewCalcs[[#This Row],[Proposed Fixture Quantity]]*ReviewCalcs[[#This Row],[Proposed Fixture Watts]]/1000)*ReviewCalcs[[#This Row],[Existing CF]]*ReviewCalcs[[#This Row],[IEFD]], 0)</f>
        <v>0</v>
      </c>
      <c r="BP302"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2" s="118">
        <f>IF(ReviewCalcs[[#This Row],[Existing CF]]=ReviewCalcs[[#This Row],[Proposed CF]], 0, ReviewCalcs[[#This Row],[Proposed Fixture Quantity]]*ReviewCalcs[[#This Row],[Proposed Fixture Watts]]/1000*ReviewCalcs[[#This Row],[Proposed CF]]*ReviewCalcs[[#This Row],[IEFD]])</f>
        <v>0</v>
      </c>
      <c r="BR302" s="118">
        <f>IFERROR(ReviewCalcs[[#This Row],[Proposed Fixture Quantity]]*ReviewCalcs[[#This Row],[Proposed Fixture Watts]]/1000*(ReviewCalcs[[#This Row],[Existing PAF]]-ReviewCalcs[[#This Row],[Proposed PAF]])*ReviewCalcs[[#This Row],[AOH]]*ReviewCalcs[[#This Row],[IEFE]],0)</f>
        <v>0</v>
      </c>
      <c r="BS302" s="118">
        <f>ReviewCalcs[[#This Row],[Incentive Fixture Demand Savings (kW)]]+ReviewCalcs[[#This Row],[Incentive Control Demand Savings (kW)]]</f>
        <v>0</v>
      </c>
      <c r="BT302" s="118">
        <f>ReviewCalcs[[#This Row],[Incentive Fixture Energy Savings (kWh)]]+ReviewCalcs[[#This Row],[Incentive Control Energy Savings (kWh)]]</f>
        <v>0</v>
      </c>
      <c r="BU302" s="73"/>
    </row>
    <row r="303" spans="1:73" ht="30" customHeight="1" thickBot="1">
      <c r="A303" s="68">
        <v>300</v>
      </c>
      <c r="B303" s="96">
        <f>VLOOKUP(ReviewCalcs[[#This Row],[Project Index]], ProjectInput[], D$1, FALSE)</f>
        <v>0</v>
      </c>
      <c r="C303" s="97">
        <f>VLOOKUP(ReviewCalcs[[#This Row],[Project Index]], ProjectInput[], E$1, FALSE)</f>
        <v>0</v>
      </c>
      <c r="D303" s="99">
        <f>VLOOKUP(ReviewCalcs[[#This Row],[Project Index]], ProjectInput[], F$1, FALSE)</f>
        <v>0</v>
      </c>
      <c r="E303" s="99">
        <f>VLOOKUP(ReviewCalcs[[#This Row],[Project Index]], ProjectInput[], G$1, FALSE)</f>
        <v>0</v>
      </c>
      <c r="F303" s="99">
        <f>VLOOKUP(ReviewCalcs[[#This Row],[Project Index]], ProjectInput[], H$1, FALSE)</f>
        <v>0</v>
      </c>
      <c r="G303" s="100" t="str">
        <f>VLOOKUP(ReviewCalcs[[#This Row],[Project Index]], ProjectInput[], I$1, FALSE)</f>
        <v/>
      </c>
      <c r="H303" s="101">
        <f>VLOOKUP(ReviewCalcs[[#This Row],[Project Index]], ProjectInput[], J$1, FALSE)</f>
        <v>0</v>
      </c>
      <c r="I303" s="99">
        <f>VLOOKUP(ReviewCalcs[[#This Row],[Project Index]], ProjectInput[], K$1, FALSE)</f>
        <v>0</v>
      </c>
      <c r="J303" s="99">
        <f>VLOOKUP(ReviewCalcs[[#This Row],[Project Index]], ProjectInput[], L$1, FALSE)</f>
        <v>0</v>
      </c>
      <c r="K303" s="99">
        <f>VLOOKUP(ReviewCalcs[[#This Row],[Project Index]], ProjectInput[], M$1, FALSE)</f>
        <v>0</v>
      </c>
      <c r="L303" s="99">
        <f>VLOOKUP(ReviewCalcs[[#This Row],[Project Index]], ProjectInput[], N$1, FALSE)</f>
        <v>0</v>
      </c>
      <c r="M303" s="100" t="str">
        <f>VLOOKUP(ReviewCalcs[[#This Row],[Project Index]], ProjectInput[], O$1, FALSE)</f>
        <v/>
      </c>
      <c r="N303" s="101">
        <f>VLOOKUP(ReviewCalcs[[#This Row],[Project Index]], ProjectInput[], P$1, FALSE)</f>
        <v>0</v>
      </c>
      <c r="O303" s="99">
        <f>VLOOKUP(ReviewCalcs[[#This Row],[Project Index]], ProjectInput[], Q$1, FALSE)</f>
        <v>0</v>
      </c>
      <c r="P303" s="99">
        <f>VLOOKUP(ReviewCalcs[[#This Row],[Project Index]], ProjectInput[], R$1, FALSE)</f>
        <v>0</v>
      </c>
      <c r="Q303" s="99">
        <f>VLOOKUP(ReviewCalcs[[#This Row],[Project Index]], ProjectInput[], S$1, FALSE)</f>
        <v>0</v>
      </c>
      <c r="R303" s="99">
        <f>VLOOKUP(ReviewCalcs[[#This Row],[Project Index]], ProjectInput[], T$1, FALSE)</f>
        <v>0</v>
      </c>
      <c r="S303" s="99">
        <f>VLOOKUP(ReviewCalcs[[#This Row],[Project Index]], ProjectInput[], U$1, FALSE)</f>
        <v>0</v>
      </c>
      <c r="T303" s="99">
        <f>VLOOKUP(ReviewCalcs[[#This Row],[Project Index]], ProjectInput[], V$1, FALSE)</f>
        <v>0</v>
      </c>
      <c r="U303" s="99">
        <f>VLOOKUP(ReviewCalcs[[#This Row],[Project Index]], ProjectInput[], W$1, FALSE)</f>
        <v>0</v>
      </c>
      <c r="V303" s="100" t="str">
        <f>VLOOKUP(ReviewCalcs[[#This Row],[Project Index]], ProjectInput[], X$1, FALSE)</f>
        <v/>
      </c>
      <c r="W303" s="75" t="str">
        <f>IF(OR(
AND(ReviewCalcs[[#This Row],[Over-Ride Annual Hours]]="Default", Table5[[#This Row],[Weekday Operating Hours]]+Table5[[#This Row],[Saturday Operating Hours]]+Table5[[#This Row],[Sunday Operating Hours]]&lt;&gt;0),
AND(ReviewCalcs[[#This Row],[Over-Ride Annual Hours]]="Over-ride", Table5[[#This Row],[Annual Operating Hours]]=0)),
"ERROR", "PASS")</f>
        <v>PASS</v>
      </c>
      <c r="X303" s="75" t="e">
        <f>IF(VLOOKUP(ReviewCalcs[[#This Row],[Proposed Fixture Code]], Table7[[FIXTURE CODE]:[Baseline Fixture Code]], 8, FALSE)="N", "ERROR", "PASS")</f>
        <v>#N/A</v>
      </c>
      <c r="Y303" s="75" t="e">
        <f>IF(AND(ReviewCalcs[[#This Row],[Measure Type]]=0, ReviewCalcs[[#This Row],[Existing Control(s)]]=0, ReviewCalcs[[#This Row],[Proposed Control(s)]]=0), #N/A, IF(AND(ReviewCalcs[[#This Row],[Measure Type]]="Lighting Fixture Retrofit Only", ReviewCalcs[[#This Row],[Existing Control(s)]]=ReviewCalcs[[#This Row],[Proposed Control(s)]]), "PASS", IF(AND(ReviewCalcs[[#This Row],[Measure Type]]="Lighting &amp; Controls Retrofit", ReviewCalcs[[#This Row],[Existing Control(s)]]&lt;&gt;ReviewCalcs[[#This Row],[Proposed Control(s)]]), "PASS", IF(AND(ReviewCalcs[[#This Row],[Measure Type]]="Controls Retrofit Only", ReviewCalcs[[#This Row],[Existing Control(s)]]&lt;&gt;ReviewCalcs[[#This Row],[Proposed Control(s)]]), "PASS", "ERROR"))))</f>
        <v>#N/A</v>
      </c>
      <c r="Z303" s="75" t="e">
        <f>IF(OR(ReviewCalcs[[#This Row],[Baseline Fixture Watts]]&gt;=ReviewCalcs[[#This Row],[Proposed Fixture Watts]],ReviewCalcs[[#This Row],[Existing Fixture Watts]]&gt;=ReviewCalcs[[#This Row],[Proposed Fixture Watts]] ), "PASS", "ERROR")</f>
        <v>#N/A</v>
      </c>
      <c r="AA303" s="69" t="e">
        <f>VLOOKUP(ReviewCalcs[[#This Row],[Space Conditions]], Table_365[], 5, FALSE)</f>
        <v>#N/A</v>
      </c>
      <c r="AB303" s="68" t="str">
        <f>ReviewCalcs[[#This Row],[Annual Hours]]</f>
        <v/>
      </c>
      <c r="AC303" s="68" t="e">
        <f>VLOOKUP(ReviewCalcs[[#This Row],[Space Conditions]], Table_365[], 6, FALSE)</f>
        <v>#N/A</v>
      </c>
      <c r="AD303" s="68">
        <f>IF(ReviewCalcs[[#This Row],[Existing Control(s)]]='Tables &amp; Ranges'!$A$25, VLOOKUP(ReviewCalcs[[#This Row],[Building/Space Type]], Table_364[], 3, FALSE), CF_Contols)</f>
        <v>0.26</v>
      </c>
      <c r="AE303" s="68" t="e">
        <f>VLOOKUP(ReviewCalcs[[#This Row],[Existing Control(s)]], Table_358[], 2, FALSE)</f>
        <v>#N/A</v>
      </c>
      <c r="AF303" s="68">
        <f>IF(ReviewCalcs[[#This Row],[Proposed Control(s)]]='Tables &amp; Ranges'!$A$25, VLOOKUP(ReviewCalcs[[#This Row],[Building/Space Type]], Table_364[], 3, FALSE), CF_Contols)</f>
        <v>0.26</v>
      </c>
      <c r="AG303" s="68" t="e">
        <f>VLOOKUP(ReviewCalcs[[#This Row],[Proposed Control(s)]], Table_358[], 2, FALSE)</f>
        <v>#N/A</v>
      </c>
      <c r="AH303" s="68">
        <f>IFERROR((ReviewCalcs[[#This Row],[Existing Fixture Quantity]]*ReviewCalcs[[#This Row],[Existing Fixture Watts]]/1000)*ReviewCalcs[[#This Row],[Existing CF]]*ReviewCalcs[[#This Row],[IEFD]], 0)</f>
        <v>0</v>
      </c>
      <c r="AI303" s="68">
        <f>IFERROR((ReviewCalcs[[#This Row],[Proposed Fixture Quantity]]*ReviewCalcs[[#This Row],[Proposed Fixture Watts]]/1000)*ReviewCalcs[[#This Row],[Existing CF]]*ReviewCalcs[[#This Row],[IEFD]], 0)</f>
        <v>0</v>
      </c>
      <c r="AJ303" s="118">
        <f>IFERROR((ReviewCalcs[[#This Row],[Existing Fixture Quantity]]*ReviewCalcs[[#This Row],[Existing Fixture Watts]]/1000-ReviewCalcs[[#This Row],[Proposed Fixture Quantity]]*ReviewCalcs[[#This Row],[Proposed Fixture Watts]]/1000)*ReviewCalcs[[#This Row],[Existing CF]]*ReviewCalcs[[#This Row],[IEFD]], 0)</f>
        <v>0</v>
      </c>
      <c r="AK303" s="118">
        <f>IFERROR((ReviewCalcs[[#This Row],[Existing Fixture Quantity]]*ReviewCalcs[[#This Row],[Existing Fixture Watts]]/1000)*ReviewCalcs[[#This Row],[AOH]]*ReviewCalcs[[#This Row],[IEFE]]*ReviewCalcs[[#This Row],[Existing PAF]], 0)</f>
        <v>0</v>
      </c>
      <c r="AL303" s="118">
        <f>IFERROR((ReviewCalcs[[#This Row],[Proposed Fixture Quantity]]*ReviewCalcs[[#This Row],[Proposed Fixture Watts]]/1000)*ReviewCalcs[[#This Row],[AOH]]*ReviewCalcs[[#This Row],[IEFE]]*ReviewCalcs[[#This Row],[Existing PAF]], 0)</f>
        <v>0</v>
      </c>
      <c r="AM303" s="118">
        <f>IFERROR((ReviewCalcs[[#This Row],[Existing Fixture Quantity]]*ReviewCalcs[[#This Row],[Existing Fixture Watts]]/1000-ReviewCalcs[[#This Row],[Proposed Fixture Quantity]]*ReviewCalcs[[#This Row],[Proposed Fixture Watts]]/1000)*ReviewCalcs[[#This Row],[AOH]]*ReviewCalcs[[#This Row],[IEFE]]*ReviewCalcs[[#This Row],[Existing PAF]], 0)</f>
        <v>0</v>
      </c>
      <c r="AN303" s="118">
        <f>ReviewCalcs[[#This Row],[Fixture Existing Energy (kWh)]]*Avg_KWh_Rate</f>
        <v>0</v>
      </c>
      <c r="AO303" s="118">
        <f>ReviewCalcs[[#This Row],[Fixture Proposed Energy (kWh)]]*Avg_KWh_Rate</f>
        <v>0</v>
      </c>
      <c r="AP303" s="70">
        <f>ReviewCalcs[[#This Row],[Fixture Energy Savings]]*Avg_KWh_Rate</f>
        <v>0</v>
      </c>
      <c r="AQ303" s="129" t="e">
        <f>ReviewCalcs[[#This Row],[Existing Fixture Quantity]]*ReviewCalcs[[#This Row],[Existing Fixture Watts]]/1000*ReviewCalcs[[#This Row],[Existing CF]]*ReviewCalcs[[#This Row],[IEFD]]</f>
        <v>#VALUE!</v>
      </c>
      <c r="AR303" s="129" t="e">
        <f>ReviewCalcs[[#This Row],[Proposed Fixture Quantity]]*ReviewCalcs[[#This Row],[Proposed Fixture Watts]]/1000*ReviewCalcs[[#This Row],[Proposed CF]]*ReviewCalcs[[#This Row],[IEFD]]</f>
        <v>#VALUE!</v>
      </c>
      <c r="AS303" s="118">
        <f>IF(ReviewCalcs[[#This Row],[Existing CF]]=ReviewCalcs[[#This Row],[Proposed CF]], 0, ReviewCalcs[[#This Row],[Proposed Fixture Quantity]]*ReviewCalcs[[#This Row],[Proposed Fixture Watts]]/1000*ReviewCalcs[[#This Row],[Proposed CF]]*ReviewCalcs[[#This Row],[IEFD]])</f>
        <v>0</v>
      </c>
      <c r="AT303" s="118">
        <f>IFERROR(ReviewCalcs[[#This Row],[Existing Fixture Quantity]]*ReviewCalcs[[#This Row],[Existing Fixture Watts]]/1000*ReviewCalcs[[#This Row],[Existing PAF]]*ReviewCalcs[[#This Row],[AOH]]*ReviewCalcs[[#This Row],[IEFE]], 0)</f>
        <v>0</v>
      </c>
      <c r="AU303" s="118">
        <f>IFERROR(ReviewCalcs[[#This Row],[Proposed Fixture Quantity]]*ReviewCalcs[[#This Row],[Proposed Fixture Watts]]/1000*ReviewCalcs[[#This Row],[Proposed PAF]]*ReviewCalcs[[#This Row],[AOH]]*ReviewCalcs[[#This Row],[IEFE]], 0)</f>
        <v>0</v>
      </c>
      <c r="AV303" s="118">
        <f>IFERROR(ReviewCalcs[[#This Row],[Proposed Fixture Quantity]]*ReviewCalcs[[#This Row],[Proposed Fixture Watts]]/1000*(ReviewCalcs[[#This Row],[Existing PAF]]-ReviewCalcs[[#This Row],[Proposed PAF]])*ReviewCalcs[[#This Row],[AOH]]*ReviewCalcs[[#This Row],[IEFE]], 0)</f>
        <v>0</v>
      </c>
      <c r="AW303" s="118">
        <f>ReviewCalcs[[#This Row],[Control Existing Energy (kWh)]]*kWh_Incentive_Rate</f>
        <v>0</v>
      </c>
      <c r="AX303" s="118">
        <f>ReviewCalcs[[#This Row],[Control Proposed Energy (kWh)]]*kWh_Incentive_Rate</f>
        <v>0</v>
      </c>
      <c r="AY303" s="70">
        <f>ReviewCalcs[[#This Row],[Control Energy Savings (kWh)]]*kWh_Incentive_Rate</f>
        <v>0</v>
      </c>
      <c r="AZ303" s="70" t="e">
        <f>ReviewCalcs[[#This Row],[Fixture Existing Demand (kW)]]+ReviewCalcs[[#This Row],[Control Existing Demand (kW)]]</f>
        <v>#VALUE!</v>
      </c>
      <c r="BA303" s="70" t="e">
        <f>ReviewCalcs[[#This Row],[Fixture Proposed Demand (kW)]]+ReviewCalcs[[#This Row],[Control Proposed Demand (kW)]]</f>
        <v>#VALUE!</v>
      </c>
      <c r="BB303" s="118">
        <f>ReviewCalcs[[#This Row],[Fixture Demand Savings (kW)]]+ReviewCalcs[[#This Row],[Control Demand Savings (kW)]]</f>
        <v>0</v>
      </c>
      <c r="BC303" s="118">
        <f>ReviewCalcs[[#This Row],[Fixture Existing Energy (kWh)]]+ReviewCalcs[[#This Row],[Control Existing Energy (kWh)]]</f>
        <v>0</v>
      </c>
      <c r="BD303" s="118">
        <f>ReviewCalcs[[#This Row],[Fixture Proposed Energy (kWh)]]+ReviewCalcs[[#This Row],[Control Proposed Energy (kWh)]]</f>
        <v>0</v>
      </c>
      <c r="BE303" s="118">
        <f>ReviewCalcs[[#This Row],[Fixture Energy Savings]]+ReviewCalcs[[#This Row],[Control Energy Savings (kWh)]]</f>
        <v>0</v>
      </c>
      <c r="BF303" s="118">
        <f>ReviewCalcs[[#This Row],[Fixture Existing Cost ($)]]+ReviewCalcs[[#This Row],[Control Existing Cost ($)]]</f>
        <v>0</v>
      </c>
      <c r="BG303" s="118">
        <f>ReviewCalcs[[#This Row],[Fixture Proposed Cost ($)]]+ReviewCalcs[[#This Row],[Controls Proposed Cost ($)]]</f>
        <v>0</v>
      </c>
      <c r="BH303" s="70">
        <f>ReviewCalcs[[#This Row],[Total Energy Savings (kWh)]]*Avg_KWh_Rate</f>
        <v>0</v>
      </c>
      <c r="BI303" s="70">
        <f>IF(ReviewCalcs[[#This Row],[Measure Type]]='Tables &amp; Ranges'!$A$95, 3*ReviewCalcs[[#This Row],[Proposed Fixture Quantity]], IF(ReviewCalcs[[#This Row],[Measure Type]]='Tables &amp; Ranges'!$A$96, 4*ReviewCalcs[[#This Row],[Proposed Fixture Quantity]], IF(ReviewCalcs[[#This Row],[Measure Type]]='Tables &amp; Ranges'!$A$97, 5*ReviewCalcs[[#This Row],[Proposed Fixture Quantity]], IF(ReviewCalcs[[#This Row],[Measure Type]]='Tables &amp; Ranges'!$A$98, 6*ReviewCalcs[[#This Row],[Proposed Fixture Quantity]], IF(ReviewCalcs[[#This Row],[Measure Type]]='Tables &amp; Ranges'!$A$99, 20*ReviewCalcs[[#This Row],[Proposed Fixture Quantity]], ReviewCalcs[[#This Row],[Incentive Total Energy Savings (kWh)]]*Avg_KWh_Rate)))))</f>
        <v>0</v>
      </c>
      <c r="BJ303" s="70">
        <f>ReviewCalcs[[#This Row],[Retrofit Cost]]</f>
        <v>0</v>
      </c>
      <c r="BK303" s="70">
        <f>ReviewCalcs[[#This Row],[Retrofit Cost]]-ReviewCalcs[[#This Row],[Incentive ($)]]</f>
        <v>0</v>
      </c>
      <c r="BL303" s="118" t="e">
        <f>IFERROR(ReviewCalcs[[#This Row],[Net Project Cost ($)]]/ReviewCalcs[[#This Row],[Fixture Energy Cost Savings ($)]], #N/A)</f>
        <v>#N/A</v>
      </c>
      <c r="BM303" s="118" t="e">
        <f>IF(VLOOKUP(ReviewCalcs[[#This Row],[Existing Fixture Code]], Table7[[FIXTURE CODE]:[Baseline Fixture Code]], 8, FALSE)="N", VLOOKUP(ReviewCalcs[[#This Row],[Existing Fixture Code]], Table7[[FIXTURE CODE]:[Baseline Fixture Code]], 9, FALSE), ReviewCalcs[[#This Row],[Existing Fixture Code]])</f>
        <v>#N/A</v>
      </c>
      <c r="BN303" s="118" t="e">
        <f>INDEX(Table7[WATT/ FIXT], MATCH(ReviewCalcs[Baseline Fixture Code], Table7[FIXTURE CODE], 0))</f>
        <v>#N/A</v>
      </c>
      <c r="BO303" s="118">
        <f>IFERROR((ReviewCalcs[[#This Row],[Existing Fixture Quantity]]*ReviewCalcs[[#This Row],[Baseline Fixture Watts]]/1000-ReviewCalcs[[#This Row],[Proposed Fixture Quantity]]*ReviewCalcs[[#This Row],[Proposed Fixture Watts]]/1000)*ReviewCalcs[[#This Row],[Existing CF]]*ReviewCalcs[[#This Row],[IEFD]], 0)</f>
        <v>0</v>
      </c>
      <c r="BP303" s="118">
        <f>IFERROR((ReviewCalcs[[#This Row],[Existing Fixture Quantity]]*ReviewCalcs[[#This Row],[Baseline Fixture Watts]]/1000-ReviewCalcs[[#This Row],[Proposed Fixture Quantity]]*ReviewCalcs[[#This Row],[Proposed Fixture Watts]]/1000)*ReviewCalcs[[#This Row],[AOH]]*ReviewCalcs[[#This Row],[IEFE]]*ReviewCalcs[[#This Row],[Existing PAF]], 0)</f>
        <v>0</v>
      </c>
      <c r="BQ303" s="118">
        <f>IF(ReviewCalcs[[#This Row],[Existing CF]]=ReviewCalcs[[#This Row],[Proposed CF]], 0, ReviewCalcs[[#This Row],[Proposed Fixture Quantity]]*ReviewCalcs[[#This Row],[Proposed Fixture Watts]]/1000*ReviewCalcs[[#This Row],[Proposed CF]]*ReviewCalcs[[#This Row],[IEFD]])</f>
        <v>0</v>
      </c>
      <c r="BR303" s="118">
        <f>IFERROR(ReviewCalcs[[#This Row],[Proposed Fixture Quantity]]*ReviewCalcs[[#This Row],[Proposed Fixture Watts]]/1000*(ReviewCalcs[[#This Row],[Existing PAF]]-ReviewCalcs[[#This Row],[Proposed PAF]])*ReviewCalcs[[#This Row],[AOH]]*ReviewCalcs[[#This Row],[IEFE]],0)</f>
        <v>0</v>
      </c>
      <c r="BS303" s="118">
        <f>ReviewCalcs[[#This Row],[Incentive Fixture Demand Savings (kW)]]+ReviewCalcs[[#This Row],[Incentive Control Demand Savings (kW)]]</f>
        <v>0</v>
      </c>
      <c r="BT303" s="118">
        <f>ReviewCalcs[[#This Row],[Incentive Fixture Energy Savings (kWh)]]+ReviewCalcs[[#This Row],[Incentive Control Energy Savings (kWh)]]</f>
        <v>0</v>
      </c>
      <c r="BU303" s="74"/>
    </row>
    <row r="304" spans="1:73">
      <c r="K304" s="40">
        <f>SUM(H4:H303)</f>
        <v>0</v>
      </c>
      <c r="S304" s="40">
        <f>SUM(N4:N303)</f>
        <v>0</v>
      </c>
      <c r="T304" s="40"/>
    </row>
  </sheetData>
  <mergeCells count="3">
    <mergeCell ref="B2:G2"/>
    <mergeCell ref="H2:M2"/>
    <mergeCell ref="N2:V2"/>
  </mergeCells>
  <conditionalFormatting sqref="Z4:Z303">
    <cfRule type="containsText" dxfId="127" priority="9" operator="containsText" text="Error">
      <formula>NOT(ISERROR(SEARCH("Error",Z4)))</formula>
    </cfRule>
  </conditionalFormatting>
  <conditionalFormatting sqref="X4:X303">
    <cfRule type="containsText" dxfId="126" priority="7" operator="containsText" text="Error">
      <formula>NOT(ISERROR(SEARCH("Error",X4)))</formula>
    </cfRule>
  </conditionalFormatting>
  <conditionalFormatting sqref="X2:Y2">
    <cfRule type="containsText" dxfId="125" priority="6" operator="containsText" text="Error">
      <formula>NOT(ISERROR(SEARCH("Error",X2)))</formula>
    </cfRule>
  </conditionalFormatting>
  <conditionalFormatting sqref="Z2">
    <cfRule type="containsText" dxfId="124" priority="4" operator="containsText" text="Error">
      <formula>NOT(ISERROR(SEARCH("Error",Z2)))</formula>
    </cfRule>
  </conditionalFormatting>
  <conditionalFormatting sqref="W2">
    <cfRule type="containsText" dxfId="123" priority="3" operator="containsText" text="Error">
      <formula>NOT(ISERROR(SEARCH("Error",W2)))</formula>
    </cfRule>
  </conditionalFormatting>
  <conditionalFormatting sqref="W4:W303">
    <cfRule type="containsText" dxfId="122" priority="2" operator="containsText" text="Error">
      <formula>NOT(ISERROR(SEARCH("Error",W4)))</formula>
    </cfRule>
  </conditionalFormatting>
  <conditionalFormatting sqref="Y4:Y303">
    <cfRule type="containsText" dxfId="121" priority="1" operator="containsText" text="Error">
      <formula>NOT(ISERROR(SEARCH("Error",Y4)))</formula>
    </cfRule>
  </conditionalFormatting>
  <pageMargins left="0.7" right="0.7" top="0.75" bottom="0.75" header="0.3" footer="0.3"/>
  <pageSetup orientation="portrait" horizontalDpi="4294967293" verticalDpi="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L136"/>
  <sheetViews>
    <sheetView topLeftCell="A112" zoomScale="80" zoomScaleNormal="80" workbookViewId="0">
      <selection activeCell="B119" sqref="B119"/>
    </sheetView>
  </sheetViews>
  <sheetFormatPr defaultColWidth="9.1796875" defaultRowHeight="14.5"/>
  <cols>
    <col min="1" max="1" width="55.7265625" style="23" customWidth="1"/>
    <col min="2" max="5" width="25.54296875" style="23" customWidth="1"/>
    <col min="6" max="10" width="9.1796875" style="23"/>
    <col min="11" max="11" width="12.453125" style="23" bestFit="1" customWidth="1"/>
    <col min="12" max="12" width="95.26953125" style="23" bestFit="1" customWidth="1"/>
    <col min="13" max="16384" width="9.1796875" style="23"/>
  </cols>
  <sheetData>
    <row r="1" spans="1:12">
      <c r="A1" s="110" t="s">
        <v>3619</v>
      </c>
      <c r="B1" s="111">
        <f>IF(Instructions!$F$24="Small Commercial Solutions",0.12,0.1)</f>
        <v>0.1</v>
      </c>
    </row>
    <row r="2" spans="1:12">
      <c r="A2" s="110" t="s">
        <v>3626</v>
      </c>
      <c r="B2" s="112">
        <v>50000</v>
      </c>
    </row>
    <row r="3" spans="1:12">
      <c r="A3" s="110" t="s">
        <v>3792</v>
      </c>
      <c r="B3" s="112"/>
      <c r="C3" s="113" t="s">
        <v>3793</v>
      </c>
    </row>
    <row r="5" spans="1:12">
      <c r="L5" s="24" t="s">
        <v>105</v>
      </c>
    </row>
    <row r="6" spans="1:12" ht="18" customHeight="1" thickBot="1">
      <c r="A6" s="128" t="s">
        <v>18</v>
      </c>
      <c r="B6" s="21"/>
      <c r="C6" s="21"/>
      <c r="D6" s="21"/>
      <c r="E6" s="21"/>
      <c r="F6" s="22"/>
      <c r="G6" s="22"/>
      <c r="H6" s="22"/>
      <c r="I6" s="22"/>
      <c r="J6" s="22"/>
      <c r="L6" t="s">
        <v>77</v>
      </c>
    </row>
    <row r="7" spans="1:12" ht="15" thickTop="1">
      <c r="A7" s="1" t="s">
        <v>19</v>
      </c>
      <c r="B7" s="1" t="s">
        <v>75</v>
      </c>
      <c r="C7" s="1" t="s">
        <v>37</v>
      </c>
      <c r="D7" s="1" t="s">
        <v>38</v>
      </c>
      <c r="E7" s="1" t="s">
        <v>39</v>
      </c>
      <c r="F7" s="22"/>
      <c r="G7" s="22"/>
      <c r="H7" s="22"/>
      <c r="I7" s="22"/>
      <c r="J7" s="22"/>
      <c r="L7" t="s">
        <v>78</v>
      </c>
    </row>
    <row r="8" spans="1:12">
      <c r="A8" s="20" t="s">
        <v>20</v>
      </c>
      <c r="B8" s="28" t="s">
        <v>21</v>
      </c>
      <c r="C8" s="28" t="s">
        <v>22</v>
      </c>
      <c r="D8" s="28" t="s">
        <v>22</v>
      </c>
      <c r="E8" s="28" t="s">
        <v>22</v>
      </c>
      <c r="F8" s="29"/>
      <c r="G8" s="29"/>
      <c r="H8" s="29"/>
      <c r="I8" s="29"/>
      <c r="J8" s="29"/>
      <c r="L8" s="18"/>
    </row>
    <row r="9" spans="1:12">
      <c r="A9" s="20" t="s">
        <v>23</v>
      </c>
      <c r="B9" s="28" t="s">
        <v>24</v>
      </c>
      <c r="C9" s="28" t="s">
        <v>25</v>
      </c>
      <c r="D9" s="28" t="s">
        <v>26</v>
      </c>
      <c r="E9" s="28" t="s">
        <v>22</v>
      </c>
      <c r="F9" s="22"/>
      <c r="G9" s="22"/>
      <c r="H9" s="22"/>
      <c r="I9" s="22"/>
      <c r="J9" s="22"/>
      <c r="L9" s="18" t="s">
        <v>48</v>
      </c>
    </row>
    <row r="10" spans="1:12">
      <c r="A10" s="20" t="s">
        <v>27</v>
      </c>
      <c r="B10" s="28" t="s">
        <v>28</v>
      </c>
      <c r="C10" s="28" t="s">
        <v>22</v>
      </c>
      <c r="D10" s="28" t="s">
        <v>22</v>
      </c>
      <c r="E10" s="28" t="s">
        <v>22</v>
      </c>
      <c r="F10" s="22"/>
      <c r="G10" s="22"/>
      <c r="H10" s="22"/>
      <c r="I10" s="22"/>
      <c r="J10" s="22"/>
      <c r="L10" s="18" t="s">
        <v>49</v>
      </c>
    </row>
    <row r="11" spans="1:12">
      <c r="A11" s="20" t="s">
        <v>29</v>
      </c>
      <c r="B11" s="28" t="s">
        <v>22</v>
      </c>
      <c r="C11" s="28" t="s">
        <v>30</v>
      </c>
      <c r="D11" s="28" t="s">
        <v>22</v>
      </c>
      <c r="E11" s="28" t="s">
        <v>22</v>
      </c>
      <c r="F11" s="22"/>
      <c r="G11" s="22"/>
      <c r="H11" s="22"/>
      <c r="I11" s="22"/>
      <c r="J11" s="22"/>
      <c r="L11" s="18" t="s">
        <v>50</v>
      </c>
    </row>
    <row r="12" spans="1:12" ht="29">
      <c r="A12" s="20" t="s">
        <v>17</v>
      </c>
      <c r="B12" s="28" t="s">
        <v>31</v>
      </c>
      <c r="C12" s="28" t="s">
        <v>32</v>
      </c>
      <c r="D12" s="28" t="s">
        <v>33</v>
      </c>
      <c r="E12" s="28" t="s">
        <v>28</v>
      </c>
      <c r="F12" s="22"/>
      <c r="G12" s="22"/>
      <c r="H12" s="22"/>
      <c r="I12" s="22"/>
      <c r="J12" s="22"/>
      <c r="L12" s="18" t="s">
        <v>51</v>
      </c>
    </row>
    <row r="13" spans="1:12">
      <c r="A13" s="20" t="s">
        <v>34</v>
      </c>
      <c r="B13" s="28" t="s">
        <v>35</v>
      </c>
      <c r="C13" s="28" t="s">
        <v>22</v>
      </c>
      <c r="D13" s="28" t="s">
        <v>22</v>
      </c>
      <c r="E13" s="28" t="s">
        <v>22</v>
      </c>
      <c r="F13" s="22"/>
      <c r="G13" s="22"/>
      <c r="H13" s="22"/>
      <c r="I13" s="22"/>
      <c r="J13" s="22"/>
      <c r="L13" s="18" t="s">
        <v>52</v>
      </c>
    </row>
    <row r="14" spans="1:12">
      <c r="A14" s="30"/>
      <c r="B14" s="30"/>
      <c r="C14" s="30"/>
      <c r="D14" s="30"/>
      <c r="E14" s="30"/>
      <c r="F14" s="30"/>
      <c r="G14" s="30"/>
      <c r="H14" s="30"/>
      <c r="I14" s="30"/>
      <c r="J14" s="30"/>
      <c r="L14" s="18" t="s">
        <v>102</v>
      </c>
    </row>
    <row r="15" spans="1:12" ht="20" thickBot="1">
      <c r="A15" s="128" t="s">
        <v>36</v>
      </c>
      <c r="B15" s="22"/>
      <c r="C15" s="22"/>
      <c r="D15" s="22"/>
      <c r="E15" s="22"/>
      <c r="F15" s="22"/>
      <c r="G15" s="22"/>
      <c r="H15" s="22"/>
      <c r="I15" s="22"/>
      <c r="J15" s="22"/>
      <c r="L15" s="18" t="s">
        <v>53</v>
      </c>
    </row>
    <row r="16" spans="1:12" ht="15" thickTop="1">
      <c r="A16" s="1" t="s">
        <v>19</v>
      </c>
      <c r="B16" s="1" t="s">
        <v>37</v>
      </c>
      <c r="C16" s="1" t="s">
        <v>38</v>
      </c>
      <c r="D16" s="1" t="s">
        <v>76</v>
      </c>
      <c r="E16" s="1" t="s">
        <v>39</v>
      </c>
      <c r="F16" s="22"/>
      <c r="G16" s="22"/>
      <c r="H16" s="22"/>
      <c r="I16" s="22"/>
      <c r="J16" s="22"/>
      <c r="L16" s="18" t="s">
        <v>54</v>
      </c>
    </row>
    <row r="17" spans="1:12">
      <c r="A17" s="20" t="s">
        <v>23</v>
      </c>
      <c r="B17" s="28" t="s">
        <v>40</v>
      </c>
      <c r="C17" s="28" t="s">
        <v>41</v>
      </c>
      <c r="D17" s="28" t="s">
        <v>22</v>
      </c>
      <c r="E17" s="28" t="s">
        <v>22</v>
      </c>
      <c r="F17" s="22"/>
      <c r="G17" s="22"/>
      <c r="H17" s="22"/>
      <c r="I17" s="22"/>
      <c r="J17" s="22"/>
      <c r="L17" s="18" t="s">
        <v>55</v>
      </c>
    </row>
    <row r="18" spans="1:12">
      <c r="A18" s="20" t="s">
        <v>29</v>
      </c>
      <c r="B18" s="28" t="s">
        <v>26</v>
      </c>
      <c r="C18" s="28" t="s">
        <v>22</v>
      </c>
      <c r="D18" s="28" t="s">
        <v>22</v>
      </c>
      <c r="E18" s="28" t="s">
        <v>22</v>
      </c>
      <c r="F18" s="22"/>
      <c r="G18" s="22"/>
      <c r="H18" s="22"/>
      <c r="I18" s="22"/>
      <c r="J18" s="22"/>
    </row>
    <row r="19" spans="1:12">
      <c r="A19" s="20" t="s">
        <v>17</v>
      </c>
      <c r="B19" s="28" t="s">
        <v>21</v>
      </c>
      <c r="C19" s="28" t="s">
        <v>42</v>
      </c>
      <c r="D19" s="28" t="s">
        <v>43</v>
      </c>
      <c r="E19" s="28" t="s">
        <v>44</v>
      </c>
      <c r="F19" s="22"/>
      <c r="G19" s="22"/>
      <c r="H19" s="22"/>
      <c r="I19" s="22"/>
      <c r="J19" s="22"/>
    </row>
    <row r="20" spans="1:12">
      <c r="A20" s="20" t="s">
        <v>45</v>
      </c>
      <c r="B20" s="28" t="s">
        <v>22</v>
      </c>
      <c r="C20" s="28" t="s">
        <v>41</v>
      </c>
      <c r="D20" s="28" t="s">
        <v>22</v>
      </c>
      <c r="E20" s="28" t="s">
        <v>22</v>
      </c>
      <c r="F20" s="22"/>
      <c r="G20" s="22"/>
      <c r="H20" s="22"/>
      <c r="I20" s="22"/>
      <c r="J20" s="22"/>
      <c r="L20" s="24" t="s">
        <v>104</v>
      </c>
    </row>
    <row r="21" spans="1:12">
      <c r="A21" s="20" t="s">
        <v>46</v>
      </c>
      <c r="B21" s="28" t="s">
        <v>22</v>
      </c>
      <c r="C21" s="28" t="s">
        <v>47</v>
      </c>
      <c r="D21" s="28" t="s">
        <v>22</v>
      </c>
      <c r="E21" s="28" t="s">
        <v>22</v>
      </c>
      <c r="F21" s="22"/>
      <c r="G21" s="22"/>
      <c r="H21" s="22"/>
      <c r="I21" s="22"/>
      <c r="J21" s="22"/>
      <c r="L21" s="78" t="s">
        <v>81</v>
      </c>
    </row>
    <row r="22" spans="1:12">
      <c r="A22" s="30"/>
      <c r="B22" s="30"/>
      <c r="C22" s="30"/>
      <c r="D22" s="30"/>
      <c r="E22" s="30"/>
      <c r="F22" s="30"/>
      <c r="G22" s="30"/>
      <c r="H22" s="30"/>
      <c r="I22" s="30"/>
      <c r="J22" s="30"/>
      <c r="L22" s="18" t="s">
        <v>84</v>
      </c>
    </row>
    <row r="23" spans="1:12" ht="20" thickBot="1">
      <c r="A23" s="128" t="s">
        <v>79</v>
      </c>
      <c r="B23" s="21"/>
      <c r="C23" s="22"/>
      <c r="D23" s="30"/>
      <c r="E23" s="30"/>
      <c r="F23" s="30"/>
      <c r="G23" s="30"/>
      <c r="H23" s="30"/>
      <c r="I23" s="30"/>
      <c r="J23" s="30"/>
      <c r="L23" s="18" t="s">
        <v>85</v>
      </c>
    </row>
    <row r="24" spans="1:12" ht="15" thickTop="1">
      <c r="A24" s="1" t="s">
        <v>56</v>
      </c>
      <c r="B24" s="1" t="s">
        <v>64</v>
      </c>
      <c r="C24" s="22"/>
      <c r="D24" s="30"/>
      <c r="E24" s="30"/>
      <c r="F24" s="30"/>
      <c r="G24" s="30"/>
      <c r="H24" s="30"/>
      <c r="I24" s="30"/>
      <c r="J24" s="30"/>
      <c r="L24" s="18" t="s">
        <v>83</v>
      </c>
    </row>
    <row r="25" spans="1:12">
      <c r="A25" s="20" t="s">
        <v>110</v>
      </c>
      <c r="B25" s="31">
        <v>1</v>
      </c>
      <c r="C25" s="22"/>
      <c r="D25" s="30"/>
      <c r="E25" s="30"/>
      <c r="F25" s="30"/>
      <c r="G25" s="30"/>
      <c r="H25" s="30"/>
      <c r="I25" s="30"/>
      <c r="J25" s="30"/>
      <c r="L25" s="18"/>
    </row>
    <row r="26" spans="1:12">
      <c r="A26" s="20" t="s">
        <v>57</v>
      </c>
      <c r="B26" s="31">
        <v>0.7</v>
      </c>
      <c r="C26" s="22"/>
      <c r="D26" s="30"/>
      <c r="E26" s="30"/>
      <c r="F26" s="30"/>
      <c r="G26" s="30"/>
      <c r="H26" s="30"/>
      <c r="I26" s="30"/>
      <c r="J26" s="30"/>
      <c r="L26" s="79" t="s">
        <v>48</v>
      </c>
    </row>
    <row r="27" spans="1:12">
      <c r="A27" s="20" t="s">
        <v>58</v>
      </c>
      <c r="B27" s="31">
        <v>0.8</v>
      </c>
      <c r="C27" s="22"/>
      <c r="D27" s="30"/>
      <c r="E27" s="30"/>
      <c r="F27" s="30"/>
      <c r="G27" s="30"/>
      <c r="H27" s="30"/>
      <c r="I27" s="30"/>
      <c r="J27" s="30"/>
      <c r="L27" s="80" t="s">
        <v>3646</v>
      </c>
    </row>
    <row r="28" spans="1:12">
      <c r="A28" s="20" t="s">
        <v>59</v>
      </c>
      <c r="B28" s="31">
        <v>0.9</v>
      </c>
      <c r="C28" s="22"/>
      <c r="D28" s="30"/>
      <c r="E28" s="30"/>
      <c r="F28" s="30"/>
      <c r="G28" s="30"/>
      <c r="H28" s="30"/>
      <c r="I28" s="30"/>
      <c r="J28" s="30"/>
      <c r="L28" s="80" t="s">
        <v>3647</v>
      </c>
    </row>
    <row r="29" spans="1:12">
      <c r="A29" s="20" t="s">
        <v>80</v>
      </c>
      <c r="B29" s="31">
        <v>1</v>
      </c>
      <c r="C29" s="22"/>
      <c r="D29" s="30"/>
      <c r="E29" s="30"/>
      <c r="F29" s="30"/>
      <c r="G29" s="30"/>
      <c r="H29" s="30"/>
      <c r="I29" s="30"/>
      <c r="J29" s="30"/>
      <c r="L29" s="80" t="s">
        <v>3648</v>
      </c>
    </row>
    <row r="30" spans="1:12">
      <c r="A30" s="20" t="s">
        <v>60</v>
      </c>
      <c r="B30" s="31">
        <v>0.7</v>
      </c>
      <c r="C30" s="22"/>
      <c r="D30" s="30"/>
      <c r="E30" s="30"/>
      <c r="F30" s="30"/>
      <c r="G30" s="30"/>
      <c r="H30" s="30"/>
      <c r="I30" s="30"/>
      <c r="J30" s="30"/>
      <c r="L30" s="80" t="s">
        <v>3649</v>
      </c>
    </row>
    <row r="31" spans="1:12">
      <c r="A31" s="20" t="s">
        <v>61</v>
      </c>
      <c r="B31" s="31">
        <v>0.6</v>
      </c>
      <c r="C31" s="22"/>
      <c r="D31" s="30"/>
      <c r="E31" s="30"/>
      <c r="F31" s="30"/>
      <c r="G31" s="30"/>
      <c r="H31" s="30"/>
      <c r="I31" s="30"/>
      <c r="J31" s="30"/>
      <c r="L31" s="80" t="s">
        <v>3650</v>
      </c>
    </row>
    <row r="32" spans="1:12" ht="29">
      <c r="A32" s="20" t="s">
        <v>62</v>
      </c>
      <c r="B32" s="31">
        <v>0.65</v>
      </c>
      <c r="C32" s="22"/>
      <c r="D32" s="30"/>
      <c r="E32" s="30"/>
      <c r="F32" s="30"/>
      <c r="G32" s="30"/>
      <c r="H32" s="30"/>
      <c r="I32" s="30"/>
      <c r="J32" s="30"/>
      <c r="L32" s="80" t="s">
        <v>3651</v>
      </c>
    </row>
    <row r="33" spans="1:12">
      <c r="A33" s="20" t="s">
        <v>63</v>
      </c>
      <c r="B33" s="31">
        <v>0.65</v>
      </c>
      <c r="C33" s="22"/>
      <c r="D33" s="30"/>
      <c r="E33" s="30"/>
      <c r="F33" s="30"/>
      <c r="G33" s="30"/>
      <c r="H33" s="30"/>
      <c r="I33" s="30"/>
      <c r="J33" s="30"/>
      <c r="L33" s="80" t="s">
        <v>88</v>
      </c>
    </row>
    <row r="34" spans="1:12">
      <c r="A34" s="20"/>
      <c r="B34" s="31"/>
      <c r="C34" s="22"/>
      <c r="D34" s="30"/>
      <c r="E34" s="30"/>
      <c r="F34" s="30"/>
      <c r="G34" s="30"/>
      <c r="H34" s="30"/>
      <c r="I34" s="30"/>
      <c r="J34" s="30"/>
      <c r="L34" s="80"/>
    </row>
    <row r="35" spans="1:12">
      <c r="A35" s="30"/>
      <c r="B35" s="30"/>
      <c r="C35" s="30"/>
      <c r="D35" s="30"/>
      <c r="E35" s="30"/>
      <c r="F35" s="30"/>
      <c r="G35" s="30"/>
      <c r="H35" s="30"/>
      <c r="I35" s="30"/>
      <c r="J35" s="30"/>
      <c r="L35" s="80" t="s">
        <v>86</v>
      </c>
    </row>
    <row r="36" spans="1:12" ht="20" thickBot="1">
      <c r="A36" s="128" t="s">
        <v>66</v>
      </c>
      <c r="B36" s="30"/>
      <c r="C36" s="30"/>
      <c r="D36" s="30"/>
      <c r="E36" s="30"/>
      <c r="F36" s="30"/>
      <c r="G36" s="30"/>
      <c r="H36" s="30"/>
      <c r="I36" s="30"/>
      <c r="J36" s="30"/>
      <c r="L36" s="80" t="s">
        <v>87</v>
      </c>
    </row>
    <row r="37" spans="1:12" ht="15" thickTop="1">
      <c r="A37" s="1" t="s">
        <v>0</v>
      </c>
      <c r="B37" s="1" t="s">
        <v>1</v>
      </c>
      <c r="C37" s="1" t="s">
        <v>65</v>
      </c>
      <c r="D37" s="30"/>
      <c r="E37" s="30"/>
      <c r="F37" s="30"/>
      <c r="G37" s="30"/>
      <c r="H37" s="30"/>
      <c r="I37" s="30"/>
      <c r="J37" s="30"/>
    </row>
    <row r="38" spans="1:12">
      <c r="A38" s="20" t="s">
        <v>3858</v>
      </c>
      <c r="B38" s="32">
        <v>2676</v>
      </c>
      <c r="C38" s="31">
        <v>0.81</v>
      </c>
      <c r="D38" s="30"/>
      <c r="E38" s="30"/>
      <c r="F38" s="30"/>
      <c r="G38" s="30"/>
      <c r="H38" s="30"/>
      <c r="I38" s="30"/>
      <c r="J38" s="30"/>
      <c r="L38" s="78" t="s">
        <v>82</v>
      </c>
    </row>
    <row r="39" spans="1:12">
      <c r="A39" s="20" t="s">
        <v>3859</v>
      </c>
      <c r="B39" s="32">
        <v>5233</v>
      </c>
      <c r="C39" s="31">
        <v>0.9</v>
      </c>
      <c r="D39" s="30"/>
      <c r="E39" s="30"/>
      <c r="F39" s="30"/>
      <c r="G39" s="30"/>
      <c r="H39" s="30"/>
      <c r="I39" s="30"/>
      <c r="J39" s="30"/>
      <c r="L39" t="s">
        <v>91</v>
      </c>
    </row>
    <row r="40" spans="1:12">
      <c r="A40" s="20" t="s">
        <v>3860</v>
      </c>
      <c r="B40" s="32">
        <v>3577</v>
      </c>
      <c r="C40" s="31">
        <v>0.69</v>
      </c>
      <c r="D40" s="30"/>
      <c r="E40" s="30"/>
      <c r="F40" s="30"/>
      <c r="G40" s="30"/>
      <c r="H40" s="30"/>
      <c r="I40" s="30"/>
      <c r="J40" s="30"/>
      <c r="L40" t="s">
        <v>90</v>
      </c>
    </row>
    <row r="41" spans="1:12">
      <c r="A41" s="20" t="s">
        <v>3861</v>
      </c>
      <c r="B41" s="32">
        <v>2333</v>
      </c>
      <c r="C41" s="31">
        <v>0.47</v>
      </c>
      <c r="D41" s="30"/>
      <c r="E41" s="30"/>
      <c r="F41" s="30"/>
      <c r="G41" s="30"/>
      <c r="H41" s="30"/>
      <c r="I41" s="30"/>
      <c r="J41" s="30"/>
      <c r="L41" s="18" t="s">
        <v>83</v>
      </c>
    </row>
    <row r="42" spans="1:12" ht="29">
      <c r="A42" s="20" t="s">
        <v>3881</v>
      </c>
      <c r="B42" s="32">
        <v>4319</v>
      </c>
      <c r="C42" s="31" t="s">
        <v>22</v>
      </c>
      <c r="D42" s="30"/>
      <c r="E42" s="30"/>
      <c r="F42" s="30"/>
      <c r="G42" s="30"/>
      <c r="H42" s="30"/>
      <c r="I42" s="30"/>
      <c r="J42" s="30"/>
      <c r="L42" s="79" t="s">
        <v>89</v>
      </c>
    </row>
    <row r="43" spans="1:12">
      <c r="A43" s="20" t="s">
        <v>3862</v>
      </c>
      <c r="B43" s="32">
        <v>6900</v>
      </c>
      <c r="C43" s="31">
        <v>0.95</v>
      </c>
      <c r="D43" s="30"/>
      <c r="E43" s="30"/>
      <c r="F43" s="30"/>
      <c r="G43" s="30"/>
      <c r="H43" s="30"/>
      <c r="I43" s="30"/>
      <c r="J43" s="30"/>
      <c r="L43" s="18" t="s">
        <v>92</v>
      </c>
    </row>
    <row r="44" spans="1:12">
      <c r="A44" s="20" t="s">
        <v>3863</v>
      </c>
      <c r="B44" s="32">
        <v>2058</v>
      </c>
      <c r="C44" s="31">
        <v>0.95</v>
      </c>
      <c r="D44" s="30"/>
      <c r="E44" s="30"/>
      <c r="F44" s="30"/>
      <c r="G44" s="30"/>
      <c r="H44" s="30"/>
      <c r="I44" s="30"/>
      <c r="J44" s="30"/>
      <c r="L44" s="18" t="s">
        <v>83</v>
      </c>
    </row>
    <row r="45" spans="1:12">
      <c r="A45" s="20" t="s">
        <v>2</v>
      </c>
      <c r="B45" s="32">
        <v>6473</v>
      </c>
      <c r="C45" s="31">
        <v>0.81</v>
      </c>
      <c r="D45" s="30"/>
      <c r="E45" s="30"/>
      <c r="F45" s="30"/>
      <c r="G45" s="30"/>
      <c r="H45" s="30"/>
      <c r="I45" s="30"/>
      <c r="J45" s="30"/>
      <c r="L45" s="18"/>
    </row>
    <row r="46" spans="1:12">
      <c r="A46" s="20" t="s">
        <v>3864</v>
      </c>
      <c r="B46" s="32">
        <v>4731</v>
      </c>
      <c r="C46" s="31">
        <v>0.81</v>
      </c>
      <c r="D46" s="30"/>
      <c r="E46" s="30"/>
      <c r="F46" s="30"/>
      <c r="G46" s="30"/>
      <c r="H46" s="30"/>
      <c r="I46" s="30"/>
      <c r="J46" s="30"/>
      <c r="L46" s="79" t="s">
        <v>48</v>
      </c>
    </row>
    <row r="47" spans="1:12">
      <c r="A47" s="20" t="s">
        <v>3865</v>
      </c>
      <c r="B47" s="32">
        <v>4019</v>
      </c>
      <c r="C47" s="31">
        <v>0.78</v>
      </c>
      <c r="D47" s="30"/>
      <c r="E47" s="30"/>
      <c r="F47" s="30"/>
      <c r="G47" s="30"/>
      <c r="H47" s="30"/>
      <c r="I47" s="30"/>
      <c r="J47" s="30"/>
      <c r="L47" s="80" t="s">
        <v>3652</v>
      </c>
    </row>
    <row r="48" spans="1:12">
      <c r="A48" s="20" t="s">
        <v>3866</v>
      </c>
      <c r="B48" s="33">
        <v>4271</v>
      </c>
      <c r="C48" s="20">
        <v>0.78</v>
      </c>
      <c r="D48" s="30"/>
      <c r="E48" s="30"/>
      <c r="F48" s="30"/>
      <c r="G48" s="30"/>
      <c r="H48" s="30"/>
      <c r="I48" s="30"/>
      <c r="J48" s="30"/>
      <c r="L48" s="80" t="s">
        <v>3653</v>
      </c>
    </row>
    <row r="49" spans="1:12">
      <c r="A49" s="20" t="s">
        <v>3867</v>
      </c>
      <c r="B49" s="32">
        <v>3386</v>
      </c>
      <c r="C49" s="31">
        <v>0.77</v>
      </c>
      <c r="D49" s="30"/>
      <c r="E49" s="30"/>
      <c r="F49" s="30"/>
      <c r="G49" s="30"/>
      <c r="H49" s="30"/>
      <c r="I49" s="30"/>
      <c r="J49" s="30"/>
      <c r="L49" s="80" t="s">
        <v>3654</v>
      </c>
    </row>
    <row r="50" spans="1:12">
      <c r="A50" s="20" t="s">
        <v>3868</v>
      </c>
      <c r="B50" s="32">
        <v>4245</v>
      </c>
      <c r="C50" s="31">
        <v>0.9</v>
      </c>
      <c r="D50" s="30"/>
      <c r="E50" s="30"/>
      <c r="F50" s="30"/>
      <c r="G50" s="30"/>
      <c r="H50" s="30"/>
      <c r="I50" s="30"/>
      <c r="J50" s="30"/>
      <c r="L50" s="80" t="s">
        <v>93</v>
      </c>
    </row>
    <row r="51" spans="1:12">
      <c r="A51" s="20" t="s">
        <v>3</v>
      </c>
      <c r="B51" s="32">
        <v>4127</v>
      </c>
      <c r="C51" s="31">
        <v>0.82</v>
      </c>
      <c r="D51" s="30"/>
      <c r="E51" s="30"/>
      <c r="F51" s="30"/>
      <c r="G51" s="30"/>
      <c r="H51" s="30"/>
      <c r="I51" s="30"/>
      <c r="J51" s="30"/>
      <c r="L51" s="80" t="s">
        <v>94</v>
      </c>
    </row>
    <row r="52" spans="1:12">
      <c r="A52" s="20" t="s">
        <v>3869</v>
      </c>
      <c r="B52" s="32">
        <v>3370</v>
      </c>
      <c r="C52" s="31">
        <v>0.25</v>
      </c>
      <c r="D52" s="30"/>
      <c r="E52" s="30"/>
      <c r="F52" s="30"/>
      <c r="G52" s="30"/>
      <c r="H52" s="30"/>
      <c r="I52" s="30"/>
      <c r="J52" s="30"/>
      <c r="L52" s="80" t="s">
        <v>95</v>
      </c>
    </row>
    <row r="53" spans="1:12">
      <c r="A53" s="20" t="s">
        <v>3870</v>
      </c>
      <c r="B53" s="32">
        <v>5740</v>
      </c>
      <c r="C53" s="31">
        <v>0.73</v>
      </c>
      <c r="D53" s="30"/>
      <c r="E53" s="30"/>
      <c r="F53" s="30"/>
      <c r="G53" s="30"/>
      <c r="H53" s="30"/>
      <c r="I53" s="30"/>
      <c r="J53" s="30"/>
      <c r="L53" s="80" t="s">
        <v>3651</v>
      </c>
    </row>
    <row r="54" spans="1:12">
      <c r="A54" s="20" t="s">
        <v>4</v>
      </c>
      <c r="B54" s="32">
        <v>5703</v>
      </c>
      <c r="C54" s="31">
        <v>0.87</v>
      </c>
      <c r="D54" s="30"/>
      <c r="E54" s="30"/>
      <c r="F54" s="30"/>
      <c r="G54" s="30"/>
      <c r="H54" s="30"/>
      <c r="I54" s="30"/>
      <c r="J54" s="30"/>
      <c r="L54" s="80" t="s">
        <v>3655</v>
      </c>
    </row>
    <row r="55" spans="1:12">
      <c r="A55" s="20" t="s">
        <v>3871</v>
      </c>
      <c r="B55" s="32">
        <v>4207</v>
      </c>
      <c r="C55" s="31">
        <v>0.77</v>
      </c>
      <c r="D55" s="30"/>
      <c r="E55" s="30"/>
      <c r="F55" s="30"/>
      <c r="G55" s="30"/>
      <c r="H55" s="30"/>
      <c r="I55" s="30"/>
      <c r="J55" s="30"/>
      <c r="L55" s="80" t="s">
        <v>88</v>
      </c>
    </row>
    <row r="56" spans="1:12">
      <c r="A56" s="20" t="s">
        <v>17</v>
      </c>
      <c r="B56" s="32">
        <v>5159</v>
      </c>
      <c r="C56" s="31">
        <v>0.77</v>
      </c>
      <c r="D56" s="30"/>
      <c r="E56" s="30"/>
      <c r="F56" s="30"/>
      <c r="G56" s="30"/>
      <c r="H56" s="30"/>
      <c r="I56" s="30"/>
      <c r="J56" s="30"/>
      <c r="L56" s="80" t="s">
        <v>86</v>
      </c>
    </row>
    <row r="57" spans="1:12">
      <c r="A57" s="20" t="s">
        <v>3872</v>
      </c>
      <c r="B57" s="32">
        <v>4728</v>
      </c>
      <c r="C57" s="20">
        <v>0.77</v>
      </c>
      <c r="D57" s="30"/>
      <c r="E57" s="30"/>
      <c r="F57" s="30"/>
      <c r="G57" s="30"/>
      <c r="H57" s="30"/>
      <c r="I57" s="30"/>
      <c r="J57" s="30"/>
      <c r="L57" s="80" t="s">
        <v>3656</v>
      </c>
    </row>
    <row r="58" spans="1:12">
      <c r="A58" s="20" t="s">
        <v>3873</v>
      </c>
      <c r="B58" s="32">
        <v>7884</v>
      </c>
      <c r="C58" s="31">
        <v>1</v>
      </c>
      <c r="D58" s="30"/>
      <c r="E58" s="30"/>
      <c r="F58" s="30"/>
      <c r="G58" s="30"/>
      <c r="H58" s="30"/>
      <c r="I58" s="30"/>
      <c r="J58" s="30"/>
    </row>
    <row r="59" spans="1:12">
      <c r="A59" s="20" t="s">
        <v>5</v>
      </c>
      <c r="B59" s="32">
        <v>2638</v>
      </c>
      <c r="C59" s="31">
        <v>0.56000000000000005</v>
      </c>
      <c r="D59" s="30"/>
      <c r="E59" s="30"/>
      <c r="F59" s="30"/>
      <c r="G59" s="30"/>
      <c r="H59" s="30"/>
      <c r="I59" s="30"/>
      <c r="J59" s="30"/>
      <c r="L59" s="81"/>
    </row>
    <row r="60" spans="1:12">
      <c r="A60" s="20" t="s">
        <v>6</v>
      </c>
      <c r="B60" s="32">
        <v>3472</v>
      </c>
      <c r="C60" s="31">
        <v>0.75</v>
      </c>
      <c r="D60" s="30"/>
      <c r="E60" s="30"/>
      <c r="F60" s="30"/>
      <c r="G60" s="30"/>
      <c r="H60" s="30"/>
      <c r="I60" s="30"/>
      <c r="J60" s="30"/>
    </row>
    <row r="61" spans="1:12">
      <c r="A61" s="20" t="s">
        <v>3874</v>
      </c>
      <c r="B61" s="32">
        <v>3174</v>
      </c>
      <c r="C61" s="31">
        <v>0.53</v>
      </c>
      <c r="D61" s="30"/>
      <c r="E61" s="30"/>
      <c r="F61" s="30"/>
      <c r="G61" s="30"/>
      <c r="H61" s="30"/>
      <c r="I61" s="30"/>
      <c r="J61" s="30"/>
      <c r="L61" s="25"/>
    </row>
    <row r="62" spans="1:12">
      <c r="A62" s="20" t="s">
        <v>3875</v>
      </c>
      <c r="B62" s="32">
        <v>3516</v>
      </c>
      <c r="C62" s="31">
        <v>0.9</v>
      </c>
      <c r="D62" s="30"/>
      <c r="E62" s="30"/>
      <c r="F62" s="30"/>
      <c r="G62" s="30"/>
      <c r="H62" s="30"/>
      <c r="I62" s="30"/>
      <c r="J62" s="30"/>
    </row>
    <row r="63" spans="1:12">
      <c r="A63" s="20" t="s">
        <v>7</v>
      </c>
      <c r="B63" s="32">
        <v>4813</v>
      </c>
      <c r="C63" s="31">
        <v>0.93</v>
      </c>
      <c r="D63" s="30"/>
      <c r="E63" s="30"/>
      <c r="F63" s="30"/>
      <c r="G63" s="30"/>
      <c r="H63" s="30"/>
      <c r="I63" s="30"/>
      <c r="J63" s="30"/>
    </row>
    <row r="64" spans="1:12">
      <c r="A64" s="20" t="s">
        <v>3876</v>
      </c>
      <c r="B64" s="32">
        <v>3515</v>
      </c>
      <c r="C64" s="31">
        <v>0.9</v>
      </c>
      <c r="D64" s="30"/>
      <c r="E64" s="30"/>
      <c r="F64" s="30"/>
      <c r="G64" s="30"/>
      <c r="H64" s="30"/>
      <c r="I64" s="30"/>
      <c r="J64" s="30"/>
    </row>
    <row r="65" spans="1:12">
      <c r="A65" s="20" t="s">
        <v>3877</v>
      </c>
      <c r="B65" s="32">
        <v>4312</v>
      </c>
      <c r="C65" s="31">
        <v>0.9</v>
      </c>
      <c r="D65" s="30"/>
      <c r="E65" s="30"/>
      <c r="F65" s="30"/>
      <c r="G65" s="30"/>
      <c r="H65" s="30"/>
      <c r="I65" s="30"/>
      <c r="J65" s="30"/>
    </row>
    <row r="66" spans="1:12">
      <c r="A66" s="20" t="s">
        <v>3878</v>
      </c>
      <c r="B66" s="32">
        <v>3965</v>
      </c>
      <c r="C66" s="31">
        <v>0.9</v>
      </c>
      <c r="D66" s="30"/>
      <c r="E66" s="30"/>
      <c r="F66" s="30"/>
      <c r="G66" s="30"/>
      <c r="H66" s="30"/>
      <c r="I66" s="30"/>
      <c r="J66" s="30"/>
    </row>
    <row r="67" spans="1:12">
      <c r="A67" s="20" t="s">
        <v>3879</v>
      </c>
      <c r="B67" s="32">
        <v>3406</v>
      </c>
      <c r="C67" s="31">
        <v>0.9</v>
      </c>
      <c r="D67" s="30"/>
      <c r="E67" s="30"/>
      <c r="F67" s="30"/>
      <c r="G67" s="30"/>
      <c r="H67" s="30"/>
      <c r="I67" s="30"/>
      <c r="J67" s="30"/>
    </row>
    <row r="68" spans="1:12">
      <c r="A68" s="20" t="s">
        <v>3880</v>
      </c>
      <c r="B68" s="32">
        <v>2417</v>
      </c>
      <c r="C68" s="31">
        <v>0.77</v>
      </c>
      <c r="D68" s="30"/>
      <c r="E68" s="30"/>
      <c r="F68" s="30"/>
      <c r="G68" s="30"/>
      <c r="H68" s="30"/>
      <c r="I68" s="30"/>
      <c r="J68" s="30"/>
    </row>
    <row r="69" spans="1:12">
      <c r="A69" s="20" t="s">
        <v>8</v>
      </c>
      <c r="B69" s="32">
        <v>3798</v>
      </c>
      <c r="C69" s="31">
        <v>0.84</v>
      </c>
      <c r="D69" s="30"/>
      <c r="E69" s="30"/>
      <c r="F69" s="30"/>
      <c r="G69" s="30"/>
      <c r="H69" s="30"/>
      <c r="I69" s="30"/>
      <c r="J69" s="30"/>
    </row>
    <row r="70" spans="1:12">
      <c r="A70" s="20"/>
      <c r="B70" s="32"/>
      <c r="C70" s="31"/>
      <c r="D70" s="30"/>
      <c r="E70" s="30"/>
      <c r="F70" s="30"/>
      <c r="G70" s="30"/>
      <c r="H70" s="30"/>
      <c r="I70" s="30"/>
      <c r="J70" s="30"/>
    </row>
    <row r="71" spans="1:12">
      <c r="A71" s="20"/>
      <c r="B71" s="32"/>
      <c r="C71" s="31"/>
      <c r="D71" s="30"/>
      <c r="E71" s="30"/>
      <c r="F71" s="30"/>
      <c r="G71" s="30"/>
      <c r="H71" s="30"/>
      <c r="I71" s="30"/>
      <c r="J71" s="30"/>
    </row>
    <row r="72" spans="1:12">
      <c r="A72" s="30"/>
      <c r="B72" s="30"/>
      <c r="C72" s="30"/>
      <c r="D72" s="30"/>
      <c r="E72" s="30"/>
      <c r="F72" s="30"/>
      <c r="G72" s="30"/>
      <c r="H72" s="30"/>
      <c r="I72" s="30"/>
      <c r="J72" s="30"/>
      <c r="L72" s="25"/>
    </row>
    <row r="73" spans="1:12" ht="20" thickBot="1">
      <c r="A73" s="128" t="s">
        <v>67</v>
      </c>
      <c r="B73" s="22"/>
      <c r="C73" s="22"/>
      <c r="D73" s="22"/>
      <c r="E73" s="22"/>
      <c r="F73" s="22"/>
      <c r="G73" s="22"/>
      <c r="H73" s="22"/>
      <c r="I73" s="22"/>
      <c r="J73" s="22"/>
    </row>
    <row r="74" spans="1:12" ht="15" thickTop="1">
      <c r="A74" s="23" t="s">
        <v>3571</v>
      </c>
      <c r="B74" s="1" t="s">
        <v>0</v>
      </c>
      <c r="C74" s="1" t="s">
        <v>68</v>
      </c>
      <c r="D74" s="1" t="s">
        <v>69</v>
      </c>
      <c r="E74" s="35" t="s">
        <v>3569</v>
      </c>
      <c r="F74" s="35" t="s">
        <v>3570</v>
      </c>
      <c r="G74" s="35" t="s">
        <v>3826</v>
      </c>
      <c r="H74" s="35"/>
      <c r="I74" s="35"/>
      <c r="J74" s="35"/>
    </row>
    <row r="75" spans="1:12" ht="29">
      <c r="A75" s="36" t="s">
        <v>3581</v>
      </c>
      <c r="B75" s="14" t="s">
        <v>97</v>
      </c>
      <c r="C75" s="14" t="s">
        <v>3566</v>
      </c>
      <c r="D75" s="20" t="s">
        <v>70</v>
      </c>
      <c r="E75" s="14">
        <v>1.2</v>
      </c>
      <c r="F75" s="27">
        <v>1.0900000000000001</v>
      </c>
      <c r="G75" s="27">
        <f>Table_365[[#This Row],[IEFE]]*1.46</f>
        <v>1.5914000000000001</v>
      </c>
      <c r="H75" s="27"/>
      <c r="I75" s="27"/>
      <c r="J75" s="27"/>
    </row>
    <row r="76" spans="1:12" ht="29">
      <c r="A76" s="36" t="s">
        <v>3582</v>
      </c>
      <c r="B76" s="14" t="s">
        <v>97</v>
      </c>
      <c r="C76" s="14" t="s">
        <v>3566</v>
      </c>
      <c r="D76" s="19" t="s">
        <v>71</v>
      </c>
      <c r="E76" s="14">
        <v>1.2</v>
      </c>
      <c r="F76" s="14">
        <v>0.87</v>
      </c>
      <c r="G76" s="27">
        <f>Table_365[[#This Row],[IEFE]]*1.46</f>
        <v>1.2702</v>
      </c>
      <c r="H76" s="14"/>
      <c r="I76" s="14"/>
      <c r="J76" s="14"/>
    </row>
    <row r="77" spans="1:12" ht="29">
      <c r="A77" s="36" t="s">
        <v>3583</v>
      </c>
      <c r="B77" s="14" t="s">
        <v>97</v>
      </c>
      <c r="C77" s="14" t="s">
        <v>3566</v>
      </c>
      <c r="D77" s="19" t="s">
        <v>72</v>
      </c>
      <c r="E77" s="14">
        <v>1.2</v>
      </c>
      <c r="F77" s="14">
        <v>1.02</v>
      </c>
      <c r="G77" s="27">
        <f>Table_365[[#This Row],[IEFE]]*1.46</f>
        <v>1.4892000000000001</v>
      </c>
      <c r="H77" s="14"/>
      <c r="I77" s="14"/>
      <c r="J77" s="14"/>
      <c r="K77" s="23">
        <f>(2773-1895)/1895</f>
        <v>0.46332453825857522</v>
      </c>
    </row>
    <row r="78" spans="1:12" ht="29">
      <c r="A78" s="36" t="s">
        <v>3584</v>
      </c>
      <c r="B78" s="14" t="s">
        <v>97</v>
      </c>
      <c r="C78" s="14" t="s">
        <v>3566</v>
      </c>
      <c r="D78" s="19" t="s">
        <v>106</v>
      </c>
      <c r="E78" s="14">
        <v>1.2</v>
      </c>
      <c r="F78" s="14">
        <v>0.98</v>
      </c>
      <c r="G78" s="27">
        <f>Table_365[[#This Row],[IEFE]]*1.46</f>
        <v>1.4307999999999998</v>
      </c>
      <c r="H78" s="14"/>
      <c r="I78" s="14"/>
      <c r="J78" s="14"/>
    </row>
    <row r="79" spans="1:12" ht="29">
      <c r="A79" s="36" t="s">
        <v>3572</v>
      </c>
      <c r="B79" s="14" t="s">
        <v>97</v>
      </c>
      <c r="C79" s="19" t="s">
        <v>3567</v>
      </c>
      <c r="D79" s="19" t="s">
        <v>74</v>
      </c>
      <c r="E79" s="19">
        <v>1.25</v>
      </c>
      <c r="F79" s="14">
        <v>1.25</v>
      </c>
      <c r="G79" s="14"/>
      <c r="H79" s="14"/>
      <c r="I79" s="14"/>
      <c r="J79" s="14"/>
    </row>
    <row r="80" spans="1:12" ht="29">
      <c r="A80" s="36" t="s">
        <v>3573</v>
      </c>
      <c r="B80" s="14" t="s">
        <v>97</v>
      </c>
      <c r="C80" s="19" t="s">
        <v>3568</v>
      </c>
      <c r="D80" s="19" t="s">
        <v>74</v>
      </c>
      <c r="E80" s="19">
        <v>1.3</v>
      </c>
      <c r="F80" s="14">
        <v>1.3</v>
      </c>
      <c r="G80" s="14"/>
      <c r="H80" s="14"/>
      <c r="I80" s="14"/>
      <c r="J80" s="14"/>
    </row>
    <row r="81" spans="1:10" ht="58">
      <c r="A81" s="87" t="s">
        <v>3670</v>
      </c>
      <c r="B81" s="88" t="s">
        <v>3669</v>
      </c>
      <c r="C81" s="88" t="s">
        <v>106</v>
      </c>
      <c r="D81" s="89" t="s">
        <v>106</v>
      </c>
      <c r="E81" s="88">
        <v>1</v>
      </c>
      <c r="F81" s="88">
        <v>1</v>
      </c>
      <c r="G81" s="14"/>
      <c r="H81" s="14"/>
      <c r="I81" s="14"/>
      <c r="J81" s="14"/>
    </row>
    <row r="82" spans="1:10">
      <c r="A82" s="87"/>
      <c r="B82" s="87"/>
      <c r="C82" s="87"/>
      <c r="D82" s="90"/>
      <c r="E82" s="87"/>
      <c r="F82" s="87"/>
      <c r="G82" s="15"/>
      <c r="H82" s="15"/>
      <c r="I82" s="15"/>
      <c r="J82" s="15"/>
    </row>
    <row r="83" spans="1:10" ht="20" thickBot="1">
      <c r="A83" s="128" t="s">
        <v>96</v>
      </c>
      <c r="B83" s="15"/>
      <c r="C83" s="15"/>
      <c r="D83" s="15"/>
      <c r="E83" s="15"/>
      <c r="F83" s="15"/>
      <c r="G83" s="15"/>
      <c r="H83" s="15"/>
      <c r="I83" s="15"/>
      <c r="J83" s="15"/>
    </row>
    <row r="84" spans="1:10" ht="15" thickTop="1">
      <c r="A84" t="s">
        <v>0</v>
      </c>
      <c r="B84" t="s">
        <v>69</v>
      </c>
      <c r="C84" t="s">
        <v>98</v>
      </c>
      <c r="D84" s="15"/>
      <c r="E84" s="15"/>
      <c r="F84" s="15"/>
      <c r="G84" s="15"/>
      <c r="H84" s="15"/>
      <c r="I84" s="15"/>
      <c r="J84" s="15"/>
    </row>
    <row r="85" spans="1:10">
      <c r="A85" s="17" t="s">
        <v>97</v>
      </c>
      <c r="B85" s="30" t="s">
        <v>70</v>
      </c>
      <c r="C85" s="19">
        <v>-8.0000000000000002E-3</v>
      </c>
      <c r="D85" s="15"/>
      <c r="E85" s="15"/>
      <c r="F85" s="15"/>
      <c r="G85" s="15"/>
      <c r="H85" s="15"/>
      <c r="I85" s="15"/>
      <c r="J85" s="15"/>
    </row>
    <row r="86" spans="1:10">
      <c r="A86" s="17" t="s">
        <v>97</v>
      </c>
      <c r="B86" s="20" t="s">
        <v>73</v>
      </c>
      <c r="C86" s="34">
        <v>-4.0000000000000001E-3</v>
      </c>
      <c r="D86" s="15"/>
      <c r="E86" s="15"/>
      <c r="F86" s="15"/>
      <c r="G86" s="15"/>
      <c r="H86" s="15"/>
      <c r="I86" s="15"/>
      <c r="J86" s="15"/>
    </row>
    <row r="87" spans="1:10">
      <c r="A87" s="16"/>
      <c r="B87" s="15"/>
      <c r="C87" s="15"/>
      <c r="D87" s="15"/>
      <c r="E87" s="15"/>
      <c r="F87" s="15"/>
      <c r="G87" s="15"/>
      <c r="H87" s="15"/>
      <c r="I87" s="15"/>
      <c r="J87" s="15"/>
    </row>
    <row r="88" spans="1:10">
      <c r="A88" t="s">
        <v>3609</v>
      </c>
      <c r="B88" s="15"/>
      <c r="C88" s="15"/>
      <c r="D88" s="15"/>
      <c r="E88" s="15"/>
      <c r="F88" s="15"/>
      <c r="G88" s="15"/>
      <c r="H88" s="15"/>
      <c r="I88" s="15"/>
      <c r="J88" s="15"/>
    </row>
    <row r="89" spans="1:10">
      <c r="A89" s="26" t="s">
        <v>3598</v>
      </c>
      <c r="B89" s="15"/>
      <c r="C89" s="15"/>
      <c r="D89" s="15"/>
      <c r="E89" s="15"/>
      <c r="F89" s="15"/>
      <c r="G89" s="15"/>
      <c r="H89" s="15"/>
      <c r="I89" s="15"/>
      <c r="J89" s="15"/>
    </row>
    <row r="90" spans="1:10" ht="14.5" customHeight="1">
      <c r="A90" s="26" t="s">
        <v>3608</v>
      </c>
      <c r="B90" s="15"/>
      <c r="C90" s="15"/>
      <c r="D90" s="15"/>
      <c r="E90" s="15"/>
      <c r="F90" s="15"/>
      <c r="G90" s="15"/>
      <c r="H90" s="15"/>
      <c r="I90" s="15"/>
      <c r="J90" s="15"/>
    </row>
    <row r="91" spans="1:10">
      <c r="A91" s="26"/>
      <c r="B91" s="15"/>
      <c r="C91" s="15"/>
      <c r="D91" s="15"/>
      <c r="E91" s="15"/>
      <c r="F91" s="15"/>
      <c r="G91" s="15"/>
      <c r="H91" s="15"/>
      <c r="I91" s="15"/>
      <c r="J91" s="15"/>
    </row>
    <row r="92" spans="1:10">
      <c r="A92" t="s">
        <v>113</v>
      </c>
      <c r="B92" s="15"/>
      <c r="C92" s="15"/>
      <c r="D92" s="15"/>
      <c r="E92" s="15"/>
      <c r="F92" s="15"/>
      <c r="G92" s="15"/>
      <c r="H92" s="15"/>
      <c r="I92" s="15"/>
      <c r="J92" s="15"/>
    </row>
    <row r="93" spans="1:10">
      <c r="A93" t="s">
        <v>133</v>
      </c>
      <c r="B93" s="15"/>
      <c r="C93" s="15"/>
      <c r="D93" s="15"/>
      <c r="E93" s="15"/>
      <c r="F93" s="15"/>
      <c r="G93" s="15"/>
      <c r="H93" s="15"/>
      <c r="I93" s="15"/>
      <c r="J93" s="15"/>
    </row>
    <row r="94" spans="1:10">
      <c r="A94" t="s">
        <v>3615</v>
      </c>
      <c r="B94" s="15"/>
      <c r="C94" s="15"/>
      <c r="D94" s="15"/>
      <c r="E94" s="15"/>
      <c r="F94" s="15"/>
      <c r="G94" s="15"/>
      <c r="H94" s="15"/>
      <c r="I94" s="15"/>
      <c r="J94" s="15"/>
    </row>
    <row r="95" spans="1:10">
      <c r="A95" t="s">
        <v>4023</v>
      </c>
      <c r="B95" s="15"/>
      <c r="C95" s="15"/>
      <c r="D95" s="15"/>
      <c r="E95" s="15"/>
      <c r="F95" s="15"/>
      <c r="G95" s="15"/>
      <c r="H95" s="15"/>
      <c r="I95" s="15"/>
      <c r="J95" s="15"/>
    </row>
    <row r="96" spans="1:10">
      <c r="A96" t="s">
        <v>4024</v>
      </c>
      <c r="B96" s="15"/>
      <c r="C96" s="15"/>
      <c r="D96" s="15"/>
      <c r="E96" s="15"/>
      <c r="F96" s="15"/>
      <c r="G96" s="15"/>
      <c r="H96" s="15"/>
      <c r="I96" s="15"/>
      <c r="J96" s="15"/>
    </row>
    <row r="97" spans="1:10">
      <c r="A97" t="s">
        <v>4025</v>
      </c>
      <c r="B97" s="15"/>
      <c r="C97" s="15"/>
      <c r="D97" s="15"/>
      <c r="E97" s="15"/>
      <c r="F97" s="15"/>
      <c r="G97" s="15"/>
      <c r="H97" s="15"/>
      <c r="I97" s="15"/>
      <c r="J97" s="15"/>
    </row>
    <row r="98" spans="1:10">
      <c r="A98" t="s">
        <v>4026</v>
      </c>
      <c r="B98" s="15"/>
      <c r="C98" s="15"/>
      <c r="D98" s="15"/>
      <c r="E98" s="15"/>
      <c r="F98" s="15"/>
      <c r="G98" s="15"/>
      <c r="H98" s="15"/>
      <c r="I98" s="15"/>
      <c r="J98" s="15"/>
    </row>
    <row r="99" spans="1:10">
      <c r="A99" t="s">
        <v>4051</v>
      </c>
      <c r="B99" s="15"/>
      <c r="C99" s="15"/>
      <c r="D99" s="15"/>
      <c r="E99" s="15"/>
      <c r="F99" s="15"/>
      <c r="G99" s="15"/>
      <c r="H99" s="15"/>
      <c r="I99" s="15"/>
      <c r="J99" s="15"/>
    </row>
    <row r="100" spans="1:10">
      <c r="A100"/>
      <c r="B100" s="15"/>
      <c r="C100" s="15"/>
      <c r="D100" s="15"/>
      <c r="E100" s="15"/>
      <c r="F100" s="15"/>
      <c r="G100" s="15"/>
      <c r="H100" s="15"/>
      <c r="I100" s="15"/>
      <c r="J100" s="15"/>
    </row>
    <row r="101" spans="1:10">
      <c r="A101" s="23" t="s">
        <v>3667</v>
      </c>
      <c r="C101" s="15"/>
      <c r="E101" s="15"/>
      <c r="F101" s="15"/>
      <c r="G101" s="15"/>
      <c r="H101" s="15"/>
      <c r="I101" s="15"/>
      <c r="J101" s="15"/>
    </row>
    <row r="102" spans="1:10">
      <c r="A102" s="20" t="s">
        <v>3671</v>
      </c>
    </row>
    <row r="103" spans="1:10">
      <c r="A103" s="23" t="s">
        <v>3672</v>
      </c>
    </row>
    <row r="104" spans="1:10">
      <c r="A104" s="23" t="s">
        <v>3673</v>
      </c>
    </row>
    <row r="105" spans="1:10">
      <c r="B105" s="15"/>
      <c r="C105" s="15"/>
    </row>
    <row r="106" spans="1:10">
      <c r="A106" s="23" t="s">
        <v>3812</v>
      </c>
      <c r="B106" s="127" t="s">
        <v>3813</v>
      </c>
      <c r="C106" s="15"/>
    </row>
    <row r="107" spans="1:10">
      <c r="A107" s="23" t="s">
        <v>3814</v>
      </c>
      <c r="B107" s="15">
        <v>0.26</v>
      </c>
      <c r="C107" s="15"/>
    </row>
    <row r="108" spans="1:10">
      <c r="B108" s="15"/>
      <c r="C108" s="15"/>
    </row>
    <row r="109" spans="1:10">
      <c r="A109" s="23" t="s">
        <v>3831</v>
      </c>
      <c r="B109" s="15"/>
      <c r="C109" s="15"/>
    </row>
    <row r="110" spans="1:10">
      <c r="A110" s="23" t="s">
        <v>3833</v>
      </c>
      <c r="B110" s="15"/>
      <c r="C110" s="15"/>
    </row>
    <row r="111" spans="1:10">
      <c r="A111" s="23" t="s">
        <v>3834</v>
      </c>
      <c r="B111" s="15"/>
      <c r="C111" s="15"/>
    </row>
    <row r="112" spans="1:10">
      <c r="B112" s="15"/>
      <c r="C112" s="15"/>
    </row>
    <row r="113" spans="1:3">
      <c r="A113" s="269" t="s">
        <v>4047</v>
      </c>
      <c r="B113" s="270" t="s">
        <v>4049</v>
      </c>
      <c r="C113" s="15"/>
    </row>
    <row r="114" spans="1:3">
      <c r="A114" s="268" t="s">
        <v>4033</v>
      </c>
      <c r="B114" s="15" t="s">
        <v>106</v>
      </c>
      <c r="C114" s="15"/>
    </row>
    <row r="115" spans="1:3">
      <c r="A115" s="268" t="s">
        <v>4053</v>
      </c>
      <c r="B115" s="268">
        <v>101137</v>
      </c>
      <c r="C115" s="15"/>
    </row>
    <row r="116" spans="1:3">
      <c r="A116" s="268" t="s">
        <v>4034</v>
      </c>
      <c r="B116" s="268">
        <v>123817</v>
      </c>
      <c r="C116" s="15"/>
    </row>
    <row r="117" spans="1:3">
      <c r="A117" s="268" t="s">
        <v>4029</v>
      </c>
      <c r="B117" s="268" t="s">
        <v>106</v>
      </c>
      <c r="C117" s="15"/>
    </row>
    <row r="118" spans="1:3">
      <c r="A118" s="268" t="s">
        <v>4048</v>
      </c>
      <c r="B118" s="268">
        <v>101014</v>
      </c>
      <c r="C118" s="15"/>
    </row>
    <row r="119" spans="1:3">
      <c r="A119" s="268" t="s">
        <v>4036</v>
      </c>
      <c r="B119" s="268">
        <v>101003</v>
      </c>
    </row>
    <row r="120" spans="1:3">
      <c r="A120" s="268" t="s">
        <v>4037</v>
      </c>
      <c r="B120" s="268">
        <v>101002</v>
      </c>
    </row>
    <row r="121" spans="1:3">
      <c r="A121" s="268" t="s">
        <v>3712</v>
      </c>
      <c r="B121" s="268">
        <v>101001</v>
      </c>
    </row>
    <row r="122" spans="1:3">
      <c r="A122" s="268" t="s">
        <v>2926</v>
      </c>
      <c r="B122" s="268">
        <v>101132</v>
      </c>
    </row>
    <row r="123" spans="1:3">
      <c r="A123" s="268" t="s">
        <v>107</v>
      </c>
      <c r="B123" s="268">
        <v>101106</v>
      </c>
    </row>
    <row r="124" spans="1:3">
      <c r="A124" s="268" t="s">
        <v>4038</v>
      </c>
      <c r="B124" s="268">
        <v>101108</v>
      </c>
    </row>
    <row r="125" spans="1:3">
      <c r="A125" s="268" t="s">
        <v>2973</v>
      </c>
      <c r="B125" s="268">
        <v>101135</v>
      </c>
    </row>
    <row r="126" spans="1:3">
      <c r="A126" s="268" t="s">
        <v>4045</v>
      </c>
      <c r="B126" s="268">
        <v>101113</v>
      </c>
    </row>
    <row r="127" spans="1:3">
      <c r="A127" s="268" t="s">
        <v>4043</v>
      </c>
      <c r="B127" s="268">
        <v>101110</v>
      </c>
    </row>
    <row r="128" spans="1:3">
      <c r="A128" s="268" t="s">
        <v>4044</v>
      </c>
      <c r="B128" s="268">
        <v>101136</v>
      </c>
    </row>
    <row r="129" spans="1:2">
      <c r="A129" s="268" t="s">
        <v>108</v>
      </c>
      <c r="B129" s="268" t="s">
        <v>106</v>
      </c>
    </row>
    <row r="130" spans="1:2">
      <c r="A130" s="268" t="s">
        <v>4040</v>
      </c>
      <c r="B130" s="268">
        <v>101037</v>
      </c>
    </row>
    <row r="131" spans="1:2">
      <c r="A131" s="268" t="s">
        <v>4041</v>
      </c>
      <c r="B131" s="268" t="s">
        <v>106</v>
      </c>
    </row>
    <row r="132" spans="1:2">
      <c r="A132" s="268" t="s">
        <v>4046</v>
      </c>
      <c r="B132" s="268">
        <v>101112</v>
      </c>
    </row>
    <row r="133" spans="1:2">
      <c r="A133" s="268" t="s">
        <v>4023</v>
      </c>
      <c r="B133" s="268">
        <v>123923</v>
      </c>
    </row>
    <row r="134" spans="1:2">
      <c r="A134" s="268" t="s">
        <v>4024</v>
      </c>
      <c r="B134" s="268">
        <v>124023</v>
      </c>
    </row>
    <row r="135" spans="1:2">
      <c r="A135" s="268" t="s">
        <v>4025</v>
      </c>
      <c r="B135" s="268">
        <v>124123</v>
      </c>
    </row>
    <row r="136" spans="1:2">
      <c r="A136" s="268" t="s">
        <v>4026</v>
      </c>
      <c r="B136" s="268">
        <v>124223</v>
      </c>
    </row>
  </sheetData>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14999847407452621"/>
  </sheetPr>
  <dimension ref="A1:AO303"/>
  <sheetViews>
    <sheetView zoomScale="60" zoomScaleNormal="60" workbookViewId="0">
      <selection activeCell="E4" sqref="E4"/>
    </sheetView>
  </sheetViews>
  <sheetFormatPr defaultColWidth="8.81640625" defaultRowHeight="14.5"/>
  <cols>
    <col min="1" max="1" width="8.26953125" bestFit="1" customWidth="1"/>
    <col min="2" max="2" width="8.26953125" customWidth="1"/>
    <col min="3" max="3" width="14" bestFit="1" customWidth="1"/>
    <col min="4" max="4" width="9" bestFit="1" customWidth="1"/>
    <col min="5" max="5" width="58.1796875" customWidth="1"/>
    <col min="6" max="6" width="27.1796875" bestFit="1" customWidth="1"/>
    <col min="7" max="7" width="19.81640625" customWidth="1"/>
    <col min="8" max="8" width="15.81640625" bestFit="1" customWidth="1"/>
    <col min="9" max="9" width="16.453125" bestFit="1" customWidth="1"/>
    <col min="10" max="10" width="12.1796875" bestFit="1" customWidth="1"/>
    <col min="11" max="11" width="17.453125" bestFit="1" customWidth="1"/>
    <col min="12" max="12" width="17.453125" customWidth="1"/>
    <col min="13" max="18" width="17.453125" hidden="1" customWidth="1"/>
    <col min="19" max="19" width="26.7265625" hidden="1" customWidth="1"/>
    <col min="20" max="20" width="49.453125" hidden="1" customWidth="1"/>
    <col min="21" max="21" width="33.1796875" hidden="1" customWidth="1"/>
    <col min="22" max="22" width="14.7265625" style="7" customWidth="1"/>
    <col min="23" max="39" width="8.81640625" style="7"/>
    <col min="40" max="40" width="41.453125" style="7" bestFit="1" customWidth="1"/>
    <col min="41" max="41" width="8.81640625" style="7"/>
  </cols>
  <sheetData>
    <row r="1" spans="1:41" ht="15" customHeight="1"/>
    <row r="2" spans="1:41" ht="15" customHeight="1">
      <c r="A2" s="11"/>
      <c r="B2" s="11"/>
      <c r="C2" s="11"/>
      <c r="D2" s="11"/>
      <c r="E2" s="131"/>
      <c r="F2" s="11"/>
      <c r="G2" s="131"/>
      <c r="H2" s="337" t="s">
        <v>111</v>
      </c>
      <c r="I2" s="338"/>
      <c r="J2" s="339"/>
      <c r="K2" s="130" t="s">
        <v>130</v>
      </c>
      <c r="L2" s="11" t="s">
        <v>120</v>
      </c>
      <c r="M2" s="340" t="s">
        <v>121</v>
      </c>
      <c r="N2" s="340"/>
      <c r="O2" s="340"/>
      <c r="P2" s="340"/>
      <c r="Q2" s="340"/>
      <c r="R2" s="340"/>
      <c r="S2" s="11"/>
      <c r="T2" s="11"/>
      <c r="U2" s="11"/>
      <c r="V2" s="340" t="s">
        <v>3585</v>
      </c>
      <c r="W2" s="5"/>
      <c r="X2" s="5"/>
      <c r="Y2" s="5"/>
      <c r="Z2" s="5"/>
      <c r="AA2" s="5"/>
      <c r="AB2" s="5"/>
      <c r="AC2" s="5"/>
      <c r="AD2" s="5"/>
      <c r="AE2" s="5"/>
      <c r="AF2" s="6"/>
      <c r="AG2" s="6"/>
      <c r="AH2" s="5"/>
      <c r="AI2" s="5"/>
      <c r="AJ2" s="5"/>
      <c r="AK2" s="5"/>
      <c r="AL2" s="5"/>
      <c r="AM2" s="5"/>
      <c r="AN2" s="5"/>
      <c r="AO2" s="5"/>
    </row>
    <row r="3" spans="1:41" ht="15" customHeight="1">
      <c r="A3" s="12" t="s">
        <v>112</v>
      </c>
      <c r="B3" s="12"/>
      <c r="C3" s="12" t="s">
        <v>114</v>
      </c>
      <c r="D3" s="12" t="s">
        <v>10</v>
      </c>
      <c r="E3" s="132" t="s">
        <v>3887</v>
      </c>
      <c r="F3" s="12" t="s">
        <v>113</v>
      </c>
      <c r="G3" s="132" t="s">
        <v>3888</v>
      </c>
      <c r="H3" s="12" t="s">
        <v>115</v>
      </c>
      <c r="I3" s="12" t="s">
        <v>116</v>
      </c>
      <c r="J3" s="12" t="s">
        <v>117</v>
      </c>
      <c r="K3" s="130" t="s">
        <v>122</v>
      </c>
      <c r="L3" s="130" t="s">
        <v>123</v>
      </c>
      <c r="M3" s="130" t="s">
        <v>124</v>
      </c>
      <c r="N3" s="130" t="s">
        <v>125</v>
      </c>
      <c r="O3" s="130" t="s">
        <v>126</v>
      </c>
      <c r="P3" s="130" t="s">
        <v>127</v>
      </c>
      <c r="Q3" s="130" t="s">
        <v>128</v>
      </c>
      <c r="R3" s="130" t="s">
        <v>129</v>
      </c>
      <c r="S3" s="130" t="s">
        <v>118</v>
      </c>
      <c r="T3" s="12" t="s">
        <v>119</v>
      </c>
      <c r="U3" s="280" t="s">
        <v>19</v>
      </c>
      <c r="V3" s="340"/>
      <c r="W3" s="5"/>
      <c r="X3" s="5"/>
      <c r="Y3" s="6"/>
      <c r="Z3" s="6"/>
      <c r="AA3" s="6"/>
      <c r="AB3" s="6"/>
      <c r="AC3" s="6"/>
      <c r="AD3" s="6"/>
      <c r="AE3" s="6"/>
      <c r="AF3" s="6"/>
      <c r="AG3" s="6"/>
      <c r="AH3" s="6"/>
      <c r="AI3" s="6"/>
      <c r="AJ3" s="6"/>
      <c r="AK3" s="6"/>
      <c r="AL3" s="6"/>
      <c r="AM3" s="6"/>
      <c r="AN3" s="5"/>
      <c r="AO3" s="5"/>
    </row>
    <row r="4" spans="1:41" ht="15" customHeight="1">
      <c r="A4" s="2">
        <v>1</v>
      </c>
      <c r="B4" s="2"/>
      <c r="C4" s="3">
        <f>ProjectInput[[#This Row],[Retrofit Cost]]</f>
        <v>0</v>
      </c>
      <c r="D4" s="2">
        <f>ProjectInput[[#This Row],[Proposed Fixture Quantity]]</f>
        <v>0</v>
      </c>
      <c r="E4" s="2" t="str">
        <f>CONCATENATE("Replace ", ReviewCalcs[[#This Row],[Existing Fixture Code]], " with ", ReviewCalcs[[#This Row],[Proposed Fixture Code]])</f>
        <v>Replace 0 with 0</v>
      </c>
      <c r="F4" s="2">
        <f>ReviewCalcs[[#This Row],[Measure Type]]</f>
        <v>0</v>
      </c>
      <c r="G4" s="2" t="str">
        <f>IF(Instructions!$F$25="Post-Retrofit","Completed","Recommended")</f>
        <v>Recommended</v>
      </c>
      <c r="H4" s="4">
        <f>ReviewCalcs[[#This Row],[Incentive Total Energy Savings (kWh)]]</f>
        <v>0</v>
      </c>
      <c r="I4" s="2">
        <f>ReviewCalcs[[#This Row],[Incentive Total Demand Savings (kW)]]</f>
        <v>0</v>
      </c>
      <c r="J4" s="3">
        <f>ProjectInput[[#This Row],[Energy Cost Savings ($)]]</f>
        <v>0</v>
      </c>
      <c r="K4" s="3">
        <f>ProjectInput[[#This Row],[Incentive ($)]]</f>
        <v>0</v>
      </c>
      <c r="L4" s="13">
        <f>IF(J4&lt;&gt;0,(C4-K4)/J4,0)</f>
        <v>0</v>
      </c>
      <c r="M4" s="3"/>
      <c r="N4" s="3"/>
      <c r="O4" s="3"/>
      <c r="P4" s="3"/>
      <c r="Q4" s="3"/>
      <c r="R4" s="3"/>
      <c r="S4" s="3"/>
      <c r="T4" s="2"/>
      <c r="U4" s="133">
        <f>ProjectInput[[#This Row],[Location]]</f>
        <v>0</v>
      </c>
      <c r="V4" s="278">
        <f>ProjectInput[[#This Row],[Existing Fixture Code]]</f>
        <v>0</v>
      </c>
      <c r="Y4" s="8"/>
      <c r="AE4" s="8"/>
      <c r="AF4" s="9"/>
      <c r="AH4" s="9"/>
      <c r="AI4" s="9"/>
      <c r="AJ4" s="9"/>
      <c r="AK4" s="9"/>
      <c r="AL4" s="9"/>
      <c r="AM4" s="9"/>
    </row>
    <row r="5" spans="1:41" ht="15" customHeight="1">
      <c r="A5" s="2">
        <v>2</v>
      </c>
      <c r="B5" s="2"/>
      <c r="C5" s="3">
        <f>ProjectInput[[#This Row],[Retrofit Cost]]</f>
        <v>0</v>
      </c>
      <c r="D5" s="2">
        <f>ProjectInput[[#This Row],[Proposed Fixture Quantity]]</f>
        <v>0</v>
      </c>
      <c r="E5" s="2" t="str">
        <f>CONCATENATE("Replace ", ReviewCalcs[[#This Row],[Existing Fixture Code]], " with ", ReviewCalcs[[#This Row],[Proposed Fixture Code]])</f>
        <v>Replace 0 with 0</v>
      </c>
      <c r="F5" s="2">
        <f>ReviewCalcs[[#This Row],[Measure Type]]</f>
        <v>0</v>
      </c>
      <c r="G5" s="2" t="str">
        <f>IF(Instructions!$F$25="Post-Retrofit","Completed","Recommended")</f>
        <v>Recommended</v>
      </c>
      <c r="H5" s="4">
        <f>ReviewCalcs[[#This Row],[Incentive Total Energy Savings (kWh)]]</f>
        <v>0</v>
      </c>
      <c r="I5" s="2">
        <f>ReviewCalcs[[#This Row],[Incentive Total Demand Savings (kW)]]</f>
        <v>0</v>
      </c>
      <c r="J5" s="3">
        <f>ProjectInput[[#This Row],[Energy Cost Savings ($)]]</f>
        <v>0</v>
      </c>
      <c r="K5" s="3">
        <f>ProjectInput[[#This Row],[Incentive ($)]]</f>
        <v>0</v>
      </c>
      <c r="L5" s="13">
        <f t="shared" ref="L5:L37" si="0">IF(C5&lt;&gt;0,(C5-K5)/J5,0)</f>
        <v>0</v>
      </c>
      <c r="M5" s="3"/>
      <c r="N5" s="3"/>
      <c r="O5" s="3"/>
      <c r="P5" s="3"/>
      <c r="Q5" s="3"/>
      <c r="R5" s="3"/>
      <c r="S5" s="3"/>
      <c r="T5" s="2"/>
      <c r="U5" s="133">
        <f>ProjectInput[[#This Row],[Location]]</f>
        <v>0</v>
      </c>
      <c r="V5" s="278">
        <f>ProjectInput[[#This Row],[Existing Fixture Code]]</f>
        <v>0</v>
      </c>
    </row>
    <row r="6" spans="1:41" ht="15" customHeight="1">
      <c r="A6" s="2">
        <v>3</v>
      </c>
      <c r="B6" s="2"/>
      <c r="C6" s="3">
        <f>ProjectInput[[#This Row],[Retrofit Cost]]</f>
        <v>0</v>
      </c>
      <c r="D6" s="2">
        <f>ProjectInput[[#This Row],[Proposed Fixture Quantity]]</f>
        <v>0</v>
      </c>
      <c r="E6" s="2" t="str">
        <f>CONCATENATE("Replace ", ReviewCalcs[[#This Row],[Existing Fixture Code]], " with ", ReviewCalcs[[#This Row],[Proposed Fixture Code]])</f>
        <v>Replace 0 with 0</v>
      </c>
      <c r="F6" s="2">
        <f>ReviewCalcs[[#This Row],[Measure Type]]</f>
        <v>0</v>
      </c>
      <c r="G6" s="2" t="str">
        <f>IF(Instructions!$F$25="Post-Retrofit","Completed","Recommended")</f>
        <v>Recommended</v>
      </c>
      <c r="H6" s="4">
        <f>ReviewCalcs[[#This Row],[Incentive Total Energy Savings (kWh)]]</f>
        <v>0</v>
      </c>
      <c r="I6" s="2">
        <f>ReviewCalcs[[#This Row],[Incentive Total Demand Savings (kW)]]</f>
        <v>0</v>
      </c>
      <c r="J6" s="3">
        <f>ProjectInput[[#This Row],[Energy Cost Savings ($)]]</f>
        <v>0</v>
      </c>
      <c r="K6" s="3">
        <f>ProjectInput[[#This Row],[Incentive ($)]]</f>
        <v>0</v>
      </c>
      <c r="L6" s="13">
        <f t="shared" si="0"/>
        <v>0</v>
      </c>
      <c r="M6" s="3"/>
      <c r="N6" s="3"/>
      <c r="O6" s="3"/>
      <c r="P6" s="3"/>
      <c r="Q6" s="3"/>
      <c r="R6" s="3"/>
      <c r="S6" s="3"/>
      <c r="T6" s="2"/>
      <c r="U6" s="133">
        <f>ProjectInput[[#This Row],[Location]]</f>
        <v>0</v>
      </c>
      <c r="V6" s="278">
        <f>ProjectInput[[#This Row],[Existing Fixture Code]]</f>
        <v>0</v>
      </c>
    </row>
    <row r="7" spans="1:41" ht="15" customHeight="1">
      <c r="A7" s="2">
        <v>4</v>
      </c>
      <c r="B7" s="2"/>
      <c r="C7" s="3">
        <f>ProjectInput[[#This Row],[Retrofit Cost]]</f>
        <v>0</v>
      </c>
      <c r="D7" s="2">
        <f>ProjectInput[[#This Row],[Proposed Fixture Quantity]]</f>
        <v>0</v>
      </c>
      <c r="E7" s="2" t="str">
        <f>CONCATENATE("Replace ", ReviewCalcs[[#This Row],[Existing Fixture Code]], " with ", ReviewCalcs[[#This Row],[Proposed Fixture Code]])</f>
        <v>Replace 0 with 0</v>
      </c>
      <c r="F7" s="2">
        <f>ReviewCalcs[[#This Row],[Measure Type]]</f>
        <v>0</v>
      </c>
      <c r="G7" s="2" t="str">
        <f>IF(Instructions!$F$25="Post-Retrofit","Completed","Recommended")</f>
        <v>Recommended</v>
      </c>
      <c r="H7" s="4">
        <f>ReviewCalcs[[#This Row],[Incentive Total Energy Savings (kWh)]]</f>
        <v>0</v>
      </c>
      <c r="I7" s="2">
        <f>ReviewCalcs[[#This Row],[Incentive Total Demand Savings (kW)]]</f>
        <v>0</v>
      </c>
      <c r="J7" s="3">
        <f>ProjectInput[[#This Row],[Energy Cost Savings ($)]]</f>
        <v>0</v>
      </c>
      <c r="K7" s="3">
        <f>ProjectInput[[#This Row],[Incentive ($)]]</f>
        <v>0</v>
      </c>
      <c r="L7" s="13">
        <f t="shared" si="0"/>
        <v>0</v>
      </c>
      <c r="M7" s="3"/>
      <c r="N7" s="3"/>
      <c r="O7" s="3"/>
      <c r="P7" s="3"/>
      <c r="Q7" s="3"/>
      <c r="R7" s="3"/>
      <c r="S7" s="3"/>
      <c r="T7" s="2"/>
      <c r="U7" s="133">
        <f>ProjectInput[[#This Row],[Location]]</f>
        <v>0</v>
      </c>
      <c r="V7" s="278">
        <f>ProjectInput[[#This Row],[Existing Fixture Code]]</f>
        <v>0</v>
      </c>
    </row>
    <row r="8" spans="1:41" ht="15" customHeight="1">
      <c r="A8" s="2">
        <v>5</v>
      </c>
      <c r="B8" s="2"/>
      <c r="C8" s="3">
        <f>ProjectInput[[#This Row],[Retrofit Cost]]</f>
        <v>0</v>
      </c>
      <c r="D8" s="2">
        <f>ProjectInput[[#This Row],[Proposed Fixture Quantity]]</f>
        <v>0</v>
      </c>
      <c r="E8" s="2" t="str">
        <f>CONCATENATE("Replace ", ReviewCalcs[[#This Row],[Existing Fixture Code]], " with ", ReviewCalcs[[#This Row],[Proposed Fixture Code]])</f>
        <v>Replace 0 with 0</v>
      </c>
      <c r="F8" s="2">
        <f>ReviewCalcs[[#This Row],[Measure Type]]</f>
        <v>0</v>
      </c>
      <c r="G8" s="2" t="str">
        <f>IF(Instructions!$F$25="Post-Retrofit","Completed","Recommended")</f>
        <v>Recommended</v>
      </c>
      <c r="H8" s="4">
        <f>ReviewCalcs[[#This Row],[Incentive Total Energy Savings (kWh)]]</f>
        <v>0</v>
      </c>
      <c r="I8" s="2">
        <f>ReviewCalcs[[#This Row],[Incentive Total Demand Savings (kW)]]</f>
        <v>0</v>
      </c>
      <c r="J8" s="3">
        <f>ProjectInput[[#This Row],[Energy Cost Savings ($)]]</f>
        <v>0</v>
      </c>
      <c r="K8" s="3">
        <f>ProjectInput[[#This Row],[Incentive ($)]]</f>
        <v>0</v>
      </c>
      <c r="L8" s="13">
        <f t="shared" si="0"/>
        <v>0</v>
      </c>
      <c r="M8" s="3"/>
      <c r="N8" s="3"/>
      <c r="O8" s="3"/>
      <c r="P8" s="3"/>
      <c r="Q8" s="3"/>
      <c r="R8" s="3"/>
      <c r="S8" s="3"/>
      <c r="T8" s="2"/>
      <c r="U8" s="133">
        <f>ProjectInput[[#This Row],[Location]]</f>
        <v>0</v>
      </c>
      <c r="V8" s="278">
        <f>ProjectInput[[#This Row],[Existing Fixture Code]]</f>
        <v>0</v>
      </c>
    </row>
    <row r="9" spans="1:41" ht="15" customHeight="1">
      <c r="A9" s="2">
        <v>6</v>
      </c>
      <c r="B9" s="2"/>
      <c r="C9" s="3">
        <f>ProjectInput[[#This Row],[Retrofit Cost]]</f>
        <v>0</v>
      </c>
      <c r="D9" s="2">
        <f>ProjectInput[[#This Row],[Proposed Fixture Quantity]]</f>
        <v>0</v>
      </c>
      <c r="E9" s="2" t="str">
        <f>CONCATENATE("Replace ", ReviewCalcs[[#This Row],[Existing Fixture Code]], " with ", ReviewCalcs[[#This Row],[Proposed Fixture Code]])</f>
        <v>Replace 0 with 0</v>
      </c>
      <c r="F9" s="2">
        <f>ReviewCalcs[[#This Row],[Measure Type]]</f>
        <v>0</v>
      </c>
      <c r="G9" s="2" t="str">
        <f>IF(Instructions!$F$25="Post-Retrofit","Completed","Recommended")</f>
        <v>Recommended</v>
      </c>
      <c r="H9" s="4">
        <f>ReviewCalcs[[#This Row],[Incentive Total Energy Savings (kWh)]]</f>
        <v>0</v>
      </c>
      <c r="I9" s="2">
        <f>ReviewCalcs[[#This Row],[Incentive Total Demand Savings (kW)]]</f>
        <v>0</v>
      </c>
      <c r="J9" s="3">
        <f>ProjectInput[[#This Row],[Energy Cost Savings ($)]]</f>
        <v>0</v>
      </c>
      <c r="K9" s="3">
        <f>ProjectInput[[#This Row],[Incentive ($)]]</f>
        <v>0</v>
      </c>
      <c r="L9" s="13">
        <f t="shared" si="0"/>
        <v>0</v>
      </c>
      <c r="M9" s="3"/>
      <c r="N9" s="3"/>
      <c r="O9" s="3"/>
      <c r="P9" s="3"/>
      <c r="Q9" s="3"/>
      <c r="R9" s="3"/>
      <c r="S9" s="3"/>
      <c r="T9" s="2"/>
      <c r="U9" s="133">
        <f>ProjectInput[[#This Row],[Location]]</f>
        <v>0</v>
      </c>
      <c r="V9" s="278">
        <f>ProjectInput[[#This Row],[Existing Fixture Code]]</f>
        <v>0</v>
      </c>
    </row>
    <row r="10" spans="1:41" ht="15" customHeight="1">
      <c r="A10" s="2">
        <v>7</v>
      </c>
      <c r="B10" s="2"/>
      <c r="C10" s="3">
        <f>ProjectInput[[#This Row],[Retrofit Cost]]</f>
        <v>0</v>
      </c>
      <c r="D10" s="2">
        <f>ProjectInput[[#This Row],[Proposed Fixture Quantity]]</f>
        <v>0</v>
      </c>
      <c r="E10" s="2" t="str">
        <f>CONCATENATE("Replace ", ReviewCalcs[[#This Row],[Existing Fixture Code]], " with ", ReviewCalcs[[#This Row],[Proposed Fixture Code]])</f>
        <v>Replace 0 with 0</v>
      </c>
      <c r="F10" s="2">
        <f>ReviewCalcs[[#This Row],[Measure Type]]</f>
        <v>0</v>
      </c>
      <c r="G10" s="2" t="str">
        <f>IF(Instructions!$F$25="Post-Retrofit","Completed","Recommended")</f>
        <v>Recommended</v>
      </c>
      <c r="H10" s="4">
        <f>ReviewCalcs[[#This Row],[Incentive Total Energy Savings (kWh)]]</f>
        <v>0</v>
      </c>
      <c r="I10" s="2">
        <f>ReviewCalcs[[#This Row],[Incentive Total Demand Savings (kW)]]</f>
        <v>0</v>
      </c>
      <c r="J10" s="3">
        <f>ProjectInput[[#This Row],[Energy Cost Savings ($)]]</f>
        <v>0</v>
      </c>
      <c r="K10" s="3">
        <f>ProjectInput[[#This Row],[Incentive ($)]]</f>
        <v>0</v>
      </c>
      <c r="L10" s="13">
        <f t="shared" si="0"/>
        <v>0</v>
      </c>
      <c r="M10" s="3"/>
      <c r="N10" s="3"/>
      <c r="O10" s="3"/>
      <c r="P10" s="3"/>
      <c r="Q10" s="3"/>
      <c r="R10" s="3"/>
      <c r="S10" s="3"/>
      <c r="T10" s="2"/>
      <c r="U10" s="133">
        <f>ProjectInput[[#This Row],[Location]]</f>
        <v>0</v>
      </c>
      <c r="V10" s="278">
        <f>ProjectInput[[#This Row],[Existing Fixture Code]]</f>
        <v>0</v>
      </c>
    </row>
    <row r="11" spans="1:41" ht="15" customHeight="1">
      <c r="A11" s="2">
        <v>8</v>
      </c>
      <c r="B11" s="2"/>
      <c r="C11" s="3">
        <f>ProjectInput[[#This Row],[Retrofit Cost]]</f>
        <v>0</v>
      </c>
      <c r="D11" s="2">
        <f>ProjectInput[[#This Row],[Proposed Fixture Quantity]]</f>
        <v>0</v>
      </c>
      <c r="E11" s="2" t="str">
        <f>CONCATENATE("Replace ", ReviewCalcs[[#This Row],[Existing Fixture Code]], " with ", ReviewCalcs[[#This Row],[Proposed Fixture Code]])</f>
        <v>Replace 0 with 0</v>
      </c>
      <c r="F11" s="2">
        <f>ReviewCalcs[[#This Row],[Measure Type]]</f>
        <v>0</v>
      </c>
      <c r="G11" s="2" t="str">
        <f>IF(Instructions!$F$25="Post-Retrofit","Completed","Recommended")</f>
        <v>Recommended</v>
      </c>
      <c r="H11" s="4">
        <f>ReviewCalcs[[#This Row],[Incentive Total Energy Savings (kWh)]]</f>
        <v>0</v>
      </c>
      <c r="I11" s="2">
        <f>ReviewCalcs[[#This Row],[Incentive Total Demand Savings (kW)]]</f>
        <v>0</v>
      </c>
      <c r="J11" s="3">
        <f>ProjectInput[[#This Row],[Energy Cost Savings ($)]]</f>
        <v>0</v>
      </c>
      <c r="K11" s="3">
        <f>ProjectInput[[#This Row],[Incentive ($)]]</f>
        <v>0</v>
      </c>
      <c r="L11" s="13">
        <f t="shared" si="0"/>
        <v>0</v>
      </c>
      <c r="M11" s="3"/>
      <c r="N11" s="3"/>
      <c r="O11" s="3"/>
      <c r="P11" s="3"/>
      <c r="Q11" s="3"/>
      <c r="R11" s="3"/>
      <c r="S11" s="3"/>
      <c r="T11" s="2"/>
      <c r="U11" s="133">
        <f>ProjectInput[[#This Row],[Location]]</f>
        <v>0</v>
      </c>
      <c r="V11" s="278">
        <f>ProjectInput[[#This Row],[Existing Fixture Code]]</f>
        <v>0</v>
      </c>
    </row>
    <row r="12" spans="1:41" ht="15" customHeight="1">
      <c r="A12" s="2">
        <v>9</v>
      </c>
      <c r="B12" s="2"/>
      <c r="C12" s="3">
        <f>ProjectInput[[#This Row],[Retrofit Cost]]</f>
        <v>0</v>
      </c>
      <c r="D12" s="2">
        <f>ProjectInput[[#This Row],[Proposed Fixture Quantity]]</f>
        <v>0</v>
      </c>
      <c r="E12" s="2" t="str">
        <f>CONCATENATE("Replace ", ReviewCalcs[[#This Row],[Existing Fixture Code]], " with ", ReviewCalcs[[#This Row],[Proposed Fixture Code]])</f>
        <v>Replace 0 with 0</v>
      </c>
      <c r="F12" s="2">
        <f>ReviewCalcs[[#This Row],[Measure Type]]</f>
        <v>0</v>
      </c>
      <c r="G12" s="2" t="str">
        <f>IF(Instructions!$F$25="Post-Retrofit","Completed","Recommended")</f>
        <v>Recommended</v>
      </c>
      <c r="H12" s="4">
        <f>ReviewCalcs[[#This Row],[Incentive Total Energy Savings (kWh)]]</f>
        <v>0</v>
      </c>
      <c r="I12" s="2">
        <f>ReviewCalcs[[#This Row],[Incentive Total Demand Savings (kW)]]</f>
        <v>0</v>
      </c>
      <c r="J12" s="3">
        <f>ProjectInput[[#This Row],[Energy Cost Savings ($)]]</f>
        <v>0</v>
      </c>
      <c r="K12" s="3">
        <f>ProjectInput[[#This Row],[Incentive ($)]]</f>
        <v>0</v>
      </c>
      <c r="L12" s="13">
        <f t="shared" si="0"/>
        <v>0</v>
      </c>
      <c r="M12" s="3"/>
      <c r="N12" s="3"/>
      <c r="O12" s="3"/>
      <c r="P12" s="3"/>
      <c r="Q12" s="3"/>
      <c r="R12" s="3"/>
      <c r="S12" s="3"/>
      <c r="T12" s="2"/>
      <c r="U12" s="133">
        <f>ProjectInput[[#This Row],[Location]]</f>
        <v>0</v>
      </c>
      <c r="V12" s="278">
        <f>ProjectInput[[#This Row],[Existing Fixture Code]]</f>
        <v>0</v>
      </c>
    </row>
    <row r="13" spans="1:41" ht="15" customHeight="1">
      <c r="A13" s="2">
        <v>10</v>
      </c>
      <c r="B13" s="2"/>
      <c r="C13" s="3">
        <f>ProjectInput[[#This Row],[Retrofit Cost]]</f>
        <v>0</v>
      </c>
      <c r="D13" s="2">
        <f>ProjectInput[[#This Row],[Proposed Fixture Quantity]]</f>
        <v>0</v>
      </c>
      <c r="E13" s="2" t="str">
        <f>CONCATENATE("Replace ", ReviewCalcs[[#This Row],[Existing Fixture Code]], " with ", ReviewCalcs[[#This Row],[Proposed Fixture Code]])</f>
        <v>Replace 0 with 0</v>
      </c>
      <c r="F13" s="2">
        <f>ReviewCalcs[[#This Row],[Measure Type]]</f>
        <v>0</v>
      </c>
      <c r="G13" s="2" t="str">
        <f>IF(Instructions!$F$25="Post-Retrofit","Completed","Recommended")</f>
        <v>Recommended</v>
      </c>
      <c r="H13" s="4">
        <f>ReviewCalcs[[#This Row],[Incentive Total Energy Savings (kWh)]]</f>
        <v>0</v>
      </c>
      <c r="I13" s="2">
        <f>ReviewCalcs[[#This Row],[Incentive Total Demand Savings (kW)]]</f>
        <v>0</v>
      </c>
      <c r="J13" s="3">
        <f>ProjectInput[[#This Row],[Energy Cost Savings ($)]]</f>
        <v>0</v>
      </c>
      <c r="K13" s="3">
        <f>ProjectInput[[#This Row],[Incentive ($)]]</f>
        <v>0</v>
      </c>
      <c r="L13" s="13">
        <f t="shared" si="0"/>
        <v>0</v>
      </c>
      <c r="M13" s="3"/>
      <c r="N13" s="3"/>
      <c r="O13" s="3"/>
      <c r="P13" s="3"/>
      <c r="Q13" s="3"/>
      <c r="R13" s="3"/>
      <c r="S13" s="3"/>
      <c r="T13" s="2"/>
      <c r="U13" s="133">
        <f>ProjectInput[[#This Row],[Location]]</f>
        <v>0</v>
      </c>
      <c r="V13" s="278">
        <f>ProjectInput[[#This Row],[Existing Fixture Code]]</f>
        <v>0</v>
      </c>
    </row>
    <row r="14" spans="1:41" ht="15" customHeight="1">
      <c r="A14" s="2">
        <v>11</v>
      </c>
      <c r="B14" s="2"/>
      <c r="C14" s="3">
        <f>ProjectInput[[#This Row],[Retrofit Cost]]</f>
        <v>0</v>
      </c>
      <c r="D14" s="2">
        <f>ProjectInput[[#This Row],[Proposed Fixture Quantity]]</f>
        <v>0</v>
      </c>
      <c r="E14" s="2" t="str">
        <f>CONCATENATE("Replace ", ReviewCalcs[[#This Row],[Existing Fixture Code]], " with ", ReviewCalcs[[#This Row],[Proposed Fixture Code]])</f>
        <v>Replace 0 with 0</v>
      </c>
      <c r="F14" s="2">
        <f>ReviewCalcs[[#This Row],[Measure Type]]</f>
        <v>0</v>
      </c>
      <c r="G14" s="2" t="str">
        <f>IF(Instructions!$F$25="Post-Retrofit","Completed","Recommended")</f>
        <v>Recommended</v>
      </c>
      <c r="H14" s="4">
        <f>ReviewCalcs[[#This Row],[Incentive Total Energy Savings (kWh)]]</f>
        <v>0</v>
      </c>
      <c r="I14" s="2">
        <f>ReviewCalcs[[#This Row],[Incentive Total Demand Savings (kW)]]</f>
        <v>0</v>
      </c>
      <c r="J14" s="3">
        <f>ProjectInput[[#This Row],[Energy Cost Savings ($)]]</f>
        <v>0</v>
      </c>
      <c r="K14" s="3">
        <f>ProjectInput[[#This Row],[Incentive ($)]]</f>
        <v>0</v>
      </c>
      <c r="L14" s="13">
        <f t="shared" si="0"/>
        <v>0</v>
      </c>
      <c r="M14" s="3"/>
      <c r="N14" s="3"/>
      <c r="O14" s="3"/>
      <c r="P14" s="3"/>
      <c r="Q14" s="3"/>
      <c r="R14" s="3"/>
      <c r="S14" s="3"/>
      <c r="T14" s="2"/>
      <c r="U14" s="133">
        <f>ProjectInput[[#This Row],[Location]]</f>
        <v>0</v>
      </c>
      <c r="V14" s="278">
        <f>ProjectInput[[#This Row],[Existing Fixture Code]]</f>
        <v>0</v>
      </c>
    </row>
    <row r="15" spans="1:41" ht="15" customHeight="1">
      <c r="A15" s="2">
        <v>12</v>
      </c>
      <c r="B15" s="2"/>
      <c r="C15" s="3">
        <f>ProjectInput[[#This Row],[Retrofit Cost]]</f>
        <v>0</v>
      </c>
      <c r="D15" s="2">
        <f>ProjectInput[[#This Row],[Proposed Fixture Quantity]]</f>
        <v>0</v>
      </c>
      <c r="E15" s="2" t="str">
        <f>CONCATENATE("Replace ", ReviewCalcs[[#This Row],[Existing Fixture Code]], " with ", ReviewCalcs[[#This Row],[Proposed Fixture Code]])</f>
        <v>Replace 0 with 0</v>
      </c>
      <c r="F15" s="2">
        <f>ReviewCalcs[[#This Row],[Measure Type]]</f>
        <v>0</v>
      </c>
      <c r="G15" s="2" t="str">
        <f>IF(Instructions!$F$25="Post-Retrofit","Completed","Recommended")</f>
        <v>Recommended</v>
      </c>
      <c r="H15" s="4">
        <f>ReviewCalcs[[#This Row],[Incentive Total Energy Savings (kWh)]]</f>
        <v>0</v>
      </c>
      <c r="I15" s="2">
        <f>ReviewCalcs[[#This Row],[Incentive Total Demand Savings (kW)]]</f>
        <v>0</v>
      </c>
      <c r="J15" s="3">
        <f>ProjectInput[[#This Row],[Energy Cost Savings ($)]]</f>
        <v>0</v>
      </c>
      <c r="K15" s="3">
        <f>ProjectInput[[#This Row],[Incentive ($)]]</f>
        <v>0</v>
      </c>
      <c r="L15" s="13">
        <f t="shared" si="0"/>
        <v>0</v>
      </c>
      <c r="M15" s="3"/>
      <c r="N15" s="3"/>
      <c r="O15" s="3"/>
      <c r="P15" s="3"/>
      <c r="Q15" s="3"/>
      <c r="R15" s="3"/>
      <c r="S15" s="3"/>
      <c r="T15" s="2"/>
      <c r="U15" s="133">
        <f>ProjectInput[[#This Row],[Location]]</f>
        <v>0</v>
      </c>
      <c r="V15" s="278">
        <f>ProjectInput[[#This Row],[Existing Fixture Code]]</f>
        <v>0</v>
      </c>
    </row>
    <row r="16" spans="1:41" ht="15" customHeight="1">
      <c r="A16" s="2">
        <v>13</v>
      </c>
      <c r="B16" s="2"/>
      <c r="C16" s="3">
        <f>ProjectInput[[#This Row],[Retrofit Cost]]</f>
        <v>0</v>
      </c>
      <c r="D16" s="2">
        <f>ProjectInput[[#This Row],[Proposed Fixture Quantity]]</f>
        <v>0</v>
      </c>
      <c r="E16" s="2" t="str">
        <f>CONCATENATE("Replace ", ReviewCalcs[[#This Row],[Existing Fixture Code]], " with ", ReviewCalcs[[#This Row],[Proposed Fixture Code]])</f>
        <v>Replace 0 with 0</v>
      </c>
      <c r="F16" s="2">
        <f>ReviewCalcs[[#This Row],[Measure Type]]</f>
        <v>0</v>
      </c>
      <c r="G16" s="2" t="str">
        <f>IF(Instructions!$F$25="Post-Retrofit","Completed","Recommended")</f>
        <v>Recommended</v>
      </c>
      <c r="H16" s="4">
        <f>ReviewCalcs[[#This Row],[Incentive Total Energy Savings (kWh)]]</f>
        <v>0</v>
      </c>
      <c r="I16" s="2">
        <f>ReviewCalcs[[#This Row],[Incentive Total Demand Savings (kW)]]</f>
        <v>0</v>
      </c>
      <c r="J16" s="3">
        <f>ProjectInput[[#This Row],[Energy Cost Savings ($)]]</f>
        <v>0</v>
      </c>
      <c r="K16" s="3">
        <f>ProjectInput[[#This Row],[Incentive ($)]]</f>
        <v>0</v>
      </c>
      <c r="L16" s="13">
        <f t="shared" si="0"/>
        <v>0</v>
      </c>
      <c r="M16" s="3"/>
      <c r="N16" s="3"/>
      <c r="O16" s="3"/>
      <c r="P16" s="3"/>
      <c r="Q16" s="3"/>
      <c r="R16" s="3"/>
      <c r="S16" s="3"/>
      <c r="T16" s="2"/>
      <c r="U16" s="133">
        <f>ProjectInput[[#This Row],[Location]]</f>
        <v>0</v>
      </c>
      <c r="V16" s="278">
        <f>ProjectInput[[#This Row],[Existing Fixture Code]]</f>
        <v>0</v>
      </c>
    </row>
    <row r="17" spans="1:41" ht="15" customHeight="1">
      <c r="A17" s="2">
        <v>14</v>
      </c>
      <c r="B17" s="2"/>
      <c r="C17" s="3">
        <f>ProjectInput[[#This Row],[Retrofit Cost]]</f>
        <v>0</v>
      </c>
      <c r="D17" s="2">
        <f>ProjectInput[[#This Row],[Proposed Fixture Quantity]]</f>
        <v>0</v>
      </c>
      <c r="E17" s="2" t="str">
        <f>CONCATENATE("Replace ", ReviewCalcs[[#This Row],[Existing Fixture Code]], " with ", ReviewCalcs[[#This Row],[Proposed Fixture Code]])</f>
        <v>Replace 0 with 0</v>
      </c>
      <c r="F17" s="2">
        <f>ReviewCalcs[[#This Row],[Measure Type]]</f>
        <v>0</v>
      </c>
      <c r="G17" s="2" t="str">
        <f>IF(Instructions!$F$25="Post-Retrofit","Completed","Recommended")</f>
        <v>Recommended</v>
      </c>
      <c r="H17" s="4">
        <f>ReviewCalcs[[#This Row],[Incentive Total Energy Savings (kWh)]]</f>
        <v>0</v>
      </c>
      <c r="I17" s="2">
        <f>ReviewCalcs[[#This Row],[Incentive Total Demand Savings (kW)]]</f>
        <v>0</v>
      </c>
      <c r="J17" s="3">
        <f>ProjectInput[[#This Row],[Energy Cost Savings ($)]]</f>
        <v>0</v>
      </c>
      <c r="K17" s="3">
        <f>ProjectInput[[#This Row],[Incentive ($)]]</f>
        <v>0</v>
      </c>
      <c r="L17" s="13">
        <f t="shared" si="0"/>
        <v>0</v>
      </c>
      <c r="M17" s="3"/>
      <c r="N17" s="3"/>
      <c r="O17" s="3"/>
      <c r="P17" s="3"/>
      <c r="Q17" s="3"/>
      <c r="R17" s="3"/>
      <c r="S17" s="3"/>
      <c r="T17" s="2"/>
      <c r="U17" s="133">
        <f>ProjectInput[[#This Row],[Location]]</f>
        <v>0</v>
      </c>
      <c r="V17" s="278">
        <f>ProjectInput[[#This Row],[Existing Fixture Code]]</f>
        <v>0</v>
      </c>
      <c r="W17"/>
      <c r="X17"/>
      <c r="Y17"/>
      <c r="Z17"/>
      <c r="AA17"/>
      <c r="AB17"/>
      <c r="AC17"/>
      <c r="AD17"/>
      <c r="AE17"/>
      <c r="AF17"/>
      <c r="AG17"/>
      <c r="AH17"/>
      <c r="AI17"/>
      <c r="AJ17"/>
      <c r="AK17"/>
      <c r="AL17"/>
      <c r="AM17"/>
      <c r="AN17"/>
      <c r="AO17"/>
    </row>
    <row r="18" spans="1:41" ht="15" customHeight="1">
      <c r="A18" s="2">
        <v>15</v>
      </c>
      <c r="B18" s="2"/>
      <c r="C18" s="3">
        <f>ProjectInput[[#This Row],[Retrofit Cost]]</f>
        <v>0</v>
      </c>
      <c r="D18" s="2">
        <f>ProjectInput[[#This Row],[Proposed Fixture Quantity]]</f>
        <v>0</v>
      </c>
      <c r="E18" s="2" t="str">
        <f>CONCATENATE("Replace ", ReviewCalcs[[#This Row],[Existing Fixture Code]], " with ", ReviewCalcs[[#This Row],[Proposed Fixture Code]])</f>
        <v>Replace 0 with 0</v>
      </c>
      <c r="F18" s="2">
        <f>ReviewCalcs[[#This Row],[Measure Type]]</f>
        <v>0</v>
      </c>
      <c r="G18" s="2" t="str">
        <f>IF(Instructions!$F$25="Post-Retrofit","Completed","Recommended")</f>
        <v>Recommended</v>
      </c>
      <c r="H18" s="4">
        <f>ReviewCalcs[[#This Row],[Incentive Total Energy Savings (kWh)]]</f>
        <v>0</v>
      </c>
      <c r="I18" s="2">
        <f>ReviewCalcs[[#This Row],[Incentive Total Demand Savings (kW)]]</f>
        <v>0</v>
      </c>
      <c r="J18" s="3">
        <f>ProjectInput[[#This Row],[Energy Cost Savings ($)]]</f>
        <v>0</v>
      </c>
      <c r="K18" s="3">
        <f>ProjectInput[[#This Row],[Incentive ($)]]</f>
        <v>0</v>
      </c>
      <c r="L18" s="13">
        <f t="shared" si="0"/>
        <v>0</v>
      </c>
      <c r="M18" s="3"/>
      <c r="N18" s="3"/>
      <c r="O18" s="3"/>
      <c r="P18" s="3"/>
      <c r="Q18" s="3"/>
      <c r="R18" s="3"/>
      <c r="S18" s="3"/>
      <c r="T18" s="2"/>
      <c r="U18" s="133">
        <f>ProjectInput[[#This Row],[Location]]</f>
        <v>0</v>
      </c>
      <c r="V18" s="278">
        <f>ProjectInput[[#This Row],[Existing Fixture Code]]</f>
        <v>0</v>
      </c>
      <c r="W18"/>
      <c r="X18"/>
      <c r="Y18"/>
      <c r="Z18"/>
      <c r="AA18"/>
      <c r="AB18"/>
      <c r="AC18"/>
      <c r="AD18"/>
      <c r="AE18"/>
      <c r="AF18"/>
      <c r="AG18"/>
      <c r="AH18"/>
      <c r="AI18"/>
      <c r="AJ18"/>
      <c r="AK18"/>
      <c r="AL18"/>
      <c r="AM18"/>
      <c r="AN18"/>
      <c r="AO18"/>
    </row>
    <row r="19" spans="1:41" ht="15" customHeight="1">
      <c r="A19" s="2">
        <v>16</v>
      </c>
      <c r="B19" s="2"/>
      <c r="C19" s="3">
        <f>ProjectInput[[#This Row],[Retrofit Cost]]</f>
        <v>0</v>
      </c>
      <c r="D19" s="2">
        <f>ProjectInput[[#This Row],[Proposed Fixture Quantity]]</f>
        <v>0</v>
      </c>
      <c r="E19" s="2" t="str">
        <f>CONCATENATE("Replace ", ReviewCalcs[[#This Row],[Existing Fixture Code]], " with ", ReviewCalcs[[#This Row],[Proposed Fixture Code]])</f>
        <v>Replace 0 with 0</v>
      </c>
      <c r="F19" s="2">
        <f>ReviewCalcs[[#This Row],[Measure Type]]</f>
        <v>0</v>
      </c>
      <c r="G19" s="2" t="str">
        <f>IF(Instructions!$F$25="Post-Retrofit","Completed","Recommended")</f>
        <v>Recommended</v>
      </c>
      <c r="H19" s="4">
        <f>ReviewCalcs[[#This Row],[Incentive Total Energy Savings (kWh)]]</f>
        <v>0</v>
      </c>
      <c r="I19" s="2">
        <f>ReviewCalcs[[#This Row],[Incentive Total Demand Savings (kW)]]</f>
        <v>0</v>
      </c>
      <c r="J19" s="3">
        <f>ProjectInput[[#This Row],[Energy Cost Savings ($)]]</f>
        <v>0</v>
      </c>
      <c r="K19" s="3">
        <f>ProjectInput[[#This Row],[Incentive ($)]]</f>
        <v>0</v>
      </c>
      <c r="L19" s="13">
        <f t="shared" si="0"/>
        <v>0</v>
      </c>
      <c r="M19" s="3"/>
      <c r="N19" s="3"/>
      <c r="O19" s="3"/>
      <c r="P19" s="3"/>
      <c r="Q19" s="3"/>
      <c r="R19" s="3"/>
      <c r="S19" s="3"/>
      <c r="T19" s="2"/>
      <c r="U19" s="133">
        <f>ProjectInput[[#This Row],[Location]]</f>
        <v>0</v>
      </c>
      <c r="V19" s="278">
        <f>ProjectInput[[#This Row],[Existing Fixture Code]]</f>
        <v>0</v>
      </c>
      <c r="W19"/>
      <c r="X19"/>
      <c r="Y19"/>
      <c r="Z19"/>
      <c r="AA19"/>
      <c r="AB19"/>
      <c r="AC19"/>
      <c r="AD19"/>
      <c r="AE19"/>
      <c r="AF19"/>
      <c r="AG19"/>
      <c r="AH19"/>
      <c r="AI19"/>
      <c r="AJ19"/>
      <c r="AK19"/>
      <c r="AL19"/>
      <c r="AM19"/>
      <c r="AN19"/>
      <c r="AO19"/>
    </row>
    <row r="20" spans="1:41" ht="15" customHeight="1">
      <c r="A20" s="2">
        <v>17</v>
      </c>
      <c r="B20" s="2"/>
      <c r="C20" s="3">
        <f>ProjectInput[[#This Row],[Retrofit Cost]]</f>
        <v>0</v>
      </c>
      <c r="D20" s="2">
        <f>ProjectInput[[#This Row],[Proposed Fixture Quantity]]</f>
        <v>0</v>
      </c>
      <c r="E20" s="2" t="str">
        <f>CONCATENATE("Replace ", ReviewCalcs[[#This Row],[Existing Fixture Code]], " with ", ReviewCalcs[[#This Row],[Proposed Fixture Code]])</f>
        <v>Replace 0 with 0</v>
      </c>
      <c r="F20" s="2">
        <f>ReviewCalcs[[#This Row],[Measure Type]]</f>
        <v>0</v>
      </c>
      <c r="G20" s="2" t="str">
        <f>IF(Instructions!$F$25="Post-Retrofit","Completed","Recommended")</f>
        <v>Recommended</v>
      </c>
      <c r="H20" s="4">
        <f>ReviewCalcs[[#This Row],[Incentive Total Energy Savings (kWh)]]</f>
        <v>0</v>
      </c>
      <c r="I20" s="2">
        <f>ReviewCalcs[[#This Row],[Incentive Total Demand Savings (kW)]]</f>
        <v>0</v>
      </c>
      <c r="J20" s="3">
        <f>ProjectInput[[#This Row],[Energy Cost Savings ($)]]</f>
        <v>0</v>
      </c>
      <c r="K20" s="3">
        <f>ProjectInput[[#This Row],[Incentive ($)]]</f>
        <v>0</v>
      </c>
      <c r="L20" s="13">
        <f t="shared" si="0"/>
        <v>0</v>
      </c>
      <c r="M20" s="3"/>
      <c r="N20" s="3"/>
      <c r="O20" s="3"/>
      <c r="P20" s="3"/>
      <c r="Q20" s="3"/>
      <c r="R20" s="3"/>
      <c r="S20" s="3"/>
      <c r="T20" s="2"/>
      <c r="U20" s="133">
        <f>ProjectInput[[#This Row],[Location]]</f>
        <v>0</v>
      </c>
      <c r="V20" s="278">
        <f>ProjectInput[[#This Row],[Existing Fixture Code]]</f>
        <v>0</v>
      </c>
      <c r="W20"/>
      <c r="X20"/>
      <c r="Y20"/>
      <c r="Z20"/>
      <c r="AA20"/>
      <c r="AB20"/>
      <c r="AC20"/>
      <c r="AD20"/>
      <c r="AE20"/>
      <c r="AF20"/>
      <c r="AG20"/>
      <c r="AH20"/>
      <c r="AI20"/>
      <c r="AJ20"/>
      <c r="AK20"/>
      <c r="AL20"/>
      <c r="AM20"/>
      <c r="AN20"/>
      <c r="AO20"/>
    </row>
    <row r="21" spans="1:41" ht="15" customHeight="1">
      <c r="A21" s="2">
        <v>18</v>
      </c>
      <c r="B21" s="2"/>
      <c r="C21" s="3">
        <f>ProjectInput[[#This Row],[Retrofit Cost]]</f>
        <v>0</v>
      </c>
      <c r="D21" s="2">
        <f>ProjectInput[[#This Row],[Proposed Fixture Quantity]]</f>
        <v>0</v>
      </c>
      <c r="E21" s="2" t="str">
        <f>CONCATENATE("Replace ", ReviewCalcs[[#This Row],[Existing Fixture Code]], " with ", ReviewCalcs[[#This Row],[Proposed Fixture Code]])</f>
        <v>Replace 0 with 0</v>
      </c>
      <c r="F21" s="2">
        <f>ReviewCalcs[[#This Row],[Measure Type]]</f>
        <v>0</v>
      </c>
      <c r="G21" s="2" t="str">
        <f>IF(Instructions!$F$25="Post-Retrofit","Completed","Recommended")</f>
        <v>Recommended</v>
      </c>
      <c r="H21" s="4">
        <f>ReviewCalcs[[#This Row],[Incentive Total Energy Savings (kWh)]]</f>
        <v>0</v>
      </c>
      <c r="I21" s="2">
        <f>ReviewCalcs[[#This Row],[Incentive Total Demand Savings (kW)]]</f>
        <v>0</v>
      </c>
      <c r="J21" s="3">
        <f>ProjectInput[[#This Row],[Energy Cost Savings ($)]]</f>
        <v>0</v>
      </c>
      <c r="K21" s="3">
        <f>ProjectInput[[#This Row],[Incentive ($)]]</f>
        <v>0</v>
      </c>
      <c r="L21" s="13">
        <f t="shared" si="0"/>
        <v>0</v>
      </c>
      <c r="M21" s="3"/>
      <c r="N21" s="3"/>
      <c r="O21" s="3"/>
      <c r="P21" s="3"/>
      <c r="Q21" s="3"/>
      <c r="R21" s="3"/>
      <c r="S21" s="3"/>
      <c r="T21" s="2"/>
      <c r="U21" s="133">
        <f>ProjectInput[[#This Row],[Location]]</f>
        <v>0</v>
      </c>
      <c r="V21" s="278">
        <f>ProjectInput[[#This Row],[Existing Fixture Code]]</f>
        <v>0</v>
      </c>
      <c r="W21"/>
      <c r="X21"/>
      <c r="Y21"/>
      <c r="Z21"/>
      <c r="AA21"/>
      <c r="AB21"/>
      <c r="AC21"/>
      <c r="AD21"/>
      <c r="AE21"/>
      <c r="AF21"/>
      <c r="AG21"/>
      <c r="AH21"/>
      <c r="AI21"/>
      <c r="AJ21"/>
      <c r="AK21"/>
      <c r="AL21"/>
      <c r="AM21"/>
      <c r="AN21"/>
      <c r="AO21"/>
    </row>
    <row r="22" spans="1:41" ht="15" customHeight="1">
      <c r="A22" s="2">
        <v>19</v>
      </c>
      <c r="B22" s="2"/>
      <c r="C22" s="3">
        <f>ProjectInput[[#This Row],[Retrofit Cost]]</f>
        <v>0</v>
      </c>
      <c r="D22" s="2">
        <f>ProjectInput[[#This Row],[Proposed Fixture Quantity]]</f>
        <v>0</v>
      </c>
      <c r="E22" s="2" t="str">
        <f>CONCATENATE("Replace ", ReviewCalcs[[#This Row],[Existing Fixture Code]], " with ", ReviewCalcs[[#This Row],[Proposed Fixture Code]])</f>
        <v>Replace 0 with 0</v>
      </c>
      <c r="F22" s="2">
        <f>ReviewCalcs[[#This Row],[Measure Type]]</f>
        <v>0</v>
      </c>
      <c r="G22" s="2" t="str">
        <f>IF(Instructions!$F$25="Post-Retrofit","Completed","Recommended")</f>
        <v>Recommended</v>
      </c>
      <c r="H22" s="4">
        <f>ReviewCalcs[[#This Row],[Incentive Total Energy Savings (kWh)]]</f>
        <v>0</v>
      </c>
      <c r="I22" s="2">
        <f>ReviewCalcs[[#This Row],[Incentive Total Demand Savings (kW)]]</f>
        <v>0</v>
      </c>
      <c r="J22" s="3">
        <f>ProjectInput[[#This Row],[Energy Cost Savings ($)]]</f>
        <v>0</v>
      </c>
      <c r="K22" s="3">
        <f>ProjectInput[[#This Row],[Incentive ($)]]</f>
        <v>0</v>
      </c>
      <c r="L22" s="13">
        <f t="shared" si="0"/>
        <v>0</v>
      </c>
      <c r="M22" s="3"/>
      <c r="N22" s="3"/>
      <c r="O22" s="3"/>
      <c r="P22" s="3"/>
      <c r="Q22" s="3"/>
      <c r="R22" s="3"/>
      <c r="S22" s="3"/>
      <c r="T22" s="2"/>
      <c r="U22" s="133">
        <f>ProjectInput[[#This Row],[Location]]</f>
        <v>0</v>
      </c>
      <c r="V22" s="278">
        <f>ProjectInput[[#This Row],[Existing Fixture Code]]</f>
        <v>0</v>
      </c>
      <c r="W22"/>
      <c r="X22"/>
      <c r="Y22"/>
      <c r="Z22"/>
      <c r="AA22"/>
      <c r="AB22"/>
      <c r="AC22"/>
      <c r="AD22"/>
      <c r="AE22"/>
      <c r="AF22"/>
      <c r="AG22"/>
      <c r="AH22"/>
      <c r="AI22"/>
      <c r="AJ22"/>
      <c r="AK22"/>
      <c r="AL22"/>
      <c r="AM22"/>
      <c r="AN22"/>
      <c r="AO22"/>
    </row>
    <row r="23" spans="1:41" ht="15" customHeight="1">
      <c r="A23" s="2">
        <v>20</v>
      </c>
      <c r="B23" s="2"/>
      <c r="C23" s="3">
        <f>ProjectInput[[#This Row],[Retrofit Cost]]</f>
        <v>0</v>
      </c>
      <c r="D23" s="2">
        <f>ProjectInput[[#This Row],[Proposed Fixture Quantity]]</f>
        <v>0</v>
      </c>
      <c r="E23" s="2" t="str">
        <f>CONCATENATE("Replace ", ReviewCalcs[[#This Row],[Existing Fixture Code]], " with ", ReviewCalcs[[#This Row],[Proposed Fixture Code]])</f>
        <v>Replace 0 with 0</v>
      </c>
      <c r="F23" s="2">
        <f>ReviewCalcs[[#This Row],[Measure Type]]</f>
        <v>0</v>
      </c>
      <c r="G23" s="2" t="str">
        <f>IF(Instructions!$F$25="Post-Retrofit","Completed","Recommended")</f>
        <v>Recommended</v>
      </c>
      <c r="H23" s="4">
        <f>ReviewCalcs[[#This Row],[Incentive Total Energy Savings (kWh)]]</f>
        <v>0</v>
      </c>
      <c r="I23" s="2">
        <f>ReviewCalcs[[#This Row],[Incentive Total Demand Savings (kW)]]</f>
        <v>0</v>
      </c>
      <c r="J23" s="3">
        <f>ProjectInput[[#This Row],[Energy Cost Savings ($)]]</f>
        <v>0</v>
      </c>
      <c r="K23" s="3">
        <f>ProjectInput[[#This Row],[Incentive ($)]]</f>
        <v>0</v>
      </c>
      <c r="L23" s="13">
        <f t="shared" si="0"/>
        <v>0</v>
      </c>
      <c r="M23" s="3"/>
      <c r="N23" s="3"/>
      <c r="O23" s="3"/>
      <c r="P23" s="3"/>
      <c r="Q23" s="3"/>
      <c r="R23" s="3"/>
      <c r="S23" s="3"/>
      <c r="T23" s="2"/>
      <c r="U23" s="133">
        <f>ProjectInput[[#This Row],[Location]]</f>
        <v>0</v>
      </c>
      <c r="V23" s="278">
        <f>ProjectInput[[#This Row],[Existing Fixture Code]]</f>
        <v>0</v>
      </c>
      <c r="W23"/>
      <c r="X23"/>
      <c r="Y23"/>
      <c r="Z23"/>
      <c r="AA23"/>
      <c r="AB23"/>
      <c r="AC23"/>
      <c r="AD23"/>
      <c r="AE23"/>
      <c r="AF23"/>
      <c r="AG23"/>
      <c r="AH23"/>
      <c r="AI23"/>
      <c r="AJ23"/>
      <c r="AK23"/>
      <c r="AL23"/>
      <c r="AM23"/>
      <c r="AN23"/>
      <c r="AO23"/>
    </row>
    <row r="24" spans="1:41" ht="15" customHeight="1">
      <c r="A24" s="2">
        <v>21</v>
      </c>
      <c r="B24" s="2"/>
      <c r="C24" s="3">
        <f>ProjectInput[[#This Row],[Retrofit Cost]]</f>
        <v>0</v>
      </c>
      <c r="D24" s="2">
        <f>ProjectInput[[#This Row],[Proposed Fixture Quantity]]</f>
        <v>0</v>
      </c>
      <c r="E24" s="2" t="str">
        <f>CONCATENATE("Replace ", ReviewCalcs[[#This Row],[Existing Fixture Code]], " with ", ReviewCalcs[[#This Row],[Proposed Fixture Code]])</f>
        <v>Replace 0 with 0</v>
      </c>
      <c r="F24" s="2">
        <f>ReviewCalcs[[#This Row],[Measure Type]]</f>
        <v>0</v>
      </c>
      <c r="G24" s="2" t="str">
        <f>IF(Instructions!$F$25="Post-Retrofit","Completed","Recommended")</f>
        <v>Recommended</v>
      </c>
      <c r="H24" s="4">
        <f>ReviewCalcs[[#This Row],[Incentive Total Energy Savings (kWh)]]</f>
        <v>0</v>
      </c>
      <c r="I24" s="2">
        <f>ReviewCalcs[[#This Row],[Incentive Total Demand Savings (kW)]]</f>
        <v>0</v>
      </c>
      <c r="J24" s="3">
        <f>ProjectInput[[#This Row],[Energy Cost Savings ($)]]</f>
        <v>0</v>
      </c>
      <c r="K24" s="3">
        <f>ProjectInput[[#This Row],[Incentive ($)]]</f>
        <v>0</v>
      </c>
      <c r="L24" s="13">
        <f t="shared" si="0"/>
        <v>0</v>
      </c>
      <c r="M24" s="3"/>
      <c r="N24" s="3"/>
      <c r="O24" s="3"/>
      <c r="P24" s="3"/>
      <c r="Q24" s="3"/>
      <c r="R24" s="3"/>
      <c r="S24" s="3"/>
      <c r="T24" s="2"/>
      <c r="U24" s="133">
        <f>ProjectInput[[#This Row],[Location]]</f>
        <v>0</v>
      </c>
      <c r="V24" s="278">
        <f>ProjectInput[[#This Row],[Existing Fixture Code]]</f>
        <v>0</v>
      </c>
      <c r="W24"/>
      <c r="X24"/>
      <c r="Y24"/>
      <c r="Z24"/>
      <c r="AA24"/>
      <c r="AB24"/>
      <c r="AC24"/>
      <c r="AD24"/>
      <c r="AE24"/>
      <c r="AF24"/>
      <c r="AG24"/>
      <c r="AH24"/>
      <c r="AI24"/>
      <c r="AJ24"/>
      <c r="AK24"/>
      <c r="AL24"/>
      <c r="AM24"/>
      <c r="AN24"/>
      <c r="AO24"/>
    </row>
    <row r="25" spans="1:41" ht="15" customHeight="1">
      <c r="A25" s="2">
        <v>22</v>
      </c>
      <c r="B25" s="2"/>
      <c r="C25" s="3">
        <f>ProjectInput[[#This Row],[Retrofit Cost]]</f>
        <v>0</v>
      </c>
      <c r="D25" s="2">
        <f>ProjectInput[[#This Row],[Proposed Fixture Quantity]]</f>
        <v>0</v>
      </c>
      <c r="E25" s="2" t="str">
        <f>CONCATENATE("Replace ", ReviewCalcs[[#This Row],[Existing Fixture Code]], " with ", ReviewCalcs[[#This Row],[Proposed Fixture Code]])</f>
        <v>Replace 0 with 0</v>
      </c>
      <c r="F25" s="2">
        <f>ReviewCalcs[[#This Row],[Measure Type]]</f>
        <v>0</v>
      </c>
      <c r="G25" s="2" t="str">
        <f>IF(Instructions!$F$25="Post-Retrofit","Completed","Recommended")</f>
        <v>Recommended</v>
      </c>
      <c r="H25" s="4">
        <f>ReviewCalcs[[#This Row],[Incentive Total Energy Savings (kWh)]]</f>
        <v>0</v>
      </c>
      <c r="I25" s="2">
        <f>ReviewCalcs[[#This Row],[Incentive Total Demand Savings (kW)]]</f>
        <v>0</v>
      </c>
      <c r="J25" s="3">
        <f>ProjectInput[[#This Row],[Energy Cost Savings ($)]]</f>
        <v>0</v>
      </c>
      <c r="K25" s="3">
        <f>ProjectInput[[#This Row],[Incentive ($)]]</f>
        <v>0</v>
      </c>
      <c r="L25" s="13">
        <f t="shared" si="0"/>
        <v>0</v>
      </c>
      <c r="M25" s="3"/>
      <c r="N25" s="3"/>
      <c r="O25" s="3"/>
      <c r="P25" s="3"/>
      <c r="Q25" s="3"/>
      <c r="R25" s="3"/>
      <c r="S25" s="3"/>
      <c r="T25" s="2"/>
      <c r="U25" s="133">
        <f>ProjectInput[[#This Row],[Location]]</f>
        <v>0</v>
      </c>
      <c r="V25" s="278">
        <f>ProjectInput[[#This Row],[Existing Fixture Code]]</f>
        <v>0</v>
      </c>
      <c r="W25"/>
      <c r="X25"/>
      <c r="Y25"/>
      <c r="Z25"/>
      <c r="AA25"/>
      <c r="AB25"/>
      <c r="AC25"/>
      <c r="AD25"/>
      <c r="AE25"/>
      <c r="AF25"/>
      <c r="AG25"/>
      <c r="AH25"/>
      <c r="AI25"/>
      <c r="AJ25"/>
      <c r="AK25"/>
      <c r="AL25"/>
      <c r="AM25"/>
      <c r="AN25"/>
      <c r="AO25"/>
    </row>
    <row r="26" spans="1:41" ht="15" customHeight="1">
      <c r="A26" s="2">
        <v>23</v>
      </c>
      <c r="B26" s="2"/>
      <c r="C26" s="3">
        <f>ProjectInput[[#This Row],[Retrofit Cost]]</f>
        <v>0</v>
      </c>
      <c r="D26" s="2">
        <f>ProjectInput[[#This Row],[Proposed Fixture Quantity]]</f>
        <v>0</v>
      </c>
      <c r="E26" s="2" t="str">
        <f>CONCATENATE("Replace ", ReviewCalcs[[#This Row],[Existing Fixture Code]], " with ", ReviewCalcs[[#This Row],[Proposed Fixture Code]])</f>
        <v>Replace 0 with 0</v>
      </c>
      <c r="F26" s="2">
        <f>ReviewCalcs[[#This Row],[Measure Type]]</f>
        <v>0</v>
      </c>
      <c r="G26" s="2" t="str">
        <f>IF(Instructions!$F$25="Post-Retrofit","Completed","Recommended")</f>
        <v>Recommended</v>
      </c>
      <c r="H26" s="4">
        <f>ReviewCalcs[[#This Row],[Incentive Total Energy Savings (kWh)]]</f>
        <v>0</v>
      </c>
      <c r="I26" s="2">
        <f>ReviewCalcs[[#This Row],[Incentive Total Demand Savings (kW)]]</f>
        <v>0</v>
      </c>
      <c r="J26" s="3">
        <f>ProjectInput[[#This Row],[Energy Cost Savings ($)]]</f>
        <v>0</v>
      </c>
      <c r="K26" s="3">
        <f>ProjectInput[[#This Row],[Incentive ($)]]</f>
        <v>0</v>
      </c>
      <c r="L26" s="13">
        <f t="shared" si="0"/>
        <v>0</v>
      </c>
      <c r="M26" s="3"/>
      <c r="N26" s="3"/>
      <c r="O26" s="3"/>
      <c r="P26" s="3"/>
      <c r="Q26" s="3"/>
      <c r="R26" s="3"/>
      <c r="S26" s="3"/>
      <c r="T26" s="2"/>
      <c r="U26" s="133">
        <f>ProjectInput[[#This Row],[Location]]</f>
        <v>0</v>
      </c>
      <c r="V26" s="278">
        <f>ProjectInput[[#This Row],[Existing Fixture Code]]</f>
        <v>0</v>
      </c>
      <c r="W26"/>
      <c r="X26"/>
      <c r="Y26"/>
      <c r="Z26"/>
      <c r="AA26"/>
      <c r="AB26"/>
      <c r="AC26"/>
      <c r="AD26"/>
      <c r="AE26"/>
      <c r="AF26"/>
      <c r="AG26"/>
      <c r="AH26"/>
      <c r="AI26"/>
      <c r="AJ26"/>
      <c r="AK26"/>
      <c r="AL26"/>
      <c r="AM26"/>
      <c r="AN26"/>
      <c r="AO26"/>
    </row>
    <row r="27" spans="1:41" ht="15" customHeight="1">
      <c r="A27" s="2">
        <v>24</v>
      </c>
      <c r="B27" s="2"/>
      <c r="C27" s="3">
        <f>ProjectInput[[#This Row],[Retrofit Cost]]</f>
        <v>0</v>
      </c>
      <c r="D27" s="2">
        <f>ProjectInput[[#This Row],[Proposed Fixture Quantity]]</f>
        <v>0</v>
      </c>
      <c r="E27" s="2" t="str">
        <f>CONCATENATE("Replace ", ReviewCalcs[[#This Row],[Existing Fixture Code]], " with ", ReviewCalcs[[#This Row],[Proposed Fixture Code]])</f>
        <v>Replace 0 with 0</v>
      </c>
      <c r="F27" s="2">
        <f>ReviewCalcs[[#This Row],[Measure Type]]</f>
        <v>0</v>
      </c>
      <c r="G27" s="2" t="str">
        <f>IF(Instructions!$F$25="Post-Retrofit","Completed","Recommended")</f>
        <v>Recommended</v>
      </c>
      <c r="H27" s="4">
        <f>ReviewCalcs[[#This Row],[Incentive Total Energy Savings (kWh)]]</f>
        <v>0</v>
      </c>
      <c r="I27" s="2">
        <f>ReviewCalcs[[#This Row],[Incentive Total Demand Savings (kW)]]</f>
        <v>0</v>
      </c>
      <c r="J27" s="3">
        <f>ProjectInput[[#This Row],[Energy Cost Savings ($)]]</f>
        <v>0</v>
      </c>
      <c r="K27" s="3">
        <f>ProjectInput[[#This Row],[Incentive ($)]]</f>
        <v>0</v>
      </c>
      <c r="L27" s="13">
        <f t="shared" si="0"/>
        <v>0</v>
      </c>
      <c r="M27" s="3"/>
      <c r="N27" s="3"/>
      <c r="O27" s="3"/>
      <c r="P27" s="3"/>
      <c r="Q27" s="3"/>
      <c r="R27" s="3"/>
      <c r="S27" s="3"/>
      <c r="T27" s="2"/>
      <c r="U27" s="133">
        <f>ProjectInput[[#This Row],[Location]]</f>
        <v>0</v>
      </c>
      <c r="V27" s="278">
        <f>ProjectInput[[#This Row],[Existing Fixture Code]]</f>
        <v>0</v>
      </c>
      <c r="W27"/>
      <c r="X27"/>
      <c r="Y27"/>
      <c r="Z27"/>
      <c r="AA27"/>
      <c r="AB27"/>
      <c r="AC27"/>
      <c r="AD27"/>
      <c r="AE27"/>
      <c r="AF27"/>
      <c r="AG27"/>
      <c r="AH27"/>
      <c r="AI27"/>
      <c r="AJ27"/>
      <c r="AK27"/>
      <c r="AL27"/>
      <c r="AM27"/>
      <c r="AN27"/>
      <c r="AO27"/>
    </row>
    <row r="28" spans="1:41" ht="15" customHeight="1">
      <c r="A28" s="2">
        <v>25</v>
      </c>
      <c r="B28" s="2"/>
      <c r="C28" s="3">
        <f>ProjectInput[[#This Row],[Retrofit Cost]]</f>
        <v>0</v>
      </c>
      <c r="D28" s="2">
        <f>ProjectInput[[#This Row],[Proposed Fixture Quantity]]</f>
        <v>0</v>
      </c>
      <c r="E28" s="2" t="str">
        <f>CONCATENATE("Replace ", ReviewCalcs[[#This Row],[Existing Fixture Code]], " with ", ReviewCalcs[[#This Row],[Proposed Fixture Code]])</f>
        <v>Replace 0 with 0</v>
      </c>
      <c r="F28" s="2">
        <f>ReviewCalcs[[#This Row],[Measure Type]]</f>
        <v>0</v>
      </c>
      <c r="G28" s="2" t="str">
        <f>IF(Instructions!$F$25="Post-Retrofit","Completed","Recommended")</f>
        <v>Recommended</v>
      </c>
      <c r="H28" s="4">
        <f>ReviewCalcs[[#This Row],[Incentive Total Energy Savings (kWh)]]</f>
        <v>0</v>
      </c>
      <c r="I28" s="2">
        <f>ReviewCalcs[[#This Row],[Incentive Total Demand Savings (kW)]]</f>
        <v>0</v>
      </c>
      <c r="J28" s="3">
        <f>ProjectInput[[#This Row],[Energy Cost Savings ($)]]</f>
        <v>0</v>
      </c>
      <c r="K28" s="3">
        <f>ProjectInput[[#This Row],[Incentive ($)]]</f>
        <v>0</v>
      </c>
      <c r="L28" s="13">
        <f t="shared" si="0"/>
        <v>0</v>
      </c>
      <c r="M28" s="3"/>
      <c r="N28" s="3"/>
      <c r="O28" s="3"/>
      <c r="P28" s="3"/>
      <c r="Q28" s="3"/>
      <c r="R28" s="3"/>
      <c r="S28" s="3"/>
      <c r="T28" s="2"/>
      <c r="U28" s="133">
        <f>ProjectInput[[#This Row],[Location]]</f>
        <v>0</v>
      </c>
      <c r="V28" s="278">
        <f>ProjectInput[[#This Row],[Existing Fixture Code]]</f>
        <v>0</v>
      </c>
      <c r="W28"/>
      <c r="X28"/>
      <c r="Y28"/>
      <c r="Z28"/>
      <c r="AA28"/>
      <c r="AB28"/>
      <c r="AC28"/>
      <c r="AD28"/>
      <c r="AE28"/>
      <c r="AF28"/>
      <c r="AG28"/>
      <c r="AH28"/>
      <c r="AI28"/>
      <c r="AJ28"/>
      <c r="AK28"/>
      <c r="AL28"/>
      <c r="AM28"/>
      <c r="AN28"/>
      <c r="AO28"/>
    </row>
    <row r="29" spans="1:41" ht="15" customHeight="1">
      <c r="A29" s="2">
        <v>26</v>
      </c>
      <c r="B29" s="2"/>
      <c r="C29" s="3">
        <f>ProjectInput[[#This Row],[Retrofit Cost]]</f>
        <v>0</v>
      </c>
      <c r="D29" s="2">
        <f>ProjectInput[[#This Row],[Proposed Fixture Quantity]]</f>
        <v>0</v>
      </c>
      <c r="E29" s="2" t="str">
        <f>CONCATENATE("Replace ", ReviewCalcs[[#This Row],[Existing Fixture Code]], " with ", ReviewCalcs[[#This Row],[Proposed Fixture Code]])</f>
        <v>Replace 0 with 0</v>
      </c>
      <c r="F29" s="2">
        <f>ReviewCalcs[[#This Row],[Measure Type]]</f>
        <v>0</v>
      </c>
      <c r="G29" s="2" t="str">
        <f>IF(Instructions!$F$25="Post-Retrofit","Completed","Recommended")</f>
        <v>Recommended</v>
      </c>
      <c r="H29" s="4">
        <f>ReviewCalcs[[#This Row],[Incentive Total Energy Savings (kWh)]]</f>
        <v>0</v>
      </c>
      <c r="I29" s="2">
        <f>ReviewCalcs[[#This Row],[Incentive Total Demand Savings (kW)]]</f>
        <v>0</v>
      </c>
      <c r="J29" s="3">
        <f>ProjectInput[[#This Row],[Energy Cost Savings ($)]]</f>
        <v>0</v>
      </c>
      <c r="K29" s="3">
        <f>ProjectInput[[#This Row],[Incentive ($)]]</f>
        <v>0</v>
      </c>
      <c r="L29" s="13">
        <f t="shared" si="0"/>
        <v>0</v>
      </c>
      <c r="M29" s="3"/>
      <c r="N29" s="3"/>
      <c r="O29" s="3"/>
      <c r="P29" s="3"/>
      <c r="Q29" s="3"/>
      <c r="R29" s="3"/>
      <c r="S29" s="3"/>
      <c r="T29" s="2"/>
      <c r="U29" s="133">
        <f>ProjectInput[[#This Row],[Location]]</f>
        <v>0</v>
      </c>
      <c r="V29" s="278">
        <f>ProjectInput[[#This Row],[Existing Fixture Code]]</f>
        <v>0</v>
      </c>
      <c r="W29"/>
      <c r="X29"/>
      <c r="Y29"/>
      <c r="Z29"/>
      <c r="AA29"/>
      <c r="AB29"/>
      <c r="AC29"/>
      <c r="AD29"/>
      <c r="AE29"/>
      <c r="AF29"/>
      <c r="AG29"/>
      <c r="AH29"/>
      <c r="AI29"/>
      <c r="AJ29"/>
      <c r="AK29"/>
      <c r="AL29"/>
      <c r="AM29"/>
      <c r="AN29"/>
      <c r="AO29"/>
    </row>
    <row r="30" spans="1:41" ht="15" customHeight="1">
      <c r="A30" s="2">
        <v>27</v>
      </c>
      <c r="B30" s="2"/>
      <c r="C30" s="3">
        <f>ProjectInput[[#This Row],[Retrofit Cost]]</f>
        <v>0</v>
      </c>
      <c r="D30" s="2">
        <f>ProjectInput[[#This Row],[Proposed Fixture Quantity]]</f>
        <v>0</v>
      </c>
      <c r="E30" s="2" t="str">
        <f>CONCATENATE("Replace ", ReviewCalcs[[#This Row],[Existing Fixture Code]], " with ", ReviewCalcs[[#This Row],[Proposed Fixture Code]])</f>
        <v>Replace 0 with 0</v>
      </c>
      <c r="F30" s="2">
        <f>ReviewCalcs[[#This Row],[Measure Type]]</f>
        <v>0</v>
      </c>
      <c r="G30" s="2" t="str">
        <f>IF(Instructions!$F$25="Post-Retrofit","Completed","Recommended")</f>
        <v>Recommended</v>
      </c>
      <c r="H30" s="4">
        <f>ReviewCalcs[[#This Row],[Incentive Total Energy Savings (kWh)]]</f>
        <v>0</v>
      </c>
      <c r="I30" s="2">
        <f>ReviewCalcs[[#This Row],[Incentive Total Demand Savings (kW)]]</f>
        <v>0</v>
      </c>
      <c r="J30" s="3">
        <f>ProjectInput[[#This Row],[Energy Cost Savings ($)]]</f>
        <v>0</v>
      </c>
      <c r="K30" s="3">
        <f>ProjectInput[[#This Row],[Incentive ($)]]</f>
        <v>0</v>
      </c>
      <c r="L30" s="13">
        <f t="shared" si="0"/>
        <v>0</v>
      </c>
      <c r="M30" s="3"/>
      <c r="N30" s="3"/>
      <c r="O30" s="3"/>
      <c r="P30" s="3"/>
      <c r="Q30" s="3"/>
      <c r="R30" s="3"/>
      <c r="S30" s="3"/>
      <c r="T30" s="2"/>
      <c r="U30" s="133">
        <f>ProjectInput[[#This Row],[Location]]</f>
        <v>0</v>
      </c>
      <c r="V30" s="278">
        <f>ProjectInput[[#This Row],[Existing Fixture Code]]</f>
        <v>0</v>
      </c>
      <c r="W30"/>
      <c r="X30"/>
      <c r="Y30"/>
      <c r="Z30"/>
      <c r="AA30"/>
      <c r="AB30"/>
      <c r="AC30"/>
      <c r="AD30"/>
      <c r="AE30"/>
      <c r="AF30"/>
      <c r="AG30"/>
      <c r="AH30"/>
      <c r="AI30"/>
      <c r="AJ30"/>
      <c r="AK30"/>
      <c r="AL30"/>
      <c r="AM30"/>
      <c r="AN30"/>
      <c r="AO30"/>
    </row>
    <row r="31" spans="1:41" ht="15" customHeight="1">
      <c r="A31" s="2">
        <v>28</v>
      </c>
      <c r="B31" s="2"/>
      <c r="C31" s="3">
        <f>ProjectInput[[#This Row],[Retrofit Cost]]</f>
        <v>0</v>
      </c>
      <c r="D31" s="2">
        <f>ProjectInput[[#This Row],[Proposed Fixture Quantity]]</f>
        <v>0</v>
      </c>
      <c r="E31" s="2" t="str">
        <f>CONCATENATE("Replace ", ReviewCalcs[[#This Row],[Existing Fixture Code]], " with ", ReviewCalcs[[#This Row],[Proposed Fixture Code]])</f>
        <v>Replace 0 with 0</v>
      </c>
      <c r="F31" s="2">
        <f>ReviewCalcs[[#This Row],[Measure Type]]</f>
        <v>0</v>
      </c>
      <c r="G31" s="2" t="str">
        <f>IF(Instructions!$F$25="Post-Retrofit","Completed","Recommended")</f>
        <v>Recommended</v>
      </c>
      <c r="H31" s="4">
        <f>ReviewCalcs[[#This Row],[Incentive Total Energy Savings (kWh)]]</f>
        <v>0</v>
      </c>
      <c r="I31" s="2">
        <f>ReviewCalcs[[#This Row],[Incentive Total Demand Savings (kW)]]</f>
        <v>0</v>
      </c>
      <c r="J31" s="3">
        <f>ProjectInput[[#This Row],[Energy Cost Savings ($)]]</f>
        <v>0</v>
      </c>
      <c r="K31" s="3">
        <f>ProjectInput[[#This Row],[Incentive ($)]]</f>
        <v>0</v>
      </c>
      <c r="L31" s="13">
        <f t="shared" si="0"/>
        <v>0</v>
      </c>
      <c r="M31" s="3"/>
      <c r="N31" s="3"/>
      <c r="O31" s="3"/>
      <c r="P31" s="3"/>
      <c r="Q31" s="3"/>
      <c r="R31" s="3"/>
      <c r="S31" s="3"/>
      <c r="T31" s="2"/>
      <c r="U31" s="133">
        <f>ProjectInput[[#This Row],[Location]]</f>
        <v>0</v>
      </c>
      <c r="V31" s="278">
        <f>ProjectInput[[#This Row],[Existing Fixture Code]]</f>
        <v>0</v>
      </c>
      <c r="W31"/>
      <c r="X31"/>
      <c r="Y31"/>
      <c r="Z31"/>
      <c r="AA31"/>
      <c r="AB31"/>
      <c r="AC31"/>
      <c r="AD31"/>
      <c r="AE31"/>
      <c r="AF31"/>
      <c r="AG31"/>
      <c r="AH31"/>
      <c r="AI31"/>
      <c r="AJ31"/>
      <c r="AK31"/>
      <c r="AL31"/>
      <c r="AM31"/>
      <c r="AN31"/>
      <c r="AO31"/>
    </row>
    <row r="32" spans="1:41" ht="15" customHeight="1">
      <c r="A32" s="2">
        <v>29</v>
      </c>
      <c r="B32" s="2"/>
      <c r="C32" s="3">
        <f>ProjectInput[[#This Row],[Retrofit Cost]]</f>
        <v>0</v>
      </c>
      <c r="D32" s="2">
        <f>ProjectInput[[#This Row],[Proposed Fixture Quantity]]</f>
        <v>0</v>
      </c>
      <c r="E32" s="2" t="str">
        <f>CONCATENATE("Replace ", ReviewCalcs[[#This Row],[Existing Fixture Code]], " with ", ReviewCalcs[[#This Row],[Proposed Fixture Code]])</f>
        <v>Replace 0 with 0</v>
      </c>
      <c r="F32" s="2">
        <f>ReviewCalcs[[#This Row],[Measure Type]]</f>
        <v>0</v>
      </c>
      <c r="G32" s="2" t="str">
        <f>IF(Instructions!$F$25="Post-Retrofit","Completed","Recommended")</f>
        <v>Recommended</v>
      </c>
      <c r="H32" s="4">
        <f>ReviewCalcs[[#This Row],[Incentive Total Energy Savings (kWh)]]</f>
        <v>0</v>
      </c>
      <c r="I32" s="2">
        <f>ReviewCalcs[[#This Row],[Incentive Total Demand Savings (kW)]]</f>
        <v>0</v>
      </c>
      <c r="J32" s="3">
        <f>ProjectInput[[#This Row],[Energy Cost Savings ($)]]</f>
        <v>0</v>
      </c>
      <c r="K32" s="3">
        <f>ProjectInput[[#This Row],[Incentive ($)]]</f>
        <v>0</v>
      </c>
      <c r="L32" s="13">
        <f t="shared" si="0"/>
        <v>0</v>
      </c>
      <c r="M32" s="3"/>
      <c r="N32" s="3"/>
      <c r="O32" s="3"/>
      <c r="P32" s="3"/>
      <c r="Q32" s="3"/>
      <c r="R32" s="3"/>
      <c r="S32" s="3"/>
      <c r="T32" s="2"/>
      <c r="U32" s="133">
        <f>ProjectInput[[#This Row],[Location]]</f>
        <v>0</v>
      </c>
      <c r="V32" s="278">
        <f>ProjectInput[[#This Row],[Existing Fixture Code]]</f>
        <v>0</v>
      </c>
      <c r="W32"/>
      <c r="X32"/>
      <c r="Y32"/>
      <c r="Z32"/>
      <c r="AA32"/>
      <c r="AB32"/>
      <c r="AC32"/>
      <c r="AD32"/>
      <c r="AE32"/>
      <c r="AF32"/>
      <c r="AG32"/>
      <c r="AH32"/>
      <c r="AI32"/>
      <c r="AJ32"/>
      <c r="AK32"/>
      <c r="AL32"/>
      <c r="AM32"/>
      <c r="AN32"/>
      <c r="AO32"/>
    </row>
    <row r="33" spans="1:41" ht="15" customHeight="1">
      <c r="A33" s="2">
        <v>30</v>
      </c>
      <c r="B33" s="2"/>
      <c r="C33" s="3">
        <f>ProjectInput[[#This Row],[Retrofit Cost]]</f>
        <v>0</v>
      </c>
      <c r="D33" s="2">
        <f>ProjectInput[[#This Row],[Proposed Fixture Quantity]]</f>
        <v>0</v>
      </c>
      <c r="E33" s="2" t="str">
        <f>CONCATENATE("Replace ", ReviewCalcs[[#This Row],[Existing Fixture Code]], " with ", ReviewCalcs[[#This Row],[Proposed Fixture Code]])</f>
        <v>Replace 0 with 0</v>
      </c>
      <c r="F33" s="2">
        <f>ReviewCalcs[[#This Row],[Measure Type]]</f>
        <v>0</v>
      </c>
      <c r="G33" s="2" t="str">
        <f>IF(Instructions!$F$25="Post-Retrofit","Completed","Recommended")</f>
        <v>Recommended</v>
      </c>
      <c r="H33" s="4">
        <f>ReviewCalcs[[#This Row],[Incentive Total Energy Savings (kWh)]]</f>
        <v>0</v>
      </c>
      <c r="I33" s="2">
        <f>ReviewCalcs[[#This Row],[Incentive Total Demand Savings (kW)]]</f>
        <v>0</v>
      </c>
      <c r="J33" s="3">
        <f>ProjectInput[[#This Row],[Energy Cost Savings ($)]]</f>
        <v>0</v>
      </c>
      <c r="K33" s="3">
        <f>ProjectInput[[#This Row],[Incentive ($)]]</f>
        <v>0</v>
      </c>
      <c r="L33" s="13">
        <f t="shared" si="0"/>
        <v>0</v>
      </c>
      <c r="M33" s="3"/>
      <c r="N33" s="3"/>
      <c r="O33" s="3"/>
      <c r="P33" s="3"/>
      <c r="Q33" s="3"/>
      <c r="R33" s="3"/>
      <c r="S33" s="3"/>
      <c r="T33" s="2"/>
      <c r="U33" s="133">
        <f>ProjectInput[[#This Row],[Location]]</f>
        <v>0</v>
      </c>
      <c r="V33" s="278">
        <f>ProjectInput[[#This Row],[Existing Fixture Code]]</f>
        <v>0</v>
      </c>
      <c r="W33"/>
      <c r="X33"/>
      <c r="Y33"/>
      <c r="Z33"/>
      <c r="AA33"/>
      <c r="AB33"/>
      <c r="AC33"/>
      <c r="AD33"/>
      <c r="AE33"/>
      <c r="AF33"/>
      <c r="AG33"/>
      <c r="AH33"/>
      <c r="AI33"/>
      <c r="AJ33"/>
      <c r="AK33"/>
      <c r="AL33"/>
      <c r="AM33"/>
      <c r="AN33"/>
      <c r="AO33"/>
    </row>
    <row r="34" spans="1:41" ht="15" customHeight="1">
      <c r="A34" s="2">
        <v>31</v>
      </c>
      <c r="B34" s="2"/>
      <c r="C34" s="3">
        <f>ProjectInput[[#This Row],[Retrofit Cost]]</f>
        <v>0</v>
      </c>
      <c r="D34" s="2">
        <f>ProjectInput[[#This Row],[Proposed Fixture Quantity]]</f>
        <v>0</v>
      </c>
      <c r="E34" s="2" t="str">
        <f>CONCATENATE("Replace ", ReviewCalcs[[#This Row],[Existing Fixture Code]], " with ", ReviewCalcs[[#This Row],[Proposed Fixture Code]])</f>
        <v>Replace 0 with 0</v>
      </c>
      <c r="F34" s="2">
        <f>ReviewCalcs[[#This Row],[Measure Type]]</f>
        <v>0</v>
      </c>
      <c r="G34" s="2" t="str">
        <f>IF(Instructions!$F$25="Post-Retrofit","Completed","Recommended")</f>
        <v>Recommended</v>
      </c>
      <c r="H34" s="4">
        <f>ReviewCalcs[[#This Row],[Incentive Total Energy Savings (kWh)]]</f>
        <v>0</v>
      </c>
      <c r="I34" s="2">
        <f>ReviewCalcs[[#This Row],[Incentive Total Demand Savings (kW)]]</f>
        <v>0</v>
      </c>
      <c r="J34" s="3">
        <f>ProjectInput[[#This Row],[Energy Cost Savings ($)]]</f>
        <v>0</v>
      </c>
      <c r="K34" s="3">
        <f>ProjectInput[[#This Row],[Incentive ($)]]</f>
        <v>0</v>
      </c>
      <c r="L34" s="13">
        <f t="shared" si="0"/>
        <v>0</v>
      </c>
      <c r="M34" s="3"/>
      <c r="N34" s="3"/>
      <c r="O34" s="3"/>
      <c r="P34" s="3"/>
      <c r="Q34" s="3"/>
      <c r="R34" s="3"/>
      <c r="S34" s="3"/>
      <c r="T34" s="2"/>
      <c r="U34" s="133">
        <f>ProjectInput[[#This Row],[Location]]</f>
        <v>0</v>
      </c>
      <c r="V34" s="278">
        <f>ProjectInput[[#This Row],[Existing Fixture Code]]</f>
        <v>0</v>
      </c>
      <c r="W34"/>
      <c r="X34"/>
      <c r="Y34"/>
      <c r="Z34"/>
      <c r="AA34"/>
      <c r="AB34"/>
      <c r="AC34"/>
      <c r="AD34"/>
      <c r="AE34"/>
      <c r="AF34"/>
      <c r="AG34"/>
      <c r="AH34"/>
      <c r="AI34"/>
      <c r="AJ34"/>
      <c r="AK34"/>
      <c r="AL34"/>
      <c r="AM34"/>
      <c r="AN34"/>
      <c r="AO34"/>
    </row>
    <row r="35" spans="1:41" ht="15" customHeight="1">
      <c r="A35" s="2">
        <v>32</v>
      </c>
      <c r="B35" s="2"/>
      <c r="C35" s="3">
        <f>ProjectInput[[#This Row],[Retrofit Cost]]</f>
        <v>0</v>
      </c>
      <c r="D35" s="2">
        <f>ProjectInput[[#This Row],[Proposed Fixture Quantity]]</f>
        <v>0</v>
      </c>
      <c r="E35" s="2" t="str">
        <f>CONCATENATE("Replace ", ReviewCalcs[[#This Row],[Existing Fixture Code]], " with ", ReviewCalcs[[#This Row],[Proposed Fixture Code]])</f>
        <v>Replace 0 with 0</v>
      </c>
      <c r="F35" s="2">
        <f>ReviewCalcs[[#This Row],[Measure Type]]</f>
        <v>0</v>
      </c>
      <c r="G35" s="2" t="str">
        <f>IF(Instructions!$F$25="Post-Retrofit","Completed","Recommended")</f>
        <v>Recommended</v>
      </c>
      <c r="H35" s="4">
        <f>ReviewCalcs[[#This Row],[Incentive Total Energy Savings (kWh)]]</f>
        <v>0</v>
      </c>
      <c r="I35" s="2">
        <f>ReviewCalcs[[#This Row],[Incentive Total Demand Savings (kW)]]</f>
        <v>0</v>
      </c>
      <c r="J35" s="3">
        <f>ProjectInput[[#This Row],[Energy Cost Savings ($)]]</f>
        <v>0</v>
      </c>
      <c r="K35" s="3">
        <f>ProjectInput[[#This Row],[Incentive ($)]]</f>
        <v>0</v>
      </c>
      <c r="L35" s="13">
        <f t="shared" si="0"/>
        <v>0</v>
      </c>
      <c r="M35" s="3"/>
      <c r="N35" s="3"/>
      <c r="O35" s="3"/>
      <c r="P35" s="3"/>
      <c r="Q35" s="3"/>
      <c r="R35" s="3"/>
      <c r="S35" s="3"/>
      <c r="T35" s="2"/>
      <c r="U35" s="133">
        <f>ProjectInput[[#This Row],[Location]]</f>
        <v>0</v>
      </c>
      <c r="V35" s="278">
        <f>ProjectInput[[#This Row],[Existing Fixture Code]]</f>
        <v>0</v>
      </c>
      <c r="W35"/>
      <c r="X35"/>
      <c r="Y35"/>
      <c r="Z35"/>
      <c r="AA35"/>
      <c r="AB35"/>
      <c r="AC35"/>
      <c r="AD35"/>
      <c r="AE35"/>
      <c r="AF35"/>
      <c r="AG35"/>
      <c r="AH35"/>
      <c r="AI35"/>
      <c r="AJ35"/>
      <c r="AK35"/>
      <c r="AL35"/>
      <c r="AM35"/>
      <c r="AN35"/>
      <c r="AO35"/>
    </row>
    <row r="36" spans="1:41" ht="15" customHeight="1">
      <c r="A36" s="2">
        <v>33</v>
      </c>
      <c r="B36" s="2"/>
      <c r="C36" s="3">
        <f>ProjectInput[[#This Row],[Retrofit Cost]]</f>
        <v>0</v>
      </c>
      <c r="D36" s="2">
        <f>ProjectInput[[#This Row],[Proposed Fixture Quantity]]</f>
        <v>0</v>
      </c>
      <c r="E36" s="2" t="str">
        <f>CONCATENATE("Replace ", ReviewCalcs[[#This Row],[Existing Fixture Code]], " with ", ReviewCalcs[[#This Row],[Proposed Fixture Code]])</f>
        <v>Replace 0 with 0</v>
      </c>
      <c r="F36" s="2">
        <f>ReviewCalcs[[#This Row],[Measure Type]]</f>
        <v>0</v>
      </c>
      <c r="G36" s="2" t="str">
        <f>IF(Instructions!$F$25="Post-Retrofit","Completed","Recommended")</f>
        <v>Recommended</v>
      </c>
      <c r="H36" s="4">
        <f>ReviewCalcs[[#This Row],[Incentive Total Energy Savings (kWh)]]</f>
        <v>0</v>
      </c>
      <c r="I36" s="2">
        <f>ReviewCalcs[[#This Row],[Incentive Total Demand Savings (kW)]]</f>
        <v>0</v>
      </c>
      <c r="J36" s="3">
        <f>ProjectInput[[#This Row],[Energy Cost Savings ($)]]</f>
        <v>0</v>
      </c>
      <c r="K36" s="3">
        <f>ProjectInput[[#This Row],[Incentive ($)]]</f>
        <v>0</v>
      </c>
      <c r="L36" s="13">
        <f t="shared" si="0"/>
        <v>0</v>
      </c>
      <c r="M36" s="3"/>
      <c r="N36" s="3"/>
      <c r="O36" s="3"/>
      <c r="P36" s="3"/>
      <c r="Q36" s="3"/>
      <c r="R36" s="3"/>
      <c r="S36" s="3"/>
      <c r="T36" s="2"/>
      <c r="U36" s="133">
        <f>ProjectInput[[#This Row],[Location]]</f>
        <v>0</v>
      </c>
      <c r="V36" s="278">
        <f>ProjectInput[[#This Row],[Existing Fixture Code]]</f>
        <v>0</v>
      </c>
      <c r="W36"/>
      <c r="X36"/>
      <c r="Y36"/>
      <c r="Z36"/>
      <c r="AA36"/>
      <c r="AB36"/>
      <c r="AC36"/>
      <c r="AD36"/>
      <c r="AE36"/>
      <c r="AF36"/>
      <c r="AG36"/>
      <c r="AH36"/>
      <c r="AI36"/>
      <c r="AJ36"/>
      <c r="AK36"/>
      <c r="AL36"/>
      <c r="AM36"/>
      <c r="AN36"/>
      <c r="AO36"/>
    </row>
    <row r="37" spans="1:41" ht="15" customHeight="1">
      <c r="A37" s="2">
        <v>34</v>
      </c>
      <c r="B37" s="2"/>
      <c r="C37" s="3">
        <f>ProjectInput[[#This Row],[Retrofit Cost]]</f>
        <v>0</v>
      </c>
      <c r="D37" s="2">
        <f>ProjectInput[[#This Row],[Proposed Fixture Quantity]]</f>
        <v>0</v>
      </c>
      <c r="E37" s="2" t="str">
        <f>CONCATENATE("Replace ", ReviewCalcs[[#This Row],[Existing Fixture Code]], " with ", ReviewCalcs[[#This Row],[Proposed Fixture Code]])</f>
        <v>Replace 0 with 0</v>
      </c>
      <c r="F37" s="2">
        <f>ReviewCalcs[[#This Row],[Measure Type]]</f>
        <v>0</v>
      </c>
      <c r="G37" s="2" t="str">
        <f>IF(Instructions!$F$25="Post-Retrofit","Completed","Recommended")</f>
        <v>Recommended</v>
      </c>
      <c r="H37" s="4">
        <f>ReviewCalcs[[#This Row],[Incentive Total Energy Savings (kWh)]]</f>
        <v>0</v>
      </c>
      <c r="I37" s="2">
        <f>ReviewCalcs[[#This Row],[Incentive Total Demand Savings (kW)]]</f>
        <v>0</v>
      </c>
      <c r="J37" s="3">
        <f>ProjectInput[[#This Row],[Energy Cost Savings ($)]]</f>
        <v>0</v>
      </c>
      <c r="K37" s="3">
        <f>ProjectInput[[#This Row],[Incentive ($)]]</f>
        <v>0</v>
      </c>
      <c r="L37" s="13">
        <f t="shared" si="0"/>
        <v>0</v>
      </c>
      <c r="M37" s="3"/>
      <c r="N37" s="3"/>
      <c r="O37" s="3"/>
      <c r="P37" s="3"/>
      <c r="Q37" s="3"/>
      <c r="R37" s="3"/>
      <c r="S37" s="3"/>
      <c r="T37" s="2"/>
      <c r="U37" s="133">
        <f>ProjectInput[[#This Row],[Location]]</f>
        <v>0</v>
      </c>
      <c r="V37" s="278">
        <f>ProjectInput[[#This Row],[Existing Fixture Code]]</f>
        <v>0</v>
      </c>
      <c r="W37"/>
      <c r="X37"/>
      <c r="Y37"/>
      <c r="Z37"/>
      <c r="AA37"/>
      <c r="AB37"/>
      <c r="AC37"/>
      <c r="AD37"/>
      <c r="AE37"/>
      <c r="AF37"/>
      <c r="AG37"/>
      <c r="AH37"/>
      <c r="AI37"/>
      <c r="AJ37"/>
      <c r="AK37"/>
      <c r="AL37"/>
      <c r="AM37"/>
      <c r="AN37"/>
      <c r="AO37"/>
    </row>
    <row r="38" spans="1:41" ht="15" customHeight="1">
      <c r="A38" s="2">
        <v>35</v>
      </c>
      <c r="B38" s="2"/>
      <c r="C38" s="3">
        <f>ProjectInput[[#This Row],[Retrofit Cost]]</f>
        <v>0</v>
      </c>
      <c r="D38" s="2">
        <f>ProjectInput[[#This Row],[Proposed Fixture Quantity]]</f>
        <v>0</v>
      </c>
      <c r="E38" s="2" t="str">
        <f>CONCATENATE("Replace ", ReviewCalcs[[#This Row],[Existing Fixture Code]], " with ", ReviewCalcs[[#This Row],[Proposed Fixture Code]])</f>
        <v>Replace 0 with 0</v>
      </c>
      <c r="F38" s="2">
        <f>ReviewCalcs[[#This Row],[Measure Type]]</f>
        <v>0</v>
      </c>
      <c r="G38" s="2" t="str">
        <f>IF(Instructions!$F$25="Post-Retrofit","Completed","Recommended")</f>
        <v>Recommended</v>
      </c>
      <c r="H38" s="4">
        <f>ReviewCalcs[[#This Row],[Incentive Total Energy Savings (kWh)]]</f>
        <v>0</v>
      </c>
      <c r="I38" s="2">
        <f>ReviewCalcs[[#This Row],[Incentive Total Demand Savings (kW)]]</f>
        <v>0</v>
      </c>
      <c r="J38" s="3">
        <f>ProjectInput[[#This Row],[Energy Cost Savings ($)]]</f>
        <v>0</v>
      </c>
      <c r="K38" s="3">
        <f>ProjectInput[[#This Row],[Incentive ($)]]</f>
        <v>0</v>
      </c>
      <c r="L38" s="13">
        <f t="shared" ref="L38:L101" si="1">IF(C38&lt;&gt;0,(C38-K38)/J38,0)</f>
        <v>0</v>
      </c>
      <c r="M38" s="3"/>
      <c r="N38" s="3"/>
      <c r="O38" s="3"/>
      <c r="P38" s="3"/>
      <c r="Q38" s="3"/>
      <c r="R38" s="3"/>
      <c r="S38" s="3"/>
      <c r="T38" s="2"/>
      <c r="U38" s="133">
        <f>ProjectInput[[#This Row],[Location]]</f>
        <v>0</v>
      </c>
      <c r="V38" s="278">
        <f>ProjectInput[[#This Row],[Existing Fixture Code]]</f>
        <v>0</v>
      </c>
      <c r="W38"/>
      <c r="X38"/>
      <c r="Y38"/>
      <c r="Z38"/>
      <c r="AA38"/>
      <c r="AB38"/>
      <c r="AC38"/>
      <c r="AD38"/>
      <c r="AE38"/>
      <c r="AF38"/>
      <c r="AG38"/>
      <c r="AH38"/>
      <c r="AI38"/>
      <c r="AJ38"/>
      <c r="AK38"/>
      <c r="AL38"/>
      <c r="AM38"/>
      <c r="AN38"/>
      <c r="AO38"/>
    </row>
    <row r="39" spans="1:41" ht="15" customHeight="1">
      <c r="A39" s="2">
        <v>36</v>
      </c>
      <c r="B39" s="2"/>
      <c r="C39" s="3">
        <f>ProjectInput[[#This Row],[Retrofit Cost]]</f>
        <v>0</v>
      </c>
      <c r="D39" s="2">
        <f>ProjectInput[[#This Row],[Proposed Fixture Quantity]]</f>
        <v>0</v>
      </c>
      <c r="E39" s="2" t="str">
        <f>CONCATENATE("Replace ", ReviewCalcs[[#This Row],[Existing Fixture Code]], " with ", ReviewCalcs[[#This Row],[Proposed Fixture Code]])</f>
        <v>Replace 0 with 0</v>
      </c>
      <c r="F39" s="2">
        <f>ReviewCalcs[[#This Row],[Measure Type]]</f>
        <v>0</v>
      </c>
      <c r="G39" s="2" t="str">
        <f>IF(Instructions!$F$25="Post-Retrofit","Completed","Recommended")</f>
        <v>Recommended</v>
      </c>
      <c r="H39" s="4">
        <f>ReviewCalcs[[#This Row],[Incentive Total Energy Savings (kWh)]]</f>
        <v>0</v>
      </c>
      <c r="I39" s="2">
        <f>ReviewCalcs[[#This Row],[Incentive Total Demand Savings (kW)]]</f>
        <v>0</v>
      </c>
      <c r="J39" s="3">
        <f>ProjectInput[[#This Row],[Energy Cost Savings ($)]]</f>
        <v>0</v>
      </c>
      <c r="K39" s="3">
        <f>ProjectInput[[#This Row],[Incentive ($)]]</f>
        <v>0</v>
      </c>
      <c r="L39" s="13">
        <f t="shared" si="1"/>
        <v>0</v>
      </c>
      <c r="M39" s="3"/>
      <c r="N39" s="3"/>
      <c r="O39" s="3"/>
      <c r="P39" s="3"/>
      <c r="Q39" s="3"/>
      <c r="R39" s="3"/>
      <c r="S39" s="3"/>
      <c r="T39" s="2"/>
      <c r="U39" s="133">
        <f>ProjectInput[[#This Row],[Location]]</f>
        <v>0</v>
      </c>
      <c r="V39" s="278">
        <f>ProjectInput[[#This Row],[Existing Fixture Code]]</f>
        <v>0</v>
      </c>
      <c r="W39"/>
      <c r="X39"/>
      <c r="Y39"/>
      <c r="Z39"/>
      <c r="AA39"/>
      <c r="AB39"/>
      <c r="AC39"/>
      <c r="AD39"/>
      <c r="AE39"/>
      <c r="AF39"/>
      <c r="AG39"/>
      <c r="AH39"/>
      <c r="AI39"/>
      <c r="AJ39"/>
      <c r="AK39"/>
      <c r="AL39"/>
      <c r="AM39"/>
      <c r="AN39"/>
      <c r="AO39"/>
    </row>
    <row r="40" spans="1:41" ht="15" customHeight="1">
      <c r="A40" s="2">
        <v>37</v>
      </c>
      <c r="B40" s="2"/>
      <c r="C40" s="3">
        <f>ProjectInput[[#This Row],[Retrofit Cost]]</f>
        <v>0</v>
      </c>
      <c r="D40" s="2">
        <f>ProjectInput[[#This Row],[Proposed Fixture Quantity]]</f>
        <v>0</v>
      </c>
      <c r="E40" s="2" t="str">
        <f>CONCATENATE("Replace ", ReviewCalcs[[#This Row],[Existing Fixture Code]], " with ", ReviewCalcs[[#This Row],[Proposed Fixture Code]])</f>
        <v>Replace 0 with 0</v>
      </c>
      <c r="F40" s="2">
        <f>ReviewCalcs[[#This Row],[Measure Type]]</f>
        <v>0</v>
      </c>
      <c r="G40" s="2" t="str">
        <f>IF(Instructions!$F$25="Post-Retrofit","Completed","Recommended")</f>
        <v>Recommended</v>
      </c>
      <c r="H40" s="4">
        <f>ReviewCalcs[[#This Row],[Incentive Total Energy Savings (kWh)]]</f>
        <v>0</v>
      </c>
      <c r="I40" s="2">
        <f>ReviewCalcs[[#This Row],[Incentive Total Demand Savings (kW)]]</f>
        <v>0</v>
      </c>
      <c r="J40" s="3">
        <f>ProjectInput[[#This Row],[Energy Cost Savings ($)]]</f>
        <v>0</v>
      </c>
      <c r="K40" s="3">
        <f>ProjectInput[[#This Row],[Incentive ($)]]</f>
        <v>0</v>
      </c>
      <c r="L40" s="13">
        <f t="shared" si="1"/>
        <v>0</v>
      </c>
      <c r="M40" s="3"/>
      <c r="N40" s="3"/>
      <c r="O40" s="3"/>
      <c r="P40" s="3"/>
      <c r="Q40" s="3"/>
      <c r="R40" s="3"/>
      <c r="S40" s="3"/>
      <c r="T40" s="2"/>
      <c r="U40" s="133">
        <f>ProjectInput[[#This Row],[Location]]</f>
        <v>0</v>
      </c>
      <c r="V40" s="278">
        <f>ProjectInput[[#This Row],[Existing Fixture Code]]</f>
        <v>0</v>
      </c>
      <c r="W40"/>
      <c r="X40"/>
      <c r="Y40"/>
      <c r="Z40"/>
      <c r="AA40"/>
      <c r="AB40"/>
      <c r="AC40"/>
      <c r="AD40"/>
      <c r="AE40"/>
      <c r="AF40"/>
      <c r="AG40"/>
      <c r="AH40"/>
      <c r="AI40"/>
      <c r="AJ40"/>
      <c r="AK40"/>
      <c r="AL40"/>
      <c r="AM40"/>
      <c r="AN40"/>
      <c r="AO40"/>
    </row>
    <row r="41" spans="1:41" ht="15" customHeight="1">
      <c r="A41" s="2">
        <v>38</v>
      </c>
      <c r="B41" s="2"/>
      <c r="C41" s="3">
        <f>ProjectInput[[#This Row],[Retrofit Cost]]</f>
        <v>0</v>
      </c>
      <c r="D41" s="2">
        <f>ProjectInput[[#This Row],[Proposed Fixture Quantity]]</f>
        <v>0</v>
      </c>
      <c r="E41" s="2" t="str">
        <f>CONCATENATE("Replace ", ReviewCalcs[[#This Row],[Existing Fixture Code]], " with ", ReviewCalcs[[#This Row],[Proposed Fixture Code]])</f>
        <v>Replace 0 with 0</v>
      </c>
      <c r="F41" s="2">
        <f>ReviewCalcs[[#This Row],[Measure Type]]</f>
        <v>0</v>
      </c>
      <c r="G41" s="2" t="str">
        <f>IF(Instructions!$F$25="Post-Retrofit","Completed","Recommended")</f>
        <v>Recommended</v>
      </c>
      <c r="H41" s="4">
        <f>ReviewCalcs[[#This Row],[Incentive Total Energy Savings (kWh)]]</f>
        <v>0</v>
      </c>
      <c r="I41" s="2">
        <f>ReviewCalcs[[#This Row],[Incentive Total Demand Savings (kW)]]</f>
        <v>0</v>
      </c>
      <c r="J41" s="3">
        <f>ProjectInput[[#This Row],[Energy Cost Savings ($)]]</f>
        <v>0</v>
      </c>
      <c r="K41" s="3">
        <f>ProjectInput[[#This Row],[Incentive ($)]]</f>
        <v>0</v>
      </c>
      <c r="L41" s="13">
        <f t="shared" si="1"/>
        <v>0</v>
      </c>
      <c r="M41" s="3"/>
      <c r="N41" s="3"/>
      <c r="O41" s="3"/>
      <c r="P41" s="3"/>
      <c r="Q41" s="3"/>
      <c r="R41" s="3"/>
      <c r="S41" s="3"/>
      <c r="T41" s="2"/>
      <c r="U41" s="133">
        <f>ProjectInput[[#This Row],[Location]]</f>
        <v>0</v>
      </c>
      <c r="V41" s="278">
        <f>ProjectInput[[#This Row],[Existing Fixture Code]]</f>
        <v>0</v>
      </c>
      <c r="W41"/>
      <c r="X41"/>
      <c r="Y41"/>
      <c r="Z41"/>
      <c r="AA41"/>
      <c r="AB41"/>
      <c r="AC41"/>
      <c r="AD41"/>
      <c r="AE41"/>
      <c r="AF41"/>
      <c r="AG41"/>
      <c r="AH41"/>
      <c r="AI41"/>
      <c r="AJ41"/>
      <c r="AK41"/>
      <c r="AL41"/>
      <c r="AM41"/>
      <c r="AN41"/>
      <c r="AO41"/>
    </row>
    <row r="42" spans="1:41" ht="15" customHeight="1">
      <c r="A42" s="2">
        <v>39</v>
      </c>
      <c r="B42" s="2"/>
      <c r="C42" s="3">
        <f>ProjectInput[[#This Row],[Retrofit Cost]]</f>
        <v>0</v>
      </c>
      <c r="D42" s="2">
        <f>ProjectInput[[#This Row],[Proposed Fixture Quantity]]</f>
        <v>0</v>
      </c>
      <c r="E42" s="2" t="str">
        <f>CONCATENATE("Replace ", ReviewCalcs[[#This Row],[Existing Fixture Code]], " with ", ReviewCalcs[[#This Row],[Proposed Fixture Code]])</f>
        <v>Replace 0 with 0</v>
      </c>
      <c r="F42" s="2">
        <f>ReviewCalcs[[#This Row],[Measure Type]]</f>
        <v>0</v>
      </c>
      <c r="G42" s="2" t="str">
        <f>IF(Instructions!$F$25="Post-Retrofit","Completed","Recommended")</f>
        <v>Recommended</v>
      </c>
      <c r="H42" s="4">
        <f>ReviewCalcs[[#This Row],[Incentive Total Energy Savings (kWh)]]</f>
        <v>0</v>
      </c>
      <c r="I42" s="2">
        <f>ReviewCalcs[[#This Row],[Incentive Total Demand Savings (kW)]]</f>
        <v>0</v>
      </c>
      <c r="J42" s="3">
        <f>ProjectInput[[#This Row],[Energy Cost Savings ($)]]</f>
        <v>0</v>
      </c>
      <c r="K42" s="3">
        <f>ProjectInput[[#This Row],[Incentive ($)]]</f>
        <v>0</v>
      </c>
      <c r="L42" s="13">
        <f t="shared" si="1"/>
        <v>0</v>
      </c>
      <c r="M42" s="3"/>
      <c r="N42" s="3"/>
      <c r="O42" s="3"/>
      <c r="P42" s="3"/>
      <c r="Q42" s="3"/>
      <c r="R42" s="3"/>
      <c r="S42" s="3"/>
      <c r="T42" s="2"/>
      <c r="U42" s="133">
        <f>ProjectInput[[#This Row],[Location]]</f>
        <v>0</v>
      </c>
      <c r="V42" s="278">
        <f>ProjectInput[[#This Row],[Existing Fixture Code]]</f>
        <v>0</v>
      </c>
      <c r="W42"/>
      <c r="X42"/>
      <c r="Y42"/>
      <c r="Z42"/>
      <c r="AA42"/>
      <c r="AB42"/>
      <c r="AC42"/>
      <c r="AD42"/>
      <c r="AE42"/>
      <c r="AF42"/>
      <c r="AG42"/>
      <c r="AH42"/>
      <c r="AI42"/>
      <c r="AJ42"/>
      <c r="AK42"/>
      <c r="AL42"/>
      <c r="AM42"/>
      <c r="AN42"/>
      <c r="AO42"/>
    </row>
    <row r="43" spans="1:41" ht="15" customHeight="1">
      <c r="A43" s="2">
        <v>40</v>
      </c>
      <c r="B43" s="2"/>
      <c r="C43" s="3">
        <f>ProjectInput[[#This Row],[Retrofit Cost]]</f>
        <v>0</v>
      </c>
      <c r="D43" s="2">
        <f>ProjectInput[[#This Row],[Proposed Fixture Quantity]]</f>
        <v>0</v>
      </c>
      <c r="E43" s="2" t="str">
        <f>CONCATENATE("Replace ", ReviewCalcs[[#This Row],[Existing Fixture Code]], " with ", ReviewCalcs[[#This Row],[Proposed Fixture Code]])</f>
        <v>Replace 0 with 0</v>
      </c>
      <c r="F43" s="2">
        <f>ReviewCalcs[[#This Row],[Measure Type]]</f>
        <v>0</v>
      </c>
      <c r="G43" s="2" t="str">
        <f>IF(Instructions!$F$25="Post-Retrofit","Completed","Recommended")</f>
        <v>Recommended</v>
      </c>
      <c r="H43" s="4">
        <f>ReviewCalcs[[#This Row],[Incentive Total Energy Savings (kWh)]]</f>
        <v>0</v>
      </c>
      <c r="I43" s="2">
        <f>ReviewCalcs[[#This Row],[Incentive Total Demand Savings (kW)]]</f>
        <v>0</v>
      </c>
      <c r="J43" s="3">
        <f>ProjectInput[[#This Row],[Energy Cost Savings ($)]]</f>
        <v>0</v>
      </c>
      <c r="K43" s="3">
        <f>ProjectInput[[#This Row],[Incentive ($)]]</f>
        <v>0</v>
      </c>
      <c r="L43" s="13">
        <f t="shared" si="1"/>
        <v>0</v>
      </c>
      <c r="M43" s="3"/>
      <c r="N43" s="3"/>
      <c r="O43" s="3"/>
      <c r="P43" s="3"/>
      <c r="Q43" s="3"/>
      <c r="R43" s="3"/>
      <c r="S43" s="3"/>
      <c r="T43" s="2"/>
      <c r="U43" s="133">
        <f>ProjectInput[[#This Row],[Location]]</f>
        <v>0</v>
      </c>
      <c r="V43" s="278">
        <f>ProjectInput[[#This Row],[Existing Fixture Code]]</f>
        <v>0</v>
      </c>
      <c r="W43"/>
      <c r="X43"/>
      <c r="Y43"/>
      <c r="Z43"/>
      <c r="AA43"/>
      <c r="AB43"/>
      <c r="AC43"/>
      <c r="AD43"/>
      <c r="AE43"/>
      <c r="AF43"/>
      <c r="AG43"/>
      <c r="AH43"/>
      <c r="AI43"/>
      <c r="AJ43"/>
      <c r="AK43"/>
      <c r="AL43"/>
      <c r="AM43"/>
      <c r="AN43"/>
      <c r="AO43"/>
    </row>
    <row r="44" spans="1:41" ht="15" customHeight="1">
      <c r="A44" s="2">
        <v>41</v>
      </c>
      <c r="B44" s="2"/>
      <c r="C44" s="3">
        <f>ProjectInput[[#This Row],[Retrofit Cost]]</f>
        <v>0</v>
      </c>
      <c r="D44" s="2">
        <f>ProjectInput[[#This Row],[Proposed Fixture Quantity]]</f>
        <v>0</v>
      </c>
      <c r="E44" s="2" t="str">
        <f>CONCATENATE("Replace ", ReviewCalcs[[#This Row],[Existing Fixture Code]], " with ", ReviewCalcs[[#This Row],[Proposed Fixture Code]])</f>
        <v>Replace 0 with 0</v>
      </c>
      <c r="F44" s="2">
        <f>ReviewCalcs[[#This Row],[Measure Type]]</f>
        <v>0</v>
      </c>
      <c r="G44" s="2" t="str">
        <f>IF(Instructions!$F$25="Post-Retrofit","Completed","Recommended")</f>
        <v>Recommended</v>
      </c>
      <c r="H44" s="4">
        <f>ReviewCalcs[[#This Row],[Incentive Total Energy Savings (kWh)]]</f>
        <v>0</v>
      </c>
      <c r="I44" s="2">
        <f>ReviewCalcs[[#This Row],[Incentive Total Demand Savings (kW)]]</f>
        <v>0</v>
      </c>
      <c r="J44" s="3">
        <f>ProjectInput[[#This Row],[Energy Cost Savings ($)]]</f>
        <v>0</v>
      </c>
      <c r="K44" s="3">
        <f>ProjectInput[[#This Row],[Incentive ($)]]</f>
        <v>0</v>
      </c>
      <c r="L44" s="13">
        <f t="shared" si="1"/>
        <v>0</v>
      </c>
      <c r="M44" s="3"/>
      <c r="N44" s="3"/>
      <c r="O44" s="3"/>
      <c r="P44" s="3"/>
      <c r="Q44" s="3"/>
      <c r="R44" s="3"/>
      <c r="S44" s="3"/>
      <c r="T44" s="2"/>
      <c r="U44" s="133">
        <f>ProjectInput[[#This Row],[Location]]</f>
        <v>0</v>
      </c>
      <c r="V44" s="278">
        <f>ProjectInput[[#This Row],[Existing Fixture Code]]</f>
        <v>0</v>
      </c>
      <c r="W44"/>
      <c r="X44"/>
      <c r="Y44"/>
      <c r="Z44"/>
      <c r="AA44"/>
      <c r="AB44"/>
      <c r="AC44"/>
      <c r="AD44"/>
      <c r="AE44"/>
      <c r="AF44"/>
      <c r="AG44"/>
      <c r="AH44"/>
      <c r="AI44"/>
      <c r="AJ44"/>
      <c r="AK44"/>
      <c r="AL44"/>
      <c r="AM44"/>
      <c r="AN44"/>
      <c r="AO44"/>
    </row>
    <row r="45" spans="1:41" ht="15" customHeight="1">
      <c r="A45" s="2">
        <v>42</v>
      </c>
      <c r="B45" s="2"/>
      <c r="C45" s="3">
        <f>ProjectInput[[#This Row],[Retrofit Cost]]</f>
        <v>0</v>
      </c>
      <c r="D45" s="2">
        <f>ProjectInput[[#This Row],[Proposed Fixture Quantity]]</f>
        <v>0</v>
      </c>
      <c r="E45" s="2" t="str">
        <f>CONCATENATE("Replace ", ReviewCalcs[[#This Row],[Existing Fixture Code]], " with ", ReviewCalcs[[#This Row],[Proposed Fixture Code]])</f>
        <v>Replace 0 with 0</v>
      </c>
      <c r="F45" s="2">
        <f>ReviewCalcs[[#This Row],[Measure Type]]</f>
        <v>0</v>
      </c>
      <c r="G45" s="2" t="str">
        <f>IF(Instructions!$F$25="Post-Retrofit","Completed","Recommended")</f>
        <v>Recommended</v>
      </c>
      <c r="H45" s="4">
        <f>ReviewCalcs[[#This Row],[Incentive Total Energy Savings (kWh)]]</f>
        <v>0</v>
      </c>
      <c r="I45" s="2">
        <f>ReviewCalcs[[#This Row],[Incentive Total Demand Savings (kW)]]</f>
        <v>0</v>
      </c>
      <c r="J45" s="3">
        <f>ProjectInput[[#This Row],[Energy Cost Savings ($)]]</f>
        <v>0</v>
      </c>
      <c r="K45" s="3">
        <f>ProjectInput[[#This Row],[Incentive ($)]]</f>
        <v>0</v>
      </c>
      <c r="L45" s="13">
        <f t="shared" si="1"/>
        <v>0</v>
      </c>
      <c r="M45" s="3"/>
      <c r="N45" s="3"/>
      <c r="O45" s="3"/>
      <c r="P45" s="3"/>
      <c r="Q45" s="3"/>
      <c r="R45" s="3"/>
      <c r="S45" s="3"/>
      <c r="T45" s="2"/>
      <c r="U45" s="133">
        <f>ProjectInput[[#This Row],[Location]]</f>
        <v>0</v>
      </c>
      <c r="V45" s="278">
        <f>ProjectInput[[#This Row],[Existing Fixture Code]]</f>
        <v>0</v>
      </c>
      <c r="W45"/>
      <c r="X45"/>
      <c r="Y45"/>
      <c r="Z45"/>
      <c r="AA45"/>
      <c r="AB45"/>
      <c r="AC45"/>
      <c r="AD45"/>
      <c r="AE45"/>
      <c r="AF45"/>
      <c r="AG45"/>
      <c r="AH45"/>
      <c r="AI45"/>
      <c r="AJ45"/>
      <c r="AK45"/>
      <c r="AL45"/>
      <c r="AM45"/>
      <c r="AN45"/>
      <c r="AO45"/>
    </row>
    <row r="46" spans="1:41" ht="15" customHeight="1">
      <c r="A46" s="2">
        <v>43</v>
      </c>
      <c r="B46" s="2"/>
      <c r="C46" s="3">
        <f>ProjectInput[[#This Row],[Retrofit Cost]]</f>
        <v>0</v>
      </c>
      <c r="D46" s="2">
        <f>ProjectInput[[#This Row],[Proposed Fixture Quantity]]</f>
        <v>0</v>
      </c>
      <c r="E46" s="2" t="str">
        <f>CONCATENATE("Replace ", ReviewCalcs[[#This Row],[Existing Fixture Code]], " with ", ReviewCalcs[[#This Row],[Proposed Fixture Code]])</f>
        <v>Replace 0 with 0</v>
      </c>
      <c r="F46" s="2">
        <f>ReviewCalcs[[#This Row],[Measure Type]]</f>
        <v>0</v>
      </c>
      <c r="G46" s="2" t="str">
        <f>IF(Instructions!$F$25="Post-Retrofit","Completed","Recommended")</f>
        <v>Recommended</v>
      </c>
      <c r="H46" s="4">
        <f>ReviewCalcs[[#This Row],[Incentive Total Energy Savings (kWh)]]</f>
        <v>0</v>
      </c>
      <c r="I46" s="2">
        <f>ReviewCalcs[[#This Row],[Incentive Total Demand Savings (kW)]]</f>
        <v>0</v>
      </c>
      <c r="J46" s="3">
        <f>ProjectInput[[#This Row],[Energy Cost Savings ($)]]</f>
        <v>0</v>
      </c>
      <c r="K46" s="3">
        <f>ProjectInput[[#This Row],[Incentive ($)]]</f>
        <v>0</v>
      </c>
      <c r="L46" s="13">
        <f t="shared" si="1"/>
        <v>0</v>
      </c>
      <c r="M46" s="3"/>
      <c r="N46" s="3"/>
      <c r="O46" s="3"/>
      <c r="P46" s="3"/>
      <c r="Q46" s="3"/>
      <c r="R46" s="3"/>
      <c r="S46" s="3"/>
      <c r="T46" s="2"/>
      <c r="U46" s="133">
        <f>ProjectInput[[#This Row],[Location]]</f>
        <v>0</v>
      </c>
      <c r="V46" s="278">
        <f>ProjectInput[[#This Row],[Existing Fixture Code]]</f>
        <v>0</v>
      </c>
      <c r="W46"/>
      <c r="X46"/>
      <c r="Y46"/>
      <c r="Z46"/>
      <c r="AA46"/>
      <c r="AB46"/>
      <c r="AC46"/>
      <c r="AD46"/>
      <c r="AE46"/>
      <c r="AF46"/>
      <c r="AG46"/>
      <c r="AH46"/>
      <c r="AI46"/>
      <c r="AJ46"/>
      <c r="AK46"/>
      <c r="AL46"/>
      <c r="AM46"/>
      <c r="AN46"/>
      <c r="AO46"/>
    </row>
    <row r="47" spans="1:41" ht="15" customHeight="1">
      <c r="A47" s="2">
        <v>44</v>
      </c>
      <c r="B47" s="2"/>
      <c r="C47" s="3">
        <f>ProjectInput[[#This Row],[Retrofit Cost]]</f>
        <v>0</v>
      </c>
      <c r="D47" s="2">
        <f>ProjectInput[[#This Row],[Proposed Fixture Quantity]]</f>
        <v>0</v>
      </c>
      <c r="E47" s="2" t="str">
        <f>CONCATENATE("Replace ", ReviewCalcs[[#This Row],[Existing Fixture Code]], " with ", ReviewCalcs[[#This Row],[Proposed Fixture Code]])</f>
        <v>Replace 0 with 0</v>
      </c>
      <c r="F47" s="2">
        <f>ReviewCalcs[[#This Row],[Measure Type]]</f>
        <v>0</v>
      </c>
      <c r="G47" s="2" t="str">
        <f>IF(Instructions!$F$25="Post-Retrofit","Completed","Recommended")</f>
        <v>Recommended</v>
      </c>
      <c r="H47" s="4">
        <f>ReviewCalcs[[#This Row],[Incentive Total Energy Savings (kWh)]]</f>
        <v>0</v>
      </c>
      <c r="I47" s="2">
        <f>ReviewCalcs[[#This Row],[Incentive Total Demand Savings (kW)]]</f>
        <v>0</v>
      </c>
      <c r="J47" s="3">
        <f>ProjectInput[[#This Row],[Energy Cost Savings ($)]]</f>
        <v>0</v>
      </c>
      <c r="K47" s="3">
        <f>ProjectInput[[#This Row],[Incentive ($)]]</f>
        <v>0</v>
      </c>
      <c r="L47" s="13">
        <f t="shared" si="1"/>
        <v>0</v>
      </c>
      <c r="M47" s="3"/>
      <c r="N47" s="3"/>
      <c r="O47" s="3"/>
      <c r="P47" s="3"/>
      <c r="Q47" s="3"/>
      <c r="R47" s="3"/>
      <c r="S47" s="3"/>
      <c r="T47" s="2"/>
      <c r="U47" s="133">
        <f>ProjectInput[[#This Row],[Location]]</f>
        <v>0</v>
      </c>
      <c r="V47" s="278">
        <f>ProjectInput[[#This Row],[Existing Fixture Code]]</f>
        <v>0</v>
      </c>
      <c r="W47"/>
      <c r="X47"/>
      <c r="Y47"/>
      <c r="Z47"/>
      <c r="AA47"/>
      <c r="AB47"/>
      <c r="AC47"/>
      <c r="AD47"/>
      <c r="AE47"/>
      <c r="AF47"/>
      <c r="AG47"/>
      <c r="AH47"/>
      <c r="AI47"/>
      <c r="AJ47"/>
      <c r="AK47"/>
      <c r="AL47"/>
      <c r="AM47"/>
      <c r="AN47"/>
      <c r="AO47"/>
    </row>
    <row r="48" spans="1:41" ht="15" customHeight="1">
      <c r="A48" s="2">
        <v>45</v>
      </c>
      <c r="B48" s="2"/>
      <c r="C48" s="3">
        <f>ProjectInput[[#This Row],[Retrofit Cost]]</f>
        <v>0</v>
      </c>
      <c r="D48" s="2">
        <f>ProjectInput[[#This Row],[Proposed Fixture Quantity]]</f>
        <v>0</v>
      </c>
      <c r="E48" s="2" t="str">
        <f>CONCATENATE("Replace ", ReviewCalcs[[#This Row],[Existing Fixture Code]], " with ", ReviewCalcs[[#This Row],[Proposed Fixture Code]])</f>
        <v>Replace 0 with 0</v>
      </c>
      <c r="F48" s="2">
        <f>ReviewCalcs[[#This Row],[Measure Type]]</f>
        <v>0</v>
      </c>
      <c r="G48" s="2" t="str">
        <f>IF(Instructions!$F$25="Post-Retrofit","Completed","Recommended")</f>
        <v>Recommended</v>
      </c>
      <c r="H48" s="4">
        <f>ReviewCalcs[[#This Row],[Incentive Total Energy Savings (kWh)]]</f>
        <v>0</v>
      </c>
      <c r="I48" s="2">
        <f>ReviewCalcs[[#This Row],[Incentive Total Demand Savings (kW)]]</f>
        <v>0</v>
      </c>
      <c r="J48" s="3">
        <f>ProjectInput[[#This Row],[Energy Cost Savings ($)]]</f>
        <v>0</v>
      </c>
      <c r="K48" s="3">
        <f>ProjectInput[[#This Row],[Incentive ($)]]</f>
        <v>0</v>
      </c>
      <c r="L48" s="13">
        <f t="shared" si="1"/>
        <v>0</v>
      </c>
      <c r="M48" s="3"/>
      <c r="N48" s="3"/>
      <c r="O48" s="3"/>
      <c r="P48" s="3"/>
      <c r="Q48" s="3"/>
      <c r="R48" s="3"/>
      <c r="S48" s="3"/>
      <c r="T48" s="2"/>
      <c r="U48" s="133">
        <f>ProjectInput[[#This Row],[Location]]</f>
        <v>0</v>
      </c>
      <c r="V48" s="278">
        <f>ProjectInput[[#This Row],[Existing Fixture Code]]</f>
        <v>0</v>
      </c>
      <c r="W48"/>
      <c r="X48"/>
      <c r="Y48"/>
      <c r="Z48"/>
      <c r="AA48"/>
      <c r="AB48"/>
      <c r="AC48"/>
      <c r="AD48"/>
      <c r="AE48"/>
      <c r="AF48"/>
      <c r="AG48"/>
      <c r="AH48"/>
      <c r="AI48"/>
      <c r="AJ48"/>
      <c r="AK48"/>
      <c r="AL48"/>
      <c r="AM48"/>
      <c r="AN48"/>
      <c r="AO48"/>
    </row>
    <row r="49" spans="1:41" ht="15" customHeight="1">
      <c r="A49" s="2">
        <v>46</v>
      </c>
      <c r="B49" s="2"/>
      <c r="C49" s="3">
        <f>ProjectInput[[#This Row],[Retrofit Cost]]</f>
        <v>0</v>
      </c>
      <c r="D49" s="2">
        <f>ProjectInput[[#This Row],[Proposed Fixture Quantity]]</f>
        <v>0</v>
      </c>
      <c r="E49" s="2" t="str">
        <f>CONCATENATE("Replace ", ReviewCalcs[[#This Row],[Existing Fixture Code]], " with ", ReviewCalcs[[#This Row],[Proposed Fixture Code]])</f>
        <v>Replace 0 with 0</v>
      </c>
      <c r="F49" s="2">
        <f>ReviewCalcs[[#This Row],[Measure Type]]</f>
        <v>0</v>
      </c>
      <c r="G49" s="2" t="str">
        <f>IF(Instructions!$F$25="Post-Retrofit","Completed","Recommended")</f>
        <v>Recommended</v>
      </c>
      <c r="H49" s="4">
        <f>ReviewCalcs[[#This Row],[Incentive Total Energy Savings (kWh)]]</f>
        <v>0</v>
      </c>
      <c r="I49" s="2">
        <f>ReviewCalcs[[#This Row],[Incentive Total Demand Savings (kW)]]</f>
        <v>0</v>
      </c>
      <c r="J49" s="3">
        <f>ProjectInput[[#This Row],[Energy Cost Savings ($)]]</f>
        <v>0</v>
      </c>
      <c r="K49" s="3">
        <f>ProjectInput[[#This Row],[Incentive ($)]]</f>
        <v>0</v>
      </c>
      <c r="L49" s="13">
        <f t="shared" si="1"/>
        <v>0</v>
      </c>
      <c r="M49" s="3"/>
      <c r="N49" s="3"/>
      <c r="O49" s="3"/>
      <c r="P49" s="3"/>
      <c r="Q49" s="3"/>
      <c r="R49" s="3"/>
      <c r="S49" s="3"/>
      <c r="T49" s="2"/>
      <c r="U49" s="133">
        <f>ProjectInput[[#This Row],[Location]]</f>
        <v>0</v>
      </c>
      <c r="V49" s="278">
        <f>ProjectInput[[#This Row],[Existing Fixture Code]]</f>
        <v>0</v>
      </c>
      <c r="W49"/>
      <c r="X49"/>
      <c r="Y49"/>
      <c r="Z49"/>
      <c r="AA49"/>
      <c r="AB49"/>
      <c r="AC49"/>
      <c r="AD49"/>
      <c r="AE49"/>
      <c r="AF49"/>
      <c r="AG49"/>
      <c r="AH49"/>
      <c r="AI49"/>
      <c r="AJ49"/>
      <c r="AK49"/>
      <c r="AL49"/>
      <c r="AM49"/>
      <c r="AN49"/>
      <c r="AO49"/>
    </row>
    <row r="50" spans="1:41" ht="15" customHeight="1">
      <c r="A50" s="2">
        <v>47</v>
      </c>
      <c r="B50" s="2"/>
      <c r="C50" s="3">
        <f>ProjectInput[[#This Row],[Retrofit Cost]]</f>
        <v>0</v>
      </c>
      <c r="D50" s="2">
        <f>ProjectInput[[#This Row],[Proposed Fixture Quantity]]</f>
        <v>0</v>
      </c>
      <c r="E50" s="2" t="str">
        <f>CONCATENATE("Replace ", ReviewCalcs[[#This Row],[Existing Fixture Code]], " with ", ReviewCalcs[[#This Row],[Proposed Fixture Code]])</f>
        <v>Replace 0 with 0</v>
      </c>
      <c r="F50" s="2">
        <f>ReviewCalcs[[#This Row],[Measure Type]]</f>
        <v>0</v>
      </c>
      <c r="G50" s="2" t="str">
        <f>IF(Instructions!$F$25="Post-Retrofit","Completed","Recommended")</f>
        <v>Recommended</v>
      </c>
      <c r="H50" s="4">
        <f>ReviewCalcs[[#This Row],[Incentive Total Energy Savings (kWh)]]</f>
        <v>0</v>
      </c>
      <c r="I50" s="2">
        <f>ReviewCalcs[[#This Row],[Incentive Total Demand Savings (kW)]]</f>
        <v>0</v>
      </c>
      <c r="J50" s="3">
        <f>ProjectInput[[#This Row],[Energy Cost Savings ($)]]</f>
        <v>0</v>
      </c>
      <c r="K50" s="3">
        <f>ProjectInput[[#This Row],[Incentive ($)]]</f>
        <v>0</v>
      </c>
      <c r="L50" s="13">
        <f t="shared" si="1"/>
        <v>0</v>
      </c>
      <c r="M50" s="3"/>
      <c r="N50" s="3"/>
      <c r="O50" s="3"/>
      <c r="P50" s="3"/>
      <c r="Q50" s="3"/>
      <c r="R50" s="3"/>
      <c r="S50" s="3"/>
      <c r="T50" s="2"/>
      <c r="U50" s="133">
        <f>ProjectInput[[#This Row],[Location]]</f>
        <v>0</v>
      </c>
      <c r="V50" s="278">
        <f>ProjectInput[[#This Row],[Existing Fixture Code]]</f>
        <v>0</v>
      </c>
      <c r="W50"/>
      <c r="X50"/>
      <c r="Y50"/>
      <c r="Z50"/>
      <c r="AA50"/>
      <c r="AB50"/>
      <c r="AC50"/>
      <c r="AD50"/>
      <c r="AE50"/>
      <c r="AF50"/>
      <c r="AG50"/>
      <c r="AH50"/>
      <c r="AI50"/>
      <c r="AJ50"/>
      <c r="AK50"/>
      <c r="AL50"/>
      <c r="AM50"/>
      <c r="AN50"/>
      <c r="AO50"/>
    </row>
    <row r="51" spans="1:41" ht="15" customHeight="1">
      <c r="A51" s="2">
        <v>48</v>
      </c>
      <c r="B51" s="2"/>
      <c r="C51" s="3">
        <f>ProjectInput[[#This Row],[Retrofit Cost]]</f>
        <v>0</v>
      </c>
      <c r="D51" s="2">
        <f>ProjectInput[[#This Row],[Proposed Fixture Quantity]]</f>
        <v>0</v>
      </c>
      <c r="E51" s="2" t="str">
        <f>CONCATENATE("Replace ", ReviewCalcs[[#This Row],[Existing Fixture Code]], " with ", ReviewCalcs[[#This Row],[Proposed Fixture Code]])</f>
        <v>Replace 0 with 0</v>
      </c>
      <c r="F51" s="2">
        <f>ReviewCalcs[[#This Row],[Measure Type]]</f>
        <v>0</v>
      </c>
      <c r="G51" s="2" t="str">
        <f>IF(Instructions!$F$25="Post-Retrofit","Completed","Recommended")</f>
        <v>Recommended</v>
      </c>
      <c r="H51" s="4">
        <f>ReviewCalcs[[#This Row],[Incentive Total Energy Savings (kWh)]]</f>
        <v>0</v>
      </c>
      <c r="I51" s="2">
        <f>ReviewCalcs[[#This Row],[Incentive Total Demand Savings (kW)]]</f>
        <v>0</v>
      </c>
      <c r="J51" s="3">
        <f>ProjectInput[[#This Row],[Energy Cost Savings ($)]]</f>
        <v>0</v>
      </c>
      <c r="K51" s="3">
        <f>ProjectInput[[#This Row],[Incentive ($)]]</f>
        <v>0</v>
      </c>
      <c r="L51" s="13">
        <f t="shared" si="1"/>
        <v>0</v>
      </c>
      <c r="M51" s="3"/>
      <c r="N51" s="3"/>
      <c r="O51" s="3"/>
      <c r="P51" s="3"/>
      <c r="Q51" s="3"/>
      <c r="R51" s="3"/>
      <c r="S51" s="3"/>
      <c r="T51" s="2"/>
      <c r="U51" s="133">
        <f>ProjectInput[[#This Row],[Location]]</f>
        <v>0</v>
      </c>
      <c r="V51" s="278">
        <f>ProjectInput[[#This Row],[Existing Fixture Code]]</f>
        <v>0</v>
      </c>
      <c r="W51"/>
      <c r="X51"/>
      <c r="Y51"/>
      <c r="Z51"/>
      <c r="AA51"/>
      <c r="AB51"/>
      <c r="AC51"/>
      <c r="AD51"/>
      <c r="AE51"/>
      <c r="AF51"/>
      <c r="AG51"/>
      <c r="AH51"/>
      <c r="AI51"/>
      <c r="AJ51"/>
      <c r="AK51"/>
      <c r="AL51"/>
      <c r="AM51"/>
      <c r="AN51"/>
      <c r="AO51"/>
    </row>
    <row r="52" spans="1:41" ht="15" customHeight="1">
      <c r="A52" s="2">
        <v>49</v>
      </c>
      <c r="B52" s="2"/>
      <c r="C52" s="3">
        <f>ProjectInput[[#This Row],[Retrofit Cost]]</f>
        <v>0</v>
      </c>
      <c r="D52" s="2">
        <f>ProjectInput[[#This Row],[Proposed Fixture Quantity]]</f>
        <v>0</v>
      </c>
      <c r="E52" s="2" t="str">
        <f>CONCATENATE("Replace ", ReviewCalcs[[#This Row],[Existing Fixture Code]], " with ", ReviewCalcs[[#This Row],[Proposed Fixture Code]])</f>
        <v>Replace 0 with 0</v>
      </c>
      <c r="F52" s="2">
        <f>ReviewCalcs[[#This Row],[Measure Type]]</f>
        <v>0</v>
      </c>
      <c r="G52" s="2" t="str">
        <f>IF(Instructions!$F$25="Post-Retrofit","Completed","Recommended")</f>
        <v>Recommended</v>
      </c>
      <c r="H52" s="4">
        <f>ReviewCalcs[[#This Row],[Incentive Total Energy Savings (kWh)]]</f>
        <v>0</v>
      </c>
      <c r="I52" s="2">
        <f>ReviewCalcs[[#This Row],[Incentive Total Demand Savings (kW)]]</f>
        <v>0</v>
      </c>
      <c r="J52" s="3">
        <f>ProjectInput[[#This Row],[Energy Cost Savings ($)]]</f>
        <v>0</v>
      </c>
      <c r="K52" s="3">
        <f>ProjectInput[[#This Row],[Incentive ($)]]</f>
        <v>0</v>
      </c>
      <c r="L52" s="13">
        <f t="shared" si="1"/>
        <v>0</v>
      </c>
      <c r="M52" s="3"/>
      <c r="N52" s="3"/>
      <c r="O52" s="3"/>
      <c r="P52" s="3"/>
      <c r="Q52" s="3"/>
      <c r="R52" s="3"/>
      <c r="S52" s="3"/>
      <c r="T52" s="2"/>
      <c r="U52" s="133">
        <f>ProjectInput[[#This Row],[Location]]</f>
        <v>0</v>
      </c>
      <c r="V52" s="278">
        <f>ProjectInput[[#This Row],[Existing Fixture Code]]</f>
        <v>0</v>
      </c>
      <c r="W52"/>
      <c r="X52"/>
      <c r="Y52"/>
      <c r="Z52"/>
      <c r="AA52"/>
      <c r="AB52"/>
      <c r="AC52"/>
      <c r="AD52"/>
      <c r="AE52"/>
      <c r="AF52"/>
      <c r="AG52"/>
      <c r="AH52"/>
      <c r="AI52"/>
      <c r="AJ52"/>
      <c r="AK52"/>
      <c r="AL52"/>
      <c r="AM52"/>
      <c r="AN52"/>
      <c r="AO52"/>
    </row>
    <row r="53" spans="1:41" ht="15" customHeight="1">
      <c r="A53" s="2">
        <v>50</v>
      </c>
      <c r="B53" s="2"/>
      <c r="C53" s="3">
        <f>ProjectInput[[#This Row],[Retrofit Cost]]</f>
        <v>0</v>
      </c>
      <c r="D53" s="2">
        <f>ProjectInput[[#This Row],[Proposed Fixture Quantity]]</f>
        <v>0</v>
      </c>
      <c r="E53" s="2" t="str">
        <f>CONCATENATE("Replace ", ReviewCalcs[[#This Row],[Existing Fixture Code]], " with ", ReviewCalcs[[#This Row],[Proposed Fixture Code]])</f>
        <v>Replace 0 with 0</v>
      </c>
      <c r="F53" s="2">
        <f>ReviewCalcs[[#This Row],[Measure Type]]</f>
        <v>0</v>
      </c>
      <c r="G53" s="2" t="str">
        <f>IF(Instructions!$F$25="Post-Retrofit","Completed","Recommended")</f>
        <v>Recommended</v>
      </c>
      <c r="H53" s="4">
        <f>ReviewCalcs[[#This Row],[Incentive Total Energy Savings (kWh)]]</f>
        <v>0</v>
      </c>
      <c r="I53" s="2">
        <f>ReviewCalcs[[#This Row],[Incentive Total Demand Savings (kW)]]</f>
        <v>0</v>
      </c>
      <c r="J53" s="3">
        <f>ProjectInput[[#This Row],[Energy Cost Savings ($)]]</f>
        <v>0</v>
      </c>
      <c r="K53" s="3">
        <f>ProjectInput[[#This Row],[Incentive ($)]]</f>
        <v>0</v>
      </c>
      <c r="L53" s="13">
        <f t="shared" si="1"/>
        <v>0</v>
      </c>
      <c r="M53" s="3"/>
      <c r="N53" s="3"/>
      <c r="O53" s="3"/>
      <c r="P53" s="3"/>
      <c r="Q53" s="3"/>
      <c r="R53" s="3"/>
      <c r="S53" s="3"/>
      <c r="T53" s="2"/>
      <c r="U53" s="133">
        <f>ProjectInput[[#This Row],[Location]]</f>
        <v>0</v>
      </c>
      <c r="V53" s="278">
        <f>ProjectInput[[#This Row],[Existing Fixture Code]]</f>
        <v>0</v>
      </c>
      <c r="W53"/>
      <c r="X53"/>
      <c r="Y53"/>
      <c r="Z53"/>
      <c r="AA53"/>
      <c r="AB53"/>
      <c r="AC53"/>
      <c r="AD53"/>
      <c r="AE53"/>
      <c r="AF53"/>
      <c r="AG53"/>
      <c r="AH53"/>
      <c r="AI53"/>
      <c r="AJ53"/>
      <c r="AK53"/>
      <c r="AL53"/>
      <c r="AM53"/>
      <c r="AN53"/>
      <c r="AO53"/>
    </row>
    <row r="54" spans="1:41" ht="15" customHeight="1">
      <c r="A54" s="2">
        <v>51</v>
      </c>
      <c r="B54" s="2"/>
      <c r="C54" s="3">
        <f>ProjectInput[[#This Row],[Retrofit Cost]]</f>
        <v>0</v>
      </c>
      <c r="D54" s="2">
        <f>ProjectInput[[#This Row],[Proposed Fixture Quantity]]</f>
        <v>0</v>
      </c>
      <c r="E54" s="2" t="str">
        <f>CONCATENATE("Replace ", ReviewCalcs[[#This Row],[Existing Fixture Code]], " with ", ReviewCalcs[[#This Row],[Proposed Fixture Code]])</f>
        <v>Replace 0 with 0</v>
      </c>
      <c r="F54" s="2">
        <f>ReviewCalcs[[#This Row],[Measure Type]]</f>
        <v>0</v>
      </c>
      <c r="G54" s="2" t="str">
        <f>IF(Instructions!$F$25="Post-Retrofit","Completed","Recommended")</f>
        <v>Recommended</v>
      </c>
      <c r="H54" s="4">
        <f>ReviewCalcs[[#This Row],[Incentive Total Energy Savings (kWh)]]</f>
        <v>0</v>
      </c>
      <c r="I54" s="2">
        <f>ReviewCalcs[[#This Row],[Incentive Total Demand Savings (kW)]]</f>
        <v>0</v>
      </c>
      <c r="J54" s="3">
        <f>ProjectInput[[#This Row],[Energy Cost Savings ($)]]</f>
        <v>0</v>
      </c>
      <c r="K54" s="3">
        <f>ProjectInput[[#This Row],[Incentive ($)]]</f>
        <v>0</v>
      </c>
      <c r="L54" s="13">
        <f t="shared" si="1"/>
        <v>0</v>
      </c>
      <c r="M54" s="3"/>
      <c r="N54" s="3"/>
      <c r="O54" s="3"/>
      <c r="P54" s="3"/>
      <c r="Q54" s="3"/>
      <c r="R54" s="3"/>
      <c r="S54" s="3"/>
      <c r="T54" s="2"/>
      <c r="U54" s="133">
        <f>ProjectInput[[#This Row],[Location]]</f>
        <v>0</v>
      </c>
      <c r="V54" s="278">
        <f>ProjectInput[[#This Row],[Existing Fixture Code]]</f>
        <v>0</v>
      </c>
      <c r="W54"/>
      <c r="X54"/>
      <c r="Y54"/>
      <c r="Z54"/>
      <c r="AA54"/>
      <c r="AB54"/>
      <c r="AC54"/>
      <c r="AD54"/>
      <c r="AE54"/>
      <c r="AF54"/>
      <c r="AG54"/>
      <c r="AH54"/>
      <c r="AI54"/>
      <c r="AJ54"/>
      <c r="AK54"/>
      <c r="AL54"/>
      <c r="AM54"/>
      <c r="AN54"/>
      <c r="AO54"/>
    </row>
    <row r="55" spans="1:41" ht="15" customHeight="1">
      <c r="A55" s="2">
        <v>52</v>
      </c>
      <c r="B55" s="2"/>
      <c r="C55" s="3">
        <f>ProjectInput[[#This Row],[Retrofit Cost]]</f>
        <v>0</v>
      </c>
      <c r="D55" s="2">
        <f>ProjectInput[[#This Row],[Proposed Fixture Quantity]]</f>
        <v>0</v>
      </c>
      <c r="E55" s="2" t="str">
        <f>CONCATENATE("Replace ", ReviewCalcs[[#This Row],[Existing Fixture Code]], " with ", ReviewCalcs[[#This Row],[Proposed Fixture Code]])</f>
        <v>Replace 0 with 0</v>
      </c>
      <c r="F55" s="2">
        <f>ReviewCalcs[[#This Row],[Measure Type]]</f>
        <v>0</v>
      </c>
      <c r="G55" s="2" t="str">
        <f>IF(Instructions!$F$25="Post-Retrofit","Completed","Recommended")</f>
        <v>Recommended</v>
      </c>
      <c r="H55" s="4">
        <f>ReviewCalcs[[#This Row],[Incentive Total Energy Savings (kWh)]]</f>
        <v>0</v>
      </c>
      <c r="I55" s="2">
        <f>ReviewCalcs[[#This Row],[Incentive Total Demand Savings (kW)]]</f>
        <v>0</v>
      </c>
      <c r="J55" s="3">
        <f>ProjectInput[[#This Row],[Energy Cost Savings ($)]]</f>
        <v>0</v>
      </c>
      <c r="K55" s="3">
        <f>ProjectInput[[#This Row],[Incentive ($)]]</f>
        <v>0</v>
      </c>
      <c r="L55" s="13">
        <f t="shared" si="1"/>
        <v>0</v>
      </c>
      <c r="M55" s="3"/>
      <c r="N55" s="3"/>
      <c r="O55" s="3"/>
      <c r="P55" s="3"/>
      <c r="Q55" s="3"/>
      <c r="R55" s="3"/>
      <c r="S55" s="3"/>
      <c r="T55" s="2"/>
      <c r="U55" s="133">
        <f>ProjectInput[[#This Row],[Location]]</f>
        <v>0</v>
      </c>
      <c r="V55" s="278">
        <f>ProjectInput[[#This Row],[Existing Fixture Code]]</f>
        <v>0</v>
      </c>
      <c r="W55"/>
      <c r="X55"/>
      <c r="Y55"/>
      <c r="Z55"/>
      <c r="AA55"/>
      <c r="AB55"/>
      <c r="AC55"/>
      <c r="AD55"/>
      <c r="AE55"/>
      <c r="AF55"/>
      <c r="AG55"/>
      <c r="AH55"/>
      <c r="AI55"/>
      <c r="AJ55"/>
      <c r="AK55"/>
      <c r="AL55"/>
      <c r="AM55"/>
      <c r="AN55"/>
      <c r="AO55"/>
    </row>
    <row r="56" spans="1:41" ht="15" customHeight="1">
      <c r="A56" s="2">
        <v>53</v>
      </c>
      <c r="B56" s="2"/>
      <c r="C56" s="3">
        <f>ProjectInput[[#This Row],[Retrofit Cost]]</f>
        <v>0</v>
      </c>
      <c r="D56" s="2">
        <f>ProjectInput[[#This Row],[Proposed Fixture Quantity]]</f>
        <v>0</v>
      </c>
      <c r="E56" s="2" t="str">
        <f>CONCATENATE("Replace ", ReviewCalcs[[#This Row],[Existing Fixture Code]], " with ", ReviewCalcs[[#This Row],[Proposed Fixture Code]])</f>
        <v>Replace 0 with 0</v>
      </c>
      <c r="F56" s="2">
        <f>ReviewCalcs[[#This Row],[Measure Type]]</f>
        <v>0</v>
      </c>
      <c r="G56" s="2" t="str">
        <f>IF(Instructions!$F$25="Post-Retrofit","Completed","Recommended")</f>
        <v>Recommended</v>
      </c>
      <c r="H56" s="4">
        <f>ReviewCalcs[[#This Row],[Incentive Total Energy Savings (kWh)]]</f>
        <v>0</v>
      </c>
      <c r="I56" s="2">
        <f>ReviewCalcs[[#This Row],[Incentive Total Demand Savings (kW)]]</f>
        <v>0</v>
      </c>
      <c r="J56" s="3">
        <f>ProjectInput[[#This Row],[Energy Cost Savings ($)]]</f>
        <v>0</v>
      </c>
      <c r="K56" s="3">
        <f>ProjectInput[[#This Row],[Incentive ($)]]</f>
        <v>0</v>
      </c>
      <c r="L56" s="13">
        <f t="shared" si="1"/>
        <v>0</v>
      </c>
      <c r="M56" s="3"/>
      <c r="N56" s="3"/>
      <c r="O56" s="3"/>
      <c r="P56" s="3"/>
      <c r="Q56" s="3"/>
      <c r="R56" s="3"/>
      <c r="S56" s="3"/>
      <c r="T56" s="2"/>
      <c r="U56" s="133">
        <f>ProjectInput[[#This Row],[Location]]</f>
        <v>0</v>
      </c>
      <c r="V56" s="278">
        <f>ProjectInput[[#This Row],[Existing Fixture Code]]</f>
        <v>0</v>
      </c>
      <c r="W56"/>
      <c r="X56"/>
      <c r="Y56"/>
      <c r="Z56"/>
      <c r="AA56"/>
      <c r="AB56"/>
      <c r="AC56"/>
      <c r="AD56"/>
      <c r="AE56"/>
      <c r="AF56"/>
      <c r="AG56"/>
      <c r="AH56"/>
      <c r="AI56"/>
      <c r="AJ56"/>
      <c r="AK56"/>
      <c r="AL56"/>
      <c r="AM56"/>
      <c r="AN56"/>
      <c r="AO56"/>
    </row>
    <row r="57" spans="1:41" ht="15" customHeight="1">
      <c r="A57" s="2">
        <v>54</v>
      </c>
      <c r="B57" s="2"/>
      <c r="C57" s="3">
        <f>ProjectInput[[#This Row],[Retrofit Cost]]</f>
        <v>0</v>
      </c>
      <c r="D57" s="2">
        <f>ProjectInput[[#This Row],[Proposed Fixture Quantity]]</f>
        <v>0</v>
      </c>
      <c r="E57" s="2" t="str">
        <f>CONCATENATE("Replace ", ReviewCalcs[[#This Row],[Existing Fixture Code]], " with ", ReviewCalcs[[#This Row],[Proposed Fixture Code]])</f>
        <v>Replace 0 with 0</v>
      </c>
      <c r="F57" s="2">
        <f>ReviewCalcs[[#This Row],[Measure Type]]</f>
        <v>0</v>
      </c>
      <c r="G57" s="2" t="str">
        <f>IF(Instructions!$F$25="Post-Retrofit","Completed","Recommended")</f>
        <v>Recommended</v>
      </c>
      <c r="H57" s="4">
        <f>ReviewCalcs[[#This Row],[Incentive Total Energy Savings (kWh)]]</f>
        <v>0</v>
      </c>
      <c r="I57" s="2">
        <f>ReviewCalcs[[#This Row],[Incentive Total Demand Savings (kW)]]</f>
        <v>0</v>
      </c>
      <c r="J57" s="3">
        <f>ProjectInput[[#This Row],[Energy Cost Savings ($)]]</f>
        <v>0</v>
      </c>
      <c r="K57" s="3">
        <f>ProjectInput[[#This Row],[Incentive ($)]]</f>
        <v>0</v>
      </c>
      <c r="L57" s="13">
        <f t="shared" si="1"/>
        <v>0</v>
      </c>
      <c r="M57" s="3"/>
      <c r="N57" s="3"/>
      <c r="O57" s="3"/>
      <c r="P57" s="3"/>
      <c r="Q57" s="3"/>
      <c r="R57" s="3"/>
      <c r="S57" s="3"/>
      <c r="T57" s="2"/>
      <c r="U57" s="133">
        <f>ProjectInput[[#This Row],[Location]]</f>
        <v>0</v>
      </c>
      <c r="V57" s="278">
        <f>ProjectInput[[#This Row],[Existing Fixture Code]]</f>
        <v>0</v>
      </c>
      <c r="W57"/>
      <c r="X57"/>
      <c r="Y57"/>
      <c r="Z57"/>
      <c r="AA57"/>
      <c r="AB57"/>
      <c r="AC57"/>
      <c r="AD57"/>
      <c r="AE57"/>
      <c r="AF57"/>
      <c r="AG57"/>
      <c r="AH57"/>
      <c r="AI57"/>
      <c r="AJ57"/>
      <c r="AK57"/>
      <c r="AL57"/>
      <c r="AM57"/>
      <c r="AN57"/>
      <c r="AO57"/>
    </row>
    <row r="58" spans="1:41" ht="15" customHeight="1">
      <c r="A58" s="2">
        <v>55</v>
      </c>
      <c r="B58" s="2"/>
      <c r="C58" s="3">
        <f>ProjectInput[[#This Row],[Retrofit Cost]]</f>
        <v>0</v>
      </c>
      <c r="D58" s="2">
        <f>ProjectInput[[#This Row],[Proposed Fixture Quantity]]</f>
        <v>0</v>
      </c>
      <c r="E58" s="2" t="str">
        <f>CONCATENATE("Replace ", ReviewCalcs[[#This Row],[Existing Fixture Code]], " with ", ReviewCalcs[[#This Row],[Proposed Fixture Code]])</f>
        <v>Replace 0 with 0</v>
      </c>
      <c r="F58" s="2">
        <f>ReviewCalcs[[#This Row],[Measure Type]]</f>
        <v>0</v>
      </c>
      <c r="G58" s="2" t="str">
        <f>IF(Instructions!$F$25="Post-Retrofit","Completed","Recommended")</f>
        <v>Recommended</v>
      </c>
      <c r="H58" s="4">
        <f>ReviewCalcs[[#This Row],[Incentive Total Energy Savings (kWh)]]</f>
        <v>0</v>
      </c>
      <c r="I58" s="2">
        <f>ReviewCalcs[[#This Row],[Incentive Total Demand Savings (kW)]]</f>
        <v>0</v>
      </c>
      <c r="J58" s="3">
        <f>ProjectInput[[#This Row],[Energy Cost Savings ($)]]</f>
        <v>0</v>
      </c>
      <c r="K58" s="3">
        <f>ProjectInput[[#This Row],[Incentive ($)]]</f>
        <v>0</v>
      </c>
      <c r="L58" s="13">
        <f t="shared" si="1"/>
        <v>0</v>
      </c>
      <c r="M58" s="3"/>
      <c r="N58" s="3"/>
      <c r="O58" s="3"/>
      <c r="P58" s="3"/>
      <c r="Q58" s="3"/>
      <c r="R58" s="3"/>
      <c r="S58" s="3"/>
      <c r="T58" s="2"/>
      <c r="U58" s="133">
        <f>ProjectInput[[#This Row],[Location]]</f>
        <v>0</v>
      </c>
      <c r="V58" s="278">
        <f>ProjectInput[[#This Row],[Existing Fixture Code]]</f>
        <v>0</v>
      </c>
      <c r="W58"/>
      <c r="X58"/>
      <c r="Y58"/>
      <c r="Z58"/>
      <c r="AA58"/>
      <c r="AB58"/>
      <c r="AC58"/>
      <c r="AD58"/>
      <c r="AE58"/>
      <c r="AF58"/>
      <c r="AG58"/>
      <c r="AH58"/>
      <c r="AI58"/>
      <c r="AJ58"/>
      <c r="AK58"/>
      <c r="AL58"/>
      <c r="AM58"/>
      <c r="AN58"/>
      <c r="AO58"/>
    </row>
    <row r="59" spans="1:41" ht="15" customHeight="1">
      <c r="A59" s="2">
        <v>56</v>
      </c>
      <c r="B59" s="2"/>
      <c r="C59" s="3">
        <f>ProjectInput[[#This Row],[Retrofit Cost]]</f>
        <v>0</v>
      </c>
      <c r="D59" s="2">
        <f>ProjectInput[[#This Row],[Proposed Fixture Quantity]]</f>
        <v>0</v>
      </c>
      <c r="E59" s="2" t="str">
        <f>CONCATENATE("Replace ", ReviewCalcs[[#This Row],[Existing Fixture Code]], " with ", ReviewCalcs[[#This Row],[Proposed Fixture Code]])</f>
        <v>Replace 0 with 0</v>
      </c>
      <c r="F59" s="2">
        <f>ReviewCalcs[[#This Row],[Measure Type]]</f>
        <v>0</v>
      </c>
      <c r="G59" s="2" t="str">
        <f>IF(Instructions!$F$25="Post-Retrofit","Completed","Recommended")</f>
        <v>Recommended</v>
      </c>
      <c r="H59" s="4">
        <f>ReviewCalcs[[#This Row],[Incentive Total Energy Savings (kWh)]]</f>
        <v>0</v>
      </c>
      <c r="I59" s="2">
        <f>ReviewCalcs[[#This Row],[Incentive Total Demand Savings (kW)]]</f>
        <v>0</v>
      </c>
      <c r="J59" s="3">
        <f>ProjectInput[[#This Row],[Energy Cost Savings ($)]]</f>
        <v>0</v>
      </c>
      <c r="K59" s="3">
        <f>ProjectInput[[#This Row],[Incentive ($)]]</f>
        <v>0</v>
      </c>
      <c r="L59" s="13">
        <f t="shared" si="1"/>
        <v>0</v>
      </c>
      <c r="M59" s="3"/>
      <c r="N59" s="3"/>
      <c r="O59" s="3"/>
      <c r="P59" s="3"/>
      <c r="Q59" s="3"/>
      <c r="R59" s="3"/>
      <c r="S59" s="3"/>
      <c r="T59" s="2"/>
      <c r="U59" s="133">
        <f>ProjectInput[[#This Row],[Location]]</f>
        <v>0</v>
      </c>
      <c r="V59" s="278">
        <f>ProjectInput[[#This Row],[Existing Fixture Code]]</f>
        <v>0</v>
      </c>
      <c r="W59"/>
      <c r="X59"/>
      <c r="Y59"/>
      <c r="Z59"/>
      <c r="AA59"/>
      <c r="AB59"/>
      <c r="AC59"/>
      <c r="AD59"/>
      <c r="AE59"/>
      <c r="AF59"/>
      <c r="AG59"/>
      <c r="AH59"/>
      <c r="AI59"/>
      <c r="AJ59"/>
      <c r="AK59"/>
      <c r="AL59"/>
      <c r="AM59"/>
      <c r="AN59"/>
      <c r="AO59"/>
    </row>
    <row r="60" spans="1:41" ht="15" customHeight="1">
      <c r="A60" s="2">
        <v>57</v>
      </c>
      <c r="B60" s="2"/>
      <c r="C60" s="3">
        <f>ProjectInput[[#This Row],[Retrofit Cost]]</f>
        <v>0</v>
      </c>
      <c r="D60" s="2">
        <f>ProjectInput[[#This Row],[Proposed Fixture Quantity]]</f>
        <v>0</v>
      </c>
      <c r="E60" s="2" t="str">
        <f>CONCATENATE("Replace ", ReviewCalcs[[#This Row],[Existing Fixture Code]], " with ", ReviewCalcs[[#This Row],[Proposed Fixture Code]])</f>
        <v>Replace 0 with 0</v>
      </c>
      <c r="F60" s="2">
        <f>ReviewCalcs[[#This Row],[Measure Type]]</f>
        <v>0</v>
      </c>
      <c r="G60" s="2" t="str">
        <f>IF(Instructions!$F$25="Post-Retrofit","Completed","Recommended")</f>
        <v>Recommended</v>
      </c>
      <c r="H60" s="4">
        <f>ReviewCalcs[[#This Row],[Incentive Total Energy Savings (kWh)]]</f>
        <v>0</v>
      </c>
      <c r="I60" s="2">
        <f>ReviewCalcs[[#This Row],[Incentive Total Demand Savings (kW)]]</f>
        <v>0</v>
      </c>
      <c r="J60" s="3">
        <f>ProjectInput[[#This Row],[Energy Cost Savings ($)]]</f>
        <v>0</v>
      </c>
      <c r="K60" s="3">
        <f>ProjectInput[[#This Row],[Incentive ($)]]</f>
        <v>0</v>
      </c>
      <c r="L60" s="13">
        <f t="shared" si="1"/>
        <v>0</v>
      </c>
      <c r="M60" s="3"/>
      <c r="N60" s="3"/>
      <c r="O60" s="3"/>
      <c r="P60" s="3"/>
      <c r="Q60" s="3"/>
      <c r="R60" s="3"/>
      <c r="S60" s="3"/>
      <c r="T60" s="2"/>
      <c r="U60" s="133">
        <f>ProjectInput[[#This Row],[Location]]</f>
        <v>0</v>
      </c>
      <c r="V60" s="278">
        <f>ProjectInput[[#This Row],[Existing Fixture Code]]</f>
        <v>0</v>
      </c>
      <c r="W60"/>
      <c r="X60"/>
      <c r="Y60"/>
      <c r="Z60"/>
      <c r="AA60"/>
      <c r="AB60"/>
      <c r="AC60"/>
      <c r="AD60"/>
      <c r="AE60"/>
      <c r="AF60"/>
      <c r="AG60"/>
      <c r="AH60"/>
      <c r="AI60"/>
      <c r="AJ60"/>
      <c r="AK60"/>
      <c r="AL60"/>
      <c r="AM60"/>
      <c r="AN60"/>
      <c r="AO60"/>
    </row>
    <row r="61" spans="1:41" ht="15" customHeight="1">
      <c r="A61" s="2">
        <v>58</v>
      </c>
      <c r="B61" s="2"/>
      <c r="C61" s="3">
        <f>ProjectInput[[#This Row],[Retrofit Cost]]</f>
        <v>0</v>
      </c>
      <c r="D61" s="2">
        <f>ProjectInput[[#This Row],[Proposed Fixture Quantity]]</f>
        <v>0</v>
      </c>
      <c r="E61" s="2" t="str">
        <f>CONCATENATE("Replace ", ReviewCalcs[[#This Row],[Existing Fixture Code]], " with ", ReviewCalcs[[#This Row],[Proposed Fixture Code]])</f>
        <v>Replace 0 with 0</v>
      </c>
      <c r="F61" s="2">
        <f>ReviewCalcs[[#This Row],[Measure Type]]</f>
        <v>0</v>
      </c>
      <c r="G61" s="2" t="str">
        <f>IF(Instructions!$F$25="Post-Retrofit","Completed","Recommended")</f>
        <v>Recommended</v>
      </c>
      <c r="H61" s="4">
        <f>ReviewCalcs[[#This Row],[Incentive Total Energy Savings (kWh)]]</f>
        <v>0</v>
      </c>
      <c r="I61" s="2">
        <f>ReviewCalcs[[#This Row],[Incentive Total Demand Savings (kW)]]</f>
        <v>0</v>
      </c>
      <c r="J61" s="3">
        <f>ProjectInput[[#This Row],[Energy Cost Savings ($)]]</f>
        <v>0</v>
      </c>
      <c r="K61" s="3">
        <f>ProjectInput[[#This Row],[Incentive ($)]]</f>
        <v>0</v>
      </c>
      <c r="L61" s="13">
        <f t="shared" si="1"/>
        <v>0</v>
      </c>
      <c r="M61" s="3"/>
      <c r="N61" s="3"/>
      <c r="O61" s="3"/>
      <c r="P61" s="3"/>
      <c r="Q61" s="3"/>
      <c r="R61" s="3"/>
      <c r="S61" s="3"/>
      <c r="T61" s="2"/>
      <c r="U61" s="133">
        <f>ProjectInput[[#This Row],[Location]]</f>
        <v>0</v>
      </c>
      <c r="V61" s="278">
        <f>ProjectInput[[#This Row],[Existing Fixture Code]]</f>
        <v>0</v>
      </c>
      <c r="W61"/>
      <c r="X61"/>
      <c r="Y61"/>
      <c r="Z61"/>
      <c r="AA61"/>
      <c r="AB61"/>
      <c r="AC61"/>
      <c r="AD61"/>
      <c r="AE61"/>
      <c r="AF61"/>
      <c r="AG61"/>
      <c r="AH61"/>
      <c r="AI61"/>
      <c r="AJ61"/>
      <c r="AK61"/>
      <c r="AL61"/>
      <c r="AM61"/>
      <c r="AN61"/>
      <c r="AO61"/>
    </row>
    <row r="62" spans="1:41" ht="15" customHeight="1">
      <c r="A62" s="2">
        <v>59</v>
      </c>
      <c r="B62" s="2"/>
      <c r="C62" s="3">
        <f>ProjectInput[[#This Row],[Retrofit Cost]]</f>
        <v>0</v>
      </c>
      <c r="D62" s="2">
        <f>ProjectInput[[#This Row],[Proposed Fixture Quantity]]</f>
        <v>0</v>
      </c>
      <c r="E62" s="2" t="str">
        <f>CONCATENATE("Replace ", ReviewCalcs[[#This Row],[Existing Fixture Code]], " with ", ReviewCalcs[[#This Row],[Proposed Fixture Code]])</f>
        <v>Replace 0 with 0</v>
      </c>
      <c r="F62" s="2">
        <f>ReviewCalcs[[#This Row],[Measure Type]]</f>
        <v>0</v>
      </c>
      <c r="G62" s="2" t="str">
        <f>IF(Instructions!$F$25="Post-Retrofit","Completed","Recommended")</f>
        <v>Recommended</v>
      </c>
      <c r="H62" s="4">
        <f>ReviewCalcs[[#This Row],[Incentive Total Energy Savings (kWh)]]</f>
        <v>0</v>
      </c>
      <c r="I62" s="2">
        <f>ReviewCalcs[[#This Row],[Incentive Total Demand Savings (kW)]]</f>
        <v>0</v>
      </c>
      <c r="J62" s="3">
        <f>ProjectInput[[#This Row],[Energy Cost Savings ($)]]</f>
        <v>0</v>
      </c>
      <c r="K62" s="3">
        <f>ProjectInput[[#This Row],[Incentive ($)]]</f>
        <v>0</v>
      </c>
      <c r="L62" s="13">
        <f t="shared" si="1"/>
        <v>0</v>
      </c>
      <c r="M62" s="3"/>
      <c r="N62" s="3"/>
      <c r="O62" s="3"/>
      <c r="P62" s="3"/>
      <c r="Q62" s="3"/>
      <c r="R62" s="3"/>
      <c r="S62" s="3"/>
      <c r="T62" s="2"/>
      <c r="U62" s="133">
        <f>ProjectInput[[#This Row],[Location]]</f>
        <v>0</v>
      </c>
      <c r="V62" s="278">
        <f>ProjectInput[[#This Row],[Existing Fixture Code]]</f>
        <v>0</v>
      </c>
      <c r="W62"/>
      <c r="X62"/>
      <c r="Y62"/>
      <c r="Z62"/>
      <c r="AA62"/>
      <c r="AB62"/>
      <c r="AC62"/>
      <c r="AD62"/>
      <c r="AE62"/>
      <c r="AF62"/>
      <c r="AG62"/>
      <c r="AH62"/>
      <c r="AI62"/>
      <c r="AJ62"/>
      <c r="AK62"/>
      <c r="AL62"/>
      <c r="AM62"/>
      <c r="AN62"/>
      <c r="AO62"/>
    </row>
    <row r="63" spans="1:41" ht="15" customHeight="1">
      <c r="A63" s="2">
        <v>60</v>
      </c>
      <c r="B63" s="2"/>
      <c r="C63" s="3">
        <f>ProjectInput[[#This Row],[Retrofit Cost]]</f>
        <v>0</v>
      </c>
      <c r="D63" s="2">
        <f>ProjectInput[[#This Row],[Proposed Fixture Quantity]]</f>
        <v>0</v>
      </c>
      <c r="E63" s="2" t="str">
        <f>CONCATENATE("Replace ", ReviewCalcs[[#This Row],[Existing Fixture Code]], " with ", ReviewCalcs[[#This Row],[Proposed Fixture Code]])</f>
        <v>Replace 0 with 0</v>
      </c>
      <c r="F63" s="2">
        <f>ReviewCalcs[[#This Row],[Measure Type]]</f>
        <v>0</v>
      </c>
      <c r="G63" s="2" t="str">
        <f>IF(Instructions!$F$25="Post-Retrofit","Completed","Recommended")</f>
        <v>Recommended</v>
      </c>
      <c r="H63" s="4">
        <f>ReviewCalcs[[#This Row],[Incentive Total Energy Savings (kWh)]]</f>
        <v>0</v>
      </c>
      <c r="I63" s="2">
        <f>ReviewCalcs[[#This Row],[Incentive Total Demand Savings (kW)]]</f>
        <v>0</v>
      </c>
      <c r="J63" s="3">
        <f>ProjectInput[[#This Row],[Energy Cost Savings ($)]]</f>
        <v>0</v>
      </c>
      <c r="K63" s="3">
        <f>ProjectInput[[#This Row],[Incentive ($)]]</f>
        <v>0</v>
      </c>
      <c r="L63" s="13">
        <f t="shared" si="1"/>
        <v>0</v>
      </c>
      <c r="M63" s="3"/>
      <c r="N63" s="3"/>
      <c r="O63" s="3"/>
      <c r="P63" s="3"/>
      <c r="Q63" s="3"/>
      <c r="R63" s="3"/>
      <c r="S63" s="3"/>
      <c r="T63" s="2"/>
      <c r="U63" s="133">
        <f>ProjectInput[[#This Row],[Location]]</f>
        <v>0</v>
      </c>
      <c r="V63" s="278">
        <f>ProjectInput[[#This Row],[Existing Fixture Code]]</f>
        <v>0</v>
      </c>
      <c r="W63"/>
      <c r="X63"/>
      <c r="Y63"/>
      <c r="Z63"/>
      <c r="AA63"/>
      <c r="AB63"/>
      <c r="AC63"/>
      <c r="AD63"/>
      <c r="AE63"/>
      <c r="AF63"/>
      <c r="AG63"/>
      <c r="AH63"/>
      <c r="AI63"/>
      <c r="AJ63"/>
      <c r="AK63"/>
      <c r="AL63"/>
      <c r="AM63"/>
      <c r="AN63"/>
      <c r="AO63"/>
    </row>
    <row r="64" spans="1:41" ht="15" customHeight="1">
      <c r="A64" s="2">
        <v>61</v>
      </c>
      <c r="B64" s="2"/>
      <c r="C64" s="3">
        <f>ProjectInput[[#This Row],[Retrofit Cost]]</f>
        <v>0</v>
      </c>
      <c r="D64" s="2">
        <f>ProjectInput[[#This Row],[Proposed Fixture Quantity]]</f>
        <v>0</v>
      </c>
      <c r="E64" s="2" t="str">
        <f>CONCATENATE("Replace ", ReviewCalcs[[#This Row],[Existing Fixture Code]], " with ", ReviewCalcs[[#This Row],[Proposed Fixture Code]])</f>
        <v>Replace 0 with 0</v>
      </c>
      <c r="F64" s="2">
        <f>ReviewCalcs[[#This Row],[Measure Type]]</f>
        <v>0</v>
      </c>
      <c r="G64" s="2" t="str">
        <f>IF(Instructions!$F$25="Post-Retrofit","Completed","Recommended")</f>
        <v>Recommended</v>
      </c>
      <c r="H64" s="4">
        <f>ReviewCalcs[[#This Row],[Incentive Total Energy Savings (kWh)]]</f>
        <v>0</v>
      </c>
      <c r="I64" s="2">
        <f>ReviewCalcs[[#This Row],[Incentive Total Demand Savings (kW)]]</f>
        <v>0</v>
      </c>
      <c r="J64" s="3">
        <f>ProjectInput[[#This Row],[Energy Cost Savings ($)]]</f>
        <v>0</v>
      </c>
      <c r="K64" s="3">
        <f>ProjectInput[[#This Row],[Incentive ($)]]</f>
        <v>0</v>
      </c>
      <c r="L64" s="13">
        <f t="shared" si="1"/>
        <v>0</v>
      </c>
      <c r="M64" s="3"/>
      <c r="N64" s="3"/>
      <c r="O64" s="3"/>
      <c r="P64" s="3"/>
      <c r="Q64" s="3"/>
      <c r="R64" s="3"/>
      <c r="S64" s="3"/>
      <c r="T64" s="2"/>
      <c r="U64" s="133">
        <f>ProjectInput[[#This Row],[Location]]</f>
        <v>0</v>
      </c>
      <c r="V64" s="278">
        <f>ProjectInput[[#This Row],[Existing Fixture Code]]</f>
        <v>0</v>
      </c>
      <c r="W64"/>
      <c r="X64"/>
      <c r="Y64"/>
      <c r="Z64"/>
      <c r="AA64"/>
      <c r="AB64"/>
      <c r="AC64"/>
      <c r="AD64"/>
      <c r="AE64"/>
      <c r="AF64"/>
      <c r="AG64"/>
      <c r="AH64"/>
      <c r="AI64"/>
      <c r="AJ64"/>
      <c r="AK64"/>
      <c r="AL64"/>
      <c r="AM64"/>
      <c r="AN64"/>
      <c r="AO64"/>
    </row>
    <row r="65" spans="1:41" ht="15" customHeight="1">
      <c r="A65" s="2">
        <v>62</v>
      </c>
      <c r="B65" s="2"/>
      <c r="C65" s="3">
        <f>ProjectInput[[#This Row],[Retrofit Cost]]</f>
        <v>0</v>
      </c>
      <c r="D65" s="2">
        <f>ProjectInput[[#This Row],[Proposed Fixture Quantity]]</f>
        <v>0</v>
      </c>
      <c r="E65" s="2" t="str">
        <f>CONCATENATE("Replace ", ReviewCalcs[[#This Row],[Existing Fixture Code]], " with ", ReviewCalcs[[#This Row],[Proposed Fixture Code]])</f>
        <v>Replace 0 with 0</v>
      </c>
      <c r="F65" s="2">
        <f>ReviewCalcs[[#This Row],[Measure Type]]</f>
        <v>0</v>
      </c>
      <c r="G65" s="2" t="str">
        <f>IF(Instructions!$F$25="Post-Retrofit","Completed","Recommended")</f>
        <v>Recommended</v>
      </c>
      <c r="H65" s="4">
        <f>ReviewCalcs[[#This Row],[Incentive Total Energy Savings (kWh)]]</f>
        <v>0</v>
      </c>
      <c r="I65" s="2">
        <f>ReviewCalcs[[#This Row],[Incentive Total Demand Savings (kW)]]</f>
        <v>0</v>
      </c>
      <c r="J65" s="3">
        <f>ProjectInput[[#This Row],[Energy Cost Savings ($)]]</f>
        <v>0</v>
      </c>
      <c r="K65" s="3">
        <f>ProjectInput[[#This Row],[Incentive ($)]]</f>
        <v>0</v>
      </c>
      <c r="L65" s="13">
        <f t="shared" si="1"/>
        <v>0</v>
      </c>
      <c r="M65" s="3"/>
      <c r="N65" s="3"/>
      <c r="O65" s="3"/>
      <c r="P65" s="3"/>
      <c r="Q65" s="3"/>
      <c r="R65" s="3"/>
      <c r="S65" s="3"/>
      <c r="T65" s="2"/>
      <c r="U65" s="133">
        <f>ProjectInput[[#This Row],[Location]]</f>
        <v>0</v>
      </c>
      <c r="V65" s="278">
        <f>ProjectInput[[#This Row],[Existing Fixture Code]]</f>
        <v>0</v>
      </c>
      <c r="W65"/>
      <c r="X65"/>
      <c r="Y65"/>
      <c r="Z65"/>
      <c r="AA65"/>
      <c r="AB65"/>
      <c r="AC65"/>
      <c r="AD65"/>
      <c r="AE65"/>
      <c r="AF65"/>
      <c r="AG65"/>
      <c r="AH65"/>
      <c r="AI65"/>
      <c r="AJ65"/>
      <c r="AK65"/>
      <c r="AL65"/>
      <c r="AM65"/>
      <c r="AN65"/>
      <c r="AO65"/>
    </row>
    <row r="66" spans="1:41" ht="15" customHeight="1">
      <c r="A66" s="2">
        <v>63</v>
      </c>
      <c r="B66" s="2"/>
      <c r="C66" s="3">
        <f>ProjectInput[[#This Row],[Retrofit Cost]]</f>
        <v>0</v>
      </c>
      <c r="D66" s="2">
        <f>ProjectInput[[#This Row],[Proposed Fixture Quantity]]</f>
        <v>0</v>
      </c>
      <c r="E66" s="2" t="str">
        <f>CONCATENATE("Replace ", ReviewCalcs[[#This Row],[Existing Fixture Code]], " with ", ReviewCalcs[[#This Row],[Proposed Fixture Code]])</f>
        <v>Replace 0 with 0</v>
      </c>
      <c r="F66" s="2">
        <f>ReviewCalcs[[#This Row],[Measure Type]]</f>
        <v>0</v>
      </c>
      <c r="G66" s="2" t="str">
        <f>IF(Instructions!$F$25="Post-Retrofit","Completed","Recommended")</f>
        <v>Recommended</v>
      </c>
      <c r="H66" s="4">
        <f>ReviewCalcs[[#This Row],[Incentive Total Energy Savings (kWh)]]</f>
        <v>0</v>
      </c>
      <c r="I66" s="2">
        <f>ReviewCalcs[[#This Row],[Incentive Total Demand Savings (kW)]]</f>
        <v>0</v>
      </c>
      <c r="J66" s="3">
        <f>ProjectInput[[#This Row],[Energy Cost Savings ($)]]</f>
        <v>0</v>
      </c>
      <c r="K66" s="3">
        <f>ProjectInput[[#This Row],[Incentive ($)]]</f>
        <v>0</v>
      </c>
      <c r="L66" s="13">
        <f t="shared" si="1"/>
        <v>0</v>
      </c>
      <c r="M66" s="3"/>
      <c r="N66" s="3"/>
      <c r="O66" s="3"/>
      <c r="P66" s="3"/>
      <c r="Q66" s="3"/>
      <c r="R66" s="3"/>
      <c r="S66" s="3"/>
      <c r="T66" s="2"/>
      <c r="U66" s="133">
        <f>ProjectInput[[#This Row],[Location]]</f>
        <v>0</v>
      </c>
      <c r="V66" s="278">
        <f>ProjectInput[[#This Row],[Existing Fixture Code]]</f>
        <v>0</v>
      </c>
      <c r="W66"/>
      <c r="X66"/>
      <c r="Y66"/>
      <c r="Z66"/>
      <c r="AA66"/>
      <c r="AB66"/>
      <c r="AC66"/>
      <c r="AD66"/>
      <c r="AE66"/>
      <c r="AF66"/>
      <c r="AG66"/>
      <c r="AH66"/>
      <c r="AI66"/>
      <c r="AJ66"/>
      <c r="AK66"/>
      <c r="AL66"/>
      <c r="AM66"/>
      <c r="AN66"/>
      <c r="AO66"/>
    </row>
    <row r="67" spans="1:41" ht="15" customHeight="1">
      <c r="A67" s="2">
        <v>64</v>
      </c>
      <c r="B67" s="2"/>
      <c r="C67" s="3">
        <f>ProjectInput[[#This Row],[Retrofit Cost]]</f>
        <v>0</v>
      </c>
      <c r="D67" s="2">
        <f>ProjectInput[[#This Row],[Proposed Fixture Quantity]]</f>
        <v>0</v>
      </c>
      <c r="E67" s="2" t="str">
        <f>CONCATENATE("Replace ", ReviewCalcs[[#This Row],[Existing Fixture Code]], " with ", ReviewCalcs[[#This Row],[Proposed Fixture Code]])</f>
        <v>Replace 0 with 0</v>
      </c>
      <c r="F67" s="2">
        <f>ReviewCalcs[[#This Row],[Measure Type]]</f>
        <v>0</v>
      </c>
      <c r="G67" s="2" t="str">
        <f>IF(Instructions!$F$25="Post-Retrofit","Completed","Recommended")</f>
        <v>Recommended</v>
      </c>
      <c r="H67" s="4">
        <f>ReviewCalcs[[#This Row],[Incentive Total Energy Savings (kWh)]]</f>
        <v>0</v>
      </c>
      <c r="I67" s="2">
        <f>ReviewCalcs[[#This Row],[Incentive Total Demand Savings (kW)]]</f>
        <v>0</v>
      </c>
      <c r="J67" s="3">
        <f>ProjectInput[[#This Row],[Energy Cost Savings ($)]]</f>
        <v>0</v>
      </c>
      <c r="K67" s="3">
        <f>ProjectInput[[#This Row],[Incentive ($)]]</f>
        <v>0</v>
      </c>
      <c r="L67" s="13">
        <f t="shared" si="1"/>
        <v>0</v>
      </c>
      <c r="M67" s="3"/>
      <c r="N67" s="3"/>
      <c r="O67" s="3"/>
      <c r="P67" s="3"/>
      <c r="Q67" s="3"/>
      <c r="R67" s="3"/>
      <c r="S67" s="3"/>
      <c r="T67" s="2"/>
      <c r="U67" s="133">
        <f>ProjectInput[[#This Row],[Location]]</f>
        <v>0</v>
      </c>
      <c r="V67" s="278">
        <f>ProjectInput[[#This Row],[Existing Fixture Code]]</f>
        <v>0</v>
      </c>
      <c r="W67"/>
      <c r="X67"/>
      <c r="Y67"/>
      <c r="Z67"/>
      <c r="AA67"/>
      <c r="AB67"/>
      <c r="AC67"/>
      <c r="AD67"/>
      <c r="AE67"/>
      <c r="AF67"/>
      <c r="AG67"/>
      <c r="AH67"/>
      <c r="AI67"/>
      <c r="AJ67"/>
      <c r="AK67"/>
      <c r="AL67"/>
      <c r="AM67"/>
      <c r="AN67"/>
      <c r="AO67"/>
    </row>
    <row r="68" spans="1:41" ht="15" customHeight="1">
      <c r="A68" s="2">
        <v>65</v>
      </c>
      <c r="B68" s="2"/>
      <c r="C68" s="3">
        <f>ProjectInput[[#This Row],[Retrofit Cost]]</f>
        <v>0</v>
      </c>
      <c r="D68" s="2">
        <f>ProjectInput[[#This Row],[Proposed Fixture Quantity]]</f>
        <v>0</v>
      </c>
      <c r="E68" s="2" t="str">
        <f>CONCATENATE("Replace ", ReviewCalcs[[#This Row],[Existing Fixture Code]], " with ", ReviewCalcs[[#This Row],[Proposed Fixture Code]])</f>
        <v>Replace 0 with 0</v>
      </c>
      <c r="F68" s="2">
        <f>ReviewCalcs[[#This Row],[Measure Type]]</f>
        <v>0</v>
      </c>
      <c r="G68" s="2" t="str">
        <f>IF(Instructions!$F$25="Post-Retrofit","Completed","Recommended")</f>
        <v>Recommended</v>
      </c>
      <c r="H68" s="4">
        <f>ReviewCalcs[[#This Row],[Incentive Total Energy Savings (kWh)]]</f>
        <v>0</v>
      </c>
      <c r="I68" s="2">
        <f>ReviewCalcs[[#This Row],[Incentive Total Demand Savings (kW)]]</f>
        <v>0</v>
      </c>
      <c r="J68" s="3">
        <f>ProjectInput[[#This Row],[Energy Cost Savings ($)]]</f>
        <v>0</v>
      </c>
      <c r="K68" s="3">
        <f>ProjectInput[[#This Row],[Incentive ($)]]</f>
        <v>0</v>
      </c>
      <c r="L68" s="13">
        <f t="shared" si="1"/>
        <v>0</v>
      </c>
      <c r="M68" s="3"/>
      <c r="N68" s="3"/>
      <c r="O68" s="3"/>
      <c r="P68" s="3"/>
      <c r="Q68" s="3"/>
      <c r="R68" s="3"/>
      <c r="S68" s="3"/>
      <c r="T68" s="2"/>
      <c r="U68" s="133">
        <f>ProjectInput[[#This Row],[Location]]</f>
        <v>0</v>
      </c>
      <c r="V68" s="278">
        <f>ProjectInput[[#This Row],[Existing Fixture Code]]</f>
        <v>0</v>
      </c>
      <c r="W68"/>
      <c r="X68"/>
      <c r="Y68"/>
      <c r="Z68"/>
      <c r="AA68"/>
      <c r="AB68"/>
      <c r="AC68"/>
      <c r="AD68"/>
      <c r="AE68"/>
      <c r="AF68"/>
      <c r="AG68"/>
      <c r="AH68"/>
      <c r="AI68"/>
      <c r="AJ68"/>
      <c r="AK68"/>
      <c r="AL68"/>
      <c r="AM68"/>
      <c r="AN68"/>
      <c r="AO68"/>
    </row>
    <row r="69" spans="1:41" ht="15" customHeight="1">
      <c r="A69" s="2">
        <v>66</v>
      </c>
      <c r="B69" s="2"/>
      <c r="C69" s="3">
        <f>ProjectInput[[#This Row],[Retrofit Cost]]</f>
        <v>0</v>
      </c>
      <c r="D69" s="2">
        <f>ProjectInput[[#This Row],[Proposed Fixture Quantity]]</f>
        <v>0</v>
      </c>
      <c r="E69" s="2" t="str">
        <f>CONCATENATE("Replace ", ReviewCalcs[[#This Row],[Existing Fixture Code]], " with ", ReviewCalcs[[#This Row],[Proposed Fixture Code]])</f>
        <v>Replace 0 with 0</v>
      </c>
      <c r="F69" s="2">
        <f>ReviewCalcs[[#This Row],[Measure Type]]</f>
        <v>0</v>
      </c>
      <c r="G69" s="2" t="str">
        <f>IF(Instructions!$F$25="Post-Retrofit","Completed","Recommended")</f>
        <v>Recommended</v>
      </c>
      <c r="H69" s="4">
        <f>ReviewCalcs[[#This Row],[Incentive Total Energy Savings (kWh)]]</f>
        <v>0</v>
      </c>
      <c r="I69" s="2">
        <f>ReviewCalcs[[#This Row],[Incentive Total Demand Savings (kW)]]</f>
        <v>0</v>
      </c>
      <c r="J69" s="3">
        <f>ProjectInput[[#This Row],[Energy Cost Savings ($)]]</f>
        <v>0</v>
      </c>
      <c r="K69" s="3">
        <f>ProjectInput[[#This Row],[Incentive ($)]]</f>
        <v>0</v>
      </c>
      <c r="L69" s="13">
        <f t="shared" si="1"/>
        <v>0</v>
      </c>
      <c r="M69" s="3"/>
      <c r="N69" s="3"/>
      <c r="O69" s="3"/>
      <c r="P69" s="3"/>
      <c r="Q69" s="3"/>
      <c r="R69" s="3"/>
      <c r="S69" s="3"/>
      <c r="T69" s="2"/>
      <c r="U69" s="133">
        <f>ProjectInput[[#This Row],[Location]]</f>
        <v>0</v>
      </c>
      <c r="V69" s="278">
        <f>ProjectInput[[#This Row],[Existing Fixture Code]]</f>
        <v>0</v>
      </c>
      <c r="W69"/>
      <c r="X69"/>
      <c r="Y69"/>
      <c r="Z69"/>
      <c r="AA69"/>
      <c r="AB69"/>
      <c r="AC69"/>
      <c r="AD69"/>
      <c r="AE69"/>
      <c r="AF69"/>
      <c r="AG69"/>
      <c r="AH69"/>
      <c r="AI69"/>
      <c r="AJ69"/>
      <c r="AK69"/>
      <c r="AL69"/>
      <c r="AM69"/>
      <c r="AN69"/>
      <c r="AO69"/>
    </row>
    <row r="70" spans="1:41" ht="15" customHeight="1">
      <c r="A70" s="2">
        <v>67</v>
      </c>
      <c r="B70" s="2"/>
      <c r="C70" s="3">
        <f>ProjectInput[[#This Row],[Retrofit Cost]]</f>
        <v>0</v>
      </c>
      <c r="D70" s="2">
        <f>ProjectInput[[#This Row],[Proposed Fixture Quantity]]</f>
        <v>0</v>
      </c>
      <c r="E70" s="2" t="str">
        <f>CONCATENATE("Replace ", ReviewCalcs[[#This Row],[Existing Fixture Code]], " with ", ReviewCalcs[[#This Row],[Proposed Fixture Code]])</f>
        <v>Replace 0 with 0</v>
      </c>
      <c r="F70" s="2">
        <f>ReviewCalcs[[#This Row],[Measure Type]]</f>
        <v>0</v>
      </c>
      <c r="G70" s="2" t="str">
        <f>IF(Instructions!$F$25="Post-Retrofit","Completed","Recommended")</f>
        <v>Recommended</v>
      </c>
      <c r="H70" s="4">
        <f>ReviewCalcs[[#This Row],[Incentive Total Energy Savings (kWh)]]</f>
        <v>0</v>
      </c>
      <c r="I70" s="2">
        <f>ReviewCalcs[[#This Row],[Incentive Total Demand Savings (kW)]]</f>
        <v>0</v>
      </c>
      <c r="J70" s="3">
        <f>ProjectInput[[#This Row],[Energy Cost Savings ($)]]</f>
        <v>0</v>
      </c>
      <c r="K70" s="3">
        <f>ProjectInput[[#This Row],[Incentive ($)]]</f>
        <v>0</v>
      </c>
      <c r="L70" s="13">
        <f t="shared" si="1"/>
        <v>0</v>
      </c>
      <c r="M70" s="3"/>
      <c r="N70" s="3"/>
      <c r="O70" s="3"/>
      <c r="P70" s="3"/>
      <c r="Q70" s="3"/>
      <c r="R70" s="3"/>
      <c r="S70" s="3"/>
      <c r="T70" s="2"/>
      <c r="U70" s="133">
        <f>ProjectInput[[#This Row],[Location]]</f>
        <v>0</v>
      </c>
      <c r="V70" s="278">
        <f>ProjectInput[[#This Row],[Existing Fixture Code]]</f>
        <v>0</v>
      </c>
      <c r="W70"/>
      <c r="X70"/>
      <c r="Y70"/>
      <c r="Z70"/>
      <c r="AA70"/>
      <c r="AB70"/>
      <c r="AC70"/>
      <c r="AD70"/>
      <c r="AE70"/>
      <c r="AF70"/>
      <c r="AG70"/>
      <c r="AH70"/>
      <c r="AI70"/>
      <c r="AJ70"/>
      <c r="AK70"/>
      <c r="AL70"/>
      <c r="AM70"/>
      <c r="AN70"/>
      <c r="AO70"/>
    </row>
    <row r="71" spans="1:41" ht="15" customHeight="1">
      <c r="A71" s="2">
        <v>68</v>
      </c>
      <c r="B71" s="2"/>
      <c r="C71" s="3">
        <f>ProjectInput[[#This Row],[Retrofit Cost]]</f>
        <v>0</v>
      </c>
      <c r="D71" s="2">
        <f>ProjectInput[[#This Row],[Proposed Fixture Quantity]]</f>
        <v>0</v>
      </c>
      <c r="E71" s="2" t="str">
        <f>CONCATENATE("Replace ", ReviewCalcs[[#This Row],[Existing Fixture Code]], " with ", ReviewCalcs[[#This Row],[Proposed Fixture Code]])</f>
        <v>Replace 0 with 0</v>
      </c>
      <c r="F71" s="2">
        <f>ReviewCalcs[[#This Row],[Measure Type]]</f>
        <v>0</v>
      </c>
      <c r="G71" s="2" t="str">
        <f>IF(Instructions!$F$25="Post-Retrofit","Completed","Recommended")</f>
        <v>Recommended</v>
      </c>
      <c r="H71" s="4">
        <f>ReviewCalcs[[#This Row],[Incentive Total Energy Savings (kWh)]]</f>
        <v>0</v>
      </c>
      <c r="I71" s="2">
        <f>ReviewCalcs[[#This Row],[Incentive Total Demand Savings (kW)]]</f>
        <v>0</v>
      </c>
      <c r="J71" s="3">
        <f>ProjectInput[[#This Row],[Energy Cost Savings ($)]]</f>
        <v>0</v>
      </c>
      <c r="K71" s="3">
        <f>ProjectInput[[#This Row],[Incentive ($)]]</f>
        <v>0</v>
      </c>
      <c r="L71" s="13">
        <f t="shared" si="1"/>
        <v>0</v>
      </c>
      <c r="M71" s="3"/>
      <c r="N71" s="3"/>
      <c r="O71" s="3"/>
      <c r="P71" s="3"/>
      <c r="Q71" s="3"/>
      <c r="R71" s="3"/>
      <c r="S71" s="3"/>
      <c r="T71" s="2"/>
      <c r="U71" s="133">
        <f>ProjectInput[[#This Row],[Location]]</f>
        <v>0</v>
      </c>
      <c r="V71" s="278">
        <f>ProjectInput[[#This Row],[Existing Fixture Code]]</f>
        <v>0</v>
      </c>
      <c r="W71"/>
      <c r="X71"/>
      <c r="Y71"/>
      <c r="Z71"/>
      <c r="AA71"/>
      <c r="AB71"/>
      <c r="AC71"/>
      <c r="AD71"/>
      <c r="AE71"/>
      <c r="AF71"/>
      <c r="AG71"/>
      <c r="AH71"/>
      <c r="AI71"/>
      <c r="AJ71"/>
      <c r="AK71"/>
      <c r="AL71"/>
      <c r="AM71"/>
      <c r="AN71"/>
      <c r="AO71"/>
    </row>
    <row r="72" spans="1:41" ht="15" customHeight="1">
      <c r="A72" s="2">
        <v>69</v>
      </c>
      <c r="B72" s="2"/>
      <c r="C72" s="3">
        <f>ProjectInput[[#This Row],[Retrofit Cost]]</f>
        <v>0</v>
      </c>
      <c r="D72" s="2">
        <f>ProjectInput[[#This Row],[Proposed Fixture Quantity]]</f>
        <v>0</v>
      </c>
      <c r="E72" s="2" t="str">
        <f>CONCATENATE("Replace ", ReviewCalcs[[#This Row],[Existing Fixture Code]], " with ", ReviewCalcs[[#This Row],[Proposed Fixture Code]])</f>
        <v>Replace 0 with 0</v>
      </c>
      <c r="F72" s="2">
        <f>ReviewCalcs[[#This Row],[Measure Type]]</f>
        <v>0</v>
      </c>
      <c r="G72" s="2" t="str">
        <f>IF(Instructions!$F$25="Post-Retrofit","Completed","Recommended")</f>
        <v>Recommended</v>
      </c>
      <c r="H72" s="4">
        <f>ReviewCalcs[[#This Row],[Incentive Total Energy Savings (kWh)]]</f>
        <v>0</v>
      </c>
      <c r="I72" s="2">
        <f>ReviewCalcs[[#This Row],[Incentive Total Demand Savings (kW)]]</f>
        <v>0</v>
      </c>
      <c r="J72" s="3">
        <f>ProjectInput[[#This Row],[Energy Cost Savings ($)]]</f>
        <v>0</v>
      </c>
      <c r="K72" s="3">
        <f>ProjectInput[[#This Row],[Incentive ($)]]</f>
        <v>0</v>
      </c>
      <c r="L72" s="13">
        <f t="shared" si="1"/>
        <v>0</v>
      </c>
      <c r="M72" s="3"/>
      <c r="N72" s="3"/>
      <c r="O72" s="3"/>
      <c r="P72" s="3"/>
      <c r="Q72" s="3"/>
      <c r="R72" s="3"/>
      <c r="S72" s="3"/>
      <c r="T72" s="2"/>
      <c r="U72" s="133">
        <f>ProjectInput[[#This Row],[Location]]</f>
        <v>0</v>
      </c>
      <c r="V72" s="278">
        <f>ProjectInput[[#This Row],[Existing Fixture Code]]</f>
        <v>0</v>
      </c>
      <c r="W72"/>
      <c r="X72"/>
      <c r="Y72"/>
      <c r="Z72"/>
      <c r="AA72"/>
      <c r="AB72"/>
      <c r="AC72"/>
      <c r="AD72"/>
      <c r="AE72"/>
      <c r="AF72"/>
      <c r="AG72"/>
      <c r="AH72"/>
      <c r="AI72"/>
      <c r="AJ72"/>
      <c r="AK72"/>
      <c r="AL72"/>
      <c r="AM72"/>
      <c r="AN72"/>
      <c r="AO72"/>
    </row>
    <row r="73" spans="1:41" ht="15" customHeight="1">
      <c r="A73" s="2">
        <v>70</v>
      </c>
      <c r="B73" s="2"/>
      <c r="C73" s="3">
        <f>ProjectInput[[#This Row],[Retrofit Cost]]</f>
        <v>0</v>
      </c>
      <c r="D73" s="2">
        <f>ProjectInput[[#This Row],[Proposed Fixture Quantity]]</f>
        <v>0</v>
      </c>
      <c r="E73" s="2" t="str">
        <f>CONCATENATE("Replace ", ReviewCalcs[[#This Row],[Existing Fixture Code]], " with ", ReviewCalcs[[#This Row],[Proposed Fixture Code]])</f>
        <v>Replace 0 with 0</v>
      </c>
      <c r="F73" s="2">
        <f>ReviewCalcs[[#This Row],[Measure Type]]</f>
        <v>0</v>
      </c>
      <c r="G73" s="2" t="str">
        <f>IF(Instructions!$F$25="Post-Retrofit","Completed","Recommended")</f>
        <v>Recommended</v>
      </c>
      <c r="H73" s="4">
        <f>ReviewCalcs[[#This Row],[Incentive Total Energy Savings (kWh)]]</f>
        <v>0</v>
      </c>
      <c r="I73" s="2">
        <f>ReviewCalcs[[#This Row],[Incentive Total Demand Savings (kW)]]</f>
        <v>0</v>
      </c>
      <c r="J73" s="3">
        <f>ProjectInput[[#This Row],[Energy Cost Savings ($)]]</f>
        <v>0</v>
      </c>
      <c r="K73" s="3">
        <f>ProjectInput[[#This Row],[Incentive ($)]]</f>
        <v>0</v>
      </c>
      <c r="L73" s="13">
        <f t="shared" si="1"/>
        <v>0</v>
      </c>
      <c r="M73" s="3"/>
      <c r="N73" s="3"/>
      <c r="O73" s="3"/>
      <c r="P73" s="3"/>
      <c r="Q73" s="3"/>
      <c r="R73" s="3"/>
      <c r="S73" s="3"/>
      <c r="T73" s="2"/>
      <c r="U73" s="133">
        <f>ProjectInput[[#This Row],[Location]]</f>
        <v>0</v>
      </c>
      <c r="V73" s="278">
        <f>ProjectInput[[#This Row],[Existing Fixture Code]]</f>
        <v>0</v>
      </c>
      <c r="W73"/>
      <c r="X73"/>
      <c r="Y73"/>
      <c r="Z73"/>
      <c r="AA73"/>
      <c r="AB73"/>
      <c r="AC73"/>
      <c r="AD73"/>
      <c r="AE73"/>
      <c r="AF73"/>
      <c r="AG73"/>
      <c r="AH73"/>
      <c r="AI73"/>
      <c r="AJ73"/>
      <c r="AK73"/>
      <c r="AL73"/>
      <c r="AM73"/>
      <c r="AN73"/>
      <c r="AO73"/>
    </row>
    <row r="74" spans="1:41" ht="15" customHeight="1">
      <c r="A74" s="2">
        <v>71</v>
      </c>
      <c r="B74" s="2"/>
      <c r="C74" s="3">
        <f>ProjectInput[[#This Row],[Retrofit Cost]]</f>
        <v>0</v>
      </c>
      <c r="D74" s="2">
        <f>ProjectInput[[#This Row],[Proposed Fixture Quantity]]</f>
        <v>0</v>
      </c>
      <c r="E74" s="2" t="str">
        <f>CONCATENATE("Replace ", ReviewCalcs[[#This Row],[Existing Fixture Code]], " with ", ReviewCalcs[[#This Row],[Proposed Fixture Code]])</f>
        <v>Replace 0 with 0</v>
      </c>
      <c r="F74" s="2">
        <f>ReviewCalcs[[#This Row],[Measure Type]]</f>
        <v>0</v>
      </c>
      <c r="G74" s="2" t="str">
        <f>IF(Instructions!$F$25="Post-Retrofit","Completed","Recommended")</f>
        <v>Recommended</v>
      </c>
      <c r="H74" s="4">
        <f>ReviewCalcs[[#This Row],[Incentive Total Energy Savings (kWh)]]</f>
        <v>0</v>
      </c>
      <c r="I74" s="2">
        <f>ReviewCalcs[[#This Row],[Incentive Total Demand Savings (kW)]]</f>
        <v>0</v>
      </c>
      <c r="J74" s="3">
        <f>ProjectInput[[#This Row],[Energy Cost Savings ($)]]</f>
        <v>0</v>
      </c>
      <c r="K74" s="3">
        <f>ProjectInput[[#This Row],[Incentive ($)]]</f>
        <v>0</v>
      </c>
      <c r="L74" s="13">
        <f t="shared" si="1"/>
        <v>0</v>
      </c>
      <c r="M74" s="3"/>
      <c r="N74" s="3"/>
      <c r="O74" s="3"/>
      <c r="P74" s="3"/>
      <c r="Q74" s="3"/>
      <c r="R74" s="3"/>
      <c r="S74" s="3"/>
      <c r="T74" s="2"/>
      <c r="U74" s="133">
        <f>ProjectInput[[#This Row],[Location]]</f>
        <v>0</v>
      </c>
      <c r="V74" s="278">
        <f>ProjectInput[[#This Row],[Existing Fixture Code]]</f>
        <v>0</v>
      </c>
      <c r="W74"/>
      <c r="X74"/>
      <c r="Y74"/>
      <c r="Z74"/>
      <c r="AA74"/>
      <c r="AB74"/>
      <c r="AC74"/>
      <c r="AD74"/>
      <c r="AE74"/>
      <c r="AF74"/>
      <c r="AG74"/>
      <c r="AH74"/>
      <c r="AI74"/>
      <c r="AJ74"/>
      <c r="AK74"/>
      <c r="AL74"/>
      <c r="AM74"/>
      <c r="AN74"/>
      <c r="AO74"/>
    </row>
    <row r="75" spans="1:41" ht="15" customHeight="1">
      <c r="A75" s="2">
        <v>72</v>
      </c>
      <c r="B75" s="2"/>
      <c r="C75" s="3">
        <f>ProjectInput[[#This Row],[Retrofit Cost]]</f>
        <v>0</v>
      </c>
      <c r="D75" s="2">
        <f>ProjectInput[[#This Row],[Proposed Fixture Quantity]]</f>
        <v>0</v>
      </c>
      <c r="E75" s="2" t="str">
        <f>CONCATENATE("Replace ", ReviewCalcs[[#This Row],[Existing Fixture Code]], " with ", ReviewCalcs[[#This Row],[Proposed Fixture Code]])</f>
        <v>Replace 0 with 0</v>
      </c>
      <c r="F75" s="2">
        <f>ReviewCalcs[[#This Row],[Measure Type]]</f>
        <v>0</v>
      </c>
      <c r="G75" s="2" t="str">
        <f>IF(Instructions!$F$25="Post-Retrofit","Completed","Recommended")</f>
        <v>Recommended</v>
      </c>
      <c r="H75" s="4">
        <f>ReviewCalcs[[#This Row],[Incentive Total Energy Savings (kWh)]]</f>
        <v>0</v>
      </c>
      <c r="I75" s="2">
        <f>ReviewCalcs[[#This Row],[Incentive Total Demand Savings (kW)]]</f>
        <v>0</v>
      </c>
      <c r="J75" s="3">
        <f>ProjectInput[[#This Row],[Energy Cost Savings ($)]]</f>
        <v>0</v>
      </c>
      <c r="K75" s="3">
        <f>ProjectInput[[#This Row],[Incentive ($)]]</f>
        <v>0</v>
      </c>
      <c r="L75" s="13">
        <f t="shared" si="1"/>
        <v>0</v>
      </c>
      <c r="M75" s="3"/>
      <c r="N75" s="3"/>
      <c r="O75" s="3"/>
      <c r="P75" s="3"/>
      <c r="Q75" s="3"/>
      <c r="R75" s="3"/>
      <c r="S75" s="3"/>
      <c r="T75" s="2"/>
      <c r="U75" s="133">
        <f>ProjectInput[[#This Row],[Location]]</f>
        <v>0</v>
      </c>
      <c r="V75" s="278">
        <f>ProjectInput[[#This Row],[Existing Fixture Code]]</f>
        <v>0</v>
      </c>
      <c r="W75"/>
      <c r="X75"/>
      <c r="Y75"/>
      <c r="Z75"/>
      <c r="AA75"/>
      <c r="AB75"/>
      <c r="AC75"/>
      <c r="AD75"/>
      <c r="AE75"/>
      <c r="AF75"/>
      <c r="AG75"/>
      <c r="AH75"/>
      <c r="AI75"/>
      <c r="AJ75"/>
      <c r="AK75"/>
      <c r="AL75"/>
      <c r="AM75"/>
      <c r="AN75"/>
      <c r="AO75"/>
    </row>
    <row r="76" spans="1:41" ht="15" customHeight="1">
      <c r="A76" s="2">
        <v>73</v>
      </c>
      <c r="B76" s="2"/>
      <c r="C76" s="3">
        <f>ProjectInput[[#This Row],[Retrofit Cost]]</f>
        <v>0</v>
      </c>
      <c r="D76" s="2">
        <f>ProjectInput[[#This Row],[Proposed Fixture Quantity]]</f>
        <v>0</v>
      </c>
      <c r="E76" s="2" t="str">
        <f>CONCATENATE("Replace ", ReviewCalcs[[#This Row],[Existing Fixture Code]], " with ", ReviewCalcs[[#This Row],[Proposed Fixture Code]])</f>
        <v>Replace 0 with 0</v>
      </c>
      <c r="F76" s="2">
        <f>ReviewCalcs[[#This Row],[Measure Type]]</f>
        <v>0</v>
      </c>
      <c r="G76" s="2" t="str">
        <f>IF(Instructions!$F$25="Post-Retrofit","Completed","Recommended")</f>
        <v>Recommended</v>
      </c>
      <c r="H76" s="4">
        <f>ReviewCalcs[[#This Row],[Incentive Total Energy Savings (kWh)]]</f>
        <v>0</v>
      </c>
      <c r="I76" s="2">
        <f>ReviewCalcs[[#This Row],[Incentive Total Demand Savings (kW)]]</f>
        <v>0</v>
      </c>
      <c r="J76" s="3">
        <f>ProjectInput[[#This Row],[Energy Cost Savings ($)]]</f>
        <v>0</v>
      </c>
      <c r="K76" s="3">
        <f>ProjectInput[[#This Row],[Incentive ($)]]</f>
        <v>0</v>
      </c>
      <c r="L76" s="13">
        <f t="shared" si="1"/>
        <v>0</v>
      </c>
      <c r="M76" s="3"/>
      <c r="N76" s="3"/>
      <c r="O76" s="3"/>
      <c r="P76" s="3"/>
      <c r="Q76" s="3"/>
      <c r="R76" s="3"/>
      <c r="S76" s="3"/>
      <c r="T76" s="2"/>
      <c r="U76" s="133">
        <f>ProjectInput[[#This Row],[Location]]</f>
        <v>0</v>
      </c>
      <c r="V76" s="278">
        <f>ProjectInput[[#This Row],[Existing Fixture Code]]</f>
        <v>0</v>
      </c>
      <c r="W76"/>
      <c r="X76"/>
      <c r="Y76"/>
      <c r="Z76"/>
      <c r="AA76"/>
      <c r="AB76"/>
      <c r="AC76"/>
      <c r="AD76"/>
      <c r="AE76"/>
      <c r="AF76"/>
      <c r="AG76"/>
      <c r="AH76"/>
      <c r="AI76"/>
      <c r="AJ76"/>
      <c r="AK76"/>
      <c r="AL76"/>
      <c r="AM76"/>
      <c r="AN76"/>
      <c r="AO76"/>
    </row>
    <row r="77" spans="1:41" ht="15" customHeight="1">
      <c r="A77" s="2">
        <v>74</v>
      </c>
      <c r="B77" s="2"/>
      <c r="C77" s="3">
        <f>ProjectInput[[#This Row],[Retrofit Cost]]</f>
        <v>0</v>
      </c>
      <c r="D77" s="2">
        <f>ProjectInput[[#This Row],[Proposed Fixture Quantity]]</f>
        <v>0</v>
      </c>
      <c r="E77" s="2" t="str">
        <f>CONCATENATE("Replace ", ReviewCalcs[[#This Row],[Existing Fixture Code]], " with ", ReviewCalcs[[#This Row],[Proposed Fixture Code]])</f>
        <v>Replace 0 with 0</v>
      </c>
      <c r="F77" s="2">
        <f>ReviewCalcs[[#This Row],[Measure Type]]</f>
        <v>0</v>
      </c>
      <c r="G77" s="2" t="str">
        <f>IF(Instructions!$F$25="Post-Retrofit","Completed","Recommended")</f>
        <v>Recommended</v>
      </c>
      <c r="H77" s="4">
        <f>ReviewCalcs[[#This Row],[Incentive Total Energy Savings (kWh)]]</f>
        <v>0</v>
      </c>
      <c r="I77" s="2">
        <f>ReviewCalcs[[#This Row],[Incentive Total Demand Savings (kW)]]</f>
        <v>0</v>
      </c>
      <c r="J77" s="3">
        <f>ProjectInput[[#This Row],[Energy Cost Savings ($)]]</f>
        <v>0</v>
      </c>
      <c r="K77" s="3">
        <f>ProjectInput[[#This Row],[Incentive ($)]]</f>
        <v>0</v>
      </c>
      <c r="L77" s="13">
        <f t="shared" si="1"/>
        <v>0</v>
      </c>
      <c r="M77" s="3"/>
      <c r="N77" s="3"/>
      <c r="O77" s="3"/>
      <c r="P77" s="3"/>
      <c r="Q77" s="3"/>
      <c r="R77" s="3"/>
      <c r="S77" s="3"/>
      <c r="T77" s="2"/>
      <c r="U77" s="133">
        <f>ProjectInput[[#This Row],[Location]]</f>
        <v>0</v>
      </c>
      <c r="V77" s="278">
        <f>ProjectInput[[#This Row],[Existing Fixture Code]]</f>
        <v>0</v>
      </c>
      <c r="W77"/>
      <c r="X77"/>
      <c r="Y77"/>
      <c r="Z77"/>
      <c r="AA77"/>
      <c r="AB77"/>
      <c r="AC77"/>
      <c r="AD77"/>
      <c r="AE77"/>
      <c r="AF77"/>
      <c r="AG77"/>
      <c r="AH77"/>
      <c r="AI77"/>
      <c r="AJ77"/>
      <c r="AK77"/>
      <c r="AL77"/>
      <c r="AM77"/>
      <c r="AN77"/>
      <c r="AO77"/>
    </row>
    <row r="78" spans="1:41" ht="15" customHeight="1">
      <c r="A78" s="2">
        <v>75</v>
      </c>
      <c r="B78" s="2"/>
      <c r="C78" s="3">
        <f>ProjectInput[[#This Row],[Retrofit Cost]]</f>
        <v>0</v>
      </c>
      <c r="D78" s="2">
        <f>ProjectInput[[#This Row],[Proposed Fixture Quantity]]</f>
        <v>0</v>
      </c>
      <c r="E78" s="2" t="str">
        <f>CONCATENATE("Replace ", ReviewCalcs[[#This Row],[Existing Fixture Code]], " with ", ReviewCalcs[[#This Row],[Proposed Fixture Code]])</f>
        <v>Replace 0 with 0</v>
      </c>
      <c r="F78" s="2">
        <f>ReviewCalcs[[#This Row],[Measure Type]]</f>
        <v>0</v>
      </c>
      <c r="G78" s="2" t="str">
        <f>IF(Instructions!$F$25="Post-Retrofit","Completed","Recommended")</f>
        <v>Recommended</v>
      </c>
      <c r="H78" s="4">
        <f>ReviewCalcs[[#This Row],[Incentive Total Energy Savings (kWh)]]</f>
        <v>0</v>
      </c>
      <c r="I78" s="2">
        <f>ReviewCalcs[[#This Row],[Incentive Total Demand Savings (kW)]]</f>
        <v>0</v>
      </c>
      <c r="J78" s="3">
        <f>ProjectInput[[#This Row],[Energy Cost Savings ($)]]</f>
        <v>0</v>
      </c>
      <c r="K78" s="3">
        <f>ProjectInput[[#This Row],[Incentive ($)]]</f>
        <v>0</v>
      </c>
      <c r="L78" s="13">
        <f t="shared" si="1"/>
        <v>0</v>
      </c>
      <c r="M78" s="3"/>
      <c r="N78" s="3"/>
      <c r="O78" s="3"/>
      <c r="P78" s="3"/>
      <c r="Q78" s="3"/>
      <c r="R78" s="3"/>
      <c r="S78" s="3"/>
      <c r="T78" s="2"/>
      <c r="U78" s="133">
        <f>ProjectInput[[#This Row],[Location]]</f>
        <v>0</v>
      </c>
      <c r="V78" s="278">
        <f>ProjectInput[[#This Row],[Existing Fixture Code]]</f>
        <v>0</v>
      </c>
      <c r="W78"/>
      <c r="X78"/>
      <c r="Y78"/>
      <c r="Z78"/>
      <c r="AA78"/>
      <c r="AB78"/>
      <c r="AC78"/>
      <c r="AD78"/>
      <c r="AE78"/>
      <c r="AF78"/>
      <c r="AG78"/>
      <c r="AH78"/>
      <c r="AI78"/>
      <c r="AJ78"/>
      <c r="AK78"/>
      <c r="AL78"/>
      <c r="AM78"/>
      <c r="AN78"/>
      <c r="AO78"/>
    </row>
    <row r="79" spans="1:41" ht="15" customHeight="1">
      <c r="A79" s="2">
        <v>76</v>
      </c>
      <c r="B79" s="2"/>
      <c r="C79" s="3">
        <f>ProjectInput[[#This Row],[Retrofit Cost]]</f>
        <v>0</v>
      </c>
      <c r="D79" s="2">
        <f>ProjectInput[[#This Row],[Proposed Fixture Quantity]]</f>
        <v>0</v>
      </c>
      <c r="E79" s="2" t="str">
        <f>CONCATENATE("Replace ", ReviewCalcs[[#This Row],[Existing Fixture Code]], " with ", ReviewCalcs[[#This Row],[Proposed Fixture Code]])</f>
        <v>Replace 0 with 0</v>
      </c>
      <c r="F79" s="2">
        <f>ReviewCalcs[[#This Row],[Measure Type]]</f>
        <v>0</v>
      </c>
      <c r="G79" s="2" t="str">
        <f>IF(Instructions!$F$25="Post-Retrofit","Completed","Recommended")</f>
        <v>Recommended</v>
      </c>
      <c r="H79" s="4">
        <f>ReviewCalcs[[#This Row],[Incentive Total Energy Savings (kWh)]]</f>
        <v>0</v>
      </c>
      <c r="I79" s="2">
        <f>ReviewCalcs[[#This Row],[Incentive Total Demand Savings (kW)]]</f>
        <v>0</v>
      </c>
      <c r="J79" s="3">
        <f>ProjectInput[[#This Row],[Energy Cost Savings ($)]]</f>
        <v>0</v>
      </c>
      <c r="K79" s="3">
        <f>ProjectInput[[#This Row],[Incentive ($)]]</f>
        <v>0</v>
      </c>
      <c r="L79" s="13">
        <f t="shared" si="1"/>
        <v>0</v>
      </c>
      <c r="M79" s="3"/>
      <c r="N79" s="3"/>
      <c r="O79" s="3"/>
      <c r="P79" s="3"/>
      <c r="Q79" s="3"/>
      <c r="R79" s="3"/>
      <c r="S79" s="3"/>
      <c r="T79" s="2"/>
      <c r="U79" s="133">
        <f>ProjectInput[[#This Row],[Location]]</f>
        <v>0</v>
      </c>
      <c r="V79" s="278">
        <f>ProjectInput[[#This Row],[Existing Fixture Code]]</f>
        <v>0</v>
      </c>
      <c r="W79"/>
      <c r="X79"/>
      <c r="Y79"/>
      <c r="Z79"/>
      <c r="AA79"/>
      <c r="AB79"/>
      <c r="AC79"/>
      <c r="AD79"/>
      <c r="AE79"/>
      <c r="AF79"/>
      <c r="AG79"/>
      <c r="AH79"/>
      <c r="AI79"/>
      <c r="AJ79"/>
      <c r="AK79"/>
      <c r="AL79"/>
      <c r="AM79"/>
      <c r="AN79"/>
      <c r="AO79"/>
    </row>
    <row r="80" spans="1:41" ht="15" customHeight="1">
      <c r="A80" s="2">
        <v>77</v>
      </c>
      <c r="B80" s="2"/>
      <c r="C80" s="3">
        <f>ProjectInput[[#This Row],[Retrofit Cost]]</f>
        <v>0</v>
      </c>
      <c r="D80" s="2">
        <f>ProjectInput[[#This Row],[Proposed Fixture Quantity]]</f>
        <v>0</v>
      </c>
      <c r="E80" s="2" t="str">
        <f>CONCATENATE("Replace ", ReviewCalcs[[#This Row],[Existing Fixture Code]], " with ", ReviewCalcs[[#This Row],[Proposed Fixture Code]])</f>
        <v>Replace 0 with 0</v>
      </c>
      <c r="F80" s="2">
        <f>ReviewCalcs[[#This Row],[Measure Type]]</f>
        <v>0</v>
      </c>
      <c r="G80" s="2" t="str">
        <f>IF(Instructions!$F$25="Post-Retrofit","Completed","Recommended")</f>
        <v>Recommended</v>
      </c>
      <c r="H80" s="4">
        <f>ReviewCalcs[[#This Row],[Incentive Total Energy Savings (kWh)]]</f>
        <v>0</v>
      </c>
      <c r="I80" s="2">
        <f>ReviewCalcs[[#This Row],[Incentive Total Demand Savings (kW)]]</f>
        <v>0</v>
      </c>
      <c r="J80" s="3">
        <f>ProjectInput[[#This Row],[Energy Cost Savings ($)]]</f>
        <v>0</v>
      </c>
      <c r="K80" s="3">
        <f>ProjectInput[[#This Row],[Incentive ($)]]</f>
        <v>0</v>
      </c>
      <c r="L80" s="13">
        <f t="shared" si="1"/>
        <v>0</v>
      </c>
      <c r="M80" s="3"/>
      <c r="N80" s="3"/>
      <c r="O80" s="3"/>
      <c r="P80" s="3"/>
      <c r="Q80" s="3"/>
      <c r="R80" s="3"/>
      <c r="S80" s="3"/>
      <c r="T80" s="2"/>
      <c r="U80" s="133">
        <f>ProjectInput[[#This Row],[Location]]</f>
        <v>0</v>
      </c>
      <c r="V80" s="278">
        <f>ProjectInput[[#This Row],[Existing Fixture Code]]</f>
        <v>0</v>
      </c>
      <c r="W80"/>
      <c r="X80"/>
      <c r="Y80"/>
      <c r="Z80"/>
      <c r="AA80"/>
      <c r="AB80"/>
      <c r="AC80"/>
      <c r="AD80"/>
      <c r="AE80"/>
      <c r="AF80"/>
      <c r="AG80"/>
      <c r="AH80"/>
      <c r="AI80"/>
      <c r="AJ80"/>
      <c r="AK80"/>
      <c r="AL80"/>
      <c r="AM80"/>
      <c r="AN80"/>
      <c r="AO80"/>
    </row>
    <row r="81" spans="1:41" ht="15" customHeight="1">
      <c r="A81" s="2">
        <v>78</v>
      </c>
      <c r="B81" s="2"/>
      <c r="C81" s="3">
        <f>ProjectInput[[#This Row],[Retrofit Cost]]</f>
        <v>0</v>
      </c>
      <c r="D81" s="2">
        <f>ProjectInput[[#This Row],[Proposed Fixture Quantity]]</f>
        <v>0</v>
      </c>
      <c r="E81" s="2" t="str">
        <f>CONCATENATE("Replace ", ReviewCalcs[[#This Row],[Existing Fixture Code]], " with ", ReviewCalcs[[#This Row],[Proposed Fixture Code]])</f>
        <v>Replace 0 with 0</v>
      </c>
      <c r="F81" s="2">
        <f>ReviewCalcs[[#This Row],[Measure Type]]</f>
        <v>0</v>
      </c>
      <c r="G81" s="2" t="str">
        <f>IF(Instructions!$F$25="Post-Retrofit","Completed","Recommended")</f>
        <v>Recommended</v>
      </c>
      <c r="H81" s="4">
        <f>ReviewCalcs[[#This Row],[Incentive Total Energy Savings (kWh)]]</f>
        <v>0</v>
      </c>
      <c r="I81" s="2">
        <f>ReviewCalcs[[#This Row],[Incentive Total Demand Savings (kW)]]</f>
        <v>0</v>
      </c>
      <c r="J81" s="3">
        <f>ProjectInput[[#This Row],[Energy Cost Savings ($)]]</f>
        <v>0</v>
      </c>
      <c r="K81" s="3">
        <f>ProjectInput[[#This Row],[Incentive ($)]]</f>
        <v>0</v>
      </c>
      <c r="L81" s="13">
        <f t="shared" si="1"/>
        <v>0</v>
      </c>
      <c r="M81" s="3"/>
      <c r="N81" s="3"/>
      <c r="O81" s="3"/>
      <c r="P81" s="3"/>
      <c r="Q81" s="3"/>
      <c r="R81" s="3"/>
      <c r="S81" s="3"/>
      <c r="T81" s="2"/>
      <c r="U81" s="133">
        <f>ProjectInput[[#This Row],[Location]]</f>
        <v>0</v>
      </c>
      <c r="V81" s="278">
        <f>ProjectInput[[#This Row],[Existing Fixture Code]]</f>
        <v>0</v>
      </c>
      <c r="W81"/>
      <c r="X81"/>
      <c r="Y81"/>
      <c r="Z81"/>
      <c r="AA81"/>
      <c r="AB81"/>
      <c r="AC81"/>
      <c r="AD81"/>
      <c r="AE81"/>
      <c r="AF81"/>
      <c r="AG81"/>
      <c r="AH81"/>
      <c r="AI81"/>
      <c r="AJ81"/>
      <c r="AK81"/>
      <c r="AL81"/>
      <c r="AM81"/>
      <c r="AN81"/>
      <c r="AO81"/>
    </row>
    <row r="82" spans="1:41" ht="15" customHeight="1">
      <c r="A82" s="2">
        <v>79</v>
      </c>
      <c r="B82" s="2"/>
      <c r="C82" s="3">
        <f>ProjectInput[[#This Row],[Retrofit Cost]]</f>
        <v>0</v>
      </c>
      <c r="D82" s="2">
        <f>ProjectInput[[#This Row],[Proposed Fixture Quantity]]</f>
        <v>0</v>
      </c>
      <c r="E82" s="2" t="str">
        <f>CONCATENATE("Replace ", ReviewCalcs[[#This Row],[Existing Fixture Code]], " with ", ReviewCalcs[[#This Row],[Proposed Fixture Code]])</f>
        <v>Replace 0 with 0</v>
      </c>
      <c r="F82" s="2">
        <f>ReviewCalcs[[#This Row],[Measure Type]]</f>
        <v>0</v>
      </c>
      <c r="G82" s="2" t="str">
        <f>IF(Instructions!$F$25="Post-Retrofit","Completed","Recommended")</f>
        <v>Recommended</v>
      </c>
      <c r="H82" s="4">
        <f>ReviewCalcs[[#This Row],[Incentive Total Energy Savings (kWh)]]</f>
        <v>0</v>
      </c>
      <c r="I82" s="2">
        <f>ReviewCalcs[[#This Row],[Incentive Total Demand Savings (kW)]]</f>
        <v>0</v>
      </c>
      <c r="J82" s="3">
        <f>ProjectInput[[#This Row],[Energy Cost Savings ($)]]</f>
        <v>0</v>
      </c>
      <c r="K82" s="3">
        <f>ProjectInput[[#This Row],[Incentive ($)]]</f>
        <v>0</v>
      </c>
      <c r="L82" s="13">
        <f t="shared" si="1"/>
        <v>0</v>
      </c>
      <c r="M82" s="3"/>
      <c r="N82" s="3"/>
      <c r="O82" s="3"/>
      <c r="P82" s="3"/>
      <c r="Q82" s="3"/>
      <c r="R82" s="3"/>
      <c r="S82" s="3"/>
      <c r="T82" s="2"/>
      <c r="U82" s="133">
        <f>ProjectInput[[#This Row],[Location]]</f>
        <v>0</v>
      </c>
      <c r="V82" s="278">
        <f>ProjectInput[[#This Row],[Existing Fixture Code]]</f>
        <v>0</v>
      </c>
      <c r="W82"/>
      <c r="X82"/>
      <c r="Y82"/>
      <c r="Z82"/>
      <c r="AA82"/>
      <c r="AB82"/>
      <c r="AC82"/>
      <c r="AD82"/>
      <c r="AE82"/>
      <c r="AF82"/>
      <c r="AG82"/>
      <c r="AH82"/>
      <c r="AI82"/>
      <c r="AJ82"/>
      <c r="AK82"/>
      <c r="AL82"/>
      <c r="AM82"/>
      <c r="AN82"/>
      <c r="AO82"/>
    </row>
    <row r="83" spans="1:41" ht="15" customHeight="1">
      <c r="A83" s="2">
        <v>80</v>
      </c>
      <c r="B83" s="2"/>
      <c r="C83" s="3">
        <f>ProjectInput[[#This Row],[Retrofit Cost]]</f>
        <v>0</v>
      </c>
      <c r="D83" s="2">
        <f>ProjectInput[[#This Row],[Proposed Fixture Quantity]]</f>
        <v>0</v>
      </c>
      <c r="E83" s="2" t="str">
        <f>CONCATENATE("Replace ", ReviewCalcs[[#This Row],[Existing Fixture Code]], " with ", ReviewCalcs[[#This Row],[Proposed Fixture Code]])</f>
        <v>Replace 0 with 0</v>
      </c>
      <c r="F83" s="2">
        <f>ReviewCalcs[[#This Row],[Measure Type]]</f>
        <v>0</v>
      </c>
      <c r="G83" s="2" t="str">
        <f>IF(Instructions!$F$25="Post-Retrofit","Completed","Recommended")</f>
        <v>Recommended</v>
      </c>
      <c r="H83" s="4">
        <f>ReviewCalcs[[#This Row],[Incentive Total Energy Savings (kWh)]]</f>
        <v>0</v>
      </c>
      <c r="I83" s="2">
        <f>ReviewCalcs[[#This Row],[Incentive Total Demand Savings (kW)]]</f>
        <v>0</v>
      </c>
      <c r="J83" s="3">
        <f>ProjectInput[[#This Row],[Energy Cost Savings ($)]]</f>
        <v>0</v>
      </c>
      <c r="K83" s="3">
        <f>ProjectInput[[#This Row],[Incentive ($)]]</f>
        <v>0</v>
      </c>
      <c r="L83" s="13">
        <f t="shared" si="1"/>
        <v>0</v>
      </c>
      <c r="M83" s="3"/>
      <c r="N83" s="3"/>
      <c r="O83" s="3"/>
      <c r="P83" s="3"/>
      <c r="Q83" s="3"/>
      <c r="R83" s="3"/>
      <c r="S83" s="3"/>
      <c r="T83" s="2"/>
      <c r="U83" s="133">
        <f>ProjectInput[[#This Row],[Location]]</f>
        <v>0</v>
      </c>
      <c r="V83" s="278">
        <f>ProjectInput[[#This Row],[Existing Fixture Code]]</f>
        <v>0</v>
      </c>
      <c r="W83"/>
      <c r="X83"/>
      <c r="Y83"/>
      <c r="Z83"/>
      <c r="AA83"/>
      <c r="AB83"/>
      <c r="AC83"/>
      <c r="AD83"/>
      <c r="AE83"/>
      <c r="AF83"/>
      <c r="AG83"/>
      <c r="AH83"/>
      <c r="AI83"/>
      <c r="AJ83"/>
      <c r="AK83"/>
      <c r="AL83"/>
      <c r="AM83"/>
      <c r="AN83"/>
      <c r="AO83"/>
    </row>
    <row r="84" spans="1:41" ht="15" customHeight="1">
      <c r="A84" s="2">
        <v>81</v>
      </c>
      <c r="B84" s="2"/>
      <c r="C84" s="3">
        <f>ProjectInput[[#This Row],[Retrofit Cost]]</f>
        <v>0</v>
      </c>
      <c r="D84" s="2">
        <f>ProjectInput[[#This Row],[Proposed Fixture Quantity]]</f>
        <v>0</v>
      </c>
      <c r="E84" s="2" t="str">
        <f>CONCATENATE("Replace ", ReviewCalcs[[#This Row],[Existing Fixture Code]], " with ", ReviewCalcs[[#This Row],[Proposed Fixture Code]])</f>
        <v>Replace 0 with 0</v>
      </c>
      <c r="F84" s="2">
        <f>ReviewCalcs[[#This Row],[Measure Type]]</f>
        <v>0</v>
      </c>
      <c r="G84" s="2" t="str">
        <f>IF(Instructions!$F$25="Post-Retrofit","Completed","Recommended")</f>
        <v>Recommended</v>
      </c>
      <c r="H84" s="4">
        <f>ReviewCalcs[[#This Row],[Incentive Total Energy Savings (kWh)]]</f>
        <v>0</v>
      </c>
      <c r="I84" s="2">
        <f>ReviewCalcs[[#This Row],[Incentive Total Demand Savings (kW)]]</f>
        <v>0</v>
      </c>
      <c r="J84" s="3">
        <f>ProjectInput[[#This Row],[Energy Cost Savings ($)]]</f>
        <v>0</v>
      </c>
      <c r="K84" s="3">
        <f>ProjectInput[[#This Row],[Incentive ($)]]</f>
        <v>0</v>
      </c>
      <c r="L84" s="13">
        <f t="shared" si="1"/>
        <v>0</v>
      </c>
      <c r="M84" s="3"/>
      <c r="N84" s="3"/>
      <c r="O84" s="3"/>
      <c r="P84" s="3"/>
      <c r="Q84" s="3"/>
      <c r="R84" s="3"/>
      <c r="S84" s="3"/>
      <c r="T84" s="2"/>
      <c r="U84" s="133">
        <f>ProjectInput[[#This Row],[Location]]</f>
        <v>0</v>
      </c>
      <c r="V84" s="278">
        <f>ProjectInput[[#This Row],[Existing Fixture Code]]</f>
        <v>0</v>
      </c>
      <c r="W84"/>
      <c r="X84"/>
      <c r="Y84"/>
      <c r="Z84"/>
      <c r="AA84"/>
      <c r="AB84"/>
      <c r="AC84"/>
      <c r="AD84"/>
      <c r="AE84"/>
      <c r="AF84"/>
      <c r="AG84"/>
      <c r="AH84"/>
      <c r="AI84"/>
      <c r="AJ84"/>
      <c r="AK84"/>
      <c r="AL84"/>
      <c r="AM84"/>
      <c r="AN84"/>
      <c r="AO84"/>
    </row>
    <row r="85" spans="1:41" ht="15" customHeight="1">
      <c r="A85" s="2">
        <v>82</v>
      </c>
      <c r="B85" s="2"/>
      <c r="C85" s="3">
        <f>ProjectInput[[#This Row],[Retrofit Cost]]</f>
        <v>0</v>
      </c>
      <c r="D85" s="2">
        <f>ProjectInput[[#This Row],[Proposed Fixture Quantity]]</f>
        <v>0</v>
      </c>
      <c r="E85" s="2" t="str">
        <f>CONCATENATE("Replace ", ReviewCalcs[[#This Row],[Existing Fixture Code]], " with ", ReviewCalcs[[#This Row],[Proposed Fixture Code]])</f>
        <v>Replace 0 with 0</v>
      </c>
      <c r="F85" s="2">
        <f>ReviewCalcs[[#This Row],[Measure Type]]</f>
        <v>0</v>
      </c>
      <c r="G85" s="2" t="str">
        <f>IF(Instructions!$F$25="Post-Retrofit","Completed","Recommended")</f>
        <v>Recommended</v>
      </c>
      <c r="H85" s="4">
        <f>ReviewCalcs[[#This Row],[Incentive Total Energy Savings (kWh)]]</f>
        <v>0</v>
      </c>
      <c r="I85" s="2">
        <f>ReviewCalcs[[#This Row],[Incentive Total Demand Savings (kW)]]</f>
        <v>0</v>
      </c>
      <c r="J85" s="3">
        <f>ProjectInput[[#This Row],[Energy Cost Savings ($)]]</f>
        <v>0</v>
      </c>
      <c r="K85" s="3">
        <f>ProjectInput[[#This Row],[Incentive ($)]]</f>
        <v>0</v>
      </c>
      <c r="L85" s="13">
        <f t="shared" si="1"/>
        <v>0</v>
      </c>
      <c r="M85" s="3"/>
      <c r="N85" s="3"/>
      <c r="O85" s="3"/>
      <c r="P85" s="3"/>
      <c r="Q85" s="3"/>
      <c r="R85" s="3"/>
      <c r="S85" s="3"/>
      <c r="T85" s="2"/>
      <c r="U85" s="133">
        <f>ProjectInput[[#This Row],[Location]]</f>
        <v>0</v>
      </c>
      <c r="V85" s="278">
        <f>ProjectInput[[#This Row],[Existing Fixture Code]]</f>
        <v>0</v>
      </c>
      <c r="W85"/>
      <c r="X85"/>
      <c r="Y85"/>
      <c r="Z85"/>
      <c r="AA85"/>
      <c r="AB85"/>
      <c r="AC85"/>
      <c r="AD85"/>
      <c r="AE85"/>
      <c r="AF85"/>
      <c r="AG85"/>
      <c r="AH85"/>
      <c r="AI85"/>
      <c r="AJ85"/>
      <c r="AK85"/>
      <c r="AL85"/>
      <c r="AM85"/>
      <c r="AN85"/>
      <c r="AO85"/>
    </row>
    <row r="86" spans="1:41" ht="15" customHeight="1">
      <c r="A86" s="2">
        <v>83</v>
      </c>
      <c r="B86" s="2"/>
      <c r="C86" s="3">
        <f>ProjectInput[[#This Row],[Retrofit Cost]]</f>
        <v>0</v>
      </c>
      <c r="D86" s="2">
        <f>ProjectInput[[#This Row],[Proposed Fixture Quantity]]</f>
        <v>0</v>
      </c>
      <c r="E86" s="2" t="str">
        <f>CONCATENATE("Replace ", ReviewCalcs[[#This Row],[Existing Fixture Code]], " with ", ReviewCalcs[[#This Row],[Proposed Fixture Code]])</f>
        <v>Replace 0 with 0</v>
      </c>
      <c r="F86" s="2">
        <f>ReviewCalcs[[#This Row],[Measure Type]]</f>
        <v>0</v>
      </c>
      <c r="G86" s="2" t="str">
        <f>IF(Instructions!$F$25="Post-Retrofit","Completed","Recommended")</f>
        <v>Recommended</v>
      </c>
      <c r="H86" s="4">
        <f>ReviewCalcs[[#This Row],[Incentive Total Energy Savings (kWh)]]</f>
        <v>0</v>
      </c>
      <c r="I86" s="2">
        <f>ReviewCalcs[[#This Row],[Incentive Total Demand Savings (kW)]]</f>
        <v>0</v>
      </c>
      <c r="J86" s="3">
        <f>ProjectInput[[#This Row],[Energy Cost Savings ($)]]</f>
        <v>0</v>
      </c>
      <c r="K86" s="3">
        <f>ProjectInput[[#This Row],[Incentive ($)]]</f>
        <v>0</v>
      </c>
      <c r="L86" s="13">
        <f t="shared" si="1"/>
        <v>0</v>
      </c>
      <c r="M86" s="3"/>
      <c r="N86" s="3"/>
      <c r="O86" s="3"/>
      <c r="P86" s="3"/>
      <c r="Q86" s="3"/>
      <c r="R86" s="3"/>
      <c r="S86" s="3"/>
      <c r="T86" s="2"/>
      <c r="U86" s="133">
        <f>ProjectInput[[#This Row],[Location]]</f>
        <v>0</v>
      </c>
      <c r="V86" s="278">
        <f>ProjectInput[[#This Row],[Existing Fixture Code]]</f>
        <v>0</v>
      </c>
      <c r="W86"/>
      <c r="X86"/>
      <c r="Y86"/>
      <c r="Z86"/>
      <c r="AA86"/>
      <c r="AB86"/>
      <c r="AC86"/>
      <c r="AD86"/>
      <c r="AE86"/>
      <c r="AF86"/>
      <c r="AG86"/>
      <c r="AH86"/>
      <c r="AI86"/>
      <c r="AJ86"/>
      <c r="AK86"/>
      <c r="AL86"/>
      <c r="AM86"/>
      <c r="AN86"/>
      <c r="AO86"/>
    </row>
    <row r="87" spans="1:41" ht="15" customHeight="1">
      <c r="A87" s="2">
        <v>84</v>
      </c>
      <c r="B87" s="2"/>
      <c r="C87" s="3">
        <f>ProjectInput[[#This Row],[Retrofit Cost]]</f>
        <v>0</v>
      </c>
      <c r="D87" s="2">
        <f>ProjectInput[[#This Row],[Proposed Fixture Quantity]]</f>
        <v>0</v>
      </c>
      <c r="E87" s="2" t="str">
        <f>CONCATENATE("Replace ", ReviewCalcs[[#This Row],[Existing Fixture Code]], " with ", ReviewCalcs[[#This Row],[Proposed Fixture Code]])</f>
        <v>Replace 0 with 0</v>
      </c>
      <c r="F87" s="2">
        <f>ReviewCalcs[[#This Row],[Measure Type]]</f>
        <v>0</v>
      </c>
      <c r="G87" s="2" t="str">
        <f>IF(Instructions!$F$25="Post-Retrofit","Completed","Recommended")</f>
        <v>Recommended</v>
      </c>
      <c r="H87" s="4">
        <f>ReviewCalcs[[#This Row],[Incentive Total Energy Savings (kWh)]]</f>
        <v>0</v>
      </c>
      <c r="I87" s="2">
        <f>ReviewCalcs[[#This Row],[Incentive Total Demand Savings (kW)]]</f>
        <v>0</v>
      </c>
      <c r="J87" s="3">
        <f>ProjectInput[[#This Row],[Energy Cost Savings ($)]]</f>
        <v>0</v>
      </c>
      <c r="K87" s="3">
        <f>ProjectInput[[#This Row],[Incentive ($)]]</f>
        <v>0</v>
      </c>
      <c r="L87" s="13">
        <f t="shared" si="1"/>
        <v>0</v>
      </c>
      <c r="M87" s="3"/>
      <c r="N87" s="3"/>
      <c r="O87" s="3"/>
      <c r="P87" s="3"/>
      <c r="Q87" s="3"/>
      <c r="R87" s="3"/>
      <c r="S87" s="3"/>
      <c r="T87" s="2"/>
      <c r="U87" s="133">
        <f>ProjectInput[[#This Row],[Location]]</f>
        <v>0</v>
      </c>
      <c r="V87" s="278">
        <f>ProjectInput[[#This Row],[Existing Fixture Code]]</f>
        <v>0</v>
      </c>
      <c r="W87"/>
      <c r="X87"/>
      <c r="Y87"/>
      <c r="Z87"/>
      <c r="AA87"/>
      <c r="AB87"/>
      <c r="AC87"/>
      <c r="AD87"/>
      <c r="AE87"/>
      <c r="AF87"/>
      <c r="AG87"/>
      <c r="AH87"/>
      <c r="AI87"/>
      <c r="AJ87"/>
      <c r="AK87"/>
      <c r="AL87"/>
      <c r="AM87"/>
      <c r="AN87"/>
      <c r="AO87"/>
    </row>
    <row r="88" spans="1:41" ht="15" customHeight="1">
      <c r="A88" s="2">
        <v>85</v>
      </c>
      <c r="B88" s="2"/>
      <c r="C88" s="3">
        <f>ProjectInput[[#This Row],[Retrofit Cost]]</f>
        <v>0</v>
      </c>
      <c r="D88" s="2">
        <f>ProjectInput[[#This Row],[Proposed Fixture Quantity]]</f>
        <v>0</v>
      </c>
      <c r="E88" s="2" t="str">
        <f>CONCATENATE("Replace ", ReviewCalcs[[#This Row],[Existing Fixture Code]], " with ", ReviewCalcs[[#This Row],[Proposed Fixture Code]])</f>
        <v>Replace 0 with 0</v>
      </c>
      <c r="F88" s="2">
        <f>ReviewCalcs[[#This Row],[Measure Type]]</f>
        <v>0</v>
      </c>
      <c r="G88" s="2" t="str">
        <f>IF(Instructions!$F$25="Post-Retrofit","Completed","Recommended")</f>
        <v>Recommended</v>
      </c>
      <c r="H88" s="4">
        <f>ReviewCalcs[[#This Row],[Incentive Total Energy Savings (kWh)]]</f>
        <v>0</v>
      </c>
      <c r="I88" s="2">
        <f>ReviewCalcs[[#This Row],[Incentive Total Demand Savings (kW)]]</f>
        <v>0</v>
      </c>
      <c r="J88" s="3">
        <f>ProjectInput[[#This Row],[Energy Cost Savings ($)]]</f>
        <v>0</v>
      </c>
      <c r="K88" s="3">
        <f>ProjectInput[[#This Row],[Incentive ($)]]</f>
        <v>0</v>
      </c>
      <c r="L88" s="13">
        <f t="shared" si="1"/>
        <v>0</v>
      </c>
      <c r="M88" s="3"/>
      <c r="N88" s="3"/>
      <c r="O88" s="3"/>
      <c r="P88" s="3"/>
      <c r="Q88" s="3"/>
      <c r="R88" s="3"/>
      <c r="S88" s="3"/>
      <c r="T88" s="2"/>
      <c r="U88" s="133">
        <f>ProjectInput[[#This Row],[Location]]</f>
        <v>0</v>
      </c>
      <c r="V88" s="278">
        <f>ProjectInput[[#This Row],[Existing Fixture Code]]</f>
        <v>0</v>
      </c>
      <c r="W88"/>
      <c r="X88"/>
      <c r="Y88"/>
      <c r="Z88"/>
      <c r="AA88"/>
      <c r="AB88"/>
      <c r="AC88"/>
      <c r="AD88"/>
      <c r="AE88"/>
      <c r="AF88"/>
      <c r="AG88"/>
      <c r="AH88"/>
      <c r="AI88"/>
      <c r="AJ88"/>
      <c r="AK88"/>
      <c r="AL88"/>
      <c r="AM88"/>
      <c r="AN88"/>
      <c r="AO88"/>
    </row>
    <row r="89" spans="1:41" ht="15" customHeight="1">
      <c r="A89" s="2">
        <v>86</v>
      </c>
      <c r="B89" s="2"/>
      <c r="C89" s="3">
        <f>ProjectInput[[#This Row],[Retrofit Cost]]</f>
        <v>0</v>
      </c>
      <c r="D89" s="2">
        <f>ProjectInput[[#This Row],[Proposed Fixture Quantity]]</f>
        <v>0</v>
      </c>
      <c r="E89" s="2" t="str">
        <f>CONCATENATE("Replace ", ReviewCalcs[[#This Row],[Existing Fixture Code]], " with ", ReviewCalcs[[#This Row],[Proposed Fixture Code]])</f>
        <v>Replace 0 with 0</v>
      </c>
      <c r="F89" s="2">
        <f>ReviewCalcs[[#This Row],[Measure Type]]</f>
        <v>0</v>
      </c>
      <c r="G89" s="2" t="str">
        <f>IF(Instructions!$F$25="Post-Retrofit","Completed","Recommended")</f>
        <v>Recommended</v>
      </c>
      <c r="H89" s="4">
        <f>ReviewCalcs[[#This Row],[Incentive Total Energy Savings (kWh)]]</f>
        <v>0</v>
      </c>
      <c r="I89" s="2">
        <f>ReviewCalcs[[#This Row],[Incentive Total Demand Savings (kW)]]</f>
        <v>0</v>
      </c>
      <c r="J89" s="3">
        <f>ProjectInput[[#This Row],[Energy Cost Savings ($)]]</f>
        <v>0</v>
      </c>
      <c r="K89" s="3">
        <f>ProjectInput[[#This Row],[Incentive ($)]]</f>
        <v>0</v>
      </c>
      <c r="L89" s="13">
        <f t="shared" si="1"/>
        <v>0</v>
      </c>
      <c r="M89" s="3"/>
      <c r="N89" s="3"/>
      <c r="O89" s="3"/>
      <c r="P89" s="3"/>
      <c r="Q89" s="3"/>
      <c r="R89" s="3"/>
      <c r="S89" s="3"/>
      <c r="T89" s="2"/>
      <c r="U89" s="133">
        <f>ProjectInput[[#This Row],[Location]]</f>
        <v>0</v>
      </c>
      <c r="V89" s="278">
        <f>ProjectInput[[#This Row],[Existing Fixture Code]]</f>
        <v>0</v>
      </c>
      <c r="W89"/>
      <c r="X89"/>
      <c r="Y89"/>
      <c r="Z89"/>
      <c r="AA89"/>
      <c r="AB89"/>
      <c r="AC89"/>
      <c r="AD89"/>
      <c r="AE89"/>
      <c r="AF89"/>
      <c r="AG89"/>
      <c r="AH89"/>
      <c r="AI89"/>
      <c r="AJ89"/>
      <c r="AK89"/>
      <c r="AL89"/>
      <c r="AM89"/>
      <c r="AN89"/>
      <c r="AO89"/>
    </row>
    <row r="90" spans="1:41" ht="15" customHeight="1">
      <c r="A90" s="2">
        <v>87</v>
      </c>
      <c r="B90" s="2"/>
      <c r="C90" s="3">
        <f>ProjectInput[[#This Row],[Retrofit Cost]]</f>
        <v>0</v>
      </c>
      <c r="D90" s="2">
        <f>ProjectInput[[#This Row],[Proposed Fixture Quantity]]</f>
        <v>0</v>
      </c>
      <c r="E90" s="2" t="str">
        <f>CONCATENATE("Replace ", ReviewCalcs[[#This Row],[Existing Fixture Code]], " with ", ReviewCalcs[[#This Row],[Proposed Fixture Code]])</f>
        <v>Replace 0 with 0</v>
      </c>
      <c r="F90" s="2">
        <f>ReviewCalcs[[#This Row],[Measure Type]]</f>
        <v>0</v>
      </c>
      <c r="G90" s="2" t="str">
        <f>IF(Instructions!$F$25="Post-Retrofit","Completed","Recommended")</f>
        <v>Recommended</v>
      </c>
      <c r="H90" s="4">
        <f>ReviewCalcs[[#This Row],[Incentive Total Energy Savings (kWh)]]</f>
        <v>0</v>
      </c>
      <c r="I90" s="2">
        <f>ReviewCalcs[[#This Row],[Incentive Total Demand Savings (kW)]]</f>
        <v>0</v>
      </c>
      <c r="J90" s="3">
        <f>ProjectInput[[#This Row],[Energy Cost Savings ($)]]</f>
        <v>0</v>
      </c>
      <c r="K90" s="3">
        <f>ProjectInput[[#This Row],[Incentive ($)]]</f>
        <v>0</v>
      </c>
      <c r="L90" s="13">
        <f t="shared" si="1"/>
        <v>0</v>
      </c>
      <c r="M90" s="3"/>
      <c r="N90" s="3"/>
      <c r="O90" s="3"/>
      <c r="P90" s="3"/>
      <c r="Q90" s="3"/>
      <c r="R90" s="3"/>
      <c r="S90" s="3"/>
      <c r="T90" s="2"/>
      <c r="U90" s="133">
        <f>ProjectInput[[#This Row],[Location]]</f>
        <v>0</v>
      </c>
      <c r="V90" s="278">
        <f>ProjectInput[[#This Row],[Existing Fixture Code]]</f>
        <v>0</v>
      </c>
      <c r="W90"/>
      <c r="X90"/>
      <c r="Y90"/>
      <c r="Z90"/>
      <c r="AA90"/>
      <c r="AB90"/>
      <c r="AC90"/>
      <c r="AD90"/>
      <c r="AE90"/>
      <c r="AF90"/>
      <c r="AG90"/>
      <c r="AH90"/>
      <c r="AI90"/>
      <c r="AJ90"/>
      <c r="AK90"/>
      <c r="AL90"/>
      <c r="AM90"/>
      <c r="AN90"/>
      <c r="AO90"/>
    </row>
    <row r="91" spans="1:41" ht="15" customHeight="1">
      <c r="A91" s="2">
        <v>88</v>
      </c>
      <c r="B91" s="2"/>
      <c r="C91" s="3">
        <f>ProjectInput[[#This Row],[Retrofit Cost]]</f>
        <v>0</v>
      </c>
      <c r="D91" s="2">
        <f>ProjectInput[[#This Row],[Proposed Fixture Quantity]]</f>
        <v>0</v>
      </c>
      <c r="E91" s="2" t="str">
        <f>CONCATENATE("Replace ", ReviewCalcs[[#This Row],[Existing Fixture Code]], " with ", ReviewCalcs[[#This Row],[Proposed Fixture Code]])</f>
        <v>Replace 0 with 0</v>
      </c>
      <c r="F91" s="2">
        <f>ReviewCalcs[[#This Row],[Measure Type]]</f>
        <v>0</v>
      </c>
      <c r="G91" s="2" t="str">
        <f>IF(Instructions!$F$25="Post-Retrofit","Completed","Recommended")</f>
        <v>Recommended</v>
      </c>
      <c r="H91" s="4">
        <f>ReviewCalcs[[#This Row],[Incentive Total Energy Savings (kWh)]]</f>
        <v>0</v>
      </c>
      <c r="I91" s="2">
        <f>ReviewCalcs[[#This Row],[Incentive Total Demand Savings (kW)]]</f>
        <v>0</v>
      </c>
      <c r="J91" s="3">
        <f>ProjectInput[[#This Row],[Energy Cost Savings ($)]]</f>
        <v>0</v>
      </c>
      <c r="K91" s="3">
        <f>ProjectInput[[#This Row],[Incentive ($)]]</f>
        <v>0</v>
      </c>
      <c r="L91" s="13">
        <f t="shared" si="1"/>
        <v>0</v>
      </c>
      <c r="M91" s="3"/>
      <c r="N91" s="3"/>
      <c r="O91" s="3"/>
      <c r="P91" s="3"/>
      <c r="Q91" s="3"/>
      <c r="R91" s="3"/>
      <c r="S91" s="3"/>
      <c r="T91" s="2"/>
      <c r="U91" s="133">
        <f>ProjectInput[[#This Row],[Location]]</f>
        <v>0</v>
      </c>
      <c r="V91" s="278">
        <f>ProjectInput[[#This Row],[Existing Fixture Code]]</f>
        <v>0</v>
      </c>
      <c r="W91"/>
      <c r="X91"/>
      <c r="Y91"/>
      <c r="Z91"/>
      <c r="AA91"/>
      <c r="AB91"/>
      <c r="AC91"/>
      <c r="AD91"/>
      <c r="AE91"/>
      <c r="AF91"/>
      <c r="AG91"/>
      <c r="AH91"/>
      <c r="AI91"/>
      <c r="AJ91"/>
      <c r="AK91"/>
      <c r="AL91"/>
      <c r="AM91"/>
      <c r="AN91"/>
      <c r="AO91"/>
    </row>
    <row r="92" spans="1:41" ht="15" customHeight="1">
      <c r="A92" s="2">
        <v>89</v>
      </c>
      <c r="B92" s="2"/>
      <c r="C92" s="3">
        <f>ProjectInput[[#This Row],[Retrofit Cost]]</f>
        <v>0</v>
      </c>
      <c r="D92" s="2">
        <f>ProjectInput[[#This Row],[Proposed Fixture Quantity]]</f>
        <v>0</v>
      </c>
      <c r="E92" s="2" t="str">
        <f>CONCATENATE("Replace ", ReviewCalcs[[#This Row],[Existing Fixture Code]], " with ", ReviewCalcs[[#This Row],[Proposed Fixture Code]])</f>
        <v>Replace 0 with 0</v>
      </c>
      <c r="F92" s="2">
        <f>ReviewCalcs[[#This Row],[Measure Type]]</f>
        <v>0</v>
      </c>
      <c r="G92" s="2" t="str">
        <f>IF(Instructions!$F$25="Post-Retrofit","Completed","Recommended")</f>
        <v>Recommended</v>
      </c>
      <c r="H92" s="4">
        <f>ReviewCalcs[[#This Row],[Incentive Total Energy Savings (kWh)]]</f>
        <v>0</v>
      </c>
      <c r="I92" s="2">
        <f>ReviewCalcs[[#This Row],[Incentive Total Demand Savings (kW)]]</f>
        <v>0</v>
      </c>
      <c r="J92" s="3">
        <f>ProjectInput[[#This Row],[Energy Cost Savings ($)]]</f>
        <v>0</v>
      </c>
      <c r="K92" s="3">
        <f>ProjectInput[[#This Row],[Incentive ($)]]</f>
        <v>0</v>
      </c>
      <c r="L92" s="13">
        <f t="shared" si="1"/>
        <v>0</v>
      </c>
      <c r="M92" s="3"/>
      <c r="N92" s="3"/>
      <c r="O92" s="3"/>
      <c r="P92" s="3"/>
      <c r="Q92" s="3"/>
      <c r="R92" s="3"/>
      <c r="S92" s="3"/>
      <c r="T92" s="2"/>
      <c r="U92" s="133">
        <f>ProjectInput[[#This Row],[Location]]</f>
        <v>0</v>
      </c>
      <c r="V92" s="278">
        <f>ProjectInput[[#This Row],[Existing Fixture Code]]</f>
        <v>0</v>
      </c>
      <c r="W92"/>
      <c r="X92"/>
      <c r="Y92"/>
      <c r="Z92"/>
      <c r="AA92"/>
      <c r="AB92"/>
      <c r="AC92"/>
      <c r="AD92"/>
      <c r="AE92"/>
      <c r="AF92"/>
      <c r="AG92"/>
      <c r="AH92"/>
      <c r="AI92"/>
      <c r="AJ92"/>
      <c r="AK92"/>
      <c r="AL92"/>
      <c r="AM92"/>
      <c r="AN92"/>
      <c r="AO92"/>
    </row>
    <row r="93" spans="1:41" ht="15" customHeight="1">
      <c r="A93" s="2">
        <v>90</v>
      </c>
      <c r="B93" s="2"/>
      <c r="C93" s="3">
        <f>ProjectInput[[#This Row],[Retrofit Cost]]</f>
        <v>0</v>
      </c>
      <c r="D93" s="2">
        <f>ProjectInput[[#This Row],[Proposed Fixture Quantity]]</f>
        <v>0</v>
      </c>
      <c r="E93" s="2" t="str">
        <f>CONCATENATE("Replace ", ReviewCalcs[[#This Row],[Existing Fixture Code]], " with ", ReviewCalcs[[#This Row],[Proposed Fixture Code]])</f>
        <v>Replace 0 with 0</v>
      </c>
      <c r="F93" s="2">
        <f>ReviewCalcs[[#This Row],[Measure Type]]</f>
        <v>0</v>
      </c>
      <c r="G93" s="2" t="str">
        <f>IF(Instructions!$F$25="Post-Retrofit","Completed","Recommended")</f>
        <v>Recommended</v>
      </c>
      <c r="H93" s="4">
        <f>ReviewCalcs[[#This Row],[Incentive Total Energy Savings (kWh)]]</f>
        <v>0</v>
      </c>
      <c r="I93" s="2">
        <f>ReviewCalcs[[#This Row],[Incentive Total Demand Savings (kW)]]</f>
        <v>0</v>
      </c>
      <c r="J93" s="3">
        <f>ProjectInput[[#This Row],[Energy Cost Savings ($)]]</f>
        <v>0</v>
      </c>
      <c r="K93" s="3">
        <f>ProjectInput[[#This Row],[Incentive ($)]]</f>
        <v>0</v>
      </c>
      <c r="L93" s="13">
        <f t="shared" si="1"/>
        <v>0</v>
      </c>
      <c r="M93" s="3"/>
      <c r="N93" s="3"/>
      <c r="O93" s="3"/>
      <c r="P93" s="3"/>
      <c r="Q93" s="3"/>
      <c r="R93" s="3"/>
      <c r="S93" s="3"/>
      <c r="T93" s="2"/>
      <c r="U93" s="133">
        <f>ProjectInput[[#This Row],[Location]]</f>
        <v>0</v>
      </c>
      <c r="V93" s="278">
        <f>ProjectInput[[#This Row],[Existing Fixture Code]]</f>
        <v>0</v>
      </c>
      <c r="W93"/>
      <c r="X93"/>
      <c r="Y93"/>
      <c r="Z93"/>
      <c r="AA93"/>
      <c r="AB93"/>
      <c r="AC93"/>
      <c r="AD93"/>
      <c r="AE93"/>
      <c r="AF93"/>
      <c r="AG93"/>
      <c r="AH93"/>
      <c r="AI93"/>
      <c r="AJ93"/>
      <c r="AK93"/>
      <c r="AL93"/>
      <c r="AM93"/>
      <c r="AN93"/>
      <c r="AO93"/>
    </row>
    <row r="94" spans="1:41" ht="15" customHeight="1">
      <c r="A94" s="2">
        <v>91</v>
      </c>
      <c r="B94" s="2"/>
      <c r="C94" s="3">
        <f>ProjectInput[[#This Row],[Retrofit Cost]]</f>
        <v>0</v>
      </c>
      <c r="D94" s="2">
        <f>ProjectInput[[#This Row],[Proposed Fixture Quantity]]</f>
        <v>0</v>
      </c>
      <c r="E94" s="2" t="str">
        <f>CONCATENATE("Replace ", ReviewCalcs[[#This Row],[Existing Fixture Code]], " with ", ReviewCalcs[[#This Row],[Proposed Fixture Code]])</f>
        <v>Replace 0 with 0</v>
      </c>
      <c r="F94" s="2">
        <f>ReviewCalcs[[#This Row],[Measure Type]]</f>
        <v>0</v>
      </c>
      <c r="G94" s="2" t="str">
        <f>IF(Instructions!$F$25="Post-Retrofit","Completed","Recommended")</f>
        <v>Recommended</v>
      </c>
      <c r="H94" s="4">
        <f>ReviewCalcs[[#This Row],[Incentive Total Energy Savings (kWh)]]</f>
        <v>0</v>
      </c>
      <c r="I94" s="2">
        <f>ReviewCalcs[[#This Row],[Incentive Total Demand Savings (kW)]]</f>
        <v>0</v>
      </c>
      <c r="J94" s="3">
        <f>ProjectInput[[#This Row],[Energy Cost Savings ($)]]</f>
        <v>0</v>
      </c>
      <c r="K94" s="3">
        <f>ProjectInput[[#This Row],[Incentive ($)]]</f>
        <v>0</v>
      </c>
      <c r="L94" s="13">
        <f t="shared" si="1"/>
        <v>0</v>
      </c>
      <c r="M94" s="3"/>
      <c r="N94" s="3"/>
      <c r="O94" s="3"/>
      <c r="P94" s="3"/>
      <c r="Q94" s="3"/>
      <c r="R94" s="3"/>
      <c r="S94" s="3"/>
      <c r="T94" s="2"/>
      <c r="U94" s="133">
        <f>ProjectInput[[#This Row],[Location]]</f>
        <v>0</v>
      </c>
      <c r="V94" s="278">
        <f>ProjectInput[[#This Row],[Existing Fixture Code]]</f>
        <v>0</v>
      </c>
      <c r="W94"/>
      <c r="X94"/>
      <c r="Y94"/>
      <c r="Z94"/>
      <c r="AA94"/>
      <c r="AB94"/>
      <c r="AC94"/>
      <c r="AD94"/>
      <c r="AE94"/>
      <c r="AF94"/>
      <c r="AG94"/>
      <c r="AH94"/>
      <c r="AI94"/>
      <c r="AJ94"/>
      <c r="AK94"/>
      <c r="AL94"/>
      <c r="AM94"/>
      <c r="AN94"/>
      <c r="AO94"/>
    </row>
    <row r="95" spans="1:41" ht="15" customHeight="1">
      <c r="A95" s="2">
        <v>92</v>
      </c>
      <c r="B95" s="2"/>
      <c r="C95" s="3">
        <f>ProjectInput[[#This Row],[Retrofit Cost]]</f>
        <v>0</v>
      </c>
      <c r="D95" s="2">
        <f>ProjectInput[[#This Row],[Proposed Fixture Quantity]]</f>
        <v>0</v>
      </c>
      <c r="E95" s="2" t="str">
        <f>CONCATENATE("Replace ", ReviewCalcs[[#This Row],[Existing Fixture Code]], " with ", ReviewCalcs[[#This Row],[Proposed Fixture Code]])</f>
        <v>Replace 0 with 0</v>
      </c>
      <c r="F95" s="2">
        <f>ReviewCalcs[[#This Row],[Measure Type]]</f>
        <v>0</v>
      </c>
      <c r="G95" s="2" t="str">
        <f>IF(Instructions!$F$25="Post-Retrofit","Completed","Recommended")</f>
        <v>Recommended</v>
      </c>
      <c r="H95" s="4">
        <f>ReviewCalcs[[#This Row],[Incentive Total Energy Savings (kWh)]]</f>
        <v>0</v>
      </c>
      <c r="I95" s="2">
        <f>ReviewCalcs[[#This Row],[Incentive Total Demand Savings (kW)]]</f>
        <v>0</v>
      </c>
      <c r="J95" s="3">
        <f>ProjectInput[[#This Row],[Energy Cost Savings ($)]]</f>
        <v>0</v>
      </c>
      <c r="K95" s="3">
        <f>ProjectInput[[#This Row],[Incentive ($)]]</f>
        <v>0</v>
      </c>
      <c r="L95" s="13">
        <f t="shared" si="1"/>
        <v>0</v>
      </c>
      <c r="M95" s="3"/>
      <c r="N95" s="3"/>
      <c r="O95" s="3"/>
      <c r="P95" s="3"/>
      <c r="Q95" s="3"/>
      <c r="R95" s="3"/>
      <c r="S95" s="3"/>
      <c r="T95" s="2"/>
      <c r="U95" s="133">
        <f>ProjectInput[[#This Row],[Location]]</f>
        <v>0</v>
      </c>
      <c r="V95" s="278">
        <f>ProjectInput[[#This Row],[Existing Fixture Code]]</f>
        <v>0</v>
      </c>
      <c r="W95"/>
      <c r="X95"/>
      <c r="Y95"/>
      <c r="Z95"/>
      <c r="AA95"/>
      <c r="AB95"/>
      <c r="AC95"/>
      <c r="AD95"/>
      <c r="AE95"/>
      <c r="AF95"/>
      <c r="AG95"/>
      <c r="AH95"/>
      <c r="AI95"/>
      <c r="AJ95"/>
      <c r="AK95"/>
      <c r="AL95"/>
      <c r="AM95"/>
      <c r="AN95"/>
      <c r="AO95"/>
    </row>
    <row r="96" spans="1:41" ht="15" customHeight="1">
      <c r="A96" s="2">
        <v>93</v>
      </c>
      <c r="B96" s="2"/>
      <c r="C96" s="3">
        <f>ProjectInput[[#This Row],[Retrofit Cost]]</f>
        <v>0</v>
      </c>
      <c r="D96" s="2">
        <f>ProjectInput[[#This Row],[Proposed Fixture Quantity]]</f>
        <v>0</v>
      </c>
      <c r="E96" s="2" t="str">
        <f>CONCATENATE("Replace ", ReviewCalcs[[#This Row],[Existing Fixture Code]], " with ", ReviewCalcs[[#This Row],[Proposed Fixture Code]])</f>
        <v>Replace 0 with 0</v>
      </c>
      <c r="F96" s="2">
        <f>ReviewCalcs[[#This Row],[Measure Type]]</f>
        <v>0</v>
      </c>
      <c r="G96" s="2" t="str">
        <f>IF(Instructions!$F$25="Post-Retrofit","Completed","Recommended")</f>
        <v>Recommended</v>
      </c>
      <c r="H96" s="4">
        <f>ReviewCalcs[[#This Row],[Incentive Total Energy Savings (kWh)]]</f>
        <v>0</v>
      </c>
      <c r="I96" s="2">
        <f>ReviewCalcs[[#This Row],[Incentive Total Demand Savings (kW)]]</f>
        <v>0</v>
      </c>
      <c r="J96" s="3">
        <f>ProjectInput[[#This Row],[Energy Cost Savings ($)]]</f>
        <v>0</v>
      </c>
      <c r="K96" s="3">
        <f>ProjectInput[[#This Row],[Incentive ($)]]</f>
        <v>0</v>
      </c>
      <c r="L96" s="13">
        <f t="shared" si="1"/>
        <v>0</v>
      </c>
      <c r="M96" s="3"/>
      <c r="N96" s="3"/>
      <c r="O96" s="3"/>
      <c r="P96" s="3"/>
      <c r="Q96" s="3"/>
      <c r="R96" s="3"/>
      <c r="S96" s="3"/>
      <c r="T96" s="2"/>
      <c r="U96" s="133">
        <f>ProjectInput[[#This Row],[Location]]</f>
        <v>0</v>
      </c>
      <c r="V96" s="278">
        <f>ProjectInput[[#This Row],[Existing Fixture Code]]</f>
        <v>0</v>
      </c>
      <c r="W96"/>
      <c r="X96"/>
      <c r="Y96"/>
      <c r="Z96"/>
      <c r="AA96"/>
      <c r="AB96"/>
      <c r="AC96"/>
      <c r="AD96"/>
      <c r="AE96"/>
      <c r="AF96"/>
      <c r="AG96"/>
      <c r="AH96"/>
      <c r="AI96"/>
      <c r="AJ96"/>
      <c r="AK96"/>
      <c r="AL96"/>
      <c r="AM96"/>
      <c r="AN96"/>
      <c r="AO96"/>
    </row>
    <row r="97" spans="1:41" ht="15" customHeight="1">
      <c r="A97" s="2">
        <v>94</v>
      </c>
      <c r="B97" s="2"/>
      <c r="C97" s="3">
        <f>ProjectInput[[#This Row],[Retrofit Cost]]</f>
        <v>0</v>
      </c>
      <c r="D97" s="2">
        <f>ProjectInput[[#This Row],[Proposed Fixture Quantity]]</f>
        <v>0</v>
      </c>
      <c r="E97" s="2" t="str">
        <f>CONCATENATE("Replace ", ReviewCalcs[[#This Row],[Existing Fixture Code]], " with ", ReviewCalcs[[#This Row],[Proposed Fixture Code]])</f>
        <v>Replace 0 with 0</v>
      </c>
      <c r="F97" s="2">
        <f>ReviewCalcs[[#This Row],[Measure Type]]</f>
        <v>0</v>
      </c>
      <c r="G97" s="2" t="str">
        <f>IF(Instructions!$F$25="Post-Retrofit","Completed","Recommended")</f>
        <v>Recommended</v>
      </c>
      <c r="H97" s="4">
        <f>ReviewCalcs[[#This Row],[Incentive Total Energy Savings (kWh)]]</f>
        <v>0</v>
      </c>
      <c r="I97" s="2">
        <f>ReviewCalcs[[#This Row],[Incentive Total Demand Savings (kW)]]</f>
        <v>0</v>
      </c>
      <c r="J97" s="3">
        <f>ProjectInput[[#This Row],[Energy Cost Savings ($)]]</f>
        <v>0</v>
      </c>
      <c r="K97" s="3">
        <f>ProjectInput[[#This Row],[Incentive ($)]]</f>
        <v>0</v>
      </c>
      <c r="L97" s="13">
        <f t="shared" si="1"/>
        <v>0</v>
      </c>
      <c r="M97" s="3"/>
      <c r="N97" s="3"/>
      <c r="O97" s="3"/>
      <c r="P97" s="3"/>
      <c r="Q97" s="3"/>
      <c r="R97" s="3"/>
      <c r="S97" s="3"/>
      <c r="T97" s="2"/>
      <c r="U97" s="133">
        <f>ProjectInput[[#This Row],[Location]]</f>
        <v>0</v>
      </c>
      <c r="V97" s="278">
        <f>ProjectInput[[#This Row],[Existing Fixture Code]]</f>
        <v>0</v>
      </c>
      <c r="W97"/>
      <c r="X97"/>
      <c r="Y97"/>
      <c r="Z97"/>
      <c r="AA97"/>
      <c r="AB97"/>
      <c r="AC97"/>
      <c r="AD97"/>
      <c r="AE97"/>
      <c r="AF97"/>
      <c r="AG97"/>
      <c r="AH97"/>
      <c r="AI97"/>
      <c r="AJ97"/>
      <c r="AK97"/>
      <c r="AL97"/>
      <c r="AM97"/>
      <c r="AN97"/>
      <c r="AO97"/>
    </row>
    <row r="98" spans="1:41" ht="15" customHeight="1">
      <c r="A98" s="2">
        <v>95</v>
      </c>
      <c r="B98" s="2"/>
      <c r="C98" s="3">
        <f>ProjectInput[[#This Row],[Retrofit Cost]]</f>
        <v>0</v>
      </c>
      <c r="D98" s="2">
        <f>ProjectInput[[#This Row],[Proposed Fixture Quantity]]</f>
        <v>0</v>
      </c>
      <c r="E98" s="2" t="str">
        <f>CONCATENATE("Replace ", ReviewCalcs[[#This Row],[Existing Fixture Code]], " with ", ReviewCalcs[[#This Row],[Proposed Fixture Code]])</f>
        <v>Replace 0 with 0</v>
      </c>
      <c r="F98" s="2">
        <f>ReviewCalcs[[#This Row],[Measure Type]]</f>
        <v>0</v>
      </c>
      <c r="G98" s="2" t="str">
        <f>IF(Instructions!$F$25="Post-Retrofit","Completed","Recommended")</f>
        <v>Recommended</v>
      </c>
      <c r="H98" s="4">
        <f>ReviewCalcs[[#This Row],[Incentive Total Energy Savings (kWh)]]</f>
        <v>0</v>
      </c>
      <c r="I98" s="2">
        <f>ReviewCalcs[[#This Row],[Incentive Total Demand Savings (kW)]]</f>
        <v>0</v>
      </c>
      <c r="J98" s="3">
        <f>ProjectInput[[#This Row],[Energy Cost Savings ($)]]</f>
        <v>0</v>
      </c>
      <c r="K98" s="3">
        <f>ProjectInput[[#This Row],[Incentive ($)]]</f>
        <v>0</v>
      </c>
      <c r="L98" s="13">
        <f t="shared" si="1"/>
        <v>0</v>
      </c>
      <c r="M98" s="3"/>
      <c r="N98" s="3"/>
      <c r="O98" s="3"/>
      <c r="P98" s="3"/>
      <c r="Q98" s="3"/>
      <c r="R98" s="3"/>
      <c r="S98" s="3"/>
      <c r="T98" s="2"/>
      <c r="U98" s="133">
        <f>ProjectInput[[#This Row],[Location]]</f>
        <v>0</v>
      </c>
      <c r="V98" s="278">
        <f>ProjectInput[[#This Row],[Existing Fixture Code]]</f>
        <v>0</v>
      </c>
      <c r="W98"/>
      <c r="X98"/>
      <c r="Y98"/>
      <c r="Z98"/>
      <c r="AA98"/>
      <c r="AB98"/>
      <c r="AC98"/>
      <c r="AD98"/>
      <c r="AE98"/>
      <c r="AF98"/>
      <c r="AG98"/>
      <c r="AH98"/>
      <c r="AI98"/>
      <c r="AJ98"/>
      <c r="AK98"/>
      <c r="AL98"/>
      <c r="AM98"/>
      <c r="AN98"/>
      <c r="AO98"/>
    </row>
    <row r="99" spans="1:41" ht="15" customHeight="1">
      <c r="A99" s="2">
        <v>96</v>
      </c>
      <c r="B99" s="2"/>
      <c r="C99" s="3">
        <f>ProjectInput[[#This Row],[Retrofit Cost]]</f>
        <v>0</v>
      </c>
      <c r="D99" s="2">
        <f>ProjectInput[[#This Row],[Proposed Fixture Quantity]]</f>
        <v>0</v>
      </c>
      <c r="E99" s="2" t="str">
        <f>CONCATENATE("Replace ", ReviewCalcs[[#This Row],[Existing Fixture Code]], " with ", ReviewCalcs[[#This Row],[Proposed Fixture Code]])</f>
        <v>Replace 0 with 0</v>
      </c>
      <c r="F99" s="2">
        <f>ReviewCalcs[[#This Row],[Measure Type]]</f>
        <v>0</v>
      </c>
      <c r="G99" s="2" t="str">
        <f>IF(Instructions!$F$25="Post-Retrofit","Completed","Recommended")</f>
        <v>Recommended</v>
      </c>
      <c r="H99" s="4">
        <f>ReviewCalcs[[#This Row],[Incentive Total Energy Savings (kWh)]]</f>
        <v>0</v>
      </c>
      <c r="I99" s="2">
        <f>ReviewCalcs[[#This Row],[Incentive Total Demand Savings (kW)]]</f>
        <v>0</v>
      </c>
      <c r="J99" s="3">
        <f>ProjectInput[[#This Row],[Energy Cost Savings ($)]]</f>
        <v>0</v>
      </c>
      <c r="K99" s="3">
        <f>ProjectInput[[#This Row],[Incentive ($)]]</f>
        <v>0</v>
      </c>
      <c r="L99" s="13">
        <f t="shared" si="1"/>
        <v>0</v>
      </c>
      <c r="M99" s="3"/>
      <c r="N99" s="3"/>
      <c r="O99" s="3"/>
      <c r="P99" s="3"/>
      <c r="Q99" s="3"/>
      <c r="R99" s="3"/>
      <c r="S99" s="3"/>
      <c r="T99" s="2"/>
      <c r="U99" s="133">
        <f>ProjectInput[[#This Row],[Location]]</f>
        <v>0</v>
      </c>
      <c r="V99" s="278">
        <f>ProjectInput[[#This Row],[Existing Fixture Code]]</f>
        <v>0</v>
      </c>
      <c r="W99"/>
      <c r="X99"/>
      <c r="Y99"/>
      <c r="Z99"/>
      <c r="AA99"/>
      <c r="AB99"/>
      <c r="AC99"/>
      <c r="AD99"/>
      <c r="AE99"/>
      <c r="AF99"/>
      <c r="AG99"/>
      <c r="AH99"/>
      <c r="AI99"/>
      <c r="AJ99"/>
      <c r="AK99"/>
      <c r="AL99"/>
      <c r="AM99"/>
      <c r="AN99"/>
      <c r="AO99"/>
    </row>
    <row r="100" spans="1:41" ht="15" customHeight="1">
      <c r="A100" s="2">
        <v>97</v>
      </c>
      <c r="B100" s="2"/>
      <c r="C100" s="3">
        <f>ProjectInput[[#This Row],[Retrofit Cost]]</f>
        <v>0</v>
      </c>
      <c r="D100" s="2">
        <f>ProjectInput[[#This Row],[Proposed Fixture Quantity]]</f>
        <v>0</v>
      </c>
      <c r="E100" s="2" t="str">
        <f>CONCATENATE("Replace ", ReviewCalcs[[#This Row],[Existing Fixture Code]], " with ", ReviewCalcs[[#This Row],[Proposed Fixture Code]])</f>
        <v>Replace 0 with 0</v>
      </c>
      <c r="F100" s="2">
        <f>ReviewCalcs[[#This Row],[Measure Type]]</f>
        <v>0</v>
      </c>
      <c r="G100" s="2" t="str">
        <f>IF(Instructions!$F$25="Post-Retrofit","Completed","Recommended")</f>
        <v>Recommended</v>
      </c>
      <c r="H100" s="4">
        <f>ReviewCalcs[[#This Row],[Incentive Total Energy Savings (kWh)]]</f>
        <v>0</v>
      </c>
      <c r="I100" s="2">
        <f>ReviewCalcs[[#This Row],[Incentive Total Demand Savings (kW)]]</f>
        <v>0</v>
      </c>
      <c r="J100" s="3">
        <f>ProjectInput[[#This Row],[Energy Cost Savings ($)]]</f>
        <v>0</v>
      </c>
      <c r="K100" s="3">
        <f>ProjectInput[[#This Row],[Incentive ($)]]</f>
        <v>0</v>
      </c>
      <c r="L100" s="13">
        <f t="shared" si="1"/>
        <v>0</v>
      </c>
      <c r="M100" s="3"/>
      <c r="N100" s="3"/>
      <c r="O100" s="3"/>
      <c r="P100" s="3"/>
      <c r="Q100" s="3"/>
      <c r="R100" s="3"/>
      <c r="S100" s="3"/>
      <c r="T100" s="2"/>
      <c r="U100" s="133">
        <f>ProjectInput[[#This Row],[Location]]</f>
        <v>0</v>
      </c>
      <c r="V100" s="278">
        <f>ProjectInput[[#This Row],[Existing Fixture Code]]</f>
        <v>0</v>
      </c>
      <c r="W100"/>
      <c r="X100"/>
      <c r="Y100"/>
      <c r="Z100"/>
      <c r="AA100"/>
      <c r="AB100"/>
      <c r="AC100"/>
      <c r="AD100"/>
      <c r="AE100"/>
      <c r="AF100"/>
      <c r="AG100"/>
      <c r="AH100"/>
      <c r="AI100"/>
      <c r="AJ100"/>
      <c r="AK100"/>
      <c r="AL100"/>
      <c r="AM100"/>
      <c r="AN100"/>
      <c r="AO100"/>
    </row>
    <row r="101" spans="1:41" ht="15" customHeight="1">
      <c r="A101" s="2">
        <v>98</v>
      </c>
      <c r="B101" s="2"/>
      <c r="C101" s="3">
        <f>ProjectInput[[#This Row],[Retrofit Cost]]</f>
        <v>0</v>
      </c>
      <c r="D101" s="2">
        <f>ProjectInput[[#This Row],[Proposed Fixture Quantity]]</f>
        <v>0</v>
      </c>
      <c r="E101" s="2" t="str">
        <f>CONCATENATE("Replace ", ReviewCalcs[[#This Row],[Existing Fixture Code]], " with ", ReviewCalcs[[#This Row],[Proposed Fixture Code]])</f>
        <v>Replace 0 with 0</v>
      </c>
      <c r="F101" s="2">
        <f>ReviewCalcs[[#This Row],[Measure Type]]</f>
        <v>0</v>
      </c>
      <c r="G101" s="2" t="str">
        <f>IF(Instructions!$F$25="Post-Retrofit","Completed","Recommended")</f>
        <v>Recommended</v>
      </c>
      <c r="H101" s="4">
        <f>ReviewCalcs[[#This Row],[Incentive Total Energy Savings (kWh)]]</f>
        <v>0</v>
      </c>
      <c r="I101" s="2">
        <f>ReviewCalcs[[#This Row],[Incentive Total Demand Savings (kW)]]</f>
        <v>0</v>
      </c>
      <c r="J101" s="3">
        <f>ProjectInput[[#This Row],[Energy Cost Savings ($)]]</f>
        <v>0</v>
      </c>
      <c r="K101" s="3">
        <f>ProjectInput[[#This Row],[Incentive ($)]]</f>
        <v>0</v>
      </c>
      <c r="L101" s="13">
        <f t="shared" si="1"/>
        <v>0</v>
      </c>
      <c r="M101" s="3"/>
      <c r="N101" s="3"/>
      <c r="O101" s="3"/>
      <c r="P101" s="3"/>
      <c r="Q101" s="3"/>
      <c r="R101" s="3"/>
      <c r="S101" s="3"/>
      <c r="T101" s="2"/>
      <c r="U101" s="133">
        <f>ProjectInput[[#This Row],[Location]]</f>
        <v>0</v>
      </c>
      <c r="V101" s="278">
        <f>ProjectInput[[#This Row],[Existing Fixture Code]]</f>
        <v>0</v>
      </c>
      <c r="W101"/>
      <c r="X101"/>
      <c r="Y101"/>
      <c r="Z101"/>
      <c r="AA101"/>
      <c r="AB101"/>
      <c r="AC101"/>
      <c r="AD101"/>
      <c r="AE101"/>
      <c r="AF101"/>
      <c r="AG101"/>
      <c r="AH101"/>
      <c r="AI101"/>
      <c r="AJ101"/>
      <c r="AK101"/>
      <c r="AL101"/>
      <c r="AM101"/>
      <c r="AN101"/>
      <c r="AO101"/>
    </row>
    <row r="102" spans="1:41" ht="15" customHeight="1">
      <c r="A102" s="2">
        <v>99</v>
      </c>
      <c r="B102" s="2"/>
      <c r="C102" s="3">
        <f>ProjectInput[[#This Row],[Retrofit Cost]]</f>
        <v>0</v>
      </c>
      <c r="D102" s="2">
        <f>ProjectInput[[#This Row],[Proposed Fixture Quantity]]</f>
        <v>0</v>
      </c>
      <c r="E102" s="2" t="str">
        <f>CONCATENATE("Replace ", ReviewCalcs[[#This Row],[Existing Fixture Code]], " with ", ReviewCalcs[[#This Row],[Proposed Fixture Code]])</f>
        <v>Replace 0 with 0</v>
      </c>
      <c r="F102" s="2">
        <f>ReviewCalcs[[#This Row],[Measure Type]]</f>
        <v>0</v>
      </c>
      <c r="G102" s="2" t="str">
        <f>IF(Instructions!$F$25="Post-Retrofit","Completed","Recommended")</f>
        <v>Recommended</v>
      </c>
      <c r="H102" s="4">
        <f>ReviewCalcs[[#This Row],[Incentive Total Energy Savings (kWh)]]</f>
        <v>0</v>
      </c>
      <c r="I102" s="2">
        <f>ReviewCalcs[[#This Row],[Incentive Total Demand Savings (kW)]]</f>
        <v>0</v>
      </c>
      <c r="J102" s="3">
        <f>ProjectInput[[#This Row],[Energy Cost Savings ($)]]</f>
        <v>0</v>
      </c>
      <c r="K102" s="3">
        <f>ProjectInput[[#This Row],[Incentive ($)]]</f>
        <v>0</v>
      </c>
      <c r="L102" s="13">
        <f t="shared" ref="L102:L165" si="2">IF(C102&lt;&gt;0,(C102-K102)/J102,0)</f>
        <v>0</v>
      </c>
      <c r="M102" s="3"/>
      <c r="N102" s="3"/>
      <c r="O102" s="3"/>
      <c r="P102" s="3"/>
      <c r="Q102" s="3"/>
      <c r="R102" s="3"/>
      <c r="S102" s="3"/>
      <c r="T102" s="2"/>
      <c r="U102" s="133">
        <f>ProjectInput[[#This Row],[Location]]</f>
        <v>0</v>
      </c>
      <c r="V102" s="278">
        <f>ProjectInput[[#This Row],[Existing Fixture Code]]</f>
        <v>0</v>
      </c>
      <c r="W102"/>
      <c r="X102"/>
      <c r="Y102"/>
      <c r="Z102"/>
      <c r="AA102"/>
      <c r="AB102"/>
      <c r="AC102"/>
      <c r="AD102"/>
      <c r="AE102"/>
      <c r="AF102"/>
      <c r="AG102"/>
      <c r="AH102"/>
      <c r="AI102"/>
      <c r="AJ102"/>
      <c r="AK102"/>
      <c r="AL102"/>
      <c r="AM102"/>
      <c r="AN102"/>
      <c r="AO102"/>
    </row>
    <row r="103" spans="1:41" ht="15" customHeight="1">
      <c r="A103" s="2">
        <v>100</v>
      </c>
      <c r="B103" s="2"/>
      <c r="C103" s="3">
        <f>ProjectInput[[#This Row],[Retrofit Cost]]</f>
        <v>0</v>
      </c>
      <c r="D103" s="2">
        <f>ProjectInput[[#This Row],[Proposed Fixture Quantity]]</f>
        <v>0</v>
      </c>
      <c r="E103" s="2" t="str">
        <f>CONCATENATE("Replace ", ReviewCalcs[[#This Row],[Existing Fixture Code]], " with ", ReviewCalcs[[#This Row],[Proposed Fixture Code]])</f>
        <v>Replace 0 with 0</v>
      </c>
      <c r="F103" s="2">
        <f>ReviewCalcs[[#This Row],[Measure Type]]</f>
        <v>0</v>
      </c>
      <c r="G103" s="2" t="str">
        <f>IF(Instructions!$F$25="Post-Retrofit","Completed","Recommended")</f>
        <v>Recommended</v>
      </c>
      <c r="H103" s="4">
        <f>ReviewCalcs[[#This Row],[Incentive Total Energy Savings (kWh)]]</f>
        <v>0</v>
      </c>
      <c r="I103" s="2">
        <f>ReviewCalcs[[#This Row],[Incentive Total Demand Savings (kW)]]</f>
        <v>0</v>
      </c>
      <c r="J103" s="3">
        <f>ProjectInput[[#This Row],[Energy Cost Savings ($)]]</f>
        <v>0</v>
      </c>
      <c r="K103" s="3">
        <f>ProjectInput[[#This Row],[Incentive ($)]]</f>
        <v>0</v>
      </c>
      <c r="L103" s="13">
        <f t="shared" si="2"/>
        <v>0</v>
      </c>
      <c r="M103" s="3"/>
      <c r="N103" s="3"/>
      <c r="O103" s="3"/>
      <c r="P103" s="3"/>
      <c r="Q103" s="3"/>
      <c r="R103" s="3"/>
      <c r="S103" s="3"/>
      <c r="T103" s="2"/>
      <c r="U103" s="133">
        <f>ProjectInput[[#This Row],[Location]]</f>
        <v>0</v>
      </c>
      <c r="V103" s="278">
        <f>ProjectInput[[#This Row],[Existing Fixture Code]]</f>
        <v>0</v>
      </c>
      <c r="W103"/>
      <c r="X103"/>
      <c r="Y103"/>
      <c r="Z103"/>
      <c r="AA103"/>
      <c r="AB103"/>
      <c r="AC103"/>
      <c r="AD103"/>
      <c r="AE103"/>
      <c r="AF103"/>
      <c r="AG103"/>
      <c r="AH103"/>
      <c r="AI103"/>
      <c r="AJ103"/>
      <c r="AK103"/>
      <c r="AL103"/>
      <c r="AM103"/>
      <c r="AN103"/>
      <c r="AO103"/>
    </row>
    <row r="104" spans="1:41" ht="15" customHeight="1">
      <c r="A104" s="2">
        <v>101</v>
      </c>
      <c r="B104" s="2"/>
      <c r="C104" s="3">
        <f>ProjectInput[[#This Row],[Retrofit Cost]]</f>
        <v>0</v>
      </c>
      <c r="D104" s="2">
        <f>ProjectInput[[#This Row],[Proposed Fixture Quantity]]</f>
        <v>0</v>
      </c>
      <c r="E104" s="2" t="str">
        <f>CONCATENATE("Replace ", ReviewCalcs[[#This Row],[Existing Fixture Code]], " with ", ReviewCalcs[[#This Row],[Proposed Fixture Code]])</f>
        <v>Replace 0 with 0</v>
      </c>
      <c r="F104" s="2">
        <f>ReviewCalcs[[#This Row],[Measure Type]]</f>
        <v>0</v>
      </c>
      <c r="G104" s="2" t="str">
        <f>IF(Instructions!$F$25="Post-Retrofit","Completed","Recommended")</f>
        <v>Recommended</v>
      </c>
      <c r="H104" s="4">
        <f>ReviewCalcs[[#This Row],[Incentive Total Energy Savings (kWh)]]</f>
        <v>0</v>
      </c>
      <c r="I104" s="2">
        <f>ReviewCalcs[[#This Row],[Incentive Total Demand Savings (kW)]]</f>
        <v>0</v>
      </c>
      <c r="J104" s="3">
        <f>ProjectInput[[#This Row],[Energy Cost Savings ($)]]</f>
        <v>0</v>
      </c>
      <c r="K104" s="3">
        <f>ProjectInput[[#This Row],[Incentive ($)]]</f>
        <v>0</v>
      </c>
      <c r="L104" s="13">
        <f t="shared" si="2"/>
        <v>0</v>
      </c>
      <c r="M104" s="3"/>
      <c r="N104" s="3"/>
      <c r="O104" s="3"/>
      <c r="P104" s="3"/>
      <c r="Q104" s="3"/>
      <c r="R104" s="3"/>
      <c r="S104" s="3"/>
      <c r="T104" s="2"/>
      <c r="U104" s="133">
        <f>ProjectInput[[#This Row],[Location]]</f>
        <v>0</v>
      </c>
      <c r="V104" s="278">
        <f>ProjectInput[[#This Row],[Existing Fixture Code]]</f>
        <v>0</v>
      </c>
      <c r="W104"/>
      <c r="X104"/>
      <c r="Y104"/>
      <c r="Z104"/>
      <c r="AA104"/>
      <c r="AB104"/>
      <c r="AC104"/>
      <c r="AD104"/>
      <c r="AE104"/>
      <c r="AF104"/>
      <c r="AG104"/>
      <c r="AH104"/>
      <c r="AI104"/>
      <c r="AJ104"/>
      <c r="AK104"/>
      <c r="AL104"/>
      <c r="AM104"/>
      <c r="AN104"/>
      <c r="AO104"/>
    </row>
    <row r="105" spans="1:41" ht="15" customHeight="1">
      <c r="A105" s="2">
        <v>102</v>
      </c>
      <c r="B105" s="2"/>
      <c r="C105" s="3">
        <f>ProjectInput[[#This Row],[Retrofit Cost]]</f>
        <v>0</v>
      </c>
      <c r="D105" s="2">
        <f>ProjectInput[[#This Row],[Proposed Fixture Quantity]]</f>
        <v>0</v>
      </c>
      <c r="E105" s="2" t="str">
        <f>CONCATENATE("Replace ", ReviewCalcs[[#This Row],[Existing Fixture Code]], " with ", ReviewCalcs[[#This Row],[Proposed Fixture Code]])</f>
        <v>Replace 0 with 0</v>
      </c>
      <c r="F105" s="2">
        <f>ReviewCalcs[[#This Row],[Measure Type]]</f>
        <v>0</v>
      </c>
      <c r="G105" s="2" t="str">
        <f>IF(Instructions!$F$25="Post-Retrofit","Completed","Recommended")</f>
        <v>Recommended</v>
      </c>
      <c r="H105" s="4">
        <f>ReviewCalcs[[#This Row],[Incentive Total Energy Savings (kWh)]]</f>
        <v>0</v>
      </c>
      <c r="I105" s="2">
        <f>ReviewCalcs[[#This Row],[Incentive Total Demand Savings (kW)]]</f>
        <v>0</v>
      </c>
      <c r="J105" s="3">
        <f>ProjectInput[[#This Row],[Energy Cost Savings ($)]]</f>
        <v>0</v>
      </c>
      <c r="K105" s="3">
        <f>ProjectInput[[#This Row],[Incentive ($)]]</f>
        <v>0</v>
      </c>
      <c r="L105" s="13">
        <f t="shared" si="2"/>
        <v>0</v>
      </c>
      <c r="M105" s="3"/>
      <c r="N105" s="3"/>
      <c r="O105" s="3"/>
      <c r="P105" s="3"/>
      <c r="Q105" s="3"/>
      <c r="R105" s="3"/>
      <c r="S105" s="3"/>
      <c r="T105" s="2"/>
      <c r="U105" s="133">
        <f>ProjectInput[[#This Row],[Location]]</f>
        <v>0</v>
      </c>
      <c r="V105" s="278">
        <f>ProjectInput[[#This Row],[Existing Fixture Code]]</f>
        <v>0</v>
      </c>
      <c r="W105"/>
      <c r="X105"/>
      <c r="Y105"/>
      <c r="Z105"/>
      <c r="AA105"/>
      <c r="AB105"/>
      <c r="AC105"/>
      <c r="AD105"/>
      <c r="AE105"/>
      <c r="AF105"/>
      <c r="AG105"/>
      <c r="AH105"/>
      <c r="AI105"/>
      <c r="AJ105"/>
      <c r="AK105"/>
      <c r="AL105"/>
      <c r="AM105"/>
      <c r="AN105"/>
      <c r="AO105"/>
    </row>
    <row r="106" spans="1:41" ht="15" customHeight="1">
      <c r="A106" s="2">
        <v>103</v>
      </c>
      <c r="B106" s="2"/>
      <c r="C106" s="3">
        <f>ProjectInput[[#This Row],[Retrofit Cost]]</f>
        <v>0</v>
      </c>
      <c r="D106" s="2">
        <f>ProjectInput[[#This Row],[Proposed Fixture Quantity]]</f>
        <v>0</v>
      </c>
      <c r="E106" s="2" t="str">
        <f>CONCATENATE("Replace ", ReviewCalcs[[#This Row],[Existing Fixture Code]], " with ", ReviewCalcs[[#This Row],[Proposed Fixture Code]])</f>
        <v>Replace 0 with 0</v>
      </c>
      <c r="F106" s="2">
        <f>ReviewCalcs[[#This Row],[Measure Type]]</f>
        <v>0</v>
      </c>
      <c r="G106" s="2" t="str">
        <f>IF(Instructions!$F$25="Post-Retrofit","Completed","Recommended")</f>
        <v>Recommended</v>
      </c>
      <c r="H106" s="4">
        <f>ReviewCalcs[[#This Row],[Incentive Total Energy Savings (kWh)]]</f>
        <v>0</v>
      </c>
      <c r="I106" s="2">
        <f>ReviewCalcs[[#This Row],[Incentive Total Demand Savings (kW)]]</f>
        <v>0</v>
      </c>
      <c r="J106" s="3">
        <f>ProjectInput[[#This Row],[Energy Cost Savings ($)]]</f>
        <v>0</v>
      </c>
      <c r="K106" s="3">
        <f>ProjectInput[[#This Row],[Incentive ($)]]</f>
        <v>0</v>
      </c>
      <c r="L106" s="13">
        <f t="shared" si="2"/>
        <v>0</v>
      </c>
      <c r="M106" s="3"/>
      <c r="N106" s="3"/>
      <c r="O106" s="3"/>
      <c r="P106" s="3"/>
      <c r="Q106" s="3"/>
      <c r="R106" s="3"/>
      <c r="S106" s="3"/>
      <c r="T106" s="2"/>
      <c r="U106" s="133">
        <f>ProjectInput[[#This Row],[Location]]</f>
        <v>0</v>
      </c>
      <c r="V106" s="278">
        <f>ProjectInput[[#This Row],[Existing Fixture Code]]</f>
        <v>0</v>
      </c>
      <c r="W106"/>
      <c r="X106"/>
      <c r="Y106"/>
      <c r="Z106"/>
      <c r="AA106"/>
      <c r="AB106"/>
      <c r="AC106"/>
      <c r="AD106"/>
      <c r="AE106"/>
      <c r="AF106"/>
      <c r="AG106"/>
      <c r="AH106"/>
      <c r="AI106"/>
      <c r="AJ106"/>
      <c r="AK106"/>
      <c r="AL106"/>
      <c r="AM106"/>
      <c r="AN106"/>
      <c r="AO106"/>
    </row>
    <row r="107" spans="1:41" ht="15" customHeight="1">
      <c r="A107" s="2">
        <v>104</v>
      </c>
      <c r="B107" s="2"/>
      <c r="C107" s="3">
        <f>ProjectInput[[#This Row],[Retrofit Cost]]</f>
        <v>0</v>
      </c>
      <c r="D107" s="2">
        <f>ProjectInput[[#This Row],[Proposed Fixture Quantity]]</f>
        <v>0</v>
      </c>
      <c r="E107" s="2" t="str">
        <f>CONCATENATE("Replace ", ReviewCalcs[[#This Row],[Existing Fixture Code]], " with ", ReviewCalcs[[#This Row],[Proposed Fixture Code]])</f>
        <v>Replace 0 with 0</v>
      </c>
      <c r="F107" s="2">
        <f>ReviewCalcs[[#This Row],[Measure Type]]</f>
        <v>0</v>
      </c>
      <c r="G107" s="2" t="str">
        <f>IF(Instructions!$F$25="Post-Retrofit","Completed","Recommended")</f>
        <v>Recommended</v>
      </c>
      <c r="H107" s="4">
        <f>ReviewCalcs[[#This Row],[Incentive Total Energy Savings (kWh)]]</f>
        <v>0</v>
      </c>
      <c r="I107" s="2">
        <f>ReviewCalcs[[#This Row],[Incentive Total Demand Savings (kW)]]</f>
        <v>0</v>
      </c>
      <c r="J107" s="3">
        <f>ProjectInput[[#This Row],[Energy Cost Savings ($)]]</f>
        <v>0</v>
      </c>
      <c r="K107" s="3">
        <f>ProjectInput[[#This Row],[Incentive ($)]]</f>
        <v>0</v>
      </c>
      <c r="L107" s="13">
        <f t="shared" si="2"/>
        <v>0</v>
      </c>
      <c r="M107" s="3"/>
      <c r="N107" s="3"/>
      <c r="O107" s="3"/>
      <c r="P107" s="3"/>
      <c r="Q107" s="3"/>
      <c r="R107" s="3"/>
      <c r="S107" s="3"/>
      <c r="T107" s="2"/>
      <c r="U107" s="133">
        <f>ProjectInput[[#This Row],[Location]]</f>
        <v>0</v>
      </c>
      <c r="V107" s="278">
        <f>ProjectInput[[#This Row],[Existing Fixture Code]]</f>
        <v>0</v>
      </c>
      <c r="W107"/>
      <c r="X107"/>
      <c r="Y107"/>
      <c r="Z107"/>
      <c r="AA107"/>
      <c r="AB107"/>
      <c r="AC107"/>
      <c r="AD107"/>
      <c r="AE107"/>
      <c r="AF107"/>
      <c r="AG107"/>
      <c r="AH107"/>
      <c r="AI107"/>
      <c r="AJ107"/>
      <c r="AK107"/>
      <c r="AL107"/>
      <c r="AM107"/>
      <c r="AN107"/>
      <c r="AO107"/>
    </row>
    <row r="108" spans="1:41" ht="15" customHeight="1">
      <c r="A108" s="2">
        <v>105</v>
      </c>
      <c r="B108" s="2"/>
      <c r="C108" s="3">
        <f>ProjectInput[[#This Row],[Retrofit Cost]]</f>
        <v>0</v>
      </c>
      <c r="D108" s="2">
        <f>ProjectInput[[#This Row],[Proposed Fixture Quantity]]</f>
        <v>0</v>
      </c>
      <c r="E108" s="2" t="str">
        <f>CONCATENATE("Replace ", ReviewCalcs[[#This Row],[Existing Fixture Code]], " with ", ReviewCalcs[[#This Row],[Proposed Fixture Code]])</f>
        <v>Replace 0 with 0</v>
      </c>
      <c r="F108" s="2">
        <f>ReviewCalcs[[#This Row],[Measure Type]]</f>
        <v>0</v>
      </c>
      <c r="G108" s="2" t="str">
        <f>IF(Instructions!$F$25="Post-Retrofit","Completed","Recommended")</f>
        <v>Recommended</v>
      </c>
      <c r="H108" s="4">
        <f>ReviewCalcs[[#This Row],[Incentive Total Energy Savings (kWh)]]</f>
        <v>0</v>
      </c>
      <c r="I108" s="2">
        <f>ReviewCalcs[[#This Row],[Incentive Total Demand Savings (kW)]]</f>
        <v>0</v>
      </c>
      <c r="J108" s="3">
        <f>ProjectInput[[#This Row],[Energy Cost Savings ($)]]</f>
        <v>0</v>
      </c>
      <c r="K108" s="3">
        <f>ProjectInput[[#This Row],[Incentive ($)]]</f>
        <v>0</v>
      </c>
      <c r="L108" s="13">
        <f t="shared" si="2"/>
        <v>0</v>
      </c>
      <c r="M108" s="3"/>
      <c r="N108" s="3"/>
      <c r="O108" s="3"/>
      <c r="P108" s="3"/>
      <c r="Q108" s="3"/>
      <c r="R108" s="3"/>
      <c r="S108" s="3"/>
      <c r="T108" s="2"/>
      <c r="U108" s="133">
        <f>ProjectInput[[#This Row],[Location]]</f>
        <v>0</v>
      </c>
      <c r="V108" s="278">
        <f>ProjectInput[[#This Row],[Existing Fixture Code]]</f>
        <v>0</v>
      </c>
      <c r="W108"/>
      <c r="X108"/>
      <c r="Y108"/>
      <c r="Z108"/>
      <c r="AA108"/>
      <c r="AB108"/>
      <c r="AC108"/>
      <c r="AD108"/>
      <c r="AE108"/>
      <c r="AF108"/>
      <c r="AG108"/>
      <c r="AH108"/>
      <c r="AI108"/>
      <c r="AJ108"/>
      <c r="AK108"/>
      <c r="AL108"/>
      <c r="AM108"/>
      <c r="AN108"/>
      <c r="AO108"/>
    </row>
    <row r="109" spans="1:41" ht="15" customHeight="1">
      <c r="A109" s="2">
        <v>106</v>
      </c>
      <c r="B109" s="2"/>
      <c r="C109" s="3">
        <f>ProjectInput[[#This Row],[Retrofit Cost]]</f>
        <v>0</v>
      </c>
      <c r="D109" s="2">
        <f>ProjectInput[[#This Row],[Proposed Fixture Quantity]]</f>
        <v>0</v>
      </c>
      <c r="E109" s="2" t="str">
        <f>CONCATENATE("Replace ", ReviewCalcs[[#This Row],[Existing Fixture Code]], " with ", ReviewCalcs[[#This Row],[Proposed Fixture Code]])</f>
        <v>Replace 0 with 0</v>
      </c>
      <c r="F109" s="2">
        <f>ReviewCalcs[[#This Row],[Measure Type]]</f>
        <v>0</v>
      </c>
      <c r="G109" s="2" t="str">
        <f>IF(Instructions!$F$25="Post-Retrofit","Completed","Recommended")</f>
        <v>Recommended</v>
      </c>
      <c r="H109" s="4">
        <f>ReviewCalcs[[#This Row],[Incentive Total Energy Savings (kWh)]]</f>
        <v>0</v>
      </c>
      <c r="I109" s="2">
        <f>ReviewCalcs[[#This Row],[Incentive Total Demand Savings (kW)]]</f>
        <v>0</v>
      </c>
      <c r="J109" s="3">
        <f>ProjectInput[[#This Row],[Energy Cost Savings ($)]]</f>
        <v>0</v>
      </c>
      <c r="K109" s="3">
        <f>ProjectInput[[#This Row],[Incentive ($)]]</f>
        <v>0</v>
      </c>
      <c r="L109" s="13">
        <f t="shared" si="2"/>
        <v>0</v>
      </c>
      <c r="M109" s="3"/>
      <c r="N109" s="3"/>
      <c r="O109" s="3"/>
      <c r="P109" s="3"/>
      <c r="Q109" s="3"/>
      <c r="R109" s="3"/>
      <c r="S109" s="3"/>
      <c r="T109" s="2"/>
      <c r="U109" s="133">
        <f>ProjectInput[[#This Row],[Location]]</f>
        <v>0</v>
      </c>
      <c r="V109" s="278">
        <f>ProjectInput[[#This Row],[Existing Fixture Code]]</f>
        <v>0</v>
      </c>
      <c r="W109"/>
      <c r="X109"/>
      <c r="Y109"/>
      <c r="Z109"/>
      <c r="AA109"/>
      <c r="AB109"/>
      <c r="AC109"/>
      <c r="AD109"/>
      <c r="AE109"/>
      <c r="AF109"/>
      <c r="AG109"/>
      <c r="AH109"/>
      <c r="AI109"/>
      <c r="AJ109"/>
      <c r="AK109"/>
      <c r="AL109"/>
      <c r="AM109"/>
      <c r="AN109"/>
      <c r="AO109"/>
    </row>
    <row r="110" spans="1:41" ht="15" customHeight="1">
      <c r="A110" s="2">
        <v>107</v>
      </c>
      <c r="B110" s="2"/>
      <c r="C110" s="3">
        <f>ProjectInput[[#This Row],[Retrofit Cost]]</f>
        <v>0</v>
      </c>
      <c r="D110" s="2">
        <f>ProjectInput[[#This Row],[Proposed Fixture Quantity]]</f>
        <v>0</v>
      </c>
      <c r="E110" s="2" t="str">
        <f>CONCATENATE("Replace ", ReviewCalcs[[#This Row],[Existing Fixture Code]], " with ", ReviewCalcs[[#This Row],[Proposed Fixture Code]])</f>
        <v>Replace 0 with 0</v>
      </c>
      <c r="F110" s="2">
        <f>ReviewCalcs[[#This Row],[Measure Type]]</f>
        <v>0</v>
      </c>
      <c r="G110" s="2" t="str">
        <f>IF(Instructions!$F$25="Post-Retrofit","Completed","Recommended")</f>
        <v>Recommended</v>
      </c>
      <c r="H110" s="4">
        <f>ReviewCalcs[[#This Row],[Incentive Total Energy Savings (kWh)]]</f>
        <v>0</v>
      </c>
      <c r="I110" s="2">
        <f>ReviewCalcs[[#This Row],[Incentive Total Demand Savings (kW)]]</f>
        <v>0</v>
      </c>
      <c r="J110" s="3">
        <f>ProjectInput[[#This Row],[Energy Cost Savings ($)]]</f>
        <v>0</v>
      </c>
      <c r="K110" s="3">
        <f>ProjectInput[[#This Row],[Incentive ($)]]</f>
        <v>0</v>
      </c>
      <c r="L110" s="13">
        <f t="shared" si="2"/>
        <v>0</v>
      </c>
      <c r="M110" s="3"/>
      <c r="N110" s="3"/>
      <c r="O110" s="3"/>
      <c r="P110" s="3"/>
      <c r="Q110" s="3"/>
      <c r="R110" s="3"/>
      <c r="S110" s="3"/>
      <c r="T110" s="2"/>
      <c r="U110" s="133">
        <f>ProjectInput[[#This Row],[Location]]</f>
        <v>0</v>
      </c>
      <c r="V110" s="278">
        <f>ProjectInput[[#This Row],[Existing Fixture Code]]</f>
        <v>0</v>
      </c>
      <c r="W110"/>
      <c r="X110"/>
      <c r="Y110"/>
      <c r="Z110"/>
      <c r="AA110"/>
      <c r="AB110"/>
      <c r="AC110"/>
      <c r="AD110"/>
      <c r="AE110"/>
      <c r="AF110"/>
      <c r="AG110"/>
      <c r="AH110"/>
      <c r="AI110"/>
      <c r="AJ110"/>
      <c r="AK110"/>
      <c r="AL110"/>
      <c r="AM110"/>
      <c r="AN110"/>
      <c r="AO110"/>
    </row>
    <row r="111" spans="1:41" ht="15" customHeight="1">
      <c r="A111" s="2">
        <v>108</v>
      </c>
      <c r="B111" s="2"/>
      <c r="C111" s="3">
        <f>ProjectInput[[#This Row],[Retrofit Cost]]</f>
        <v>0</v>
      </c>
      <c r="D111" s="2">
        <f>ProjectInput[[#This Row],[Proposed Fixture Quantity]]</f>
        <v>0</v>
      </c>
      <c r="E111" s="2" t="str">
        <f>CONCATENATE("Replace ", ReviewCalcs[[#This Row],[Existing Fixture Code]], " with ", ReviewCalcs[[#This Row],[Proposed Fixture Code]])</f>
        <v>Replace 0 with 0</v>
      </c>
      <c r="F111" s="2">
        <f>ReviewCalcs[[#This Row],[Measure Type]]</f>
        <v>0</v>
      </c>
      <c r="G111" s="2" t="str">
        <f>IF(Instructions!$F$25="Post-Retrofit","Completed","Recommended")</f>
        <v>Recommended</v>
      </c>
      <c r="H111" s="4">
        <f>ReviewCalcs[[#This Row],[Incentive Total Energy Savings (kWh)]]</f>
        <v>0</v>
      </c>
      <c r="I111" s="2">
        <f>ReviewCalcs[[#This Row],[Incentive Total Demand Savings (kW)]]</f>
        <v>0</v>
      </c>
      <c r="J111" s="3">
        <f>ProjectInput[[#This Row],[Energy Cost Savings ($)]]</f>
        <v>0</v>
      </c>
      <c r="K111" s="3">
        <f>ProjectInput[[#This Row],[Incentive ($)]]</f>
        <v>0</v>
      </c>
      <c r="L111" s="13">
        <f t="shared" si="2"/>
        <v>0</v>
      </c>
      <c r="M111" s="3"/>
      <c r="N111" s="3"/>
      <c r="O111" s="3"/>
      <c r="P111" s="3"/>
      <c r="Q111" s="3"/>
      <c r="R111" s="3"/>
      <c r="S111" s="3"/>
      <c r="T111" s="2"/>
      <c r="U111" s="133">
        <f>ProjectInput[[#This Row],[Location]]</f>
        <v>0</v>
      </c>
      <c r="V111" s="278">
        <f>ProjectInput[[#This Row],[Existing Fixture Code]]</f>
        <v>0</v>
      </c>
      <c r="W111"/>
      <c r="X111"/>
      <c r="Y111"/>
      <c r="Z111"/>
      <c r="AA111"/>
      <c r="AB111"/>
      <c r="AC111"/>
      <c r="AD111"/>
      <c r="AE111"/>
      <c r="AF111"/>
      <c r="AG111"/>
      <c r="AH111"/>
      <c r="AI111"/>
      <c r="AJ111"/>
      <c r="AK111"/>
      <c r="AL111"/>
      <c r="AM111"/>
      <c r="AN111"/>
      <c r="AO111"/>
    </row>
    <row r="112" spans="1:41" ht="15" customHeight="1">
      <c r="A112" s="2">
        <v>109</v>
      </c>
      <c r="B112" s="2"/>
      <c r="C112" s="3">
        <f>ProjectInput[[#This Row],[Retrofit Cost]]</f>
        <v>0</v>
      </c>
      <c r="D112" s="2">
        <f>ProjectInput[[#This Row],[Proposed Fixture Quantity]]</f>
        <v>0</v>
      </c>
      <c r="E112" s="2" t="str">
        <f>CONCATENATE("Replace ", ReviewCalcs[[#This Row],[Existing Fixture Code]], " with ", ReviewCalcs[[#This Row],[Proposed Fixture Code]])</f>
        <v>Replace 0 with 0</v>
      </c>
      <c r="F112" s="2">
        <f>ReviewCalcs[[#This Row],[Measure Type]]</f>
        <v>0</v>
      </c>
      <c r="G112" s="2" t="str">
        <f>IF(Instructions!$F$25="Post-Retrofit","Completed","Recommended")</f>
        <v>Recommended</v>
      </c>
      <c r="H112" s="4">
        <f>ReviewCalcs[[#This Row],[Incentive Total Energy Savings (kWh)]]</f>
        <v>0</v>
      </c>
      <c r="I112" s="2">
        <f>ReviewCalcs[[#This Row],[Incentive Total Demand Savings (kW)]]</f>
        <v>0</v>
      </c>
      <c r="J112" s="3">
        <f>ProjectInput[[#This Row],[Energy Cost Savings ($)]]</f>
        <v>0</v>
      </c>
      <c r="K112" s="3">
        <f>ProjectInput[[#This Row],[Incentive ($)]]</f>
        <v>0</v>
      </c>
      <c r="L112" s="13">
        <f t="shared" si="2"/>
        <v>0</v>
      </c>
      <c r="M112" s="3"/>
      <c r="N112" s="3"/>
      <c r="O112" s="3"/>
      <c r="P112" s="3"/>
      <c r="Q112" s="3"/>
      <c r="R112" s="3"/>
      <c r="S112" s="3"/>
      <c r="T112" s="2"/>
      <c r="U112" s="133">
        <f>ProjectInput[[#This Row],[Location]]</f>
        <v>0</v>
      </c>
      <c r="V112" s="278">
        <f>ProjectInput[[#This Row],[Existing Fixture Code]]</f>
        <v>0</v>
      </c>
      <c r="W112"/>
      <c r="X112"/>
      <c r="Y112"/>
      <c r="Z112"/>
      <c r="AA112"/>
      <c r="AB112"/>
      <c r="AC112"/>
      <c r="AD112"/>
      <c r="AE112"/>
      <c r="AF112"/>
      <c r="AG112"/>
      <c r="AH112"/>
      <c r="AI112"/>
      <c r="AJ112"/>
      <c r="AK112"/>
      <c r="AL112"/>
      <c r="AM112"/>
      <c r="AN112"/>
      <c r="AO112"/>
    </row>
    <row r="113" spans="1:41" ht="15" customHeight="1">
      <c r="A113" s="2">
        <v>110</v>
      </c>
      <c r="B113" s="2"/>
      <c r="C113" s="3">
        <f>ProjectInput[[#This Row],[Retrofit Cost]]</f>
        <v>0</v>
      </c>
      <c r="D113" s="2">
        <f>ProjectInput[[#This Row],[Proposed Fixture Quantity]]</f>
        <v>0</v>
      </c>
      <c r="E113" s="2" t="str">
        <f>CONCATENATE("Replace ", ReviewCalcs[[#This Row],[Existing Fixture Code]], " with ", ReviewCalcs[[#This Row],[Proposed Fixture Code]])</f>
        <v>Replace 0 with 0</v>
      </c>
      <c r="F113" s="2">
        <f>ReviewCalcs[[#This Row],[Measure Type]]</f>
        <v>0</v>
      </c>
      <c r="G113" s="2" t="str">
        <f>IF(Instructions!$F$25="Post-Retrofit","Completed","Recommended")</f>
        <v>Recommended</v>
      </c>
      <c r="H113" s="4">
        <f>ReviewCalcs[[#This Row],[Incentive Total Energy Savings (kWh)]]</f>
        <v>0</v>
      </c>
      <c r="I113" s="2">
        <f>ReviewCalcs[[#This Row],[Incentive Total Demand Savings (kW)]]</f>
        <v>0</v>
      </c>
      <c r="J113" s="3">
        <f>ProjectInput[[#This Row],[Energy Cost Savings ($)]]</f>
        <v>0</v>
      </c>
      <c r="K113" s="3">
        <f>ProjectInput[[#This Row],[Incentive ($)]]</f>
        <v>0</v>
      </c>
      <c r="L113" s="13">
        <f t="shared" si="2"/>
        <v>0</v>
      </c>
      <c r="M113" s="3"/>
      <c r="N113" s="3"/>
      <c r="O113" s="3"/>
      <c r="P113" s="3"/>
      <c r="Q113" s="3"/>
      <c r="R113" s="3"/>
      <c r="S113" s="3"/>
      <c r="T113" s="2"/>
      <c r="U113" s="133">
        <f>ProjectInput[[#This Row],[Location]]</f>
        <v>0</v>
      </c>
      <c r="V113" s="278">
        <f>ProjectInput[[#This Row],[Existing Fixture Code]]</f>
        <v>0</v>
      </c>
      <c r="W113"/>
      <c r="X113"/>
      <c r="Y113"/>
      <c r="Z113"/>
      <c r="AA113"/>
      <c r="AB113"/>
      <c r="AC113"/>
      <c r="AD113"/>
      <c r="AE113"/>
      <c r="AF113"/>
      <c r="AG113"/>
      <c r="AH113"/>
      <c r="AI113"/>
      <c r="AJ113"/>
      <c r="AK113"/>
      <c r="AL113"/>
      <c r="AM113"/>
      <c r="AN113"/>
      <c r="AO113"/>
    </row>
    <row r="114" spans="1:41" ht="15" customHeight="1">
      <c r="A114" s="2">
        <v>111</v>
      </c>
      <c r="B114" s="2"/>
      <c r="C114" s="3">
        <f>ProjectInput[[#This Row],[Retrofit Cost]]</f>
        <v>0</v>
      </c>
      <c r="D114" s="2">
        <f>ProjectInput[[#This Row],[Proposed Fixture Quantity]]</f>
        <v>0</v>
      </c>
      <c r="E114" s="2" t="str">
        <f>CONCATENATE("Replace ", ReviewCalcs[[#This Row],[Existing Fixture Code]], " with ", ReviewCalcs[[#This Row],[Proposed Fixture Code]])</f>
        <v>Replace 0 with 0</v>
      </c>
      <c r="F114" s="2">
        <f>ReviewCalcs[[#This Row],[Measure Type]]</f>
        <v>0</v>
      </c>
      <c r="G114" s="2" t="str">
        <f>IF(Instructions!$F$25="Post-Retrofit","Completed","Recommended")</f>
        <v>Recommended</v>
      </c>
      <c r="H114" s="4">
        <f>ReviewCalcs[[#This Row],[Incentive Total Energy Savings (kWh)]]</f>
        <v>0</v>
      </c>
      <c r="I114" s="2">
        <f>ReviewCalcs[[#This Row],[Incentive Total Demand Savings (kW)]]</f>
        <v>0</v>
      </c>
      <c r="J114" s="3">
        <f>ProjectInput[[#This Row],[Energy Cost Savings ($)]]</f>
        <v>0</v>
      </c>
      <c r="K114" s="3">
        <f>ProjectInput[[#This Row],[Incentive ($)]]</f>
        <v>0</v>
      </c>
      <c r="L114" s="13">
        <f t="shared" si="2"/>
        <v>0</v>
      </c>
      <c r="M114" s="3"/>
      <c r="N114" s="3"/>
      <c r="O114" s="3"/>
      <c r="P114" s="3"/>
      <c r="Q114" s="3"/>
      <c r="R114" s="3"/>
      <c r="S114" s="3"/>
      <c r="T114" s="2"/>
      <c r="U114" s="133">
        <f>ProjectInput[[#This Row],[Location]]</f>
        <v>0</v>
      </c>
      <c r="V114" s="278">
        <f>ProjectInput[[#This Row],[Existing Fixture Code]]</f>
        <v>0</v>
      </c>
      <c r="W114"/>
      <c r="X114"/>
      <c r="Y114"/>
      <c r="Z114"/>
      <c r="AA114"/>
      <c r="AB114"/>
      <c r="AC114"/>
      <c r="AD114"/>
      <c r="AE114"/>
      <c r="AF114"/>
      <c r="AG114"/>
      <c r="AH114"/>
      <c r="AI114"/>
      <c r="AJ114"/>
      <c r="AK114"/>
      <c r="AL114"/>
      <c r="AM114"/>
      <c r="AN114"/>
      <c r="AO114"/>
    </row>
    <row r="115" spans="1:41" ht="15" customHeight="1">
      <c r="A115" s="2">
        <v>112</v>
      </c>
      <c r="B115" s="2"/>
      <c r="C115" s="3">
        <f>ProjectInput[[#This Row],[Retrofit Cost]]</f>
        <v>0</v>
      </c>
      <c r="D115" s="2">
        <f>ProjectInput[[#This Row],[Proposed Fixture Quantity]]</f>
        <v>0</v>
      </c>
      <c r="E115" s="2" t="str">
        <f>CONCATENATE("Replace ", ReviewCalcs[[#This Row],[Existing Fixture Code]], " with ", ReviewCalcs[[#This Row],[Proposed Fixture Code]])</f>
        <v>Replace 0 with 0</v>
      </c>
      <c r="F115" s="2">
        <f>ReviewCalcs[[#This Row],[Measure Type]]</f>
        <v>0</v>
      </c>
      <c r="G115" s="2" t="str">
        <f>IF(Instructions!$F$25="Post-Retrofit","Completed","Recommended")</f>
        <v>Recommended</v>
      </c>
      <c r="H115" s="4">
        <f>ReviewCalcs[[#This Row],[Incentive Total Energy Savings (kWh)]]</f>
        <v>0</v>
      </c>
      <c r="I115" s="2">
        <f>ReviewCalcs[[#This Row],[Incentive Total Demand Savings (kW)]]</f>
        <v>0</v>
      </c>
      <c r="J115" s="3">
        <f>ProjectInput[[#This Row],[Energy Cost Savings ($)]]</f>
        <v>0</v>
      </c>
      <c r="K115" s="3">
        <f>ProjectInput[[#This Row],[Incentive ($)]]</f>
        <v>0</v>
      </c>
      <c r="L115" s="13">
        <f t="shared" si="2"/>
        <v>0</v>
      </c>
      <c r="M115" s="3"/>
      <c r="N115" s="3"/>
      <c r="O115" s="3"/>
      <c r="P115" s="3"/>
      <c r="Q115" s="3"/>
      <c r="R115" s="3"/>
      <c r="S115" s="3"/>
      <c r="T115" s="2"/>
      <c r="U115" s="133">
        <f>ProjectInput[[#This Row],[Location]]</f>
        <v>0</v>
      </c>
      <c r="V115" s="278">
        <f>ProjectInput[[#This Row],[Existing Fixture Code]]</f>
        <v>0</v>
      </c>
      <c r="W115"/>
      <c r="X115"/>
      <c r="Y115"/>
      <c r="Z115"/>
      <c r="AA115"/>
      <c r="AB115"/>
      <c r="AC115"/>
      <c r="AD115"/>
      <c r="AE115"/>
      <c r="AF115"/>
      <c r="AG115"/>
      <c r="AH115"/>
      <c r="AI115"/>
      <c r="AJ115"/>
      <c r="AK115"/>
      <c r="AL115"/>
      <c r="AM115"/>
      <c r="AN115"/>
      <c r="AO115"/>
    </row>
    <row r="116" spans="1:41" ht="15" customHeight="1">
      <c r="A116" s="2">
        <v>113</v>
      </c>
      <c r="B116" s="2"/>
      <c r="C116" s="3">
        <f>ProjectInput[[#This Row],[Retrofit Cost]]</f>
        <v>0</v>
      </c>
      <c r="D116" s="2">
        <f>ProjectInput[[#This Row],[Proposed Fixture Quantity]]</f>
        <v>0</v>
      </c>
      <c r="E116" s="2" t="str">
        <f>CONCATENATE("Replace ", ReviewCalcs[[#This Row],[Existing Fixture Code]], " with ", ReviewCalcs[[#This Row],[Proposed Fixture Code]])</f>
        <v>Replace 0 with 0</v>
      </c>
      <c r="F116" s="2">
        <f>ReviewCalcs[[#This Row],[Measure Type]]</f>
        <v>0</v>
      </c>
      <c r="G116" s="2" t="str">
        <f>IF(Instructions!$F$25="Post-Retrofit","Completed","Recommended")</f>
        <v>Recommended</v>
      </c>
      <c r="H116" s="4">
        <f>ReviewCalcs[[#This Row],[Incentive Total Energy Savings (kWh)]]</f>
        <v>0</v>
      </c>
      <c r="I116" s="2">
        <f>ReviewCalcs[[#This Row],[Incentive Total Demand Savings (kW)]]</f>
        <v>0</v>
      </c>
      <c r="J116" s="3">
        <f>ProjectInput[[#This Row],[Energy Cost Savings ($)]]</f>
        <v>0</v>
      </c>
      <c r="K116" s="3">
        <f>ProjectInput[[#This Row],[Incentive ($)]]</f>
        <v>0</v>
      </c>
      <c r="L116" s="13">
        <f t="shared" si="2"/>
        <v>0</v>
      </c>
      <c r="M116" s="3"/>
      <c r="N116" s="3"/>
      <c r="O116" s="3"/>
      <c r="P116" s="3"/>
      <c r="Q116" s="3"/>
      <c r="R116" s="3"/>
      <c r="S116" s="3"/>
      <c r="T116" s="2"/>
      <c r="U116" s="133">
        <f>ProjectInput[[#This Row],[Location]]</f>
        <v>0</v>
      </c>
      <c r="V116" s="278">
        <f>ProjectInput[[#This Row],[Existing Fixture Code]]</f>
        <v>0</v>
      </c>
      <c r="W116"/>
      <c r="X116"/>
      <c r="Y116"/>
      <c r="Z116"/>
      <c r="AA116"/>
      <c r="AB116"/>
      <c r="AC116"/>
      <c r="AD116"/>
      <c r="AE116"/>
      <c r="AF116"/>
      <c r="AG116"/>
      <c r="AH116"/>
      <c r="AI116"/>
      <c r="AJ116"/>
      <c r="AK116"/>
      <c r="AL116"/>
      <c r="AM116"/>
      <c r="AN116"/>
      <c r="AO116"/>
    </row>
    <row r="117" spans="1:41" ht="15" customHeight="1">
      <c r="A117" s="2">
        <v>114</v>
      </c>
      <c r="B117" s="2"/>
      <c r="C117" s="3">
        <f>ProjectInput[[#This Row],[Retrofit Cost]]</f>
        <v>0</v>
      </c>
      <c r="D117" s="2">
        <f>ProjectInput[[#This Row],[Proposed Fixture Quantity]]</f>
        <v>0</v>
      </c>
      <c r="E117" s="2" t="str">
        <f>CONCATENATE("Replace ", ReviewCalcs[[#This Row],[Existing Fixture Code]], " with ", ReviewCalcs[[#This Row],[Proposed Fixture Code]])</f>
        <v>Replace 0 with 0</v>
      </c>
      <c r="F117" s="2">
        <f>ReviewCalcs[[#This Row],[Measure Type]]</f>
        <v>0</v>
      </c>
      <c r="G117" s="2" t="str">
        <f>IF(Instructions!$F$25="Post-Retrofit","Completed","Recommended")</f>
        <v>Recommended</v>
      </c>
      <c r="H117" s="4">
        <f>ReviewCalcs[[#This Row],[Incentive Total Energy Savings (kWh)]]</f>
        <v>0</v>
      </c>
      <c r="I117" s="2">
        <f>ReviewCalcs[[#This Row],[Incentive Total Demand Savings (kW)]]</f>
        <v>0</v>
      </c>
      <c r="J117" s="3">
        <f>ProjectInput[[#This Row],[Energy Cost Savings ($)]]</f>
        <v>0</v>
      </c>
      <c r="K117" s="3">
        <f>ProjectInput[[#This Row],[Incentive ($)]]</f>
        <v>0</v>
      </c>
      <c r="L117" s="13">
        <f t="shared" si="2"/>
        <v>0</v>
      </c>
      <c r="M117" s="3"/>
      <c r="N117" s="3"/>
      <c r="O117" s="3"/>
      <c r="P117" s="3"/>
      <c r="Q117" s="3"/>
      <c r="R117" s="3"/>
      <c r="S117" s="3"/>
      <c r="T117" s="2"/>
      <c r="U117" s="133">
        <f>ProjectInput[[#This Row],[Location]]</f>
        <v>0</v>
      </c>
      <c r="V117" s="278">
        <f>ProjectInput[[#This Row],[Existing Fixture Code]]</f>
        <v>0</v>
      </c>
      <c r="W117"/>
      <c r="X117"/>
      <c r="Y117"/>
      <c r="Z117"/>
      <c r="AA117"/>
      <c r="AB117"/>
      <c r="AC117"/>
      <c r="AD117"/>
      <c r="AE117"/>
      <c r="AF117"/>
      <c r="AG117"/>
      <c r="AH117"/>
      <c r="AI117"/>
      <c r="AJ117"/>
      <c r="AK117"/>
      <c r="AL117"/>
      <c r="AM117"/>
      <c r="AN117"/>
      <c r="AO117"/>
    </row>
    <row r="118" spans="1:41" ht="15" customHeight="1">
      <c r="A118" s="2">
        <v>115</v>
      </c>
      <c r="B118" s="2"/>
      <c r="C118" s="3">
        <f>ProjectInput[[#This Row],[Retrofit Cost]]</f>
        <v>0</v>
      </c>
      <c r="D118" s="2">
        <f>ProjectInput[[#This Row],[Proposed Fixture Quantity]]</f>
        <v>0</v>
      </c>
      <c r="E118" s="2" t="str">
        <f>CONCATENATE("Replace ", ReviewCalcs[[#This Row],[Existing Fixture Code]], " with ", ReviewCalcs[[#This Row],[Proposed Fixture Code]])</f>
        <v>Replace 0 with 0</v>
      </c>
      <c r="F118" s="2">
        <f>ReviewCalcs[[#This Row],[Measure Type]]</f>
        <v>0</v>
      </c>
      <c r="G118" s="2" t="str">
        <f>IF(Instructions!$F$25="Post-Retrofit","Completed","Recommended")</f>
        <v>Recommended</v>
      </c>
      <c r="H118" s="4">
        <f>ReviewCalcs[[#This Row],[Incentive Total Energy Savings (kWh)]]</f>
        <v>0</v>
      </c>
      <c r="I118" s="2">
        <f>ReviewCalcs[[#This Row],[Incentive Total Demand Savings (kW)]]</f>
        <v>0</v>
      </c>
      <c r="J118" s="3">
        <f>ProjectInput[[#This Row],[Energy Cost Savings ($)]]</f>
        <v>0</v>
      </c>
      <c r="K118" s="3">
        <f>ProjectInput[[#This Row],[Incentive ($)]]</f>
        <v>0</v>
      </c>
      <c r="L118" s="13">
        <f t="shared" si="2"/>
        <v>0</v>
      </c>
      <c r="M118" s="3"/>
      <c r="N118" s="3"/>
      <c r="O118" s="3"/>
      <c r="P118" s="3"/>
      <c r="Q118" s="3"/>
      <c r="R118" s="3"/>
      <c r="S118" s="3"/>
      <c r="T118" s="2"/>
      <c r="U118" s="133">
        <f>ProjectInput[[#This Row],[Location]]</f>
        <v>0</v>
      </c>
      <c r="V118" s="278">
        <f>ProjectInput[[#This Row],[Existing Fixture Code]]</f>
        <v>0</v>
      </c>
      <c r="W118"/>
      <c r="X118"/>
      <c r="Y118"/>
      <c r="Z118"/>
      <c r="AA118"/>
      <c r="AB118"/>
      <c r="AC118"/>
      <c r="AD118"/>
      <c r="AE118"/>
      <c r="AF118"/>
      <c r="AG118"/>
      <c r="AH118"/>
      <c r="AI118"/>
      <c r="AJ118"/>
      <c r="AK118"/>
      <c r="AL118"/>
      <c r="AM118"/>
      <c r="AN118"/>
      <c r="AO118"/>
    </row>
    <row r="119" spans="1:41" ht="15" customHeight="1">
      <c r="A119" s="2">
        <v>116</v>
      </c>
      <c r="B119" s="2"/>
      <c r="C119" s="3">
        <f>ProjectInput[[#This Row],[Retrofit Cost]]</f>
        <v>0</v>
      </c>
      <c r="D119" s="2">
        <f>ProjectInput[[#This Row],[Proposed Fixture Quantity]]</f>
        <v>0</v>
      </c>
      <c r="E119" s="2" t="str">
        <f>CONCATENATE("Replace ", ReviewCalcs[[#This Row],[Existing Fixture Code]], " with ", ReviewCalcs[[#This Row],[Proposed Fixture Code]])</f>
        <v>Replace 0 with 0</v>
      </c>
      <c r="F119" s="2">
        <f>ReviewCalcs[[#This Row],[Measure Type]]</f>
        <v>0</v>
      </c>
      <c r="G119" s="2" t="str">
        <f>IF(Instructions!$F$25="Post-Retrofit","Completed","Recommended")</f>
        <v>Recommended</v>
      </c>
      <c r="H119" s="4">
        <f>ReviewCalcs[[#This Row],[Incentive Total Energy Savings (kWh)]]</f>
        <v>0</v>
      </c>
      <c r="I119" s="2">
        <f>ReviewCalcs[[#This Row],[Incentive Total Demand Savings (kW)]]</f>
        <v>0</v>
      </c>
      <c r="J119" s="3">
        <f>ProjectInput[[#This Row],[Energy Cost Savings ($)]]</f>
        <v>0</v>
      </c>
      <c r="K119" s="3">
        <f>ProjectInput[[#This Row],[Incentive ($)]]</f>
        <v>0</v>
      </c>
      <c r="L119" s="13">
        <f t="shared" si="2"/>
        <v>0</v>
      </c>
      <c r="M119" s="3"/>
      <c r="N119" s="3"/>
      <c r="O119" s="3"/>
      <c r="P119" s="3"/>
      <c r="Q119" s="3"/>
      <c r="R119" s="3"/>
      <c r="S119" s="3"/>
      <c r="T119" s="2"/>
      <c r="U119" s="133">
        <f>ProjectInput[[#This Row],[Location]]</f>
        <v>0</v>
      </c>
      <c r="V119" s="278">
        <f>ProjectInput[[#This Row],[Existing Fixture Code]]</f>
        <v>0</v>
      </c>
      <c r="W119"/>
      <c r="X119"/>
      <c r="Y119"/>
      <c r="Z119"/>
      <c r="AA119"/>
      <c r="AB119"/>
      <c r="AC119"/>
      <c r="AD119"/>
      <c r="AE119"/>
      <c r="AF119"/>
      <c r="AG119"/>
      <c r="AH119"/>
      <c r="AI119"/>
      <c r="AJ119"/>
      <c r="AK119"/>
      <c r="AL119"/>
      <c r="AM119"/>
      <c r="AN119"/>
      <c r="AO119"/>
    </row>
    <row r="120" spans="1:41" ht="15" customHeight="1">
      <c r="A120" s="2">
        <v>117</v>
      </c>
      <c r="B120" s="2"/>
      <c r="C120" s="3">
        <f>ProjectInput[[#This Row],[Retrofit Cost]]</f>
        <v>0</v>
      </c>
      <c r="D120" s="2">
        <f>ProjectInput[[#This Row],[Proposed Fixture Quantity]]</f>
        <v>0</v>
      </c>
      <c r="E120" s="2" t="str">
        <f>CONCATENATE("Replace ", ReviewCalcs[[#This Row],[Existing Fixture Code]], " with ", ReviewCalcs[[#This Row],[Proposed Fixture Code]])</f>
        <v>Replace 0 with 0</v>
      </c>
      <c r="F120" s="2">
        <f>ReviewCalcs[[#This Row],[Measure Type]]</f>
        <v>0</v>
      </c>
      <c r="G120" s="2" t="str">
        <f>IF(Instructions!$F$25="Post-Retrofit","Completed","Recommended")</f>
        <v>Recommended</v>
      </c>
      <c r="H120" s="4">
        <f>ReviewCalcs[[#This Row],[Incentive Total Energy Savings (kWh)]]</f>
        <v>0</v>
      </c>
      <c r="I120" s="2">
        <f>ReviewCalcs[[#This Row],[Incentive Total Demand Savings (kW)]]</f>
        <v>0</v>
      </c>
      <c r="J120" s="3">
        <f>ProjectInput[[#This Row],[Energy Cost Savings ($)]]</f>
        <v>0</v>
      </c>
      <c r="K120" s="3">
        <f>ProjectInput[[#This Row],[Incentive ($)]]</f>
        <v>0</v>
      </c>
      <c r="L120" s="13">
        <f t="shared" si="2"/>
        <v>0</v>
      </c>
      <c r="M120" s="3"/>
      <c r="N120" s="3"/>
      <c r="O120" s="3"/>
      <c r="P120" s="3"/>
      <c r="Q120" s="3"/>
      <c r="R120" s="3"/>
      <c r="S120" s="3"/>
      <c r="T120" s="2"/>
      <c r="U120" s="133">
        <f>ProjectInput[[#This Row],[Location]]</f>
        <v>0</v>
      </c>
      <c r="V120" s="278">
        <f>ProjectInput[[#This Row],[Existing Fixture Code]]</f>
        <v>0</v>
      </c>
      <c r="W120"/>
      <c r="X120"/>
      <c r="Y120"/>
      <c r="Z120"/>
      <c r="AA120"/>
      <c r="AB120"/>
      <c r="AC120"/>
      <c r="AD120"/>
      <c r="AE120"/>
      <c r="AF120"/>
      <c r="AG120"/>
      <c r="AH120"/>
      <c r="AI120"/>
      <c r="AJ120"/>
      <c r="AK120"/>
      <c r="AL120"/>
      <c r="AM120"/>
      <c r="AN120"/>
      <c r="AO120"/>
    </row>
    <row r="121" spans="1:41" ht="15" customHeight="1">
      <c r="A121" s="2">
        <v>118</v>
      </c>
      <c r="B121" s="2"/>
      <c r="C121" s="3">
        <f>ProjectInput[[#This Row],[Retrofit Cost]]</f>
        <v>0</v>
      </c>
      <c r="D121" s="2">
        <f>ProjectInput[[#This Row],[Proposed Fixture Quantity]]</f>
        <v>0</v>
      </c>
      <c r="E121" s="2" t="str">
        <f>CONCATENATE("Replace ", ReviewCalcs[[#This Row],[Existing Fixture Code]], " with ", ReviewCalcs[[#This Row],[Proposed Fixture Code]])</f>
        <v>Replace 0 with 0</v>
      </c>
      <c r="F121" s="2">
        <f>ReviewCalcs[[#This Row],[Measure Type]]</f>
        <v>0</v>
      </c>
      <c r="G121" s="2" t="str">
        <f>IF(Instructions!$F$25="Post-Retrofit","Completed","Recommended")</f>
        <v>Recommended</v>
      </c>
      <c r="H121" s="4">
        <f>ReviewCalcs[[#This Row],[Incentive Total Energy Savings (kWh)]]</f>
        <v>0</v>
      </c>
      <c r="I121" s="2">
        <f>ReviewCalcs[[#This Row],[Incentive Total Demand Savings (kW)]]</f>
        <v>0</v>
      </c>
      <c r="J121" s="3">
        <f>ProjectInput[[#This Row],[Energy Cost Savings ($)]]</f>
        <v>0</v>
      </c>
      <c r="K121" s="3">
        <f>ProjectInput[[#This Row],[Incentive ($)]]</f>
        <v>0</v>
      </c>
      <c r="L121" s="13">
        <f t="shared" si="2"/>
        <v>0</v>
      </c>
      <c r="M121" s="3"/>
      <c r="N121" s="3"/>
      <c r="O121" s="3"/>
      <c r="P121" s="3"/>
      <c r="Q121" s="3"/>
      <c r="R121" s="3"/>
      <c r="S121" s="3"/>
      <c r="T121" s="2"/>
      <c r="U121" s="133">
        <f>ProjectInput[[#This Row],[Location]]</f>
        <v>0</v>
      </c>
      <c r="V121" s="278">
        <f>ProjectInput[[#This Row],[Existing Fixture Code]]</f>
        <v>0</v>
      </c>
      <c r="W121"/>
      <c r="X121"/>
      <c r="Y121"/>
      <c r="Z121"/>
      <c r="AA121"/>
      <c r="AB121"/>
      <c r="AC121"/>
      <c r="AD121"/>
      <c r="AE121"/>
      <c r="AF121"/>
      <c r="AG121"/>
      <c r="AH121"/>
      <c r="AI121"/>
      <c r="AJ121"/>
      <c r="AK121"/>
      <c r="AL121"/>
      <c r="AM121"/>
      <c r="AN121"/>
      <c r="AO121"/>
    </row>
    <row r="122" spans="1:41" ht="15" customHeight="1">
      <c r="A122" s="2">
        <v>119</v>
      </c>
      <c r="B122" s="2"/>
      <c r="C122" s="3">
        <f>ProjectInput[[#This Row],[Retrofit Cost]]</f>
        <v>0</v>
      </c>
      <c r="D122" s="2">
        <f>ProjectInput[[#This Row],[Proposed Fixture Quantity]]</f>
        <v>0</v>
      </c>
      <c r="E122" s="2" t="str">
        <f>CONCATENATE("Replace ", ReviewCalcs[[#This Row],[Existing Fixture Code]], " with ", ReviewCalcs[[#This Row],[Proposed Fixture Code]])</f>
        <v>Replace 0 with 0</v>
      </c>
      <c r="F122" s="2">
        <f>ReviewCalcs[[#This Row],[Measure Type]]</f>
        <v>0</v>
      </c>
      <c r="G122" s="2" t="str">
        <f>IF(Instructions!$F$25="Post-Retrofit","Completed","Recommended")</f>
        <v>Recommended</v>
      </c>
      <c r="H122" s="4">
        <f>ReviewCalcs[[#This Row],[Incentive Total Energy Savings (kWh)]]</f>
        <v>0</v>
      </c>
      <c r="I122" s="2">
        <f>ReviewCalcs[[#This Row],[Incentive Total Demand Savings (kW)]]</f>
        <v>0</v>
      </c>
      <c r="J122" s="3">
        <f>ProjectInput[[#This Row],[Energy Cost Savings ($)]]</f>
        <v>0</v>
      </c>
      <c r="K122" s="3">
        <f>ProjectInput[[#This Row],[Incentive ($)]]</f>
        <v>0</v>
      </c>
      <c r="L122" s="13">
        <f t="shared" si="2"/>
        <v>0</v>
      </c>
      <c r="M122" s="3"/>
      <c r="N122" s="3"/>
      <c r="O122" s="3"/>
      <c r="P122" s="3"/>
      <c r="Q122" s="3"/>
      <c r="R122" s="3"/>
      <c r="S122" s="3"/>
      <c r="T122" s="2"/>
      <c r="U122" s="133">
        <f>ProjectInput[[#This Row],[Location]]</f>
        <v>0</v>
      </c>
      <c r="V122" s="278">
        <f>ProjectInput[[#This Row],[Existing Fixture Code]]</f>
        <v>0</v>
      </c>
      <c r="W122"/>
      <c r="X122"/>
      <c r="Y122"/>
      <c r="Z122"/>
      <c r="AA122"/>
      <c r="AB122"/>
      <c r="AC122"/>
      <c r="AD122"/>
      <c r="AE122"/>
      <c r="AF122"/>
      <c r="AG122"/>
      <c r="AH122"/>
      <c r="AI122"/>
      <c r="AJ122"/>
      <c r="AK122"/>
      <c r="AL122"/>
      <c r="AM122"/>
      <c r="AN122"/>
      <c r="AO122"/>
    </row>
    <row r="123" spans="1:41" ht="15" customHeight="1">
      <c r="A123" s="2">
        <v>120</v>
      </c>
      <c r="B123" s="2"/>
      <c r="C123" s="3">
        <f>ProjectInput[[#This Row],[Retrofit Cost]]</f>
        <v>0</v>
      </c>
      <c r="D123" s="2">
        <f>ProjectInput[[#This Row],[Proposed Fixture Quantity]]</f>
        <v>0</v>
      </c>
      <c r="E123" s="2" t="str">
        <f>CONCATENATE("Replace ", ReviewCalcs[[#This Row],[Existing Fixture Code]], " with ", ReviewCalcs[[#This Row],[Proposed Fixture Code]])</f>
        <v>Replace 0 with 0</v>
      </c>
      <c r="F123" s="2">
        <f>ReviewCalcs[[#This Row],[Measure Type]]</f>
        <v>0</v>
      </c>
      <c r="G123" s="2" t="str">
        <f>IF(Instructions!$F$25="Post-Retrofit","Completed","Recommended")</f>
        <v>Recommended</v>
      </c>
      <c r="H123" s="4">
        <f>ReviewCalcs[[#This Row],[Incentive Total Energy Savings (kWh)]]</f>
        <v>0</v>
      </c>
      <c r="I123" s="2">
        <f>ReviewCalcs[[#This Row],[Incentive Total Demand Savings (kW)]]</f>
        <v>0</v>
      </c>
      <c r="J123" s="3">
        <f>ProjectInput[[#This Row],[Energy Cost Savings ($)]]</f>
        <v>0</v>
      </c>
      <c r="K123" s="3">
        <f>ProjectInput[[#This Row],[Incentive ($)]]</f>
        <v>0</v>
      </c>
      <c r="L123" s="13">
        <f t="shared" si="2"/>
        <v>0</v>
      </c>
      <c r="M123" s="3"/>
      <c r="N123" s="3"/>
      <c r="O123" s="3"/>
      <c r="P123" s="3"/>
      <c r="Q123" s="3"/>
      <c r="R123" s="3"/>
      <c r="S123" s="3"/>
      <c r="T123" s="2"/>
      <c r="U123" s="133">
        <f>ProjectInput[[#This Row],[Location]]</f>
        <v>0</v>
      </c>
      <c r="V123" s="278">
        <f>ProjectInput[[#This Row],[Existing Fixture Code]]</f>
        <v>0</v>
      </c>
      <c r="W123"/>
      <c r="X123"/>
      <c r="Y123"/>
      <c r="Z123"/>
      <c r="AA123"/>
      <c r="AB123"/>
      <c r="AC123"/>
      <c r="AD123"/>
      <c r="AE123"/>
      <c r="AF123"/>
      <c r="AG123"/>
      <c r="AH123"/>
      <c r="AI123"/>
      <c r="AJ123"/>
      <c r="AK123"/>
      <c r="AL123"/>
      <c r="AM123"/>
      <c r="AN123"/>
      <c r="AO123"/>
    </row>
    <row r="124" spans="1:41" ht="15" customHeight="1">
      <c r="A124" s="2">
        <v>121</v>
      </c>
      <c r="B124" s="2"/>
      <c r="C124" s="3">
        <f>ProjectInput[[#This Row],[Retrofit Cost]]</f>
        <v>0</v>
      </c>
      <c r="D124" s="2">
        <f>ProjectInput[[#This Row],[Proposed Fixture Quantity]]</f>
        <v>0</v>
      </c>
      <c r="E124" s="2" t="str">
        <f>CONCATENATE("Replace ", ReviewCalcs[[#This Row],[Existing Fixture Code]], " with ", ReviewCalcs[[#This Row],[Proposed Fixture Code]])</f>
        <v>Replace 0 with 0</v>
      </c>
      <c r="F124" s="2">
        <f>ReviewCalcs[[#This Row],[Measure Type]]</f>
        <v>0</v>
      </c>
      <c r="G124" s="2" t="str">
        <f>IF(Instructions!$F$25="Post-Retrofit","Completed","Recommended")</f>
        <v>Recommended</v>
      </c>
      <c r="H124" s="4">
        <f>ReviewCalcs[[#This Row],[Incentive Total Energy Savings (kWh)]]</f>
        <v>0</v>
      </c>
      <c r="I124" s="2">
        <f>ReviewCalcs[[#This Row],[Incentive Total Demand Savings (kW)]]</f>
        <v>0</v>
      </c>
      <c r="J124" s="3">
        <f>ProjectInput[[#This Row],[Energy Cost Savings ($)]]</f>
        <v>0</v>
      </c>
      <c r="K124" s="3">
        <f>ProjectInput[[#This Row],[Incentive ($)]]</f>
        <v>0</v>
      </c>
      <c r="L124" s="13">
        <f t="shared" si="2"/>
        <v>0</v>
      </c>
      <c r="M124" s="3"/>
      <c r="N124" s="3"/>
      <c r="O124" s="3"/>
      <c r="P124" s="3"/>
      <c r="Q124" s="3"/>
      <c r="R124" s="3"/>
      <c r="S124" s="3"/>
      <c r="T124" s="2"/>
      <c r="U124" s="133">
        <f>ProjectInput[[#This Row],[Location]]</f>
        <v>0</v>
      </c>
      <c r="V124" s="278">
        <f>ProjectInput[[#This Row],[Existing Fixture Code]]</f>
        <v>0</v>
      </c>
      <c r="W124"/>
      <c r="X124"/>
      <c r="Y124"/>
      <c r="Z124"/>
      <c r="AA124"/>
      <c r="AB124"/>
      <c r="AC124"/>
      <c r="AD124"/>
      <c r="AE124"/>
      <c r="AF124"/>
      <c r="AG124"/>
      <c r="AH124"/>
      <c r="AI124"/>
      <c r="AJ124"/>
      <c r="AK124"/>
      <c r="AL124"/>
      <c r="AM124"/>
      <c r="AN124"/>
      <c r="AO124"/>
    </row>
    <row r="125" spans="1:41" ht="15" customHeight="1">
      <c r="A125" s="2">
        <v>122</v>
      </c>
      <c r="B125" s="2"/>
      <c r="C125" s="3">
        <f>ProjectInput[[#This Row],[Retrofit Cost]]</f>
        <v>0</v>
      </c>
      <c r="D125" s="2">
        <f>ProjectInput[[#This Row],[Proposed Fixture Quantity]]</f>
        <v>0</v>
      </c>
      <c r="E125" s="2" t="str">
        <f>CONCATENATE("Replace ", ReviewCalcs[[#This Row],[Existing Fixture Code]], " with ", ReviewCalcs[[#This Row],[Proposed Fixture Code]])</f>
        <v>Replace 0 with 0</v>
      </c>
      <c r="F125" s="2">
        <f>ReviewCalcs[[#This Row],[Measure Type]]</f>
        <v>0</v>
      </c>
      <c r="G125" s="2" t="str">
        <f>IF(Instructions!$F$25="Post-Retrofit","Completed","Recommended")</f>
        <v>Recommended</v>
      </c>
      <c r="H125" s="4">
        <f>ReviewCalcs[[#This Row],[Incentive Total Energy Savings (kWh)]]</f>
        <v>0</v>
      </c>
      <c r="I125" s="2">
        <f>ReviewCalcs[[#This Row],[Incentive Total Demand Savings (kW)]]</f>
        <v>0</v>
      </c>
      <c r="J125" s="3">
        <f>ProjectInput[[#This Row],[Energy Cost Savings ($)]]</f>
        <v>0</v>
      </c>
      <c r="K125" s="3">
        <f>ProjectInput[[#This Row],[Incentive ($)]]</f>
        <v>0</v>
      </c>
      <c r="L125" s="13">
        <f t="shared" si="2"/>
        <v>0</v>
      </c>
      <c r="M125" s="3"/>
      <c r="N125" s="3"/>
      <c r="O125" s="3"/>
      <c r="P125" s="3"/>
      <c r="Q125" s="3"/>
      <c r="R125" s="3"/>
      <c r="S125" s="3"/>
      <c r="T125" s="2"/>
      <c r="U125" s="133">
        <f>ProjectInput[[#This Row],[Location]]</f>
        <v>0</v>
      </c>
      <c r="V125" s="278">
        <f>ProjectInput[[#This Row],[Existing Fixture Code]]</f>
        <v>0</v>
      </c>
      <c r="W125"/>
      <c r="X125"/>
      <c r="Y125"/>
      <c r="Z125"/>
      <c r="AA125"/>
      <c r="AB125"/>
      <c r="AC125"/>
      <c r="AD125"/>
      <c r="AE125"/>
      <c r="AF125"/>
      <c r="AG125"/>
      <c r="AH125"/>
      <c r="AI125"/>
      <c r="AJ125"/>
      <c r="AK125"/>
      <c r="AL125"/>
      <c r="AM125"/>
      <c r="AN125"/>
      <c r="AO125"/>
    </row>
    <row r="126" spans="1:41" ht="15" customHeight="1">
      <c r="A126" s="2">
        <v>123</v>
      </c>
      <c r="B126" s="2"/>
      <c r="C126" s="3">
        <f>ProjectInput[[#This Row],[Retrofit Cost]]</f>
        <v>0</v>
      </c>
      <c r="D126" s="2">
        <f>ProjectInput[[#This Row],[Proposed Fixture Quantity]]</f>
        <v>0</v>
      </c>
      <c r="E126" s="2" t="str">
        <f>CONCATENATE("Replace ", ReviewCalcs[[#This Row],[Existing Fixture Code]], " with ", ReviewCalcs[[#This Row],[Proposed Fixture Code]])</f>
        <v>Replace 0 with 0</v>
      </c>
      <c r="F126" s="2">
        <f>ReviewCalcs[[#This Row],[Measure Type]]</f>
        <v>0</v>
      </c>
      <c r="G126" s="2" t="str">
        <f>IF(Instructions!$F$25="Post-Retrofit","Completed","Recommended")</f>
        <v>Recommended</v>
      </c>
      <c r="H126" s="4">
        <f>ReviewCalcs[[#This Row],[Incentive Total Energy Savings (kWh)]]</f>
        <v>0</v>
      </c>
      <c r="I126" s="2">
        <f>ReviewCalcs[[#This Row],[Incentive Total Demand Savings (kW)]]</f>
        <v>0</v>
      </c>
      <c r="J126" s="3">
        <f>ProjectInput[[#This Row],[Energy Cost Savings ($)]]</f>
        <v>0</v>
      </c>
      <c r="K126" s="3">
        <f>ProjectInput[[#This Row],[Incentive ($)]]</f>
        <v>0</v>
      </c>
      <c r="L126" s="13">
        <f t="shared" si="2"/>
        <v>0</v>
      </c>
      <c r="M126" s="3"/>
      <c r="N126" s="3"/>
      <c r="O126" s="3"/>
      <c r="P126" s="3"/>
      <c r="Q126" s="3"/>
      <c r="R126" s="3"/>
      <c r="S126" s="3"/>
      <c r="T126" s="2"/>
      <c r="U126" s="133">
        <f>ProjectInput[[#This Row],[Location]]</f>
        <v>0</v>
      </c>
      <c r="V126" s="278">
        <f>ProjectInput[[#This Row],[Existing Fixture Code]]</f>
        <v>0</v>
      </c>
      <c r="W126"/>
      <c r="X126"/>
      <c r="Y126"/>
      <c r="Z126"/>
      <c r="AA126"/>
      <c r="AB126"/>
      <c r="AC126"/>
      <c r="AD126"/>
      <c r="AE126"/>
      <c r="AF126"/>
      <c r="AG126"/>
      <c r="AH126"/>
      <c r="AI126"/>
      <c r="AJ126"/>
      <c r="AK126"/>
      <c r="AL126"/>
      <c r="AM126"/>
      <c r="AN126"/>
      <c r="AO126"/>
    </row>
    <row r="127" spans="1:41" ht="15" customHeight="1">
      <c r="A127" s="2">
        <v>124</v>
      </c>
      <c r="B127" s="2"/>
      <c r="C127" s="3">
        <f>ProjectInput[[#This Row],[Retrofit Cost]]</f>
        <v>0</v>
      </c>
      <c r="D127" s="2">
        <f>ProjectInput[[#This Row],[Proposed Fixture Quantity]]</f>
        <v>0</v>
      </c>
      <c r="E127" s="2" t="str">
        <f>CONCATENATE("Replace ", ReviewCalcs[[#This Row],[Existing Fixture Code]], " with ", ReviewCalcs[[#This Row],[Proposed Fixture Code]])</f>
        <v>Replace 0 with 0</v>
      </c>
      <c r="F127" s="2">
        <f>ReviewCalcs[[#This Row],[Measure Type]]</f>
        <v>0</v>
      </c>
      <c r="G127" s="2" t="str">
        <f>IF(Instructions!$F$25="Post-Retrofit","Completed","Recommended")</f>
        <v>Recommended</v>
      </c>
      <c r="H127" s="4">
        <f>ReviewCalcs[[#This Row],[Incentive Total Energy Savings (kWh)]]</f>
        <v>0</v>
      </c>
      <c r="I127" s="2">
        <f>ReviewCalcs[[#This Row],[Incentive Total Demand Savings (kW)]]</f>
        <v>0</v>
      </c>
      <c r="J127" s="3">
        <f>ProjectInput[[#This Row],[Energy Cost Savings ($)]]</f>
        <v>0</v>
      </c>
      <c r="K127" s="3">
        <f>ProjectInput[[#This Row],[Incentive ($)]]</f>
        <v>0</v>
      </c>
      <c r="L127" s="13">
        <f t="shared" si="2"/>
        <v>0</v>
      </c>
      <c r="M127" s="3"/>
      <c r="N127" s="3"/>
      <c r="O127" s="3"/>
      <c r="P127" s="3"/>
      <c r="Q127" s="3"/>
      <c r="R127" s="3"/>
      <c r="S127" s="3"/>
      <c r="T127" s="2"/>
      <c r="U127" s="133">
        <f>ProjectInput[[#This Row],[Location]]</f>
        <v>0</v>
      </c>
      <c r="V127" s="278">
        <f>ProjectInput[[#This Row],[Existing Fixture Code]]</f>
        <v>0</v>
      </c>
      <c r="W127"/>
      <c r="X127"/>
      <c r="Y127"/>
      <c r="Z127"/>
      <c r="AA127"/>
      <c r="AB127"/>
      <c r="AC127"/>
      <c r="AD127"/>
      <c r="AE127"/>
      <c r="AF127"/>
      <c r="AG127"/>
      <c r="AH127"/>
      <c r="AI127"/>
      <c r="AJ127"/>
      <c r="AK127"/>
      <c r="AL127"/>
      <c r="AM127"/>
      <c r="AN127"/>
      <c r="AO127"/>
    </row>
    <row r="128" spans="1:41" ht="15" customHeight="1">
      <c r="A128" s="2">
        <v>125</v>
      </c>
      <c r="B128" s="2"/>
      <c r="C128" s="3">
        <f>ProjectInput[[#This Row],[Retrofit Cost]]</f>
        <v>0</v>
      </c>
      <c r="D128" s="2">
        <f>ProjectInput[[#This Row],[Proposed Fixture Quantity]]</f>
        <v>0</v>
      </c>
      <c r="E128" s="2" t="str">
        <f>CONCATENATE("Replace ", ReviewCalcs[[#This Row],[Existing Fixture Code]], " with ", ReviewCalcs[[#This Row],[Proposed Fixture Code]])</f>
        <v>Replace 0 with 0</v>
      </c>
      <c r="F128" s="2">
        <f>ReviewCalcs[[#This Row],[Measure Type]]</f>
        <v>0</v>
      </c>
      <c r="G128" s="2" t="str">
        <f>IF(Instructions!$F$25="Post-Retrofit","Completed","Recommended")</f>
        <v>Recommended</v>
      </c>
      <c r="H128" s="4">
        <f>ReviewCalcs[[#This Row],[Incentive Total Energy Savings (kWh)]]</f>
        <v>0</v>
      </c>
      <c r="I128" s="2">
        <f>ReviewCalcs[[#This Row],[Incentive Total Demand Savings (kW)]]</f>
        <v>0</v>
      </c>
      <c r="J128" s="3">
        <f>ProjectInput[[#This Row],[Energy Cost Savings ($)]]</f>
        <v>0</v>
      </c>
      <c r="K128" s="3">
        <f>ProjectInput[[#This Row],[Incentive ($)]]</f>
        <v>0</v>
      </c>
      <c r="L128" s="13">
        <f t="shared" si="2"/>
        <v>0</v>
      </c>
      <c r="M128" s="3"/>
      <c r="N128" s="3"/>
      <c r="O128" s="3"/>
      <c r="P128" s="3"/>
      <c r="Q128" s="3"/>
      <c r="R128" s="3"/>
      <c r="S128" s="3"/>
      <c r="T128" s="2"/>
      <c r="U128" s="133">
        <f>ProjectInput[[#This Row],[Location]]</f>
        <v>0</v>
      </c>
      <c r="V128" s="278">
        <f>ProjectInput[[#This Row],[Existing Fixture Code]]</f>
        <v>0</v>
      </c>
      <c r="W128"/>
      <c r="X128"/>
      <c r="Y128"/>
      <c r="Z128"/>
      <c r="AA128"/>
      <c r="AB128"/>
      <c r="AC128"/>
      <c r="AD128"/>
      <c r="AE128"/>
      <c r="AF128"/>
      <c r="AG128"/>
      <c r="AH128"/>
      <c r="AI128"/>
      <c r="AJ128"/>
      <c r="AK128"/>
      <c r="AL128"/>
      <c r="AM128"/>
      <c r="AN128"/>
      <c r="AO128"/>
    </row>
    <row r="129" spans="1:41" ht="15" customHeight="1">
      <c r="A129" s="2">
        <v>126</v>
      </c>
      <c r="B129" s="2"/>
      <c r="C129" s="3">
        <f>ProjectInput[[#This Row],[Retrofit Cost]]</f>
        <v>0</v>
      </c>
      <c r="D129" s="2">
        <f>ProjectInput[[#This Row],[Proposed Fixture Quantity]]</f>
        <v>0</v>
      </c>
      <c r="E129" s="2" t="str">
        <f>CONCATENATE("Replace ", ReviewCalcs[[#This Row],[Existing Fixture Code]], " with ", ReviewCalcs[[#This Row],[Proposed Fixture Code]])</f>
        <v>Replace 0 with 0</v>
      </c>
      <c r="F129" s="2">
        <f>ReviewCalcs[[#This Row],[Measure Type]]</f>
        <v>0</v>
      </c>
      <c r="G129" s="2" t="str">
        <f>IF(Instructions!$F$25="Post-Retrofit","Completed","Recommended")</f>
        <v>Recommended</v>
      </c>
      <c r="H129" s="4">
        <f>ReviewCalcs[[#This Row],[Incentive Total Energy Savings (kWh)]]</f>
        <v>0</v>
      </c>
      <c r="I129" s="2">
        <f>ReviewCalcs[[#This Row],[Incentive Total Demand Savings (kW)]]</f>
        <v>0</v>
      </c>
      <c r="J129" s="3">
        <f>ProjectInput[[#This Row],[Energy Cost Savings ($)]]</f>
        <v>0</v>
      </c>
      <c r="K129" s="3">
        <f>ProjectInput[[#This Row],[Incentive ($)]]</f>
        <v>0</v>
      </c>
      <c r="L129" s="13">
        <f t="shared" si="2"/>
        <v>0</v>
      </c>
      <c r="M129" s="3"/>
      <c r="N129" s="3"/>
      <c r="O129" s="3"/>
      <c r="P129" s="3"/>
      <c r="Q129" s="3"/>
      <c r="R129" s="3"/>
      <c r="S129" s="3"/>
      <c r="T129" s="2"/>
      <c r="U129" s="133">
        <f>ProjectInput[[#This Row],[Location]]</f>
        <v>0</v>
      </c>
      <c r="V129" s="278">
        <f>ProjectInput[[#This Row],[Existing Fixture Code]]</f>
        <v>0</v>
      </c>
      <c r="W129"/>
      <c r="X129"/>
      <c r="Y129"/>
      <c r="Z129"/>
      <c r="AA129"/>
      <c r="AB129"/>
      <c r="AC129"/>
      <c r="AD129"/>
      <c r="AE129"/>
      <c r="AF129"/>
      <c r="AG129"/>
      <c r="AH129"/>
      <c r="AI129"/>
      <c r="AJ129"/>
      <c r="AK129"/>
      <c r="AL129"/>
      <c r="AM129"/>
      <c r="AN129"/>
      <c r="AO129"/>
    </row>
    <row r="130" spans="1:41" ht="15" customHeight="1">
      <c r="A130" s="2">
        <v>127</v>
      </c>
      <c r="B130" s="2"/>
      <c r="C130" s="3">
        <f>ProjectInput[[#This Row],[Retrofit Cost]]</f>
        <v>0</v>
      </c>
      <c r="D130" s="2">
        <f>ProjectInput[[#This Row],[Proposed Fixture Quantity]]</f>
        <v>0</v>
      </c>
      <c r="E130" s="2" t="str">
        <f>CONCATENATE("Replace ", ReviewCalcs[[#This Row],[Existing Fixture Code]], " with ", ReviewCalcs[[#This Row],[Proposed Fixture Code]])</f>
        <v>Replace 0 with 0</v>
      </c>
      <c r="F130" s="2">
        <f>ReviewCalcs[[#This Row],[Measure Type]]</f>
        <v>0</v>
      </c>
      <c r="G130" s="2" t="str">
        <f>IF(Instructions!$F$25="Post-Retrofit","Completed","Recommended")</f>
        <v>Recommended</v>
      </c>
      <c r="H130" s="4">
        <f>ReviewCalcs[[#This Row],[Incentive Total Energy Savings (kWh)]]</f>
        <v>0</v>
      </c>
      <c r="I130" s="2">
        <f>ReviewCalcs[[#This Row],[Incentive Total Demand Savings (kW)]]</f>
        <v>0</v>
      </c>
      <c r="J130" s="3">
        <f>ProjectInput[[#This Row],[Energy Cost Savings ($)]]</f>
        <v>0</v>
      </c>
      <c r="K130" s="3">
        <f>ProjectInput[[#This Row],[Incentive ($)]]</f>
        <v>0</v>
      </c>
      <c r="L130" s="13">
        <f t="shared" si="2"/>
        <v>0</v>
      </c>
      <c r="M130" s="3"/>
      <c r="N130" s="3"/>
      <c r="O130" s="3"/>
      <c r="P130" s="3"/>
      <c r="Q130" s="3"/>
      <c r="R130" s="3"/>
      <c r="S130" s="3"/>
      <c r="T130" s="2"/>
      <c r="U130" s="133">
        <f>ProjectInput[[#This Row],[Location]]</f>
        <v>0</v>
      </c>
      <c r="V130" s="278">
        <f>ProjectInput[[#This Row],[Existing Fixture Code]]</f>
        <v>0</v>
      </c>
      <c r="W130"/>
      <c r="X130"/>
      <c r="Y130"/>
      <c r="Z130"/>
      <c r="AA130"/>
      <c r="AB130"/>
      <c r="AC130"/>
      <c r="AD130"/>
      <c r="AE130"/>
      <c r="AF130"/>
      <c r="AG130"/>
      <c r="AH130"/>
      <c r="AI130"/>
      <c r="AJ130"/>
      <c r="AK130"/>
      <c r="AL130"/>
      <c r="AM130"/>
      <c r="AN130"/>
      <c r="AO130"/>
    </row>
    <row r="131" spans="1:41" ht="15" customHeight="1">
      <c r="A131" s="2">
        <v>128</v>
      </c>
      <c r="B131" s="2"/>
      <c r="C131" s="3">
        <f>ProjectInput[[#This Row],[Retrofit Cost]]</f>
        <v>0</v>
      </c>
      <c r="D131" s="2">
        <f>ProjectInput[[#This Row],[Proposed Fixture Quantity]]</f>
        <v>0</v>
      </c>
      <c r="E131" s="2" t="str">
        <f>CONCATENATE("Replace ", ReviewCalcs[[#This Row],[Existing Fixture Code]], " with ", ReviewCalcs[[#This Row],[Proposed Fixture Code]])</f>
        <v>Replace 0 with 0</v>
      </c>
      <c r="F131" s="2">
        <f>ReviewCalcs[[#This Row],[Measure Type]]</f>
        <v>0</v>
      </c>
      <c r="G131" s="2" t="str">
        <f>IF(Instructions!$F$25="Post-Retrofit","Completed","Recommended")</f>
        <v>Recommended</v>
      </c>
      <c r="H131" s="4">
        <f>ReviewCalcs[[#This Row],[Incentive Total Energy Savings (kWh)]]</f>
        <v>0</v>
      </c>
      <c r="I131" s="2">
        <f>ReviewCalcs[[#This Row],[Incentive Total Demand Savings (kW)]]</f>
        <v>0</v>
      </c>
      <c r="J131" s="3">
        <f>ProjectInput[[#This Row],[Energy Cost Savings ($)]]</f>
        <v>0</v>
      </c>
      <c r="K131" s="3">
        <f>ProjectInput[[#This Row],[Incentive ($)]]</f>
        <v>0</v>
      </c>
      <c r="L131" s="13">
        <f t="shared" si="2"/>
        <v>0</v>
      </c>
      <c r="M131" s="3"/>
      <c r="N131" s="3"/>
      <c r="O131" s="3"/>
      <c r="P131" s="3"/>
      <c r="Q131" s="3"/>
      <c r="R131" s="3"/>
      <c r="S131" s="3"/>
      <c r="T131" s="2"/>
      <c r="U131" s="133">
        <f>ProjectInput[[#This Row],[Location]]</f>
        <v>0</v>
      </c>
      <c r="V131" s="278">
        <f>ProjectInput[[#This Row],[Existing Fixture Code]]</f>
        <v>0</v>
      </c>
      <c r="W131"/>
      <c r="X131"/>
      <c r="Y131"/>
      <c r="Z131"/>
      <c r="AA131"/>
      <c r="AB131"/>
      <c r="AC131"/>
      <c r="AD131"/>
      <c r="AE131"/>
      <c r="AF131"/>
      <c r="AG131"/>
      <c r="AH131"/>
      <c r="AI131"/>
      <c r="AJ131"/>
      <c r="AK131"/>
      <c r="AL131"/>
      <c r="AM131"/>
      <c r="AN131"/>
      <c r="AO131"/>
    </row>
    <row r="132" spans="1:41" ht="15" customHeight="1">
      <c r="A132" s="2">
        <v>129</v>
      </c>
      <c r="B132" s="2"/>
      <c r="C132" s="3">
        <f>ProjectInput[[#This Row],[Retrofit Cost]]</f>
        <v>0</v>
      </c>
      <c r="D132" s="2">
        <f>ProjectInput[[#This Row],[Proposed Fixture Quantity]]</f>
        <v>0</v>
      </c>
      <c r="E132" s="2" t="str">
        <f>CONCATENATE("Replace ", ReviewCalcs[[#This Row],[Existing Fixture Code]], " with ", ReviewCalcs[[#This Row],[Proposed Fixture Code]])</f>
        <v>Replace 0 with 0</v>
      </c>
      <c r="F132" s="2">
        <f>ReviewCalcs[[#This Row],[Measure Type]]</f>
        <v>0</v>
      </c>
      <c r="G132" s="2" t="str">
        <f>IF(Instructions!$F$25="Post-Retrofit","Completed","Recommended")</f>
        <v>Recommended</v>
      </c>
      <c r="H132" s="4">
        <f>ReviewCalcs[[#This Row],[Incentive Total Energy Savings (kWh)]]</f>
        <v>0</v>
      </c>
      <c r="I132" s="2">
        <f>ReviewCalcs[[#This Row],[Incentive Total Demand Savings (kW)]]</f>
        <v>0</v>
      </c>
      <c r="J132" s="3">
        <f>ProjectInput[[#This Row],[Energy Cost Savings ($)]]</f>
        <v>0</v>
      </c>
      <c r="K132" s="3">
        <f>ProjectInput[[#This Row],[Incentive ($)]]</f>
        <v>0</v>
      </c>
      <c r="L132" s="13">
        <f t="shared" si="2"/>
        <v>0</v>
      </c>
      <c r="M132" s="3"/>
      <c r="N132" s="3"/>
      <c r="O132" s="3"/>
      <c r="P132" s="3"/>
      <c r="Q132" s="3"/>
      <c r="R132" s="3"/>
      <c r="S132" s="3"/>
      <c r="T132" s="2"/>
      <c r="U132" s="133">
        <f>ProjectInput[[#This Row],[Location]]</f>
        <v>0</v>
      </c>
      <c r="V132" s="278">
        <f>ProjectInput[[#This Row],[Existing Fixture Code]]</f>
        <v>0</v>
      </c>
      <c r="W132"/>
      <c r="X132"/>
      <c r="Y132"/>
      <c r="Z132"/>
      <c r="AA132"/>
      <c r="AB132"/>
      <c r="AC132"/>
      <c r="AD132"/>
      <c r="AE132"/>
      <c r="AF132"/>
      <c r="AG132"/>
      <c r="AH132"/>
      <c r="AI132"/>
      <c r="AJ132"/>
      <c r="AK132"/>
      <c r="AL132"/>
      <c r="AM132"/>
      <c r="AN132"/>
      <c r="AO132"/>
    </row>
    <row r="133" spans="1:41" ht="15" customHeight="1">
      <c r="A133" s="2">
        <v>130</v>
      </c>
      <c r="B133" s="2"/>
      <c r="C133" s="3">
        <f>ProjectInput[[#This Row],[Retrofit Cost]]</f>
        <v>0</v>
      </c>
      <c r="D133" s="2">
        <f>ProjectInput[[#This Row],[Proposed Fixture Quantity]]</f>
        <v>0</v>
      </c>
      <c r="E133" s="2" t="str">
        <f>CONCATENATE("Replace ", ReviewCalcs[[#This Row],[Existing Fixture Code]], " with ", ReviewCalcs[[#This Row],[Proposed Fixture Code]])</f>
        <v>Replace 0 with 0</v>
      </c>
      <c r="F133" s="2">
        <f>ReviewCalcs[[#This Row],[Measure Type]]</f>
        <v>0</v>
      </c>
      <c r="G133" s="2" t="str">
        <f>IF(Instructions!$F$25="Post-Retrofit","Completed","Recommended")</f>
        <v>Recommended</v>
      </c>
      <c r="H133" s="4">
        <f>ReviewCalcs[[#This Row],[Incentive Total Energy Savings (kWh)]]</f>
        <v>0</v>
      </c>
      <c r="I133" s="2">
        <f>ReviewCalcs[[#This Row],[Incentive Total Demand Savings (kW)]]</f>
        <v>0</v>
      </c>
      <c r="J133" s="3">
        <f>ProjectInput[[#This Row],[Energy Cost Savings ($)]]</f>
        <v>0</v>
      </c>
      <c r="K133" s="3">
        <f>ProjectInput[[#This Row],[Incentive ($)]]</f>
        <v>0</v>
      </c>
      <c r="L133" s="13">
        <f t="shared" si="2"/>
        <v>0</v>
      </c>
      <c r="M133" s="3"/>
      <c r="N133" s="3"/>
      <c r="O133" s="3"/>
      <c r="P133" s="3"/>
      <c r="Q133" s="3"/>
      <c r="R133" s="3"/>
      <c r="S133" s="3"/>
      <c r="T133" s="2"/>
      <c r="U133" s="133">
        <f>ProjectInput[[#This Row],[Location]]</f>
        <v>0</v>
      </c>
      <c r="V133" s="278">
        <f>ProjectInput[[#This Row],[Existing Fixture Code]]</f>
        <v>0</v>
      </c>
      <c r="W133"/>
      <c r="X133"/>
      <c r="Y133"/>
      <c r="Z133"/>
      <c r="AA133"/>
      <c r="AB133"/>
      <c r="AC133"/>
      <c r="AD133"/>
      <c r="AE133"/>
      <c r="AF133"/>
      <c r="AG133"/>
      <c r="AH133"/>
      <c r="AI133"/>
      <c r="AJ133"/>
      <c r="AK133"/>
      <c r="AL133"/>
      <c r="AM133"/>
      <c r="AN133"/>
      <c r="AO133"/>
    </row>
    <row r="134" spans="1:41" ht="15" customHeight="1">
      <c r="A134" s="2">
        <v>131</v>
      </c>
      <c r="B134" s="2"/>
      <c r="C134" s="3">
        <f>ProjectInput[[#This Row],[Retrofit Cost]]</f>
        <v>0</v>
      </c>
      <c r="D134" s="2">
        <f>ProjectInput[[#This Row],[Proposed Fixture Quantity]]</f>
        <v>0</v>
      </c>
      <c r="E134" s="2" t="str">
        <f>CONCATENATE("Replace ", ReviewCalcs[[#This Row],[Existing Fixture Code]], " with ", ReviewCalcs[[#This Row],[Proposed Fixture Code]])</f>
        <v>Replace 0 with 0</v>
      </c>
      <c r="F134" s="2">
        <f>ReviewCalcs[[#This Row],[Measure Type]]</f>
        <v>0</v>
      </c>
      <c r="G134" s="2" t="str">
        <f>IF(Instructions!$F$25="Post-Retrofit","Completed","Recommended")</f>
        <v>Recommended</v>
      </c>
      <c r="H134" s="4">
        <f>ReviewCalcs[[#This Row],[Incentive Total Energy Savings (kWh)]]</f>
        <v>0</v>
      </c>
      <c r="I134" s="2">
        <f>ReviewCalcs[[#This Row],[Incentive Total Demand Savings (kW)]]</f>
        <v>0</v>
      </c>
      <c r="J134" s="3">
        <f>ProjectInput[[#This Row],[Energy Cost Savings ($)]]</f>
        <v>0</v>
      </c>
      <c r="K134" s="3">
        <f>ProjectInput[[#This Row],[Incentive ($)]]</f>
        <v>0</v>
      </c>
      <c r="L134" s="13">
        <f t="shared" si="2"/>
        <v>0</v>
      </c>
      <c r="M134" s="3"/>
      <c r="N134" s="3"/>
      <c r="O134" s="3"/>
      <c r="P134" s="3"/>
      <c r="Q134" s="3"/>
      <c r="R134" s="3"/>
      <c r="S134" s="3"/>
      <c r="T134" s="2"/>
      <c r="U134" s="133">
        <f>ProjectInput[[#This Row],[Location]]</f>
        <v>0</v>
      </c>
      <c r="V134" s="278">
        <f>ProjectInput[[#This Row],[Existing Fixture Code]]</f>
        <v>0</v>
      </c>
      <c r="W134"/>
      <c r="X134"/>
      <c r="Y134"/>
      <c r="Z134"/>
      <c r="AA134"/>
      <c r="AB134"/>
      <c r="AC134"/>
      <c r="AD134"/>
      <c r="AE134"/>
      <c r="AF134"/>
      <c r="AG134"/>
      <c r="AH134"/>
      <c r="AI134"/>
      <c r="AJ134"/>
      <c r="AK134"/>
      <c r="AL134"/>
      <c r="AM134"/>
      <c r="AN134"/>
      <c r="AO134"/>
    </row>
    <row r="135" spans="1:41" ht="15" customHeight="1">
      <c r="A135" s="2">
        <v>132</v>
      </c>
      <c r="B135" s="2"/>
      <c r="C135" s="3">
        <f>ProjectInput[[#This Row],[Retrofit Cost]]</f>
        <v>0</v>
      </c>
      <c r="D135" s="2">
        <f>ProjectInput[[#This Row],[Proposed Fixture Quantity]]</f>
        <v>0</v>
      </c>
      <c r="E135" s="2" t="str">
        <f>CONCATENATE("Replace ", ReviewCalcs[[#This Row],[Existing Fixture Code]], " with ", ReviewCalcs[[#This Row],[Proposed Fixture Code]])</f>
        <v>Replace 0 with 0</v>
      </c>
      <c r="F135" s="2">
        <f>ReviewCalcs[[#This Row],[Measure Type]]</f>
        <v>0</v>
      </c>
      <c r="G135" s="2" t="str">
        <f>IF(Instructions!$F$25="Post-Retrofit","Completed","Recommended")</f>
        <v>Recommended</v>
      </c>
      <c r="H135" s="4">
        <f>ReviewCalcs[[#This Row],[Incentive Total Energy Savings (kWh)]]</f>
        <v>0</v>
      </c>
      <c r="I135" s="2">
        <f>ReviewCalcs[[#This Row],[Incentive Total Demand Savings (kW)]]</f>
        <v>0</v>
      </c>
      <c r="J135" s="3">
        <f>ProjectInput[[#This Row],[Energy Cost Savings ($)]]</f>
        <v>0</v>
      </c>
      <c r="K135" s="3">
        <f>ProjectInput[[#This Row],[Incentive ($)]]</f>
        <v>0</v>
      </c>
      <c r="L135" s="13">
        <f t="shared" si="2"/>
        <v>0</v>
      </c>
      <c r="M135" s="3"/>
      <c r="N135" s="3"/>
      <c r="O135" s="3"/>
      <c r="P135" s="3"/>
      <c r="Q135" s="3"/>
      <c r="R135" s="3"/>
      <c r="S135" s="3"/>
      <c r="T135" s="2"/>
      <c r="U135" s="133">
        <f>ProjectInput[[#This Row],[Location]]</f>
        <v>0</v>
      </c>
      <c r="V135" s="278">
        <f>ProjectInput[[#This Row],[Existing Fixture Code]]</f>
        <v>0</v>
      </c>
      <c r="W135"/>
      <c r="X135"/>
      <c r="Y135"/>
      <c r="Z135"/>
      <c r="AA135"/>
      <c r="AB135"/>
      <c r="AC135"/>
      <c r="AD135"/>
      <c r="AE135"/>
      <c r="AF135"/>
      <c r="AG135"/>
      <c r="AH135"/>
      <c r="AI135"/>
      <c r="AJ135"/>
      <c r="AK135"/>
      <c r="AL135"/>
      <c r="AM135"/>
      <c r="AN135"/>
      <c r="AO135"/>
    </row>
    <row r="136" spans="1:41" ht="15" customHeight="1">
      <c r="A136" s="2">
        <v>133</v>
      </c>
      <c r="B136" s="2"/>
      <c r="C136" s="3">
        <f>ProjectInput[[#This Row],[Retrofit Cost]]</f>
        <v>0</v>
      </c>
      <c r="D136" s="2">
        <f>ProjectInput[[#This Row],[Proposed Fixture Quantity]]</f>
        <v>0</v>
      </c>
      <c r="E136" s="2" t="str">
        <f>CONCATENATE("Replace ", ReviewCalcs[[#This Row],[Existing Fixture Code]], " with ", ReviewCalcs[[#This Row],[Proposed Fixture Code]])</f>
        <v>Replace 0 with 0</v>
      </c>
      <c r="F136" s="2">
        <f>ReviewCalcs[[#This Row],[Measure Type]]</f>
        <v>0</v>
      </c>
      <c r="G136" s="2" t="str">
        <f>IF(Instructions!$F$25="Post-Retrofit","Completed","Recommended")</f>
        <v>Recommended</v>
      </c>
      <c r="H136" s="4">
        <f>ReviewCalcs[[#This Row],[Incentive Total Energy Savings (kWh)]]</f>
        <v>0</v>
      </c>
      <c r="I136" s="2">
        <f>ReviewCalcs[[#This Row],[Incentive Total Demand Savings (kW)]]</f>
        <v>0</v>
      </c>
      <c r="J136" s="3">
        <f>ProjectInput[[#This Row],[Energy Cost Savings ($)]]</f>
        <v>0</v>
      </c>
      <c r="K136" s="3">
        <f>ProjectInput[[#This Row],[Incentive ($)]]</f>
        <v>0</v>
      </c>
      <c r="L136" s="13">
        <f t="shared" si="2"/>
        <v>0</v>
      </c>
      <c r="M136" s="3"/>
      <c r="N136" s="3"/>
      <c r="O136" s="3"/>
      <c r="P136" s="3"/>
      <c r="Q136" s="3"/>
      <c r="R136" s="3"/>
      <c r="S136" s="3"/>
      <c r="T136" s="2"/>
      <c r="U136" s="133">
        <f>ProjectInput[[#This Row],[Location]]</f>
        <v>0</v>
      </c>
      <c r="V136" s="278">
        <f>ProjectInput[[#This Row],[Existing Fixture Code]]</f>
        <v>0</v>
      </c>
      <c r="W136"/>
      <c r="X136"/>
      <c r="Y136"/>
      <c r="Z136"/>
      <c r="AA136"/>
      <c r="AB136"/>
      <c r="AC136"/>
      <c r="AD136"/>
      <c r="AE136"/>
      <c r="AF136"/>
      <c r="AG136"/>
      <c r="AH136"/>
      <c r="AI136"/>
      <c r="AJ136"/>
      <c r="AK136"/>
      <c r="AL136"/>
      <c r="AM136"/>
      <c r="AN136"/>
      <c r="AO136"/>
    </row>
    <row r="137" spans="1:41" ht="15" customHeight="1">
      <c r="A137" s="2">
        <v>134</v>
      </c>
      <c r="B137" s="2"/>
      <c r="C137" s="3">
        <f>ProjectInput[[#This Row],[Retrofit Cost]]</f>
        <v>0</v>
      </c>
      <c r="D137" s="2">
        <f>ProjectInput[[#This Row],[Proposed Fixture Quantity]]</f>
        <v>0</v>
      </c>
      <c r="E137" s="2" t="str">
        <f>CONCATENATE("Replace ", ReviewCalcs[[#This Row],[Existing Fixture Code]], " with ", ReviewCalcs[[#This Row],[Proposed Fixture Code]])</f>
        <v>Replace 0 with 0</v>
      </c>
      <c r="F137" s="2">
        <f>ReviewCalcs[[#This Row],[Measure Type]]</f>
        <v>0</v>
      </c>
      <c r="G137" s="2" t="str">
        <f>IF(Instructions!$F$25="Post-Retrofit","Completed","Recommended")</f>
        <v>Recommended</v>
      </c>
      <c r="H137" s="4">
        <f>ReviewCalcs[[#This Row],[Incentive Total Energy Savings (kWh)]]</f>
        <v>0</v>
      </c>
      <c r="I137" s="2">
        <f>ReviewCalcs[[#This Row],[Incentive Total Demand Savings (kW)]]</f>
        <v>0</v>
      </c>
      <c r="J137" s="3">
        <f>ProjectInput[[#This Row],[Energy Cost Savings ($)]]</f>
        <v>0</v>
      </c>
      <c r="K137" s="3">
        <f>ProjectInput[[#This Row],[Incentive ($)]]</f>
        <v>0</v>
      </c>
      <c r="L137" s="13">
        <f t="shared" si="2"/>
        <v>0</v>
      </c>
      <c r="M137" s="3"/>
      <c r="N137" s="3"/>
      <c r="O137" s="3"/>
      <c r="P137" s="3"/>
      <c r="Q137" s="3"/>
      <c r="R137" s="3"/>
      <c r="S137" s="3"/>
      <c r="T137" s="2"/>
      <c r="U137" s="133">
        <f>ProjectInput[[#This Row],[Location]]</f>
        <v>0</v>
      </c>
      <c r="V137" s="278">
        <f>ProjectInput[[#This Row],[Existing Fixture Code]]</f>
        <v>0</v>
      </c>
      <c r="W137"/>
      <c r="X137"/>
      <c r="Y137"/>
      <c r="Z137"/>
      <c r="AA137"/>
      <c r="AB137"/>
      <c r="AC137"/>
      <c r="AD137"/>
      <c r="AE137"/>
      <c r="AF137"/>
      <c r="AG137"/>
      <c r="AH137"/>
      <c r="AI137"/>
      <c r="AJ137"/>
      <c r="AK137"/>
      <c r="AL137"/>
      <c r="AM137"/>
      <c r="AN137"/>
      <c r="AO137"/>
    </row>
    <row r="138" spans="1:41" ht="15" customHeight="1">
      <c r="A138" s="2">
        <v>135</v>
      </c>
      <c r="B138" s="2"/>
      <c r="C138" s="3">
        <f>ProjectInput[[#This Row],[Retrofit Cost]]</f>
        <v>0</v>
      </c>
      <c r="D138" s="2">
        <f>ProjectInput[[#This Row],[Proposed Fixture Quantity]]</f>
        <v>0</v>
      </c>
      <c r="E138" s="2" t="str">
        <f>CONCATENATE("Replace ", ReviewCalcs[[#This Row],[Existing Fixture Code]], " with ", ReviewCalcs[[#This Row],[Proposed Fixture Code]])</f>
        <v>Replace 0 with 0</v>
      </c>
      <c r="F138" s="2">
        <f>ReviewCalcs[[#This Row],[Measure Type]]</f>
        <v>0</v>
      </c>
      <c r="G138" s="2" t="str">
        <f>IF(Instructions!$F$25="Post-Retrofit","Completed","Recommended")</f>
        <v>Recommended</v>
      </c>
      <c r="H138" s="4">
        <f>ReviewCalcs[[#This Row],[Incentive Total Energy Savings (kWh)]]</f>
        <v>0</v>
      </c>
      <c r="I138" s="2">
        <f>ReviewCalcs[[#This Row],[Incentive Total Demand Savings (kW)]]</f>
        <v>0</v>
      </c>
      <c r="J138" s="3">
        <f>ProjectInput[[#This Row],[Energy Cost Savings ($)]]</f>
        <v>0</v>
      </c>
      <c r="K138" s="3">
        <f>ProjectInput[[#This Row],[Incentive ($)]]</f>
        <v>0</v>
      </c>
      <c r="L138" s="13">
        <f t="shared" si="2"/>
        <v>0</v>
      </c>
      <c r="M138" s="3"/>
      <c r="N138" s="3"/>
      <c r="O138" s="3"/>
      <c r="P138" s="3"/>
      <c r="Q138" s="3"/>
      <c r="R138" s="3"/>
      <c r="S138" s="3"/>
      <c r="T138" s="2"/>
      <c r="U138" s="133">
        <f>ProjectInput[[#This Row],[Location]]</f>
        <v>0</v>
      </c>
      <c r="V138" s="278">
        <f>ProjectInput[[#This Row],[Existing Fixture Code]]</f>
        <v>0</v>
      </c>
      <c r="W138"/>
      <c r="X138"/>
      <c r="Y138"/>
      <c r="Z138"/>
      <c r="AA138"/>
      <c r="AB138"/>
      <c r="AC138"/>
      <c r="AD138"/>
      <c r="AE138"/>
      <c r="AF138"/>
      <c r="AG138"/>
      <c r="AH138"/>
      <c r="AI138"/>
      <c r="AJ138"/>
      <c r="AK138"/>
      <c r="AL138"/>
      <c r="AM138"/>
      <c r="AN138"/>
      <c r="AO138"/>
    </row>
    <row r="139" spans="1:41" ht="15" customHeight="1">
      <c r="A139" s="2">
        <v>136</v>
      </c>
      <c r="B139" s="2"/>
      <c r="C139" s="3">
        <f>ProjectInput[[#This Row],[Retrofit Cost]]</f>
        <v>0</v>
      </c>
      <c r="D139" s="2">
        <f>ProjectInput[[#This Row],[Proposed Fixture Quantity]]</f>
        <v>0</v>
      </c>
      <c r="E139" s="2" t="str">
        <f>CONCATENATE("Replace ", ReviewCalcs[[#This Row],[Existing Fixture Code]], " with ", ReviewCalcs[[#This Row],[Proposed Fixture Code]])</f>
        <v>Replace 0 with 0</v>
      </c>
      <c r="F139" s="2">
        <f>ReviewCalcs[[#This Row],[Measure Type]]</f>
        <v>0</v>
      </c>
      <c r="G139" s="2" t="str">
        <f>IF(Instructions!$F$25="Post-Retrofit","Completed","Recommended")</f>
        <v>Recommended</v>
      </c>
      <c r="H139" s="4">
        <f>ReviewCalcs[[#This Row],[Incentive Total Energy Savings (kWh)]]</f>
        <v>0</v>
      </c>
      <c r="I139" s="2">
        <f>ReviewCalcs[[#This Row],[Incentive Total Demand Savings (kW)]]</f>
        <v>0</v>
      </c>
      <c r="J139" s="3">
        <f>ProjectInput[[#This Row],[Energy Cost Savings ($)]]</f>
        <v>0</v>
      </c>
      <c r="K139" s="3">
        <f>ProjectInput[[#This Row],[Incentive ($)]]</f>
        <v>0</v>
      </c>
      <c r="L139" s="13">
        <f t="shared" si="2"/>
        <v>0</v>
      </c>
      <c r="M139" s="3"/>
      <c r="N139" s="3"/>
      <c r="O139" s="3"/>
      <c r="P139" s="3"/>
      <c r="Q139" s="3"/>
      <c r="R139" s="3"/>
      <c r="S139" s="3"/>
      <c r="T139" s="2"/>
      <c r="U139" s="133">
        <f>ProjectInput[[#This Row],[Location]]</f>
        <v>0</v>
      </c>
      <c r="V139" s="278">
        <f>ProjectInput[[#This Row],[Existing Fixture Code]]</f>
        <v>0</v>
      </c>
      <c r="W139"/>
      <c r="X139"/>
      <c r="Y139"/>
      <c r="Z139"/>
      <c r="AA139"/>
      <c r="AB139"/>
      <c r="AC139"/>
      <c r="AD139"/>
      <c r="AE139"/>
      <c r="AF139"/>
      <c r="AG139"/>
      <c r="AH139"/>
      <c r="AI139"/>
      <c r="AJ139"/>
      <c r="AK139"/>
      <c r="AL139"/>
      <c r="AM139"/>
      <c r="AN139"/>
      <c r="AO139"/>
    </row>
    <row r="140" spans="1:41" ht="15" customHeight="1">
      <c r="A140" s="2">
        <v>137</v>
      </c>
      <c r="B140" s="2"/>
      <c r="C140" s="3">
        <f>ProjectInput[[#This Row],[Retrofit Cost]]</f>
        <v>0</v>
      </c>
      <c r="D140" s="2">
        <f>ProjectInput[[#This Row],[Proposed Fixture Quantity]]</f>
        <v>0</v>
      </c>
      <c r="E140" s="2" t="str">
        <f>CONCATENATE("Replace ", ReviewCalcs[[#This Row],[Existing Fixture Code]], " with ", ReviewCalcs[[#This Row],[Proposed Fixture Code]])</f>
        <v>Replace 0 with 0</v>
      </c>
      <c r="F140" s="2">
        <f>ReviewCalcs[[#This Row],[Measure Type]]</f>
        <v>0</v>
      </c>
      <c r="G140" s="2" t="str">
        <f>IF(Instructions!$F$25="Post-Retrofit","Completed","Recommended")</f>
        <v>Recommended</v>
      </c>
      <c r="H140" s="4">
        <f>ReviewCalcs[[#This Row],[Incentive Total Energy Savings (kWh)]]</f>
        <v>0</v>
      </c>
      <c r="I140" s="2">
        <f>ReviewCalcs[[#This Row],[Incentive Total Demand Savings (kW)]]</f>
        <v>0</v>
      </c>
      <c r="J140" s="3">
        <f>ProjectInput[[#This Row],[Energy Cost Savings ($)]]</f>
        <v>0</v>
      </c>
      <c r="K140" s="3">
        <f>ProjectInput[[#This Row],[Incentive ($)]]</f>
        <v>0</v>
      </c>
      <c r="L140" s="13">
        <f t="shared" si="2"/>
        <v>0</v>
      </c>
      <c r="M140" s="3"/>
      <c r="N140" s="3"/>
      <c r="O140" s="3"/>
      <c r="P140" s="3"/>
      <c r="Q140" s="3"/>
      <c r="R140" s="3"/>
      <c r="S140" s="3"/>
      <c r="T140" s="2"/>
      <c r="U140" s="133">
        <f>ProjectInput[[#This Row],[Location]]</f>
        <v>0</v>
      </c>
      <c r="V140" s="278">
        <f>ProjectInput[[#This Row],[Existing Fixture Code]]</f>
        <v>0</v>
      </c>
      <c r="W140"/>
      <c r="X140"/>
      <c r="Y140"/>
      <c r="Z140"/>
      <c r="AA140"/>
      <c r="AB140"/>
      <c r="AC140"/>
      <c r="AD140"/>
      <c r="AE140"/>
      <c r="AF140"/>
      <c r="AG140"/>
      <c r="AH140"/>
      <c r="AI140"/>
      <c r="AJ140"/>
      <c r="AK140"/>
      <c r="AL140"/>
      <c r="AM140"/>
      <c r="AN140"/>
      <c r="AO140"/>
    </row>
    <row r="141" spans="1:41" ht="15" customHeight="1">
      <c r="A141" s="2">
        <v>138</v>
      </c>
      <c r="B141" s="2"/>
      <c r="C141" s="3">
        <f>ProjectInput[[#This Row],[Retrofit Cost]]</f>
        <v>0</v>
      </c>
      <c r="D141" s="2">
        <f>ProjectInput[[#This Row],[Proposed Fixture Quantity]]</f>
        <v>0</v>
      </c>
      <c r="E141" s="2" t="str">
        <f>CONCATENATE("Replace ", ReviewCalcs[[#This Row],[Existing Fixture Code]], " with ", ReviewCalcs[[#This Row],[Proposed Fixture Code]])</f>
        <v>Replace 0 with 0</v>
      </c>
      <c r="F141" s="2">
        <f>ReviewCalcs[[#This Row],[Measure Type]]</f>
        <v>0</v>
      </c>
      <c r="G141" s="2" t="str">
        <f>IF(Instructions!$F$25="Post-Retrofit","Completed","Recommended")</f>
        <v>Recommended</v>
      </c>
      <c r="H141" s="4">
        <f>ReviewCalcs[[#This Row],[Incentive Total Energy Savings (kWh)]]</f>
        <v>0</v>
      </c>
      <c r="I141" s="2">
        <f>ReviewCalcs[[#This Row],[Incentive Total Demand Savings (kW)]]</f>
        <v>0</v>
      </c>
      <c r="J141" s="3">
        <f>ProjectInput[[#This Row],[Energy Cost Savings ($)]]</f>
        <v>0</v>
      </c>
      <c r="K141" s="3">
        <f>ProjectInput[[#This Row],[Incentive ($)]]</f>
        <v>0</v>
      </c>
      <c r="L141" s="13">
        <f t="shared" si="2"/>
        <v>0</v>
      </c>
      <c r="M141" s="3"/>
      <c r="N141" s="3"/>
      <c r="O141" s="3"/>
      <c r="P141" s="3"/>
      <c r="Q141" s="3"/>
      <c r="R141" s="3"/>
      <c r="S141" s="3"/>
      <c r="T141" s="2"/>
      <c r="U141" s="133">
        <f>ProjectInput[[#This Row],[Location]]</f>
        <v>0</v>
      </c>
      <c r="V141" s="278">
        <f>ProjectInput[[#This Row],[Existing Fixture Code]]</f>
        <v>0</v>
      </c>
      <c r="W141"/>
      <c r="X141"/>
      <c r="Y141"/>
      <c r="Z141"/>
      <c r="AA141"/>
      <c r="AB141"/>
      <c r="AC141"/>
      <c r="AD141"/>
      <c r="AE141"/>
      <c r="AF141"/>
      <c r="AG141"/>
      <c r="AH141"/>
      <c r="AI141"/>
      <c r="AJ141"/>
      <c r="AK141"/>
      <c r="AL141"/>
      <c r="AM141"/>
      <c r="AN141"/>
      <c r="AO141"/>
    </row>
    <row r="142" spans="1:41" ht="15" customHeight="1">
      <c r="A142" s="2">
        <v>139</v>
      </c>
      <c r="B142" s="2"/>
      <c r="C142" s="3">
        <f>ProjectInput[[#This Row],[Retrofit Cost]]</f>
        <v>0</v>
      </c>
      <c r="D142" s="2">
        <f>ProjectInput[[#This Row],[Proposed Fixture Quantity]]</f>
        <v>0</v>
      </c>
      <c r="E142" s="2" t="str">
        <f>CONCATENATE("Replace ", ReviewCalcs[[#This Row],[Existing Fixture Code]], " with ", ReviewCalcs[[#This Row],[Proposed Fixture Code]])</f>
        <v>Replace 0 with 0</v>
      </c>
      <c r="F142" s="2">
        <f>ReviewCalcs[[#This Row],[Measure Type]]</f>
        <v>0</v>
      </c>
      <c r="G142" s="2" t="str">
        <f>IF(Instructions!$F$25="Post-Retrofit","Completed","Recommended")</f>
        <v>Recommended</v>
      </c>
      <c r="H142" s="4">
        <f>ReviewCalcs[[#This Row],[Incentive Total Energy Savings (kWh)]]</f>
        <v>0</v>
      </c>
      <c r="I142" s="2">
        <f>ReviewCalcs[[#This Row],[Incentive Total Demand Savings (kW)]]</f>
        <v>0</v>
      </c>
      <c r="J142" s="3">
        <f>ProjectInput[[#This Row],[Energy Cost Savings ($)]]</f>
        <v>0</v>
      </c>
      <c r="K142" s="3">
        <f>ProjectInput[[#This Row],[Incentive ($)]]</f>
        <v>0</v>
      </c>
      <c r="L142" s="13">
        <f t="shared" si="2"/>
        <v>0</v>
      </c>
      <c r="M142" s="3"/>
      <c r="N142" s="3"/>
      <c r="O142" s="3"/>
      <c r="P142" s="3"/>
      <c r="Q142" s="3"/>
      <c r="R142" s="3"/>
      <c r="S142" s="3"/>
      <c r="T142" s="2"/>
      <c r="U142" s="133">
        <f>ProjectInput[[#This Row],[Location]]</f>
        <v>0</v>
      </c>
      <c r="V142" s="278">
        <f>ProjectInput[[#This Row],[Existing Fixture Code]]</f>
        <v>0</v>
      </c>
      <c r="W142"/>
      <c r="X142"/>
      <c r="Y142"/>
      <c r="Z142"/>
      <c r="AA142"/>
      <c r="AB142"/>
      <c r="AC142"/>
      <c r="AD142"/>
      <c r="AE142"/>
      <c r="AF142"/>
      <c r="AG142"/>
      <c r="AH142"/>
      <c r="AI142"/>
      <c r="AJ142"/>
      <c r="AK142"/>
      <c r="AL142"/>
      <c r="AM142"/>
      <c r="AN142"/>
      <c r="AO142"/>
    </row>
    <row r="143" spans="1:41" ht="15" customHeight="1">
      <c r="A143" s="2">
        <v>140</v>
      </c>
      <c r="B143" s="2"/>
      <c r="C143" s="3">
        <f>ProjectInput[[#This Row],[Retrofit Cost]]</f>
        <v>0</v>
      </c>
      <c r="D143" s="2">
        <f>ProjectInput[[#This Row],[Proposed Fixture Quantity]]</f>
        <v>0</v>
      </c>
      <c r="E143" s="2" t="str">
        <f>CONCATENATE("Replace ", ReviewCalcs[[#This Row],[Existing Fixture Code]], " with ", ReviewCalcs[[#This Row],[Proposed Fixture Code]])</f>
        <v>Replace 0 with 0</v>
      </c>
      <c r="F143" s="2">
        <f>ReviewCalcs[[#This Row],[Measure Type]]</f>
        <v>0</v>
      </c>
      <c r="G143" s="2" t="str">
        <f>IF(Instructions!$F$25="Post-Retrofit","Completed","Recommended")</f>
        <v>Recommended</v>
      </c>
      <c r="H143" s="4">
        <f>ReviewCalcs[[#This Row],[Incentive Total Energy Savings (kWh)]]</f>
        <v>0</v>
      </c>
      <c r="I143" s="2">
        <f>ReviewCalcs[[#This Row],[Incentive Total Demand Savings (kW)]]</f>
        <v>0</v>
      </c>
      <c r="J143" s="3">
        <f>ProjectInput[[#This Row],[Energy Cost Savings ($)]]</f>
        <v>0</v>
      </c>
      <c r="K143" s="3">
        <f>ProjectInput[[#This Row],[Incentive ($)]]</f>
        <v>0</v>
      </c>
      <c r="L143" s="13">
        <f t="shared" si="2"/>
        <v>0</v>
      </c>
      <c r="M143" s="3"/>
      <c r="N143" s="3"/>
      <c r="O143" s="3"/>
      <c r="P143" s="3"/>
      <c r="Q143" s="3"/>
      <c r="R143" s="3"/>
      <c r="S143" s="3"/>
      <c r="T143" s="2"/>
      <c r="U143" s="133">
        <f>ProjectInput[[#This Row],[Location]]</f>
        <v>0</v>
      </c>
      <c r="V143" s="278">
        <f>ProjectInput[[#This Row],[Existing Fixture Code]]</f>
        <v>0</v>
      </c>
      <c r="W143"/>
      <c r="X143"/>
      <c r="Y143"/>
      <c r="Z143"/>
      <c r="AA143"/>
      <c r="AB143"/>
      <c r="AC143"/>
      <c r="AD143"/>
      <c r="AE143"/>
      <c r="AF143"/>
      <c r="AG143"/>
      <c r="AH143"/>
      <c r="AI143"/>
      <c r="AJ143"/>
      <c r="AK143"/>
      <c r="AL143"/>
      <c r="AM143"/>
      <c r="AN143"/>
      <c r="AO143"/>
    </row>
    <row r="144" spans="1:41" ht="15" customHeight="1">
      <c r="A144" s="2">
        <v>141</v>
      </c>
      <c r="B144" s="2"/>
      <c r="C144" s="3">
        <f>ProjectInput[[#This Row],[Retrofit Cost]]</f>
        <v>0</v>
      </c>
      <c r="D144" s="2">
        <f>ProjectInput[[#This Row],[Proposed Fixture Quantity]]</f>
        <v>0</v>
      </c>
      <c r="E144" s="2" t="str">
        <f>CONCATENATE("Replace ", ReviewCalcs[[#This Row],[Existing Fixture Code]], " with ", ReviewCalcs[[#This Row],[Proposed Fixture Code]])</f>
        <v>Replace 0 with 0</v>
      </c>
      <c r="F144" s="2">
        <f>ReviewCalcs[[#This Row],[Measure Type]]</f>
        <v>0</v>
      </c>
      <c r="G144" s="2" t="str">
        <f>IF(Instructions!$F$25="Post-Retrofit","Completed","Recommended")</f>
        <v>Recommended</v>
      </c>
      <c r="H144" s="4">
        <f>ReviewCalcs[[#This Row],[Incentive Total Energy Savings (kWh)]]</f>
        <v>0</v>
      </c>
      <c r="I144" s="2">
        <f>ReviewCalcs[[#This Row],[Incentive Total Demand Savings (kW)]]</f>
        <v>0</v>
      </c>
      <c r="J144" s="3">
        <f>ProjectInput[[#This Row],[Energy Cost Savings ($)]]</f>
        <v>0</v>
      </c>
      <c r="K144" s="3">
        <f>ProjectInput[[#This Row],[Incentive ($)]]</f>
        <v>0</v>
      </c>
      <c r="L144" s="13">
        <f t="shared" si="2"/>
        <v>0</v>
      </c>
      <c r="M144" s="3"/>
      <c r="N144" s="3"/>
      <c r="O144" s="3"/>
      <c r="P144" s="3"/>
      <c r="Q144" s="3"/>
      <c r="R144" s="3"/>
      <c r="S144" s="3"/>
      <c r="T144" s="2"/>
      <c r="U144" s="133">
        <f>ProjectInput[[#This Row],[Location]]</f>
        <v>0</v>
      </c>
      <c r="V144" s="278">
        <f>ProjectInput[[#This Row],[Existing Fixture Code]]</f>
        <v>0</v>
      </c>
      <c r="W144"/>
      <c r="X144"/>
      <c r="Y144"/>
      <c r="Z144"/>
      <c r="AA144"/>
      <c r="AB144"/>
      <c r="AC144"/>
      <c r="AD144"/>
      <c r="AE144"/>
      <c r="AF144"/>
      <c r="AG144"/>
      <c r="AH144"/>
      <c r="AI144"/>
      <c r="AJ144"/>
      <c r="AK144"/>
      <c r="AL144"/>
      <c r="AM144"/>
      <c r="AN144"/>
      <c r="AO144"/>
    </row>
    <row r="145" spans="1:41" ht="15" customHeight="1">
      <c r="A145" s="2">
        <v>142</v>
      </c>
      <c r="B145" s="2"/>
      <c r="C145" s="3">
        <f>ProjectInput[[#This Row],[Retrofit Cost]]</f>
        <v>0</v>
      </c>
      <c r="D145" s="2">
        <f>ProjectInput[[#This Row],[Proposed Fixture Quantity]]</f>
        <v>0</v>
      </c>
      <c r="E145" s="2" t="str">
        <f>CONCATENATE("Replace ", ReviewCalcs[[#This Row],[Existing Fixture Code]], " with ", ReviewCalcs[[#This Row],[Proposed Fixture Code]])</f>
        <v>Replace 0 with 0</v>
      </c>
      <c r="F145" s="2">
        <f>ReviewCalcs[[#This Row],[Measure Type]]</f>
        <v>0</v>
      </c>
      <c r="G145" s="2" t="str">
        <f>IF(Instructions!$F$25="Post-Retrofit","Completed","Recommended")</f>
        <v>Recommended</v>
      </c>
      <c r="H145" s="4">
        <f>ReviewCalcs[[#This Row],[Incentive Total Energy Savings (kWh)]]</f>
        <v>0</v>
      </c>
      <c r="I145" s="2">
        <f>ReviewCalcs[[#This Row],[Incentive Total Demand Savings (kW)]]</f>
        <v>0</v>
      </c>
      <c r="J145" s="3">
        <f>ProjectInput[[#This Row],[Energy Cost Savings ($)]]</f>
        <v>0</v>
      </c>
      <c r="K145" s="3">
        <f>ProjectInput[[#This Row],[Incentive ($)]]</f>
        <v>0</v>
      </c>
      <c r="L145" s="13">
        <f t="shared" si="2"/>
        <v>0</v>
      </c>
      <c r="M145" s="3"/>
      <c r="N145" s="3"/>
      <c r="O145" s="3"/>
      <c r="P145" s="3"/>
      <c r="Q145" s="3"/>
      <c r="R145" s="3"/>
      <c r="S145" s="3"/>
      <c r="T145" s="2"/>
      <c r="U145" s="133">
        <f>ProjectInput[[#This Row],[Location]]</f>
        <v>0</v>
      </c>
      <c r="V145" s="278">
        <f>ProjectInput[[#This Row],[Existing Fixture Code]]</f>
        <v>0</v>
      </c>
      <c r="W145"/>
      <c r="X145"/>
      <c r="Y145"/>
      <c r="Z145"/>
      <c r="AA145"/>
      <c r="AB145"/>
      <c r="AC145"/>
      <c r="AD145"/>
      <c r="AE145"/>
      <c r="AF145"/>
      <c r="AG145"/>
      <c r="AH145"/>
      <c r="AI145"/>
      <c r="AJ145"/>
      <c r="AK145"/>
      <c r="AL145"/>
      <c r="AM145"/>
      <c r="AN145"/>
      <c r="AO145"/>
    </row>
    <row r="146" spans="1:41" ht="15" customHeight="1">
      <c r="A146" s="2">
        <v>143</v>
      </c>
      <c r="B146" s="2"/>
      <c r="C146" s="3">
        <f>ProjectInput[[#This Row],[Retrofit Cost]]</f>
        <v>0</v>
      </c>
      <c r="D146" s="2">
        <f>ProjectInput[[#This Row],[Proposed Fixture Quantity]]</f>
        <v>0</v>
      </c>
      <c r="E146" s="2" t="str">
        <f>CONCATENATE("Replace ", ReviewCalcs[[#This Row],[Existing Fixture Code]], " with ", ReviewCalcs[[#This Row],[Proposed Fixture Code]])</f>
        <v>Replace 0 with 0</v>
      </c>
      <c r="F146" s="2">
        <f>ReviewCalcs[[#This Row],[Measure Type]]</f>
        <v>0</v>
      </c>
      <c r="G146" s="2" t="str">
        <f>IF(Instructions!$F$25="Post-Retrofit","Completed","Recommended")</f>
        <v>Recommended</v>
      </c>
      <c r="H146" s="4">
        <f>ReviewCalcs[[#This Row],[Incentive Total Energy Savings (kWh)]]</f>
        <v>0</v>
      </c>
      <c r="I146" s="2">
        <f>ReviewCalcs[[#This Row],[Incentive Total Demand Savings (kW)]]</f>
        <v>0</v>
      </c>
      <c r="J146" s="3">
        <f>ProjectInput[[#This Row],[Energy Cost Savings ($)]]</f>
        <v>0</v>
      </c>
      <c r="K146" s="3">
        <f>ProjectInput[[#This Row],[Incentive ($)]]</f>
        <v>0</v>
      </c>
      <c r="L146" s="13">
        <f t="shared" si="2"/>
        <v>0</v>
      </c>
      <c r="M146" s="3"/>
      <c r="N146" s="3"/>
      <c r="O146" s="3"/>
      <c r="P146" s="3"/>
      <c r="Q146" s="3"/>
      <c r="R146" s="3"/>
      <c r="S146" s="3"/>
      <c r="T146" s="2"/>
      <c r="U146" s="133">
        <f>ProjectInput[[#This Row],[Location]]</f>
        <v>0</v>
      </c>
      <c r="V146" s="278">
        <f>ProjectInput[[#This Row],[Existing Fixture Code]]</f>
        <v>0</v>
      </c>
      <c r="W146"/>
      <c r="X146"/>
      <c r="Y146"/>
      <c r="Z146"/>
      <c r="AA146"/>
      <c r="AB146"/>
      <c r="AC146"/>
      <c r="AD146"/>
      <c r="AE146"/>
      <c r="AF146"/>
      <c r="AG146"/>
      <c r="AH146"/>
      <c r="AI146"/>
      <c r="AJ146"/>
      <c r="AK146"/>
      <c r="AL146"/>
      <c r="AM146"/>
      <c r="AN146"/>
      <c r="AO146"/>
    </row>
    <row r="147" spans="1:41" ht="15" customHeight="1">
      <c r="A147" s="2">
        <v>144</v>
      </c>
      <c r="B147" s="2"/>
      <c r="C147" s="3">
        <f>ProjectInput[[#This Row],[Retrofit Cost]]</f>
        <v>0</v>
      </c>
      <c r="D147" s="2">
        <f>ProjectInput[[#This Row],[Proposed Fixture Quantity]]</f>
        <v>0</v>
      </c>
      <c r="E147" s="2" t="str">
        <f>CONCATENATE("Replace ", ReviewCalcs[[#This Row],[Existing Fixture Code]], " with ", ReviewCalcs[[#This Row],[Proposed Fixture Code]])</f>
        <v>Replace 0 with 0</v>
      </c>
      <c r="F147" s="2">
        <f>ReviewCalcs[[#This Row],[Measure Type]]</f>
        <v>0</v>
      </c>
      <c r="G147" s="2" t="str">
        <f>IF(Instructions!$F$25="Post-Retrofit","Completed","Recommended")</f>
        <v>Recommended</v>
      </c>
      <c r="H147" s="4">
        <f>ReviewCalcs[[#This Row],[Incentive Total Energy Savings (kWh)]]</f>
        <v>0</v>
      </c>
      <c r="I147" s="2">
        <f>ReviewCalcs[[#This Row],[Incentive Total Demand Savings (kW)]]</f>
        <v>0</v>
      </c>
      <c r="J147" s="3">
        <f>ProjectInput[[#This Row],[Energy Cost Savings ($)]]</f>
        <v>0</v>
      </c>
      <c r="K147" s="3">
        <f>ProjectInput[[#This Row],[Incentive ($)]]</f>
        <v>0</v>
      </c>
      <c r="L147" s="13">
        <f t="shared" si="2"/>
        <v>0</v>
      </c>
      <c r="M147" s="3"/>
      <c r="N147" s="3"/>
      <c r="O147" s="3"/>
      <c r="P147" s="3"/>
      <c r="Q147" s="3"/>
      <c r="R147" s="3"/>
      <c r="S147" s="3"/>
      <c r="T147" s="2"/>
      <c r="U147" s="133">
        <f>ProjectInput[[#This Row],[Location]]</f>
        <v>0</v>
      </c>
      <c r="V147" s="278">
        <f>ProjectInput[[#This Row],[Existing Fixture Code]]</f>
        <v>0</v>
      </c>
      <c r="W147"/>
      <c r="X147"/>
      <c r="Y147"/>
      <c r="Z147"/>
      <c r="AA147"/>
      <c r="AB147"/>
      <c r="AC147"/>
      <c r="AD147"/>
      <c r="AE147"/>
      <c r="AF147"/>
      <c r="AG147"/>
      <c r="AH147"/>
      <c r="AI147"/>
      <c r="AJ147"/>
      <c r="AK147"/>
      <c r="AL147"/>
      <c r="AM147"/>
      <c r="AN147"/>
      <c r="AO147"/>
    </row>
    <row r="148" spans="1:41" ht="15" customHeight="1">
      <c r="A148" s="2">
        <v>145</v>
      </c>
      <c r="B148" s="2"/>
      <c r="C148" s="3">
        <f>ProjectInput[[#This Row],[Retrofit Cost]]</f>
        <v>0</v>
      </c>
      <c r="D148" s="2">
        <f>ProjectInput[[#This Row],[Proposed Fixture Quantity]]</f>
        <v>0</v>
      </c>
      <c r="E148" s="2" t="str">
        <f>CONCATENATE("Replace ", ReviewCalcs[[#This Row],[Existing Fixture Code]], " with ", ReviewCalcs[[#This Row],[Proposed Fixture Code]])</f>
        <v>Replace 0 with 0</v>
      </c>
      <c r="F148" s="2">
        <f>ReviewCalcs[[#This Row],[Measure Type]]</f>
        <v>0</v>
      </c>
      <c r="G148" s="2" t="str">
        <f>IF(Instructions!$F$25="Post-Retrofit","Completed","Recommended")</f>
        <v>Recommended</v>
      </c>
      <c r="H148" s="4">
        <f>ReviewCalcs[[#This Row],[Incentive Total Energy Savings (kWh)]]</f>
        <v>0</v>
      </c>
      <c r="I148" s="2">
        <f>ReviewCalcs[[#This Row],[Incentive Total Demand Savings (kW)]]</f>
        <v>0</v>
      </c>
      <c r="J148" s="3">
        <f>ProjectInput[[#This Row],[Energy Cost Savings ($)]]</f>
        <v>0</v>
      </c>
      <c r="K148" s="3">
        <f>ProjectInput[[#This Row],[Incentive ($)]]</f>
        <v>0</v>
      </c>
      <c r="L148" s="13">
        <f t="shared" si="2"/>
        <v>0</v>
      </c>
      <c r="M148" s="3"/>
      <c r="N148" s="3"/>
      <c r="O148" s="3"/>
      <c r="P148" s="3"/>
      <c r="Q148" s="3"/>
      <c r="R148" s="3"/>
      <c r="S148" s="3"/>
      <c r="T148" s="2"/>
      <c r="U148" s="133">
        <f>ProjectInput[[#This Row],[Location]]</f>
        <v>0</v>
      </c>
      <c r="V148" s="278">
        <f>ProjectInput[[#This Row],[Existing Fixture Code]]</f>
        <v>0</v>
      </c>
      <c r="W148"/>
      <c r="X148"/>
      <c r="Y148"/>
      <c r="Z148"/>
      <c r="AA148"/>
      <c r="AB148"/>
      <c r="AC148"/>
      <c r="AD148"/>
      <c r="AE148"/>
      <c r="AF148"/>
      <c r="AG148"/>
      <c r="AH148"/>
      <c r="AI148"/>
      <c r="AJ148"/>
      <c r="AK148"/>
      <c r="AL148"/>
      <c r="AM148"/>
      <c r="AN148"/>
      <c r="AO148"/>
    </row>
    <row r="149" spans="1:41" ht="15" customHeight="1">
      <c r="A149" s="2">
        <v>146</v>
      </c>
      <c r="B149" s="2"/>
      <c r="C149" s="3">
        <f>ProjectInput[[#This Row],[Retrofit Cost]]</f>
        <v>0</v>
      </c>
      <c r="D149" s="2">
        <f>ProjectInput[[#This Row],[Proposed Fixture Quantity]]</f>
        <v>0</v>
      </c>
      <c r="E149" s="2" t="str">
        <f>CONCATENATE("Replace ", ReviewCalcs[[#This Row],[Existing Fixture Code]], " with ", ReviewCalcs[[#This Row],[Proposed Fixture Code]])</f>
        <v>Replace 0 with 0</v>
      </c>
      <c r="F149" s="2">
        <f>ReviewCalcs[[#This Row],[Measure Type]]</f>
        <v>0</v>
      </c>
      <c r="G149" s="2" t="str">
        <f>IF(Instructions!$F$25="Post-Retrofit","Completed","Recommended")</f>
        <v>Recommended</v>
      </c>
      <c r="H149" s="4">
        <f>ReviewCalcs[[#This Row],[Incentive Total Energy Savings (kWh)]]</f>
        <v>0</v>
      </c>
      <c r="I149" s="2">
        <f>ReviewCalcs[[#This Row],[Incentive Total Demand Savings (kW)]]</f>
        <v>0</v>
      </c>
      <c r="J149" s="3">
        <f>ProjectInput[[#This Row],[Energy Cost Savings ($)]]</f>
        <v>0</v>
      </c>
      <c r="K149" s="3">
        <f>ProjectInput[[#This Row],[Incentive ($)]]</f>
        <v>0</v>
      </c>
      <c r="L149" s="13">
        <f t="shared" si="2"/>
        <v>0</v>
      </c>
      <c r="M149" s="3"/>
      <c r="N149" s="3"/>
      <c r="O149" s="3"/>
      <c r="P149" s="3"/>
      <c r="Q149" s="3"/>
      <c r="R149" s="3"/>
      <c r="S149" s="3"/>
      <c r="T149" s="2"/>
      <c r="U149" s="133">
        <f>ProjectInput[[#This Row],[Location]]</f>
        <v>0</v>
      </c>
      <c r="V149" s="278">
        <f>ProjectInput[[#This Row],[Existing Fixture Code]]</f>
        <v>0</v>
      </c>
      <c r="W149"/>
      <c r="X149"/>
      <c r="Y149"/>
      <c r="Z149"/>
      <c r="AA149"/>
      <c r="AB149"/>
      <c r="AC149"/>
      <c r="AD149"/>
      <c r="AE149"/>
      <c r="AF149"/>
      <c r="AG149"/>
      <c r="AH149"/>
      <c r="AI149"/>
      <c r="AJ149"/>
      <c r="AK149"/>
      <c r="AL149"/>
      <c r="AM149"/>
      <c r="AN149"/>
      <c r="AO149"/>
    </row>
    <row r="150" spans="1:41" ht="15" customHeight="1">
      <c r="A150" s="2">
        <v>147</v>
      </c>
      <c r="B150" s="2"/>
      <c r="C150" s="3">
        <f>ProjectInput[[#This Row],[Retrofit Cost]]</f>
        <v>0</v>
      </c>
      <c r="D150" s="2">
        <f>ProjectInput[[#This Row],[Proposed Fixture Quantity]]</f>
        <v>0</v>
      </c>
      <c r="E150" s="2" t="str">
        <f>CONCATENATE("Replace ", ReviewCalcs[[#This Row],[Existing Fixture Code]], " with ", ReviewCalcs[[#This Row],[Proposed Fixture Code]])</f>
        <v>Replace 0 with 0</v>
      </c>
      <c r="F150" s="2">
        <f>ReviewCalcs[[#This Row],[Measure Type]]</f>
        <v>0</v>
      </c>
      <c r="G150" s="2" t="str">
        <f>IF(Instructions!$F$25="Post-Retrofit","Completed","Recommended")</f>
        <v>Recommended</v>
      </c>
      <c r="H150" s="4">
        <f>ReviewCalcs[[#This Row],[Incentive Total Energy Savings (kWh)]]</f>
        <v>0</v>
      </c>
      <c r="I150" s="2">
        <f>ReviewCalcs[[#This Row],[Incentive Total Demand Savings (kW)]]</f>
        <v>0</v>
      </c>
      <c r="J150" s="3">
        <f>ProjectInput[[#This Row],[Energy Cost Savings ($)]]</f>
        <v>0</v>
      </c>
      <c r="K150" s="3">
        <f>ProjectInput[[#This Row],[Incentive ($)]]</f>
        <v>0</v>
      </c>
      <c r="L150" s="13">
        <f t="shared" si="2"/>
        <v>0</v>
      </c>
      <c r="M150" s="3"/>
      <c r="N150" s="3"/>
      <c r="O150" s="3"/>
      <c r="P150" s="3"/>
      <c r="Q150" s="3"/>
      <c r="R150" s="3"/>
      <c r="S150" s="3"/>
      <c r="T150" s="2"/>
      <c r="U150" s="133">
        <f>ProjectInput[[#This Row],[Location]]</f>
        <v>0</v>
      </c>
      <c r="V150" s="278">
        <f>ProjectInput[[#This Row],[Existing Fixture Code]]</f>
        <v>0</v>
      </c>
      <c r="W150"/>
      <c r="X150"/>
      <c r="Y150"/>
      <c r="Z150"/>
      <c r="AA150"/>
      <c r="AB150"/>
      <c r="AC150"/>
      <c r="AD150"/>
      <c r="AE150"/>
      <c r="AF150"/>
      <c r="AG150"/>
      <c r="AH150"/>
      <c r="AI150"/>
      <c r="AJ150"/>
      <c r="AK150"/>
      <c r="AL150"/>
      <c r="AM150"/>
      <c r="AN150"/>
      <c r="AO150"/>
    </row>
    <row r="151" spans="1:41" ht="15" customHeight="1">
      <c r="A151" s="2">
        <v>148</v>
      </c>
      <c r="B151" s="2"/>
      <c r="C151" s="3">
        <f>ProjectInput[[#This Row],[Retrofit Cost]]</f>
        <v>0</v>
      </c>
      <c r="D151" s="2">
        <f>ProjectInput[[#This Row],[Proposed Fixture Quantity]]</f>
        <v>0</v>
      </c>
      <c r="E151" s="2" t="str">
        <f>CONCATENATE("Replace ", ReviewCalcs[[#This Row],[Existing Fixture Code]], " with ", ReviewCalcs[[#This Row],[Proposed Fixture Code]])</f>
        <v>Replace 0 with 0</v>
      </c>
      <c r="F151" s="2">
        <f>ReviewCalcs[[#This Row],[Measure Type]]</f>
        <v>0</v>
      </c>
      <c r="G151" s="2" t="str">
        <f>IF(Instructions!$F$25="Post-Retrofit","Completed","Recommended")</f>
        <v>Recommended</v>
      </c>
      <c r="H151" s="4">
        <f>ReviewCalcs[[#This Row],[Incentive Total Energy Savings (kWh)]]</f>
        <v>0</v>
      </c>
      <c r="I151" s="2">
        <f>ReviewCalcs[[#This Row],[Incentive Total Demand Savings (kW)]]</f>
        <v>0</v>
      </c>
      <c r="J151" s="3">
        <f>ProjectInput[[#This Row],[Energy Cost Savings ($)]]</f>
        <v>0</v>
      </c>
      <c r="K151" s="3">
        <f>ProjectInput[[#This Row],[Incentive ($)]]</f>
        <v>0</v>
      </c>
      <c r="L151" s="13">
        <f t="shared" si="2"/>
        <v>0</v>
      </c>
      <c r="M151" s="3"/>
      <c r="N151" s="3"/>
      <c r="O151" s="3"/>
      <c r="P151" s="3"/>
      <c r="Q151" s="3"/>
      <c r="R151" s="3"/>
      <c r="S151" s="3"/>
      <c r="T151" s="2"/>
      <c r="U151" s="133">
        <f>ProjectInput[[#This Row],[Location]]</f>
        <v>0</v>
      </c>
      <c r="V151" s="278">
        <f>ProjectInput[[#This Row],[Existing Fixture Code]]</f>
        <v>0</v>
      </c>
      <c r="W151"/>
      <c r="X151"/>
      <c r="Y151"/>
      <c r="Z151"/>
      <c r="AA151"/>
      <c r="AB151"/>
      <c r="AC151"/>
      <c r="AD151"/>
      <c r="AE151"/>
      <c r="AF151"/>
      <c r="AG151"/>
      <c r="AH151"/>
      <c r="AI151"/>
      <c r="AJ151"/>
      <c r="AK151"/>
      <c r="AL151"/>
      <c r="AM151"/>
      <c r="AN151"/>
      <c r="AO151"/>
    </row>
    <row r="152" spans="1:41" ht="15" customHeight="1">
      <c r="A152" s="2">
        <v>149</v>
      </c>
      <c r="B152" s="2"/>
      <c r="C152" s="3">
        <f>ProjectInput[[#This Row],[Retrofit Cost]]</f>
        <v>0</v>
      </c>
      <c r="D152" s="2">
        <f>ProjectInput[[#This Row],[Proposed Fixture Quantity]]</f>
        <v>0</v>
      </c>
      <c r="E152" s="2" t="str">
        <f>CONCATENATE("Replace ", ReviewCalcs[[#This Row],[Existing Fixture Code]], " with ", ReviewCalcs[[#This Row],[Proposed Fixture Code]])</f>
        <v>Replace 0 with 0</v>
      </c>
      <c r="F152" s="2">
        <f>ReviewCalcs[[#This Row],[Measure Type]]</f>
        <v>0</v>
      </c>
      <c r="G152" s="2" t="str">
        <f>IF(Instructions!$F$25="Post-Retrofit","Completed","Recommended")</f>
        <v>Recommended</v>
      </c>
      <c r="H152" s="4">
        <f>ReviewCalcs[[#This Row],[Incentive Total Energy Savings (kWh)]]</f>
        <v>0</v>
      </c>
      <c r="I152" s="2">
        <f>ReviewCalcs[[#This Row],[Incentive Total Demand Savings (kW)]]</f>
        <v>0</v>
      </c>
      <c r="J152" s="3">
        <f>ProjectInput[[#This Row],[Energy Cost Savings ($)]]</f>
        <v>0</v>
      </c>
      <c r="K152" s="3">
        <f>ProjectInput[[#This Row],[Incentive ($)]]</f>
        <v>0</v>
      </c>
      <c r="L152" s="13">
        <f t="shared" si="2"/>
        <v>0</v>
      </c>
      <c r="M152" s="3"/>
      <c r="N152" s="3"/>
      <c r="O152" s="3"/>
      <c r="P152" s="3"/>
      <c r="Q152" s="3"/>
      <c r="R152" s="3"/>
      <c r="S152" s="3"/>
      <c r="T152" s="2"/>
      <c r="U152" s="133">
        <f>ProjectInput[[#This Row],[Location]]</f>
        <v>0</v>
      </c>
      <c r="V152" s="278">
        <f>ProjectInput[[#This Row],[Existing Fixture Code]]</f>
        <v>0</v>
      </c>
      <c r="W152"/>
      <c r="X152"/>
      <c r="Y152"/>
      <c r="Z152"/>
      <c r="AA152"/>
      <c r="AB152"/>
      <c r="AC152"/>
      <c r="AD152"/>
      <c r="AE152"/>
      <c r="AF152"/>
      <c r="AG152"/>
      <c r="AH152"/>
      <c r="AI152"/>
      <c r="AJ152"/>
      <c r="AK152"/>
      <c r="AL152"/>
      <c r="AM152"/>
      <c r="AN152"/>
      <c r="AO152"/>
    </row>
    <row r="153" spans="1:41" ht="15" customHeight="1">
      <c r="A153" s="2">
        <v>150</v>
      </c>
      <c r="B153" s="2"/>
      <c r="C153" s="3">
        <f>ProjectInput[[#This Row],[Retrofit Cost]]</f>
        <v>0</v>
      </c>
      <c r="D153" s="2">
        <f>ProjectInput[[#This Row],[Proposed Fixture Quantity]]</f>
        <v>0</v>
      </c>
      <c r="E153" s="2" t="str">
        <f>CONCATENATE("Replace ", ReviewCalcs[[#This Row],[Existing Fixture Code]], " with ", ReviewCalcs[[#This Row],[Proposed Fixture Code]])</f>
        <v>Replace 0 with 0</v>
      </c>
      <c r="F153" s="2">
        <f>ReviewCalcs[[#This Row],[Measure Type]]</f>
        <v>0</v>
      </c>
      <c r="G153" s="2" t="str">
        <f>IF(Instructions!$F$25="Post-Retrofit","Completed","Recommended")</f>
        <v>Recommended</v>
      </c>
      <c r="H153" s="4">
        <f>ReviewCalcs[[#This Row],[Incentive Total Energy Savings (kWh)]]</f>
        <v>0</v>
      </c>
      <c r="I153" s="2">
        <f>ReviewCalcs[[#This Row],[Incentive Total Demand Savings (kW)]]</f>
        <v>0</v>
      </c>
      <c r="J153" s="3">
        <f>ProjectInput[[#This Row],[Energy Cost Savings ($)]]</f>
        <v>0</v>
      </c>
      <c r="K153" s="3">
        <f>ProjectInput[[#This Row],[Incentive ($)]]</f>
        <v>0</v>
      </c>
      <c r="L153" s="13">
        <f t="shared" si="2"/>
        <v>0</v>
      </c>
      <c r="M153" s="3"/>
      <c r="N153" s="3"/>
      <c r="O153" s="3"/>
      <c r="P153" s="3"/>
      <c r="Q153" s="3"/>
      <c r="R153" s="3"/>
      <c r="S153" s="3"/>
      <c r="T153" s="2"/>
      <c r="U153" s="133">
        <f>ProjectInput[[#This Row],[Location]]</f>
        <v>0</v>
      </c>
      <c r="V153" s="278">
        <f>ProjectInput[[#This Row],[Existing Fixture Code]]</f>
        <v>0</v>
      </c>
      <c r="W153"/>
      <c r="X153"/>
      <c r="Y153"/>
      <c r="Z153"/>
      <c r="AA153"/>
      <c r="AB153"/>
      <c r="AC153"/>
      <c r="AD153"/>
      <c r="AE153"/>
      <c r="AF153"/>
      <c r="AG153"/>
      <c r="AH153"/>
      <c r="AI153"/>
      <c r="AJ153"/>
      <c r="AK153"/>
      <c r="AL153"/>
      <c r="AM153"/>
      <c r="AN153"/>
      <c r="AO153"/>
    </row>
    <row r="154" spans="1:41" ht="15" customHeight="1">
      <c r="A154" s="2">
        <v>151</v>
      </c>
      <c r="B154" s="2"/>
      <c r="C154" s="3">
        <f>ProjectInput[[#This Row],[Retrofit Cost]]</f>
        <v>0</v>
      </c>
      <c r="D154" s="2">
        <f>ProjectInput[[#This Row],[Proposed Fixture Quantity]]</f>
        <v>0</v>
      </c>
      <c r="E154" s="2" t="str">
        <f>CONCATENATE("Replace ", ReviewCalcs[[#This Row],[Existing Fixture Code]], " with ", ReviewCalcs[[#This Row],[Proposed Fixture Code]])</f>
        <v>Replace 0 with 0</v>
      </c>
      <c r="F154" s="2">
        <f>ReviewCalcs[[#This Row],[Measure Type]]</f>
        <v>0</v>
      </c>
      <c r="G154" s="2" t="str">
        <f>IF(Instructions!$F$25="Post-Retrofit","Completed","Recommended")</f>
        <v>Recommended</v>
      </c>
      <c r="H154" s="4">
        <f>ReviewCalcs[[#This Row],[Incentive Total Energy Savings (kWh)]]</f>
        <v>0</v>
      </c>
      <c r="I154" s="2">
        <f>ReviewCalcs[[#This Row],[Incentive Total Demand Savings (kW)]]</f>
        <v>0</v>
      </c>
      <c r="J154" s="3">
        <f>ProjectInput[[#This Row],[Energy Cost Savings ($)]]</f>
        <v>0</v>
      </c>
      <c r="K154" s="3">
        <f>ProjectInput[[#This Row],[Incentive ($)]]</f>
        <v>0</v>
      </c>
      <c r="L154" s="13">
        <f t="shared" si="2"/>
        <v>0</v>
      </c>
      <c r="M154" s="3"/>
      <c r="N154" s="3"/>
      <c r="O154" s="3"/>
      <c r="P154" s="3"/>
      <c r="Q154" s="3"/>
      <c r="R154" s="3"/>
      <c r="S154" s="3"/>
      <c r="T154" s="2"/>
      <c r="U154" s="133">
        <f>ProjectInput[[#This Row],[Location]]</f>
        <v>0</v>
      </c>
      <c r="V154" s="278">
        <f>ProjectInput[[#This Row],[Existing Fixture Code]]</f>
        <v>0</v>
      </c>
      <c r="W154"/>
      <c r="X154"/>
      <c r="Y154"/>
      <c r="Z154"/>
      <c r="AA154"/>
      <c r="AB154"/>
      <c r="AC154"/>
      <c r="AD154"/>
      <c r="AE154"/>
      <c r="AF154"/>
      <c r="AG154"/>
      <c r="AH154"/>
      <c r="AI154"/>
      <c r="AJ154"/>
      <c r="AK154"/>
      <c r="AL154"/>
      <c r="AM154"/>
      <c r="AN154"/>
      <c r="AO154"/>
    </row>
    <row r="155" spans="1:41" ht="15" customHeight="1">
      <c r="A155" s="2">
        <v>152</v>
      </c>
      <c r="B155" s="2"/>
      <c r="C155" s="3">
        <f>ProjectInput[[#This Row],[Retrofit Cost]]</f>
        <v>0</v>
      </c>
      <c r="D155" s="2">
        <f>ProjectInput[[#This Row],[Proposed Fixture Quantity]]</f>
        <v>0</v>
      </c>
      <c r="E155" s="2" t="str">
        <f>CONCATENATE("Replace ", ReviewCalcs[[#This Row],[Existing Fixture Code]], " with ", ReviewCalcs[[#This Row],[Proposed Fixture Code]])</f>
        <v>Replace 0 with 0</v>
      </c>
      <c r="F155" s="2">
        <f>ReviewCalcs[[#This Row],[Measure Type]]</f>
        <v>0</v>
      </c>
      <c r="G155" s="2" t="str">
        <f>IF(Instructions!$F$25="Post-Retrofit","Completed","Recommended")</f>
        <v>Recommended</v>
      </c>
      <c r="H155" s="4">
        <f>ReviewCalcs[[#This Row],[Incentive Total Energy Savings (kWh)]]</f>
        <v>0</v>
      </c>
      <c r="I155" s="2">
        <f>ReviewCalcs[[#This Row],[Incentive Total Demand Savings (kW)]]</f>
        <v>0</v>
      </c>
      <c r="J155" s="3">
        <f>ProjectInput[[#This Row],[Energy Cost Savings ($)]]</f>
        <v>0</v>
      </c>
      <c r="K155" s="3">
        <f>ProjectInput[[#This Row],[Incentive ($)]]</f>
        <v>0</v>
      </c>
      <c r="L155" s="13">
        <f t="shared" si="2"/>
        <v>0</v>
      </c>
      <c r="M155" s="3"/>
      <c r="N155" s="3"/>
      <c r="O155" s="3"/>
      <c r="P155" s="3"/>
      <c r="Q155" s="3"/>
      <c r="R155" s="3"/>
      <c r="S155" s="3"/>
      <c r="T155" s="2"/>
      <c r="U155" s="133">
        <f>ProjectInput[[#This Row],[Location]]</f>
        <v>0</v>
      </c>
      <c r="V155" s="278">
        <f>ProjectInput[[#This Row],[Existing Fixture Code]]</f>
        <v>0</v>
      </c>
      <c r="W155"/>
      <c r="X155"/>
      <c r="Y155"/>
      <c r="Z155"/>
      <c r="AA155"/>
      <c r="AB155"/>
      <c r="AC155"/>
      <c r="AD155"/>
      <c r="AE155"/>
      <c r="AF155"/>
      <c r="AG155"/>
      <c r="AH155"/>
      <c r="AI155"/>
      <c r="AJ155"/>
      <c r="AK155"/>
      <c r="AL155"/>
      <c r="AM155"/>
      <c r="AN155"/>
      <c r="AO155"/>
    </row>
    <row r="156" spans="1:41" ht="15" customHeight="1">
      <c r="A156" s="2">
        <v>153</v>
      </c>
      <c r="B156" s="2"/>
      <c r="C156" s="3">
        <f>ProjectInput[[#This Row],[Retrofit Cost]]</f>
        <v>0</v>
      </c>
      <c r="D156" s="2">
        <f>ProjectInput[[#This Row],[Proposed Fixture Quantity]]</f>
        <v>0</v>
      </c>
      <c r="E156" s="2" t="str">
        <f>CONCATENATE("Replace ", ReviewCalcs[[#This Row],[Existing Fixture Code]], " with ", ReviewCalcs[[#This Row],[Proposed Fixture Code]])</f>
        <v>Replace 0 with 0</v>
      </c>
      <c r="F156" s="2">
        <f>ReviewCalcs[[#This Row],[Measure Type]]</f>
        <v>0</v>
      </c>
      <c r="G156" s="2" t="str">
        <f>IF(Instructions!$F$25="Post-Retrofit","Completed","Recommended")</f>
        <v>Recommended</v>
      </c>
      <c r="H156" s="4">
        <f>ReviewCalcs[[#This Row],[Incentive Total Energy Savings (kWh)]]</f>
        <v>0</v>
      </c>
      <c r="I156" s="2">
        <f>ReviewCalcs[[#This Row],[Incentive Total Demand Savings (kW)]]</f>
        <v>0</v>
      </c>
      <c r="J156" s="3">
        <f>ProjectInput[[#This Row],[Energy Cost Savings ($)]]</f>
        <v>0</v>
      </c>
      <c r="K156" s="3">
        <f>ProjectInput[[#This Row],[Incentive ($)]]</f>
        <v>0</v>
      </c>
      <c r="L156" s="13">
        <f t="shared" si="2"/>
        <v>0</v>
      </c>
      <c r="M156" s="3"/>
      <c r="N156" s="3"/>
      <c r="O156" s="3"/>
      <c r="P156" s="3"/>
      <c r="Q156" s="3"/>
      <c r="R156" s="3"/>
      <c r="S156" s="3"/>
      <c r="T156" s="2"/>
      <c r="U156" s="133">
        <f>ProjectInput[[#This Row],[Location]]</f>
        <v>0</v>
      </c>
      <c r="V156" s="278">
        <f>ProjectInput[[#This Row],[Existing Fixture Code]]</f>
        <v>0</v>
      </c>
      <c r="W156"/>
      <c r="X156"/>
      <c r="Y156"/>
      <c r="Z156"/>
      <c r="AA156"/>
      <c r="AB156"/>
      <c r="AC156"/>
      <c r="AD156"/>
      <c r="AE156"/>
      <c r="AF156"/>
      <c r="AG156"/>
      <c r="AH156"/>
      <c r="AI156"/>
      <c r="AJ156"/>
      <c r="AK156"/>
      <c r="AL156"/>
      <c r="AM156"/>
      <c r="AN156"/>
      <c r="AO156"/>
    </row>
    <row r="157" spans="1:41" ht="15" customHeight="1">
      <c r="A157" s="2">
        <v>154</v>
      </c>
      <c r="B157" s="2"/>
      <c r="C157" s="3">
        <f>ProjectInput[[#This Row],[Retrofit Cost]]</f>
        <v>0</v>
      </c>
      <c r="D157" s="2">
        <f>ProjectInput[[#This Row],[Proposed Fixture Quantity]]</f>
        <v>0</v>
      </c>
      <c r="E157" s="2" t="str">
        <f>CONCATENATE("Replace ", ReviewCalcs[[#This Row],[Existing Fixture Code]], " with ", ReviewCalcs[[#This Row],[Proposed Fixture Code]])</f>
        <v>Replace 0 with 0</v>
      </c>
      <c r="F157" s="2">
        <f>ReviewCalcs[[#This Row],[Measure Type]]</f>
        <v>0</v>
      </c>
      <c r="G157" s="2" t="str">
        <f>IF(Instructions!$F$25="Post-Retrofit","Completed","Recommended")</f>
        <v>Recommended</v>
      </c>
      <c r="H157" s="4">
        <f>ReviewCalcs[[#This Row],[Incentive Total Energy Savings (kWh)]]</f>
        <v>0</v>
      </c>
      <c r="I157" s="2">
        <f>ReviewCalcs[[#This Row],[Incentive Total Demand Savings (kW)]]</f>
        <v>0</v>
      </c>
      <c r="J157" s="3">
        <f>ProjectInput[[#This Row],[Energy Cost Savings ($)]]</f>
        <v>0</v>
      </c>
      <c r="K157" s="3">
        <f>ProjectInput[[#This Row],[Incentive ($)]]</f>
        <v>0</v>
      </c>
      <c r="L157" s="13">
        <f t="shared" si="2"/>
        <v>0</v>
      </c>
      <c r="M157" s="3"/>
      <c r="N157" s="3"/>
      <c r="O157" s="3"/>
      <c r="P157" s="3"/>
      <c r="Q157" s="3"/>
      <c r="R157" s="3"/>
      <c r="S157" s="3"/>
      <c r="T157" s="2"/>
      <c r="U157" s="133">
        <f>ProjectInput[[#This Row],[Location]]</f>
        <v>0</v>
      </c>
      <c r="V157" s="278">
        <f>ProjectInput[[#This Row],[Existing Fixture Code]]</f>
        <v>0</v>
      </c>
      <c r="W157"/>
      <c r="X157"/>
      <c r="Y157"/>
      <c r="Z157"/>
      <c r="AA157"/>
      <c r="AB157"/>
      <c r="AC157"/>
      <c r="AD157"/>
      <c r="AE157"/>
      <c r="AF157"/>
      <c r="AG157"/>
      <c r="AH157"/>
      <c r="AI157"/>
      <c r="AJ157"/>
      <c r="AK157"/>
      <c r="AL157"/>
      <c r="AM157"/>
      <c r="AN157"/>
      <c r="AO157"/>
    </row>
    <row r="158" spans="1:41" ht="15" customHeight="1">
      <c r="A158" s="2">
        <v>155</v>
      </c>
      <c r="B158" s="2"/>
      <c r="C158" s="3">
        <f>ProjectInput[[#This Row],[Retrofit Cost]]</f>
        <v>0</v>
      </c>
      <c r="D158" s="2">
        <f>ProjectInput[[#This Row],[Proposed Fixture Quantity]]</f>
        <v>0</v>
      </c>
      <c r="E158" s="2" t="str">
        <f>CONCATENATE("Replace ", ReviewCalcs[[#This Row],[Existing Fixture Code]], " with ", ReviewCalcs[[#This Row],[Proposed Fixture Code]])</f>
        <v>Replace 0 with 0</v>
      </c>
      <c r="F158" s="2">
        <f>ReviewCalcs[[#This Row],[Measure Type]]</f>
        <v>0</v>
      </c>
      <c r="G158" s="2" t="str">
        <f>IF(Instructions!$F$25="Post-Retrofit","Completed","Recommended")</f>
        <v>Recommended</v>
      </c>
      <c r="H158" s="4">
        <f>ReviewCalcs[[#This Row],[Incentive Total Energy Savings (kWh)]]</f>
        <v>0</v>
      </c>
      <c r="I158" s="2">
        <f>ReviewCalcs[[#This Row],[Incentive Total Demand Savings (kW)]]</f>
        <v>0</v>
      </c>
      <c r="J158" s="3">
        <f>ProjectInput[[#This Row],[Energy Cost Savings ($)]]</f>
        <v>0</v>
      </c>
      <c r="K158" s="3">
        <f>ProjectInput[[#This Row],[Incentive ($)]]</f>
        <v>0</v>
      </c>
      <c r="L158" s="13">
        <f t="shared" si="2"/>
        <v>0</v>
      </c>
      <c r="M158" s="3"/>
      <c r="N158" s="3"/>
      <c r="O158" s="3"/>
      <c r="P158" s="3"/>
      <c r="Q158" s="3"/>
      <c r="R158" s="3"/>
      <c r="S158" s="3"/>
      <c r="T158" s="2"/>
      <c r="U158" s="133">
        <f>ProjectInput[[#This Row],[Location]]</f>
        <v>0</v>
      </c>
      <c r="V158" s="278">
        <f>ProjectInput[[#This Row],[Existing Fixture Code]]</f>
        <v>0</v>
      </c>
      <c r="W158"/>
      <c r="X158"/>
      <c r="Y158"/>
      <c r="Z158"/>
      <c r="AA158"/>
      <c r="AB158"/>
      <c r="AC158"/>
      <c r="AD158"/>
      <c r="AE158"/>
      <c r="AF158"/>
      <c r="AG158"/>
      <c r="AH158"/>
      <c r="AI158"/>
      <c r="AJ158"/>
      <c r="AK158"/>
      <c r="AL158"/>
      <c r="AM158"/>
      <c r="AN158"/>
      <c r="AO158"/>
    </row>
    <row r="159" spans="1:41" ht="15" customHeight="1">
      <c r="A159" s="2">
        <v>156</v>
      </c>
      <c r="B159" s="2"/>
      <c r="C159" s="3">
        <f>ProjectInput[[#This Row],[Retrofit Cost]]</f>
        <v>0</v>
      </c>
      <c r="D159" s="2">
        <f>ProjectInput[[#This Row],[Proposed Fixture Quantity]]</f>
        <v>0</v>
      </c>
      <c r="E159" s="2" t="str">
        <f>CONCATENATE("Replace ", ReviewCalcs[[#This Row],[Existing Fixture Code]], " with ", ReviewCalcs[[#This Row],[Proposed Fixture Code]])</f>
        <v>Replace 0 with 0</v>
      </c>
      <c r="F159" s="2">
        <f>ReviewCalcs[[#This Row],[Measure Type]]</f>
        <v>0</v>
      </c>
      <c r="G159" s="2" t="str">
        <f>IF(Instructions!$F$25="Post-Retrofit","Completed","Recommended")</f>
        <v>Recommended</v>
      </c>
      <c r="H159" s="4">
        <f>ReviewCalcs[[#This Row],[Incentive Total Energy Savings (kWh)]]</f>
        <v>0</v>
      </c>
      <c r="I159" s="2">
        <f>ReviewCalcs[[#This Row],[Incentive Total Demand Savings (kW)]]</f>
        <v>0</v>
      </c>
      <c r="J159" s="3">
        <f>ProjectInput[[#This Row],[Energy Cost Savings ($)]]</f>
        <v>0</v>
      </c>
      <c r="K159" s="3">
        <f>ProjectInput[[#This Row],[Incentive ($)]]</f>
        <v>0</v>
      </c>
      <c r="L159" s="13">
        <f t="shared" si="2"/>
        <v>0</v>
      </c>
      <c r="M159" s="3"/>
      <c r="N159" s="3"/>
      <c r="O159" s="3"/>
      <c r="P159" s="3"/>
      <c r="Q159" s="3"/>
      <c r="R159" s="3"/>
      <c r="S159" s="3"/>
      <c r="T159" s="2"/>
      <c r="U159" s="133">
        <f>ProjectInput[[#This Row],[Location]]</f>
        <v>0</v>
      </c>
      <c r="V159" s="278">
        <f>ProjectInput[[#This Row],[Existing Fixture Code]]</f>
        <v>0</v>
      </c>
      <c r="W159"/>
      <c r="X159"/>
      <c r="Y159"/>
      <c r="Z159"/>
      <c r="AA159"/>
      <c r="AB159"/>
      <c r="AC159"/>
      <c r="AD159"/>
      <c r="AE159"/>
      <c r="AF159"/>
      <c r="AG159"/>
      <c r="AH159"/>
      <c r="AI159"/>
      <c r="AJ159"/>
      <c r="AK159"/>
      <c r="AL159"/>
      <c r="AM159"/>
      <c r="AN159"/>
      <c r="AO159"/>
    </row>
    <row r="160" spans="1:41" ht="15" customHeight="1">
      <c r="A160" s="2">
        <v>157</v>
      </c>
      <c r="B160" s="2"/>
      <c r="C160" s="3">
        <f>ProjectInput[[#This Row],[Retrofit Cost]]</f>
        <v>0</v>
      </c>
      <c r="D160" s="2">
        <f>ProjectInput[[#This Row],[Proposed Fixture Quantity]]</f>
        <v>0</v>
      </c>
      <c r="E160" s="2" t="str">
        <f>CONCATENATE("Replace ", ReviewCalcs[[#This Row],[Existing Fixture Code]], " with ", ReviewCalcs[[#This Row],[Proposed Fixture Code]])</f>
        <v>Replace 0 with 0</v>
      </c>
      <c r="F160" s="2">
        <f>ReviewCalcs[[#This Row],[Measure Type]]</f>
        <v>0</v>
      </c>
      <c r="G160" s="2" t="str">
        <f>IF(Instructions!$F$25="Post-Retrofit","Completed","Recommended")</f>
        <v>Recommended</v>
      </c>
      <c r="H160" s="4">
        <f>ReviewCalcs[[#This Row],[Incentive Total Energy Savings (kWh)]]</f>
        <v>0</v>
      </c>
      <c r="I160" s="2">
        <f>ReviewCalcs[[#This Row],[Incentive Total Demand Savings (kW)]]</f>
        <v>0</v>
      </c>
      <c r="J160" s="3">
        <f>ProjectInput[[#This Row],[Energy Cost Savings ($)]]</f>
        <v>0</v>
      </c>
      <c r="K160" s="3">
        <f>ProjectInput[[#This Row],[Incentive ($)]]</f>
        <v>0</v>
      </c>
      <c r="L160" s="13">
        <f t="shared" si="2"/>
        <v>0</v>
      </c>
      <c r="M160" s="3"/>
      <c r="N160" s="3"/>
      <c r="O160" s="3"/>
      <c r="P160" s="3"/>
      <c r="Q160" s="3"/>
      <c r="R160" s="3"/>
      <c r="S160" s="3"/>
      <c r="T160" s="2"/>
      <c r="U160" s="133">
        <f>ProjectInput[[#This Row],[Location]]</f>
        <v>0</v>
      </c>
      <c r="V160" s="278">
        <f>ProjectInput[[#This Row],[Existing Fixture Code]]</f>
        <v>0</v>
      </c>
      <c r="W160"/>
      <c r="X160"/>
      <c r="Y160"/>
      <c r="Z160"/>
      <c r="AA160"/>
      <c r="AB160"/>
      <c r="AC160"/>
      <c r="AD160"/>
      <c r="AE160"/>
      <c r="AF160"/>
      <c r="AG160"/>
      <c r="AH160"/>
      <c r="AI160"/>
      <c r="AJ160"/>
      <c r="AK160"/>
      <c r="AL160"/>
      <c r="AM160"/>
      <c r="AN160"/>
      <c r="AO160"/>
    </row>
    <row r="161" spans="1:41" ht="15" customHeight="1">
      <c r="A161" s="2">
        <v>158</v>
      </c>
      <c r="B161" s="2"/>
      <c r="C161" s="3">
        <f>ProjectInput[[#This Row],[Retrofit Cost]]</f>
        <v>0</v>
      </c>
      <c r="D161" s="2">
        <f>ProjectInput[[#This Row],[Proposed Fixture Quantity]]</f>
        <v>0</v>
      </c>
      <c r="E161" s="2" t="str">
        <f>CONCATENATE("Replace ", ReviewCalcs[[#This Row],[Existing Fixture Code]], " with ", ReviewCalcs[[#This Row],[Proposed Fixture Code]])</f>
        <v>Replace 0 with 0</v>
      </c>
      <c r="F161" s="2">
        <f>ReviewCalcs[[#This Row],[Measure Type]]</f>
        <v>0</v>
      </c>
      <c r="G161" s="2" t="str">
        <f>IF(Instructions!$F$25="Post-Retrofit","Completed","Recommended")</f>
        <v>Recommended</v>
      </c>
      <c r="H161" s="4">
        <f>ReviewCalcs[[#This Row],[Incentive Total Energy Savings (kWh)]]</f>
        <v>0</v>
      </c>
      <c r="I161" s="2">
        <f>ReviewCalcs[[#This Row],[Incentive Total Demand Savings (kW)]]</f>
        <v>0</v>
      </c>
      <c r="J161" s="3">
        <f>ProjectInput[[#This Row],[Energy Cost Savings ($)]]</f>
        <v>0</v>
      </c>
      <c r="K161" s="3">
        <f>ProjectInput[[#This Row],[Incentive ($)]]</f>
        <v>0</v>
      </c>
      <c r="L161" s="13">
        <f t="shared" si="2"/>
        <v>0</v>
      </c>
      <c r="M161" s="3"/>
      <c r="N161" s="3"/>
      <c r="O161" s="3"/>
      <c r="P161" s="3"/>
      <c r="Q161" s="3"/>
      <c r="R161" s="3"/>
      <c r="S161" s="3"/>
      <c r="T161" s="2"/>
      <c r="U161" s="133">
        <f>ProjectInput[[#This Row],[Location]]</f>
        <v>0</v>
      </c>
      <c r="V161" s="278">
        <f>ProjectInput[[#This Row],[Existing Fixture Code]]</f>
        <v>0</v>
      </c>
      <c r="W161"/>
      <c r="X161"/>
      <c r="Y161"/>
      <c r="Z161"/>
      <c r="AA161"/>
      <c r="AB161"/>
      <c r="AC161"/>
      <c r="AD161"/>
      <c r="AE161"/>
      <c r="AF161"/>
      <c r="AG161"/>
      <c r="AH161"/>
      <c r="AI161"/>
      <c r="AJ161"/>
      <c r="AK161"/>
      <c r="AL161"/>
      <c r="AM161"/>
      <c r="AN161"/>
      <c r="AO161"/>
    </row>
    <row r="162" spans="1:41" ht="15" customHeight="1">
      <c r="A162" s="2">
        <v>159</v>
      </c>
      <c r="B162" s="2"/>
      <c r="C162" s="3">
        <f>ProjectInput[[#This Row],[Retrofit Cost]]</f>
        <v>0</v>
      </c>
      <c r="D162" s="2">
        <f>ProjectInput[[#This Row],[Proposed Fixture Quantity]]</f>
        <v>0</v>
      </c>
      <c r="E162" s="2" t="str">
        <f>CONCATENATE("Replace ", ReviewCalcs[[#This Row],[Existing Fixture Code]], " with ", ReviewCalcs[[#This Row],[Proposed Fixture Code]])</f>
        <v>Replace 0 with 0</v>
      </c>
      <c r="F162" s="2">
        <f>ReviewCalcs[[#This Row],[Measure Type]]</f>
        <v>0</v>
      </c>
      <c r="G162" s="2" t="str">
        <f>IF(Instructions!$F$25="Post-Retrofit","Completed","Recommended")</f>
        <v>Recommended</v>
      </c>
      <c r="H162" s="4">
        <f>ReviewCalcs[[#This Row],[Incentive Total Energy Savings (kWh)]]</f>
        <v>0</v>
      </c>
      <c r="I162" s="2">
        <f>ReviewCalcs[[#This Row],[Incentive Total Demand Savings (kW)]]</f>
        <v>0</v>
      </c>
      <c r="J162" s="3">
        <f>ProjectInput[[#This Row],[Energy Cost Savings ($)]]</f>
        <v>0</v>
      </c>
      <c r="K162" s="3">
        <f>ProjectInput[[#This Row],[Incentive ($)]]</f>
        <v>0</v>
      </c>
      <c r="L162" s="13">
        <f t="shared" si="2"/>
        <v>0</v>
      </c>
      <c r="M162" s="3"/>
      <c r="N162" s="3"/>
      <c r="O162" s="3"/>
      <c r="P162" s="3"/>
      <c r="Q162" s="3"/>
      <c r="R162" s="3"/>
      <c r="S162" s="3"/>
      <c r="T162" s="2"/>
      <c r="U162" s="133">
        <f>ProjectInput[[#This Row],[Location]]</f>
        <v>0</v>
      </c>
      <c r="V162" s="278">
        <f>ProjectInput[[#This Row],[Existing Fixture Code]]</f>
        <v>0</v>
      </c>
      <c r="W162"/>
      <c r="X162"/>
      <c r="Y162"/>
      <c r="Z162"/>
      <c r="AA162"/>
      <c r="AB162"/>
      <c r="AC162"/>
      <c r="AD162"/>
      <c r="AE162"/>
      <c r="AF162"/>
      <c r="AG162"/>
      <c r="AH162"/>
      <c r="AI162"/>
      <c r="AJ162"/>
      <c r="AK162"/>
      <c r="AL162"/>
      <c r="AM162"/>
      <c r="AN162"/>
      <c r="AO162"/>
    </row>
    <row r="163" spans="1:41" ht="15" customHeight="1">
      <c r="A163" s="2">
        <v>160</v>
      </c>
      <c r="B163" s="2"/>
      <c r="C163" s="3">
        <f>ProjectInput[[#This Row],[Retrofit Cost]]</f>
        <v>0</v>
      </c>
      <c r="D163" s="2">
        <f>ProjectInput[[#This Row],[Proposed Fixture Quantity]]</f>
        <v>0</v>
      </c>
      <c r="E163" s="2" t="str">
        <f>CONCATENATE("Replace ", ReviewCalcs[[#This Row],[Existing Fixture Code]], " with ", ReviewCalcs[[#This Row],[Proposed Fixture Code]])</f>
        <v>Replace 0 with 0</v>
      </c>
      <c r="F163" s="2">
        <f>ReviewCalcs[[#This Row],[Measure Type]]</f>
        <v>0</v>
      </c>
      <c r="G163" s="2" t="str">
        <f>IF(Instructions!$F$25="Post-Retrofit","Completed","Recommended")</f>
        <v>Recommended</v>
      </c>
      <c r="H163" s="4">
        <f>ReviewCalcs[[#This Row],[Incentive Total Energy Savings (kWh)]]</f>
        <v>0</v>
      </c>
      <c r="I163" s="2">
        <f>ReviewCalcs[[#This Row],[Incentive Total Demand Savings (kW)]]</f>
        <v>0</v>
      </c>
      <c r="J163" s="3">
        <f>ProjectInput[[#This Row],[Energy Cost Savings ($)]]</f>
        <v>0</v>
      </c>
      <c r="K163" s="3">
        <f>ProjectInput[[#This Row],[Incentive ($)]]</f>
        <v>0</v>
      </c>
      <c r="L163" s="13">
        <f t="shared" si="2"/>
        <v>0</v>
      </c>
      <c r="M163" s="3"/>
      <c r="N163" s="3"/>
      <c r="O163" s="3"/>
      <c r="P163" s="3"/>
      <c r="Q163" s="3"/>
      <c r="R163" s="3"/>
      <c r="S163" s="3"/>
      <c r="T163" s="2"/>
      <c r="U163" s="133">
        <f>ProjectInput[[#This Row],[Location]]</f>
        <v>0</v>
      </c>
      <c r="V163" s="278">
        <f>ProjectInput[[#This Row],[Existing Fixture Code]]</f>
        <v>0</v>
      </c>
      <c r="W163"/>
      <c r="X163"/>
      <c r="Y163"/>
      <c r="Z163"/>
      <c r="AA163"/>
      <c r="AB163"/>
      <c r="AC163"/>
      <c r="AD163"/>
      <c r="AE163"/>
      <c r="AF163"/>
      <c r="AG163"/>
      <c r="AH163"/>
      <c r="AI163"/>
      <c r="AJ163"/>
      <c r="AK163"/>
      <c r="AL163"/>
      <c r="AM163"/>
      <c r="AN163"/>
      <c r="AO163"/>
    </row>
    <row r="164" spans="1:41" ht="15" customHeight="1">
      <c r="A164" s="2">
        <v>161</v>
      </c>
      <c r="B164" s="2"/>
      <c r="C164" s="3">
        <f>ProjectInput[[#This Row],[Retrofit Cost]]</f>
        <v>0</v>
      </c>
      <c r="D164" s="2">
        <f>ProjectInput[[#This Row],[Proposed Fixture Quantity]]</f>
        <v>0</v>
      </c>
      <c r="E164" s="2" t="str">
        <f>CONCATENATE("Replace ", ReviewCalcs[[#This Row],[Existing Fixture Code]], " with ", ReviewCalcs[[#This Row],[Proposed Fixture Code]])</f>
        <v>Replace 0 with 0</v>
      </c>
      <c r="F164" s="2">
        <f>ReviewCalcs[[#This Row],[Measure Type]]</f>
        <v>0</v>
      </c>
      <c r="G164" s="2" t="str">
        <f>IF(Instructions!$F$25="Post-Retrofit","Completed","Recommended")</f>
        <v>Recommended</v>
      </c>
      <c r="H164" s="4">
        <f>ReviewCalcs[[#This Row],[Incentive Total Energy Savings (kWh)]]</f>
        <v>0</v>
      </c>
      <c r="I164" s="2">
        <f>ReviewCalcs[[#This Row],[Incentive Total Demand Savings (kW)]]</f>
        <v>0</v>
      </c>
      <c r="J164" s="3">
        <f>ProjectInput[[#This Row],[Energy Cost Savings ($)]]</f>
        <v>0</v>
      </c>
      <c r="K164" s="3">
        <f>ProjectInput[[#This Row],[Incentive ($)]]</f>
        <v>0</v>
      </c>
      <c r="L164" s="13">
        <f t="shared" si="2"/>
        <v>0</v>
      </c>
      <c r="M164" s="3"/>
      <c r="N164" s="3"/>
      <c r="O164" s="3"/>
      <c r="P164" s="3"/>
      <c r="Q164" s="3"/>
      <c r="R164" s="3"/>
      <c r="S164" s="3"/>
      <c r="T164" s="2"/>
      <c r="U164" s="133">
        <f>ProjectInput[[#This Row],[Location]]</f>
        <v>0</v>
      </c>
      <c r="V164" s="278">
        <f>ProjectInput[[#This Row],[Existing Fixture Code]]</f>
        <v>0</v>
      </c>
      <c r="W164"/>
      <c r="X164"/>
      <c r="Y164"/>
      <c r="Z164"/>
      <c r="AA164"/>
      <c r="AB164"/>
      <c r="AC164"/>
      <c r="AD164"/>
      <c r="AE164"/>
      <c r="AF164"/>
      <c r="AG164"/>
      <c r="AH164"/>
      <c r="AI164"/>
      <c r="AJ164"/>
      <c r="AK164"/>
      <c r="AL164"/>
      <c r="AM164"/>
      <c r="AN164"/>
      <c r="AO164"/>
    </row>
    <row r="165" spans="1:41" ht="15" customHeight="1">
      <c r="A165" s="2">
        <v>162</v>
      </c>
      <c r="B165" s="2"/>
      <c r="C165" s="3">
        <f>ProjectInput[[#This Row],[Retrofit Cost]]</f>
        <v>0</v>
      </c>
      <c r="D165" s="2">
        <f>ProjectInput[[#This Row],[Proposed Fixture Quantity]]</f>
        <v>0</v>
      </c>
      <c r="E165" s="2" t="str">
        <f>CONCATENATE("Replace ", ReviewCalcs[[#This Row],[Existing Fixture Code]], " with ", ReviewCalcs[[#This Row],[Proposed Fixture Code]])</f>
        <v>Replace 0 with 0</v>
      </c>
      <c r="F165" s="2">
        <f>ReviewCalcs[[#This Row],[Measure Type]]</f>
        <v>0</v>
      </c>
      <c r="G165" s="2" t="str">
        <f>IF(Instructions!$F$25="Post-Retrofit","Completed","Recommended")</f>
        <v>Recommended</v>
      </c>
      <c r="H165" s="4">
        <f>ReviewCalcs[[#This Row],[Incentive Total Energy Savings (kWh)]]</f>
        <v>0</v>
      </c>
      <c r="I165" s="2">
        <f>ReviewCalcs[[#This Row],[Incentive Total Demand Savings (kW)]]</f>
        <v>0</v>
      </c>
      <c r="J165" s="3">
        <f>ProjectInput[[#This Row],[Energy Cost Savings ($)]]</f>
        <v>0</v>
      </c>
      <c r="K165" s="3">
        <f>ProjectInput[[#This Row],[Incentive ($)]]</f>
        <v>0</v>
      </c>
      <c r="L165" s="13">
        <f t="shared" si="2"/>
        <v>0</v>
      </c>
      <c r="M165" s="3"/>
      <c r="N165" s="3"/>
      <c r="O165" s="3"/>
      <c r="P165" s="3"/>
      <c r="Q165" s="3"/>
      <c r="R165" s="3"/>
      <c r="S165" s="3"/>
      <c r="T165" s="2"/>
      <c r="U165" s="133">
        <f>ProjectInput[[#This Row],[Location]]</f>
        <v>0</v>
      </c>
      <c r="V165" s="278">
        <f>ProjectInput[[#This Row],[Existing Fixture Code]]</f>
        <v>0</v>
      </c>
      <c r="W165"/>
      <c r="X165"/>
      <c r="Y165"/>
      <c r="Z165"/>
      <c r="AA165"/>
      <c r="AB165"/>
      <c r="AC165"/>
      <c r="AD165"/>
      <c r="AE165"/>
      <c r="AF165"/>
      <c r="AG165"/>
      <c r="AH165"/>
      <c r="AI165"/>
      <c r="AJ165"/>
      <c r="AK165"/>
      <c r="AL165"/>
      <c r="AM165"/>
      <c r="AN165"/>
      <c r="AO165"/>
    </row>
    <row r="166" spans="1:41" ht="15" customHeight="1">
      <c r="A166" s="2">
        <v>163</v>
      </c>
      <c r="B166" s="2"/>
      <c r="C166" s="3">
        <f>ProjectInput[[#This Row],[Retrofit Cost]]</f>
        <v>0</v>
      </c>
      <c r="D166" s="2">
        <f>ProjectInput[[#This Row],[Proposed Fixture Quantity]]</f>
        <v>0</v>
      </c>
      <c r="E166" s="2" t="str">
        <f>CONCATENATE("Replace ", ReviewCalcs[[#This Row],[Existing Fixture Code]], " with ", ReviewCalcs[[#This Row],[Proposed Fixture Code]])</f>
        <v>Replace 0 with 0</v>
      </c>
      <c r="F166" s="2">
        <f>ReviewCalcs[[#This Row],[Measure Type]]</f>
        <v>0</v>
      </c>
      <c r="G166" s="2" t="str">
        <f>IF(Instructions!$F$25="Post-Retrofit","Completed","Recommended")</f>
        <v>Recommended</v>
      </c>
      <c r="H166" s="4">
        <f>ReviewCalcs[[#This Row],[Incentive Total Energy Savings (kWh)]]</f>
        <v>0</v>
      </c>
      <c r="I166" s="2">
        <f>ReviewCalcs[[#This Row],[Incentive Total Demand Savings (kW)]]</f>
        <v>0</v>
      </c>
      <c r="J166" s="3">
        <f>ProjectInput[[#This Row],[Energy Cost Savings ($)]]</f>
        <v>0</v>
      </c>
      <c r="K166" s="3">
        <f>ProjectInput[[#This Row],[Incentive ($)]]</f>
        <v>0</v>
      </c>
      <c r="L166" s="13">
        <f t="shared" ref="L166:L229" si="3">IF(C166&lt;&gt;0,(C166-K166)/J166,0)</f>
        <v>0</v>
      </c>
      <c r="M166" s="3"/>
      <c r="N166" s="3"/>
      <c r="O166" s="3"/>
      <c r="P166" s="3"/>
      <c r="Q166" s="3"/>
      <c r="R166" s="3"/>
      <c r="S166" s="3"/>
      <c r="T166" s="2"/>
      <c r="U166" s="133">
        <f>ProjectInput[[#This Row],[Location]]</f>
        <v>0</v>
      </c>
      <c r="V166" s="278">
        <f>ProjectInput[[#This Row],[Existing Fixture Code]]</f>
        <v>0</v>
      </c>
      <c r="W166"/>
      <c r="X166"/>
      <c r="Y166"/>
      <c r="Z166"/>
      <c r="AA166"/>
      <c r="AB166"/>
      <c r="AC166"/>
      <c r="AD166"/>
      <c r="AE166"/>
      <c r="AF166"/>
      <c r="AG166"/>
      <c r="AH166"/>
      <c r="AI166"/>
      <c r="AJ166"/>
      <c r="AK166"/>
      <c r="AL166"/>
      <c r="AM166"/>
      <c r="AN166"/>
      <c r="AO166"/>
    </row>
    <row r="167" spans="1:41" ht="15" customHeight="1">
      <c r="A167" s="2">
        <v>164</v>
      </c>
      <c r="B167" s="2"/>
      <c r="C167" s="3">
        <f>ProjectInput[[#This Row],[Retrofit Cost]]</f>
        <v>0</v>
      </c>
      <c r="D167" s="2">
        <f>ProjectInput[[#This Row],[Proposed Fixture Quantity]]</f>
        <v>0</v>
      </c>
      <c r="E167" s="2" t="str">
        <f>CONCATENATE("Replace ", ReviewCalcs[[#This Row],[Existing Fixture Code]], " with ", ReviewCalcs[[#This Row],[Proposed Fixture Code]])</f>
        <v>Replace 0 with 0</v>
      </c>
      <c r="F167" s="2">
        <f>ReviewCalcs[[#This Row],[Measure Type]]</f>
        <v>0</v>
      </c>
      <c r="G167" s="2" t="str">
        <f>IF(Instructions!$F$25="Post-Retrofit","Completed","Recommended")</f>
        <v>Recommended</v>
      </c>
      <c r="H167" s="4">
        <f>ReviewCalcs[[#This Row],[Incentive Total Energy Savings (kWh)]]</f>
        <v>0</v>
      </c>
      <c r="I167" s="2">
        <f>ReviewCalcs[[#This Row],[Incentive Total Demand Savings (kW)]]</f>
        <v>0</v>
      </c>
      <c r="J167" s="3">
        <f>ProjectInput[[#This Row],[Energy Cost Savings ($)]]</f>
        <v>0</v>
      </c>
      <c r="K167" s="3">
        <f>ProjectInput[[#This Row],[Incentive ($)]]</f>
        <v>0</v>
      </c>
      <c r="L167" s="13">
        <f t="shared" si="3"/>
        <v>0</v>
      </c>
      <c r="M167" s="3"/>
      <c r="N167" s="3"/>
      <c r="O167" s="3"/>
      <c r="P167" s="3"/>
      <c r="Q167" s="3"/>
      <c r="R167" s="3"/>
      <c r="S167" s="3"/>
      <c r="T167" s="2"/>
      <c r="U167" s="133">
        <f>ProjectInput[[#This Row],[Location]]</f>
        <v>0</v>
      </c>
      <c r="V167" s="278">
        <f>ProjectInput[[#This Row],[Existing Fixture Code]]</f>
        <v>0</v>
      </c>
      <c r="W167"/>
      <c r="X167"/>
      <c r="Y167"/>
      <c r="Z167"/>
      <c r="AA167"/>
      <c r="AB167"/>
      <c r="AC167"/>
      <c r="AD167"/>
      <c r="AE167"/>
      <c r="AF167"/>
      <c r="AG167"/>
      <c r="AH167"/>
      <c r="AI167"/>
      <c r="AJ167"/>
      <c r="AK167"/>
      <c r="AL167"/>
      <c r="AM167"/>
      <c r="AN167"/>
      <c r="AO167"/>
    </row>
    <row r="168" spans="1:41" ht="15" customHeight="1">
      <c r="A168" s="2">
        <v>165</v>
      </c>
      <c r="B168" s="2"/>
      <c r="C168" s="3">
        <f>ProjectInput[[#This Row],[Retrofit Cost]]</f>
        <v>0</v>
      </c>
      <c r="D168" s="2">
        <f>ProjectInput[[#This Row],[Proposed Fixture Quantity]]</f>
        <v>0</v>
      </c>
      <c r="E168" s="2" t="str">
        <f>CONCATENATE("Replace ", ReviewCalcs[[#This Row],[Existing Fixture Code]], " with ", ReviewCalcs[[#This Row],[Proposed Fixture Code]])</f>
        <v>Replace 0 with 0</v>
      </c>
      <c r="F168" s="2">
        <f>ReviewCalcs[[#This Row],[Measure Type]]</f>
        <v>0</v>
      </c>
      <c r="G168" s="2" t="str">
        <f>IF(Instructions!$F$25="Post-Retrofit","Completed","Recommended")</f>
        <v>Recommended</v>
      </c>
      <c r="H168" s="4">
        <f>ReviewCalcs[[#This Row],[Incentive Total Energy Savings (kWh)]]</f>
        <v>0</v>
      </c>
      <c r="I168" s="2">
        <f>ReviewCalcs[[#This Row],[Incentive Total Demand Savings (kW)]]</f>
        <v>0</v>
      </c>
      <c r="J168" s="3">
        <f>ProjectInput[[#This Row],[Energy Cost Savings ($)]]</f>
        <v>0</v>
      </c>
      <c r="K168" s="3">
        <f>ProjectInput[[#This Row],[Incentive ($)]]</f>
        <v>0</v>
      </c>
      <c r="L168" s="13">
        <f t="shared" si="3"/>
        <v>0</v>
      </c>
      <c r="M168" s="3"/>
      <c r="N168" s="3"/>
      <c r="O168" s="3"/>
      <c r="P168" s="3"/>
      <c r="Q168" s="3"/>
      <c r="R168" s="3"/>
      <c r="S168" s="3"/>
      <c r="T168" s="2"/>
      <c r="U168" s="133">
        <f>ProjectInput[[#This Row],[Location]]</f>
        <v>0</v>
      </c>
      <c r="V168" s="278">
        <f>ProjectInput[[#This Row],[Existing Fixture Code]]</f>
        <v>0</v>
      </c>
      <c r="W168"/>
      <c r="X168"/>
      <c r="Y168"/>
      <c r="Z168"/>
      <c r="AA168"/>
      <c r="AB168"/>
      <c r="AC168"/>
      <c r="AD168"/>
      <c r="AE168"/>
      <c r="AF168"/>
      <c r="AG168"/>
      <c r="AH168"/>
      <c r="AI168"/>
      <c r="AJ168"/>
      <c r="AK168"/>
      <c r="AL168"/>
      <c r="AM168"/>
      <c r="AN168"/>
      <c r="AO168"/>
    </row>
    <row r="169" spans="1:41" ht="15" customHeight="1">
      <c r="A169" s="2">
        <v>166</v>
      </c>
      <c r="B169" s="2"/>
      <c r="C169" s="3">
        <f>ProjectInput[[#This Row],[Retrofit Cost]]</f>
        <v>0</v>
      </c>
      <c r="D169" s="2">
        <f>ProjectInput[[#This Row],[Proposed Fixture Quantity]]</f>
        <v>0</v>
      </c>
      <c r="E169" s="2" t="str">
        <f>CONCATENATE("Replace ", ReviewCalcs[[#This Row],[Existing Fixture Code]], " with ", ReviewCalcs[[#This Row],[Proposed Fixture Code]])</f>
        <v>Replace 0 with 0</v>
      </c>
      <c r="F169" s="2">
        <f>ReviewCalcs[[#This Row],[Measure Type]]</f>
        <v>0</v>
      </c>
      <c r="G169" s="2" t="str">
        <f>IF(Instructions!$F$25="Post-Retrofit","Completed","Recommended")</f>
        <v>Recommended</v>
      </c>
      <c r="H169" s="4">
        <f>ReviewCalcs[[#This Row],[Incentive Total Energy Savings (kWh)]]</f>
        <v>0</v>
      </c>
      <c r="I169" s="2">
        <f>ReviewCalcs[[#This Row],[Incentive Total Demand Savings (kW)]]</f>
        <v>0</v>
      </c>
      <c r="J169" s="3">
        <f>ProjectInput[[#This Row],[Energy Cost Savings ($)]]</f>
        <v>0</v>
      </c>
      <c r="K169" s="3">
        <f>ProjectInput[[#This Row],[Incentive ($)]]</f>
        <v>0</v>
      </c>
      <c r="L169" s="13">
        <f t="shared" si="3"/>
        <v>0</v>
      </c>
      <c r="M169" s="3"/>
      <c r="N169" s="3"/>
      <c r="O169" s="3"/>
      <c r="P169" s="3"/>
      <c r="Q169" s="3"/>
      <c r="R169" s="3"/>
      <c r="S169" s="3"/>
      <c r="T169" s="2"/>
      <c r="U169" s="133">
        <f>ProjectInput[[#This Row],[Location]]</f>
        <v>0</v>
      </c>
      <c r="V169" s="278">
        <f>ProjectInput[[#This Row],[Existing Fixture Code]]</f>
        <v>0</v>
      </c>
      <c r="W169"/>
      <c r="X169"/>
      <c r="Y169"/>
      <c r="Z169"/>
      <c r="AA169"/>
      <c r="AB169"/>
      <c r="AC169"/>
      <c r="AD169"/>
      <c r="AE169"/>
      <c r="AF169"/>
      <c r="AG169"/>
      <c r="AH169"/>
      <c r="AI169"/>
      <c r="AJ169"/>
      <c r="AK169"/>
      <c r="AL169"/>
      <c r="AM169"/>
      <c r="AN169"/>
      <c r="AO169"/>
    </row>
    <row r="170" spans="1:41" ht="15" customHeight="1">
      <c r="A170" s="2">
        <v>167</v>
      </c>
      <c r="B170" s="2"/>
      <c r="C170" s="3">
        <f>ProjectInput[[#This Row],[Retrofit Cost]]</f>
        <v>0</v>
      </c>
      <c r="D170" s="2">
        <f>ProjectInput[[#This Row],[Proposed Fixture Quantity]]</f>
        <v>0</v>
      </c>
      <c r="E170" s="2" t="str">
        <f>CONCATENATE("Replace ", ReviewCalcs[[#This Row],[Existing Fixture Code]], " with ", ReviewCalcs[[#This Row],[Proposed Fixture Code]])</f>
        <v>Replace 0 with 0</v>
      </c>
      <c r="F170" s="2">
        <f>ReviewCalcs[[#This Row],[Measure Type]]</f>
        <v>0</v>
      </c>
      <c r="G170" s="2" t="str">
        <f>IF(Instructions!$F$25="Post-Retrofit","Completed","Recommended")</f>
        <v>Recommended</v>
      </c>
      <c r="H170" s="4">
        <f>ReviewCalcs[[#This Row],[Incentive Total Energy Savings (kWh)]]</f>
        <v>0</v>
      </c>
      <c r="I170" s="2">
        <f>ReviewCalcs[[#This Row],[Incentive Total Demand Savings (kW)]]</f>
        <v>0</v>
      </c>
      <c r="J170" s="3">
        <f>ProjectInput[[#This Row],[Energy Cost Savings ($)]]</f>
        <v>0</v>
      </c>
      <c r="K170" s="3">
        <f>ProjectInput[[#This Row],[Incentive ($)]]</f>
        <v>0</v>
      </c>
      <c r="L170" s="13">
        <f t="shared" si="3"/>
        <v>0</v>
      </c>
      <c r="M170" s="3"/>
      <c r="N170" s="3"/>
      <c r="O170" s="3"/>
      <c r="P170" s="3"/>
      <c r="Q170" s="3"/>
      <c r="R170" s="3"/>
      <c r="S170" s="3"/>
      <c r="T170" s="2"/>
      <c r="U170" s="133">
        <f>ProjectInput[[#This Row],[Location]]</f>
        <v>0</v>
      </c>
      <c r="V170" s="278">
        <f>ProjectInput[[#This Row],[Existing Fixture Code]]</f>
        <v>0</v>
      </c>
      <c r="W170"/>
      <c r="X170"/>
      <c r="Y170"/>
      <c r="Z170"/>
      <c r="AA170"/>
      <c r="AB170"/>
      <c r="AC170"/>
      <c r="AD170"/>
      <c r="AE170"/>
      <c r="AF170"/>
      <c r="AG170"/>
      <c r="AH170"/>
      <c r="AI170"/>
      <c r="AJ170"/>
      <c r="AK170"/>
      <c r="AL170"/>
      <c r="AM170"/>
      <c r="AN170"/>
      <c r="AO170"/>
    </row>
    <row r="171" spans="1:41" ht="15" customHeight="1">
      <c r="A171" s="2">
        <v>168</v>
      </c>
      <c r="B171" s="2"/>
      <c r="C171" s="3">
        <f>ProjectInput[[#This Row],[Retrofit Cost]]</f>
        <v>0</v>
      </c>
      <c r="D171" s="2">
        <f>ProjectInput[[#This Row],[Proposed Fixture Quantity]]</f>
        <v>0</v>
      </c>
      <c r="E171" s="2" t="str">
        <f>CONCATENATE("Replace ", ReviewCalcs[[#This Row],[Existing Fixture Code]], " with ", ReviewCalcs[[#This Row],[Proposed Fixture Code]])</f>
        <v>Replace 0 with 0</v>
      </c>
      <c r="F171" s="2">
        <f>ReviewCalcs[[#This Row],[Measure Type]]</f>
        <v>0</v>
      </c>
      <c r="G171" s="2" t="str">
        <f>IF(Instructions!$F$25="Post-Retrofit","Completed","Recommended")</f>
        <v>Recommended</v>
      </c>
      <c r="H171" s="4">
        <f>ReviewCalcs[[#This Row],[Incentive Total Energy Savings (kWh)]]</f>
        <v>0</v>
      </c>
      <c r="I171" s="2">
        <f>ReviewCalcs[[#This Row],[Incentive Total Demand Savings (kW)]]</f>
        <v>0</v>
      </c>
      <c r="J171" s="3">
        <f>ProjectInput[[#This Row],[Energy Cost Savings ($)]]</f>
        <v>0</v>
      </c>
      <c r="K171" s="3">
        <f>ProjectInput[[#This Row],[Incentive ($)]]</f>
        <v>0</v>
      </c>
      <c r="L171" s="13">
        <f t="shared" si="3"/>
        <v>0</v>
      </c>
      <c r="M171" s="3"/>
      <c r="N171" s="3"/>
      <c r="O171" s="3"/>
      <c r="P171" s="3"/>
      <c r="Q171" s="3"/>
      <c r="R171" s="3"/>
      <c r="S171" s="3"/>
      <c r="T171" s="2"/>
      <c r="U171" s="133">
        <f>ProjectInput[[#This Row],[Location]]</f>
        <v>0</v>
      </c>
      <c r="V171" s="278">
        <f>ProjectInput[[#This Row],[Existing Fixture Code]]</f>
        <v>0</v>
      </c>
      <c r="W171"/>
      <c r="X171"/>
      <c r="Y171"/>
      <c r="Z171"/>
      <c r="AA171"/>
      <c r="AB171"/>
      <c r="AC171"/>
      <c r="AD171"/>
      <c r="AE171"/>
      <c r="AF171"/>
      <c r="AG171"/>
      <c r="AH171"/>
      <c r="AI171"/>
      <c r="AJ171"/>
      <c r="AK171"/>
      <c r="AL171"/>
      <c r="AM171"/>
      <c r="AN171"/>
      <c r="AO171"/>
    </row>
    <row r="172" spans="1:41" ht="15" customHeight="1">
      <c r="A172" s="2">
        <v>169</v>
      </c>
      <c r="B172" s="2"/>
      <c r="C172" s="3">
        <f>ProjectInput[[#This Row],[Retrofit Cost]]</f>
        <v>0</v>
      </c>
      <c r="D172" s="2">
        <f>ProjectInput[[#This Row],[Proposed Fixture Quantity]]</f>
        <v>0</v>
      </c>
      <c r="E172" s="2" t="str">
        <f>CONCATENATE("Replace ", ReviewCalcs[[#This Row],[Existing Fixture Code]], " with ", ReviewCalcs[[#This Row],[Proposed Fixture Code]])</f>
        <v>Replace 0 with 0</v>
      </c>
      <c r="F172" s="2">
        <f>ReviewCalcs[[#This Row],[Measure Type]]</f>
        <v>0</v>
      </c>
      <c r="G172" s="2" t="str">
        <f>IF(Instructions!$F$25="Post-Retrofit","Completed","Recommended")</f>
        <v>Recommended</v>
      </c>
      <c r="H172" s="4">
        <f>ReviewCalcs[[#This Row],[Incentive Total Energy Savings (kWh)]]</f>
        <v>0</v>
      </c>
      <c r="I172" s="2">
        <f>ReviewCalcs[[#This Row],[Incentive Total Demand Savings (kW)]]</f>
        <v>0</v>
      </c>
      <c r="J172" s="3">
        <f>ProjectInput[[#This Row],[Energy Cost Savings ($)]]</f>
        <v>0</v>
      </c>
      <c r="K172" s="3">
        <f>ProjectInput[[#This Row],[Incentive ($)]]</f>
        <v>0</v>
      </c>
      <c r="L172" s="13">
        <f t="shared" si="3"/>
        <v>0</v>
      </c>
      <c r="M172" s="3"/>
      <c r="N172" s="3"/>
      <c r="O172" s="3"/>
      <c r="P172" s="3"/>
      <c r="Q172" s="3"/>
      <c r="R172" s="3"/>
      <c r="S172" s="3"/>
      <c r="T172" s="2"/>
      <c r="U172" s="133">
        <f>ProjectInput[[#This Row],[Location]]</f>
        <v>0</v>
      </c>
      <c r="V172" s="278">
        <f>ProjectInput[[#This Row],[Existing Fixture Code]]</f>
        <v>0</v>
      </c>
      <c r="W172"/>
      <c r="X172"/>
      <c r="Y172"/>
      <c r="Z172"/>
      <c r="AA172"/>
      <c r="AB172"/>
      <c r="AC172"/>
      <c r="AD172"/>
      <c r="AE172"/>
      <c r="AF172"/>
      <c r="AG172"/>
      <c r="AH172"/>
      <c r="AI172"/>
      <c r="AJ172"/>
      <c r="AK172"/>
      <c r="AL172"/>
      <c r="AM172"/>
      <c r="AN172"/>
      <c r="AO172"/>
    </row>
    <row r="173" spans="1:41" ht="15" customHeight="1">
      <c r="A173" s="2">
        <v>170</v>
      </c>
      <c r="B173" s="2"/>
      <c r="C173" s="3">
        <f>ProjectInput[[#This Row],[Retrofit Cost]]</f>
        <v>0</v>
      </c>
      <c r="D173" s="2">
        <f>ProjectInput[[#This Row],[Proposed Fixture Quantity]]</f>
        <v>0</v>
      </c>
      <c r="E173" s="2" t="str">
        <f>CONCATENATE("Replace ", ReviewCalcs[[#This Row],[Existing Fixture Code]], " with ", ReviewCalcs[[#This Row],[Proposed Fixture Code]])</f>
        <v>Replace 0 with 0</v>
      </c>
      <c r="F173" s="2">
        <f>ReviewCalcs[[#This Row],[Measure Type]]</f>
        <v>0</v>
      </c>
      <c r="G173" s="2" t="str">
        <f>IF(Instructions!$F$25="Post-Retrofit","Completed","Recommended")</f>
        <v>Recommended</v>
      </c>
      <c r="H173" s="4">
        <f>ReviewCalcs[[#This Row],[Incentive Total Energy Savings (kWh)]]</f>
        <v>0</v>
      </c>
      <c r="I173" s="2">
        <f>ReviewCalcs[[#This Row],[Incentive Total Demand Savings (kW)]]</f>
        <v>0</v>
      </c>
      <c r="J173" s="3">
        <f>ProjectInput[[#This Row],[Energy Cost Savings ($)]]</f>
        <v>0</v>
      </c>
      <c r="K173" s="3">
        <f>ProjectInput[[#This Row],[Incentive ($)]]</f>
        <v>0</v>
      </c>
      <c r="L173" s="13">
        <f t="shared" si="3"/>
        <v>0</v>
      </c>
      <c r="M173" s="3"/>
      <c r="N173" s="3"/>
      <c r="O173" s="3"/>
      <c r="P173" s="3"/>
      <c r="Q173" s="3"/>
      <c r="R173" s="3"/>
      <c r="S173" s="3"/>
      <c r="T173" s="2"/>
      <c r="U173" s="133">
        <f>ProjectInput[[#This Row],[Location]]</f>
        <v>0</v>
      </c>
      <c r="V173" s="278">
        <f>ProjectInput[[#This Row],[Existing Fixture Code]]</f>
        <v>0</v>
      </c>
      <c r="W173"/>
      <c r="X173"/>
      <c r="Y173"/>
      <c r="Z173"/>
      <c r="AA173"/>
      <c r="AB173"/>
      <c r="AC173"/>
      <c r="AD173"/>
      <c r="AE173"/>
      <c r="AF173"/>
      <c r="AG173"/>
      <c r="AH173"/>
      <c r="AI173"/>
      <c r="AJ173"/>
      <c r="AK173"/>
      <c r="AL173"/>
      <c r="AM173"/>
      <c r="AN173"/>
      <c r="AO173"/>
    </row>
    <row r="174" spans="1:41" ht="15" customHeight="1">
      <c r="A174" s="2">
        <v>171</v>
      </c>
      <c r="B174" s="2"/>
      <c r="C174" s="3">
        <f>ProjectInput[[#This Row],[Retrofit Cost]]</f>
        <v>0</v>
      </c>
      <c r="D174" s="2">
        <f>ProjectInput[[#This Row],[Proposed Fixture Quantity]]</f>
        <v>0</v>
      </c>
      <c r="E174" s="2" t="str">
        <f>CONCATENATE("Replace ", ReviewCalcs[[#This Row],[Existing Fixture Code]], " with ", ReviewCalcs[[#This Row],[Proposed Fixture Code]])</f>
        <v>Replace 0 with 0</v>
      </c>
      <c r="F174" s="2">
        <f>ReviewCalcs[[#This Row],[Measure Type]]</f>
        <v>0</v>
      </c>
      <c r="G174" s="2" t="str">
        <f>IF(Instructions!$F$25="Post-Retrofit","Completed","Recommended")</f>
        <v>Recommended</v>
      </c>
      <c r="H174" s="4">
        <f>ReviewCalcs[[#This Row],[Incentive Total Energy Savings (kWh)]]</f>
        <v>0</v>
      </c>
      <c r="I174" s="2">
        <f>ReviewCalcs[[#This Row],[Incentive Total Demand Savings (kW)]]</f>
        <v>0</v>
      </c>
      <c r="J174" s="3">
        <f>ProjectInput[[#This Row],[Energy Cost Savings ($)]]</f>
        <v>0</v>
      </c>
      <c r="K174" s="3">
        <f>ProjectInput[[#This Row],[Incentive ($)]]</f>
        <v>0</v>
      </c>
      <c r="L174" s="13">
        <f t="shared" si="3"/>
        <v>0</v>
      </c>
      <c r="M174" s="3"/>
      <c r="N174" s="3"/>
      <c r="O174" s="3"/>
      <c r="P174" s="3"/>
      <c r="Q174" s="3"/>
      <c r="R174" s="3"/>
      <c r="S174" s="3"/>
      <c r="T174" s="2"/>
      <c r="U174" s="133">
        <f>ProjectInput[[#This Row],[Location]]</f>
        <v>0</v>
      </c>
      <c r="V174" s="278">
        <f>ProjectInput[[#This Row],[Existing Fixture Code]]</f>
        <v>0</v>
      </c>
      <c r="W174"/>
      <c r="X174"/>
      <c r="Y174"/>
      <c r="Z174"/>
      <c r="AA174"/>
      <c r="AB174"/>
      <c r="AC174"/>
      <c r="AD174"/>
      <c r="AE174"/>
      <c r="AF174"/>
      <c r="AG174"/>
      <c r="AH174"/>
      <c r="AI174"/>
      <c r="AJ174"/>
      <c r="AK174"/>
      <c r="AL174"/>
      <c r="AM174"/>
      <c r="AN174"/>
      <c r="AO174"/>
    </row>
    <row r="175" spans="1:41" ht="15" customHeight="1">
      <c r="A175" s="2">
        <v>172</v>
      </c>
      <c r="B175" s="2"/>
      <c r="C175" s="3">
        <f>ProjectInput[[#This Row],[Retrofit Cost]]</f>
        <v>0</v>
      </c>
      <c r="D175" s="2">
        <f>ProjectInput[[#This Row],[Proposed Fixture Quantity]]</f>
        <v>0</v>
      </c>
      <c r="E175" s="2" t="str">
        <f>CONCATENATE("Replace ", ReviewCalcs[[#This Row],[Existing Fixture Code]], " with ", ReviewCalcs[[#This Row],[Proposed Fixture Code]])</f>
        <v>Replace 0 with 0</v>
      </c>
      <c r="F175" s="2">
        <f>ReviewCalcs[[#This Row],[Measure Type]]</f>
        <v>0</v>
      </c>
      <c r="G175" s="2" t="str">
        <f>IF(Instructions!$F$25="Post-Retrofit","Completed","Recommended")</f>
        <v>Recommended</v>
      </c>
      <c r="H175" s="4">
        <f>ReviewCalcs[[#This Row],[Incentive Total Energy Savings (kWh)]]</f>
        <v>0</v>
      </c>
      <c r="I175" s="2">
        <f>ReviewCalcs[[#This Row],[Incentive Total Demand Savings (kW)]]</f>
        <v>0</v>
      </c>
      <c r="J175" s="3">
        <f>ProjectInput[[#This Row],[Energy Cost Savings ($)]]</f>
        <v>0</v>
      </c>
      <c r="K175" s="3">
        <f>ProjectInput[[#This Row],[Incentive ($)]]</f>
        <v>0</v>
      </c>
      <c r="L175" s="13">
        <f t="shared" si="3"/>
        <v>0</v>
      </c>
      <c r="M175" s="3"/>
      <c r="N175" s="3"/>
      <c r="O175" s="3"/>
      <c r="P175" s="3"/>
      <c r="Q175" s="3"/>
      <c r="R175" s="3"/>
      <c r="S175" s="3"/>
      <c r="T175" s="2"/>
      <c r="U175" s="133">
        <f>ProjectInput[[#This Row],[Location]]</f>
        <v>0</v>
      </c>
      <c r="V175" s="278">
        <f>ProjectInput[[#This Row],[Existing Fixture Code]]</f>
        <v>0</v>
      </c>
      <c r="W175"/>
      <c r="X175"/>
      <c r="Y175"/>
      <c r="Z175"/>
      <c r="AA175"/>
      <c r="AB175"/>
      <c r="AC175"/>
      <c r="AD175"/>
      <c r="AE175"/>
      <c r="AF175"/>
      <c r="AG175"/>
      <c r="AH175"/>
      <c r="AI175"/>
      <c r="AJ175"/>
      <c r="AK175"/>
      <c r="AL175"/>
      <c r="AM175"/>
      <c r="AN175"/>
      <c r="AO175"/>
    </row>
    <row r="176" spans="1:41" ht="15" customHeight="1">
      <c r="A176" s="2">
        <v>173</v>
      </c>
      <c r="B176" s="2"/>
      <c r="C176" s="3">
        <f>ProjectInput[[#This Row],[Retrofit Cost]]</f>
        <v>0</v>
      </c>
      <c r="D176" s="2">
        <f>ProjectInput[[#This Row],[Proposed Fixture Quantity]]</f>
        <v>0</v>
      </c>
      <c r="E176" s="2" t="str">
        <f>CONCATENATE("Replace ", ReviewCalcs[[#This Row],[Existing Fixture Code]], " with ", ReviewCalcs[[#This Row],[Proposed Fixture Code]])</f>
        <v>Replace 0 with 0</v>
      </c>
      <c r="F176" s="2">
        <f>ReviewCalcs[[#This Row],[Measure Type]]</f>
        <v>0</v>
      </c>
      <c r="G176" s="2" t="str">
        <f>IF(Instructions!$F$25="Post-Retrofit","Completed","Recommended")</f>
        <v>Recommended</v>
      </c>
      <c r="H176" s="4">
        <f>ReviewCalcs[[#This Row],[Incentive Total Energy Savings (kWh)]]</f>
        <v>0</v>
      </c>
      <c r="I176" s="2">
        <f>ReviewCalcs[[#This Row],[Incentive Total Demand Savings (kW)]]</f>
        <v>0</v>
      </c>
      <c r="J176" s="3">
        <f>ProjectInput[[#This Row],[Energy Cost Savings ($)]]</f>
        <v>0</v>
      </c>
      <c r="K176" s="3">
        <f>ProjectInput[[#This Row],[Incentive ($)]]</f>
        <v>0</v>
      </c>
      <c r="L176" s="13">
        <f t="shared" si="3"/>
        <v>0</v>
      </c>
      <c r="M176" s="3"/>
      <c r="N176" s="3"/>
      <c r="O176" s="3"/>
      <c r="P176" s="3"/>
      <c r="Q176" s="3"/>
      <c r="R176" s="3"/>
      <c r="S176" s="3"/>
      <c r="T176" s="2"/>
      <c r="U176" s="133">
        <f>ProjectInput[[#This Row],[Location]]</f>
        <v>0</v>
      </c>
      <c r="V176" s="278">
        <f>ProjectInput[[#This Row],[Existing Fixture Code]]</f>
        <v>0</v>
      </c>
      <c r="W176"/>
      <c r="X176"/>
      <c r="Y176"/>
      <c r="Z176"/>
      <c r="AA176"/>
      <c r="AB176"/>
      <c r="AC176"/>
      <c r="AD176"/>
      <c r="AE176"/>
      <c r="AF176"/>
      <c r="AG176"/>
      <c r="AH176"/>
      <c r="AI176"/>
      <c r="AJ176"/>
      <c r="AK176"/>
      <c r="AL176"/>
      <c r="AM176"/>
      <c r="AN176"/>
      <c r="AO176"/>
    </row>
    <row r="177" spans="1:41" ht="15" customHeight="1">
      <c r="A177" s="2">
        <v>174</v>
      </c>
      <c r="B177" s="2"/>
      <c r="C177" s="3">
        <f>ProjectInput[[#This Row],[Retrofit Cost]]</f>
        <v>0</v>
      </c>
      <c r="D177" s="2">
        <f>ProjectInput[[#This Row],[Proposed Fixture Quantity]]</f>
        <v>0</v>
      </c>
      <c r="E177" s="2" t="str">
        <f>CONCATENATE("Replace ", ReviewCalcs[[#This Row],[Existing Fixture Code]], " with ", ReviewCalcs[[#This Row],[Proposed Fixture Code]])</f>
        <v>Replace 0 with 0</v>
      </c>
      <c r="F177" s="2">
        <f>ReviewCalcs[[#This Row],[Measure Type]]</f>
        <v>0</v>
      </c>
      <c r="G177" s="2" t="str">
        <f>IF(Instructions!$F$25="Post-Retrofit","Completed","Recommended")</f>
        <v>Recommended</v>
      </c>
      <c r="H177" s="4">
        <f>ReviewCalcs[[#This Row],[Incentive Total Energy Savings (kWh)]]</f>
        <v>0</v>
      </c>
      <c r="I177" s="2">
        <f>ReviewCalcs[[#This Row],[Incentive Total Demand Savings (kW)]]</f>
        <v>0</v>
      </c>
      <c r="J177" s="3">
        <f>ProjectInput[[#This Row],[Energy Cost Savings ($)]]</f>
        <v>0</v>
      </c>
      <c r="K177" s="3">
        <f>ProjectInput[[#This Row],[Incentive ($)]]</f>
        <v>0</v>
      </c>
      <c r="L177" s="13">
        <f t="shared" si="3"/>
        <v>0</v>
      </c>
      <c r="M177" s="3"/>
      <c r="N177" s="3"/>
      <c r="O177" s="3"/>
      <c r="P177" s="3"/>
      <c r="Q177" s="3"/>
      <c r="R177" s="3"/>
      <c r="S177" s="3"/>
      <c r="T177" s="2"/>
      <c r="U177" s="133">
        <f>ProjectInput[[#This Row],[Location]]</f>
        <v>0</v>
      </c>
      <c r="V177" s="278">
        <f>ProjectInput[[#This Row],[Existing Fixture Code]]</f>
        <v>0</v>
      </c>
      <c r="W177"/>
      <c r="X177"/>
      <c r="Y177"/>
      <c r="Z177"/>
      <c r="AA177"/>
      <c r="AB177"/>
      <c r="AC177"/>
      <c r="AD177"/>
      <c r="AE177"/>
      <c r="AF177"/>
      <c r="AG177"/>
      <c r="AH177"/>
      <c r="AI177"/>
      <c r="AJ177"/>
      <c r="AK177"/>
      <c r="AL177"/>
      <c r="AM177"/>
      <c r="AN177"/>
      <c r="AO177"/>
    </row>
    <row r="178" spans="1:41" ht="15" customHeight="1">
      <c r="A178" s="2">
        <v>175</v>
      </c>
      <c r="B178" s="2"/>
      <c r="C178" s="3">
        <f>ProjectInput[[#This Row],[Retrofit Cost]]</f>
        <v>0</v>
      </c>
      <c r="D178" s="2">
        <f>ProjectInput[[#This Row],[Proposed Fixture Quantity]]</f>
        <v>0</v>
      </c>
      <c r="E178" s="2" t="str">
        <f>CONCATENATE("Replace ", ReviewCalcs[[#This Row],[Existing Fixture Code]], " with ", ReviewCalcs[[#This Row],[Proposed Fixture Code]])</f>
        <v>Replace 0 with 0</v>
      </c>
      <c r="F178" s="2">
        <f>ReviewCalcs[[#This Row],[Measure Type]]</f>
        <v>0</v>
      </c>
      <c r="G178" s="2" t="str">
        <f>IF(Instructions!$F$25="Post-Retrofit","Completed","Recommended")</f>
        <v>Recommended</v>
      </c>
      <c r="H178" s="4">
        <f>ReviewCalcs[[#This Row],[Incentive Total Energy Savings (kWh)]]</f>
        <v>0</v>
      </c>
      <c r="I178" s="2">
        <f>ReviewCalcs[[#This Row],[Incentive Total Demand Savings (kW)]]</f>
        <v>0</v>
      </c>
      <c r="J178" s="3">
        <f>ProjectInput[[#This Row],[Energy Cost Savings ($)]]</f>
        <v>0</v>
      </c>
      <c r="K178" s="3">
        <f>ProjectInput[[#This Row],[Incentive ($)]]</f>
        <v>0</v>
      </c>
      <c r="L178" s="13">
        <f t="shared" si="3"/>
        <v>0</v>
      </c>
      <c r="M178" s="3"/>
      <c r="N178" s="3"/>
      <c r="O178" s="3"/>
      <c r="P178" s="3"/>
      <c r="Q178" s="3"/>
      <c r="R178" s="3"/>
      <c r="S178" s="3"/>
      <c r="T178" s="2"/>
      <c r="U178" s="133">
        <f>ProjectInput[[#This Row],[Location]]</f>
        <v>0</v>
      </c>
      <c r="V178" s="278">
        <f>ProjectInput[[#This Row],[Existing Fixture Code]]</f>
        <v>0</v>
      </c>
      <c r="W178"/>
      <c r="X178"/>
      <c r="Y178"/>
      <c r="Z178"/>
      <c r="AA178"/>
      <c r="AB178"/>
      <c r="AC178"/>
      <c r="AD178"/>
      <c r="AE178"/>
      <c r="AF178"/>
      <c r="AG178"/>
      <c r="AH178"/>
      <c r="AI178"/>
      <c r="AJ178"/>
      <c r="AK178"/>
      <c r="AL178"/>
      <c r="AM178"/>
      <c r="AN178"/>
      <c r="AO178"/>
    </row>
    <row r="179" spans="1:41" ht="15" customHeight="1">
      <c r="A179" s="2">
        <v>176</v>
      </c>
      <c r="B179" s="2"/>
      <c r="C179" s="3">
        <f>ProjectInput[[#This Row],[Retrofit Cost]]</f>
        <v>0</v>
      </c>
      <c r="D179" s="2">
        <f>ProjectInput[[#This Row],[Proposed Fixture Quantity]]</f>
        <v>0</v>
      </c>
      <c r="E179" s="2" t="str">
        <f>CONCATENATE("Replace ", ReviewCalcs[[#This Row],[Existing Fixture Code]], " with ", ReviewCalcs[[#This Row],[Proposed Fixture Code]])</f>
        <v>Replace 0 with 0</v>
      </c>
      <c r="F179" s="2">
        <f>ReviewCalcs[[#This Row],[Measure Type]]</f>
        <v>0</v>
      </c>
      <c r="G179" s="2" t="str">
        <f>IF(Instructions!$F$25="Post-Retrofit","Completed","Recommended")</f>
        <v>Recommended</v>
      </c>
      <c r="H179" s="4">
        <f>ReviewCalcs[[#This Row],[Incentive Total Energy Savings (kWh)]]</f>
        <v>0</v>
      </c>
      <c r="I179" s="2">
        <f>ReviewCalcs[[#This Row],[Incentive Total Demand Savings (kW)]]</f>
        <v>0</v>
      </c>
      <c r="J179" s="3">
        <f>ProjectInput[[#This Row],[Energy Cost Savings ($)]]</f>
        <v>0</v>
      </c>
      <c r="K179" s="3">
        <f>ProjectInput[[#This Row],[Incentive ($)]]</f>
        <v>0</v>
      </c>
      <c r="L179" s="13">
        <f t="shared" si="3"/>
        <v>0</v>
      </c>
      <c r="M179" s="3"/>
      <c r="N179" s="3"/>
      <c r="O179" s="3"/>
      <c r="P179" s="3"/>
      <c r="Q179" s="3"/>
      <c r="R179" s="3"/>
      <c r="S179" s="3"/>
      <c r="T179" s="2"/>
      <c r="U179" s="133">
        <f>ProjectInput[[#This Row],[Location]]</f>
        <v>0</v>
      </c>
      <c r="V179" s="278">
        <f>ProjectInput[[#This Row],[Existing Fixture Code]]</f>
        <v>0</v>
      </c>
      <c r="W179"/>
      <c r="X179"/>
      <c r="Y179"/>
      <c r="Z179"/>
      <c r="AA179"/>
      <c r="AB179"/>
      <c r="AC179"/>
      <c r="AD179"/>
      <c r="AE179"/>
      <c r="AF179"/>
      <c r="AG179"/>
      <c r="AH179"/>
      <c r="AI179"/>
      <c r="AJ179"/>
      <c r="AK179"/>
      <c r="AL179"/>
      <c r="AM179"/>
      <c r="AN179"/>
      <c r="AO179"/>
    </row>
    <row r="180" spans="1:41" ht="15" customHeight="1">
      <c r="A180" s="2">
        <v>177</v>
      </c>
      <c r="B180" s="2"/>
      <c r="C180" s="3">
        <f>ProjectInput[[#This Row],[Retrofit Cost]]</f>
        <v>0</v>
      </c>
      <c r="D180" s="2">
        <f>ProjectInput[[#This Row],[Proposed Fixture Quantity]]</f>
        <v>0</v>
      </c>
      <c r="E180" s="2" t="str">
        <f>CONCATENATE("Replace ", ReviewCalcs[[#This Row],[Existing Fixture Code]], " with ", ReviewCalcs[[#This Row],[Proposed Fixture Code]])</f>
        <v>Replace 0 with 0</v>
      </c>
      <c r="F180" s="2">
        <f>ReviewCalcs[[#This Row],[Measure Type]]</f>
        <v>0</v>
      </c>
      <c r="G180" s="2" t="str">
        <f>IF(Instructions!$F$25="Post-Retrofit","Completed","Recommended")</f>
        <v>Recommended</v>
      </c>
      <c r="H180" s="4">
        <f>ReviewCalcs[[#This Row],[Incentive Total Energy Savings (kWh)]]</f>
        <v>0</v>
      </c>
      <c r="I180" s="2">
        <f>ReviewCalcs[[#This Row],[Incentive Total Demand Savings (kW)]]</f>
        <v>0</v>
      </c>
      <c r="J180" s="3">
        <f>ProjectInput[[#This Row],[Energy Cost Savings ($)]]</f>
        <v>0</v>
      </c>
      <c r="K180" s="3">
        <f>ProjectInput[[#This Row],[Incentive ($)]]</f>
        <v>0</v>
      </c>
      <c r="L180" s="13">
        <f t="shared" si="3"/>
        <v>0</v>
      </c>
      <c r="M180" s="3"/>
      <c r="N180" s="3"/>
      <c r="O180" s="3"/>
      <c r="P180" s="3"/>
      <c r="Q180" s="3"/>
      <c r="R180" s="3"/>
      <c r="S180" s="3"/>
      <c r="T180" s="2"/>
      <c r="U180" s="133">
        <f>ProjectInput[[#This Row],[Location]]</f>
        <v>0</v>
      </c>
      <c r="V180" s="278">
        <f>ProjectInput[[#This Row],[Existing Fixture Code]]</f>
        <v>0</v>
      </c>
      <c r="W180"/>
      <c r="X180"/>
      <c r="Y180"/>
      <c r="Z180"/>
      <c r="AA180"/>
      <c r="AB180"/>
      <c r="AC180"/>
      <c r="AD180"/>
      <c r="AE180"/>
      <c r="AF180"/>
      <c r="AG180"/>
      <c r="AH180"/>
      <c r="AI180"/>
      <c r="AJ180"/>
      <c r="AK180"/>
      <c r="AL180"/>
      <c r="AM180"/>
      <c r="AN180"/>
      <c r="AO180"/>
    </row>
    <row r="181" spans="1:41" ht="15" customHeight="1">
      <c r="A181" s="2">
        <v>178</v>
      </c>
      <c r="B181" s="2"/>
      <c r="C181" s="3">
        <f>ProjectInput[[#This Row],[Retrofit Cost]]</f>
        <v>0</v>
      </c>
      <c r="D181" s="2">
        <f>ProjectInput[[#This Row],[Proposed Fixture Quantity]]</f>
        <v>0</v>
      </c>
      <c r="E181" s="2" t="str">
        <f>CONCATENATE("Replace ", ReviewCalcs[[#This Row],[Existing Fixture Code]], " with ", ReviewCalcs[[#This Row],[Proposed Fixture Code]])</f>
        <v>Replace 0 with 0</v>
      </c>
      <c r="F181" s="2">
        <f>ReviewCalcs[[#This Row],[Measure Type]]</f>
        <v>0</v>
      </c>
      <c r="G181" s="2" t="str">
        <f>IF(Instructions!$F$25="Post-Retrofit","Completed","Recommended")</f>
        <v>Recommended</v>
      </c>
      <c r="H181" s="4">
        <f>ReviewCalcs[[#This Row],[Incentive Total Energy Savings (kWh)]]</f>
        <v>0</v>
      </c>
      <c r="I181" s="2">
        <f>ReviewCalcs[[#This Row],[Incentive Total Demand Savings (kW)]]</f>
        <v>0</v>
      </c>
      <c r="J181" s="3">
        <f>ProjectInput[[#This Row],[Energy Cost Savings ($)]]</f>
        <v>0</v>
      </c>
      <c r="K181" s="3">
        <f>ProjectInput[[#This Row],[Incentive ($)]]</f>
        <v>0</v>
      </c>
      <c r="L181" s="13">
        <f t="shared" si="3"/>
        <v>0</v>
      </c>
      <c r="M181" s="3"/>
      <c r="N181" s="3"/>
      <c r="O181" s="3"/>
      <c r="P181" s="3"/>
      <c r="Q181" s="3"/>
      <c r="R181" s="3"/>
      <c r="S181" s="3"/>
      <c r="T181" s="2"/>
      <c r="U181" s="133">
        <f>ProjectInput[[#This Row],[Location]]</f>
        <v>0</v>
      </c>
      <c r="V181" s="278">
        <f>ProjectInput[[#This Row],[Existing Fixture Code]]</f>
        <v>0</v>
      </c>
      <c r="W181"/>
      <c r="X181"/>
      <c r="Y181"/>
      <c r="Z181"/>
      <c r="AA181"/>
      <c r="AB181"/>
      <c r="AC181"/>
      <c r="AD181"/>
      <c r="AE181"/>
      <c r="AF181"/>
      <c r="AG181"/>
      <c r="AH181"/>
      <c r="AI181"/>
      <c r="AJ181"/>
      <c r="AK181"/>
      <c r="AL181"/>
      <c r="AM181"/>
      <c r="AN181"/>
      <c r="AO181"/>
    </row>
    <row r="182" spans="1:41" ht="15" customHeight="1">
      <c r="A182" s="2">
        <v>179</v>
      </c>
      <c r="B182" s="2"/>
      <c r="C182" s="3">
        <f>ProjectInput[[#This Row],[Retrofit Cost]]</f>
        <v>0</v>
      </c>
      <c r="D182" s="2">
        <f>ProjectInput[[#This Row],[Proposed Fixture Quantity]]</f>
        <v>0</v>
      </c>
      <c r="E182" s="2" t="str">
        <f>CONCATENATE("Replace ", ReviewCalcs[[#This Row],[Existing Fixture Code]], " with ", ReviewCalcs[[#This Row],[Proposed Fixture Code]])</f>
        <v>Replace 0 with 0</v>
      </c>
      <c r="F182" s="2">
        <f>ReviewCalcs[[#This Row],[Measure Type]]</f>
        <v>0</v>
      </c>
      <c r="G182" s="2" t="str">
        <f>IF(Instructions!$F$25="Post-Retrofit","Completed","Recommended")</f>
        <v>Recommended</v>
      </c>
      <c r="H182" s="4">
        <f>ReviewCalcs[[#This Row],[Incentive Total Energy Savings (kWh)]]</f>
        <v>0</v>
      </c>
      <c r="I182" s="2">
        <f>ReviewCalcs[[#This Row],[Incentive Total Demand Savings (kW)]]</f>
        <v>0</v>
      </c>
      <c r="J182" s="3">
        <f>ProjectInput[[#This Row],[Energy Cost Savings ($)]]</f>
        <v>0</v>
      </c>
      <c r="K182" s="3">
        <f>ProjectInput[[#This Row],[Incentive ($)]]</f>
        <v>0</v>
      </c>
      <c r="L182" s="13">
        <f t="shared" si="3"/>
        <v>0</v>
      </c>
      <c r="M182" s="3"/>
      <c r="N182" s="3"/>
      <c r="O182" s="3"/>
      <c r="P182" s="3"/>
      <c r="Q182" s="3"/>
      <c r="R182" s="3"/>
      <c r="S182" s="3"/>
      <c r="T182" s="2"/>
      <c r="U182" s="133">
        <f>ProjectInput[[#This Row],[Location]]</f>
        <v>0</v>
      </c>
      <c r="V182" s="278">
        <f>ProjectInput[[#This Row],[Existing Fixture Code]]</f>
        <v>0</v>
      </c>
      <c r="W182"/>
      <c r="X182"/>
      <c r="Y182"/>
      <c r="Z182"/>
      <c r="AA182"/>
      <c r="AB182"/>
      <c r="AC182"/>
      <c r="AD182"/>
      <c r="AE182"/>
      <c r="AF182"/>
      <c r="AG182"/>
      <c r="AH182"/>
      <c r="AI182"/>
      <c r="AJ182"/>
      <c r="AK182"/>
      <c r="AL182"/>
      <c r="AM182"/>
      <c r="AN182"/>
      <c r="AO182"/>
    </row>
    <row r="183" spans="1:41" ht="15" customHeight="1">
      <c r="A183" s="2">
        <v>180</v>
      </c>
      <c r="B183" s="2"/>
      <c r="C183" s="3">
        <f>ProjectInput[[#This Row],[Retrofit Cost]]</f>
        <v>0</v>
      </c>
      <c r="D183" s="2">
        <f>ProjectInput[[#This Row],[Proposed Fixture Quantity]]</f>
        <v>0</v>
      </c>
      <c r="E183" s="2" t="str">
        <f>CONCATENATE("Replace ", ReviewCalcs[[#This Row],[Existing Fixture Code]], " with ", ReviewCalcs[[#This Row],[Proposed Fixture Code]])</f>
        <v>Replace 0 with 0</v>
      </c>
      <c r="F183" s="2">
        <f>ReviewCalcs[[#This Row],[Measure Type]]</f>
        <v>0</v>
      </c>
      <c r="G183" s="2" t="str">
        <f>IF(Instructions!$F$25="Post-Retrofit","Completed","Recommended")</f>
        <v>Recommended</v>
      </c>
      <c r="H183" s="4">
        <f>ReviewCalcs[[#This Row],[Incentive Total Energy Savings (kWh)]]</f>
        <v>0</v>
      </c>
      <c r="I183" s="2">
        <f>ReviewCalcs[[#This Row],[Incentive Total Demand Savings (kW)]]</f>
        <v>0</v>
      </c>
      <c r="J183" s="3">
        <f>ProjectInput[[#This Row],[Energy Cost Savings ($)]]</f>
        <v>0</v>
      </c>
      <c r="K183" s="3">
        <f>ProjectInput[[#This Row],[Incentive ($)]]</f>
        <v>0</v>
      </c>
      <c r="L183" s="13">
        <f t="shared" si="3"/>
        <v>0</v>
      </c>
      <c r="M183" s="3"/>
      <c r="N183" s="3"/>
      <c r="O183" s="3"/>
      <c r="P183" s="3"/>
      <c r="Q183" s="3"/>
      <c r="R183" s="3"/>
      <c r="S183" s="3"/>
      <c r="T183" s="2"/>
      <c r="U183" s="133">
        <f>ProjectInput[[#This Row],[Location]]</f>
        <v>0</v>
      </c>
      <c r="V183" s="278">
        <f>ProjectInput[[#This Row],[Existing Fixture Code]]</f>
        <v>0</v>
      </c>
      <c r="W183"/>
      <c r="X183"/>
      <c r="Y183"/>
      <c r="Z183"/>
      <c r="AA183"/>
      <c r="AB183"/>
      <c r="AC183"/>
      <c r="AD183"/>
      <c r="AE183"/>
      <c r="AF183"/>
      <c r="AG183"/>
      <c r="AH183"/>
      <c r="AI183"/>
      <c r="AJ183"/>
      <c r="AK183"/>
      <c r="AL183"/>
      <c r="AM183"/>
      <c r="AN183"/>
      <c r="AO183"/>
    </row>
    <row r="184" spans="1:41" ht="15" customHeight="1">
      <c r="A184" s="2">
        <v>181</v>
      </c>
      <c r="B184" s="2"/>
      <c r="C184" s="3">
        <f>ProjectInput[[#This Row],[Retrofit Cost]]</f>
        <v>0</v>
      </c>
      <c r="D184" s="2">
        <f>ProjectInput[[#This Row],[Proposed Fixture Quantity]]</f>
        <v>0</v>
      </c>
      <c r="E184" s="2" t="str">
        <f>CONCATENATE("Replace ", ReviewCalcs[[#This Row],[Existing Fixture Code]], " with ", ReviewCalcs[[#This Row],[Proposed Fixture Code]])</f>
        <v>Replace 0 with 0</v>
      </c>
      <c r="F184" s="2">
        <f>ReviewCalcs[[#This Row],[Measure Type]]</f>
        <v>0</v>
      </c>
      <c r="G184" s="2" t="str">
        <f>IF(Instructions!$F$25="Post-Retrofit","Completed","Recommended")</f>
        <v>Recommended</v>
      </c>
      <c r="H184" s="4">
        <f>ReviewCalcs[[#This Row],[Incentive Total Energy Savings (kWh)]]</f>
        <v>0</v>
      </c>
      <c r="I184" s="2">
        <f>ReviewCalcs[[#This Row],[Incentive Total Demand Savings (kW)]]</f>
        <v>0</v>
      </c>
      <c r="J184" s="3">
        <f>ProjectInput[[#This Row],[Energy Cost Savings ($)]]</f>
        <v>0</v>
      </c>
      <c r="K184" s="3">
        <f>ProjectInput[[#This Row],[Incentive ($)]]</f>
        <v>0</v>
      </c>
      <c r="L184" s="13">
        <f t="shared" si="3"/>
        <v>0</v>
      </c>
      <c r="M184" s="3"/>
      <c r="N184" s="3"/>
      <c r="O184" s="3"/>
      <c r="P184" s="3"/>
      <c r="Q184" s="3"/>
      <c r="R184" s="3"/>
      <c r="S184" s="3"/>
      <c r="T184" s="2"/>
      <c r="U184" s="133">
        <f>ProjectInput[[#This Row],[Location]]</f>
        <v>0</v>
      </c>
      <c r="V184" s="278">
        <f>ProjectInput[[#This Row],[Existing Fixture Code]]</f>
        <v>0</v>
      </c>
      <c r="W184"/>
      <c r="X184"/>
      <c r="Y184"/>
      <c r="Z184"/>
      <c r="AA184"/>
      <c r="AB184"/>
      <c r="AC184"/>
      <c r="AD184"/>
      <c r="AE184"/>
      <c r="AF184"/>
      <c r="AG184"/>
      <c r="AH184"/>
      <c r="AI184"/>
      <c r="AJ184"/>
      <c r="AK184"/>
      <c r="AL184"/>
      <c r="AM184"/>
      <c r="AN184"/>
      <c r="AO184"/>
    </row>
    <row r="185" spans="1:41" ht="15" customHeight="1">
      <c r="A185" s="2">
        <v>182</v>
      </c>
      <c r="B185" s="2"/>
      <c r="C185" s="3">
        <f>ProjectInput[[#This Row],[Retrofit Cost]]</f>
        <v>0</v>
      </c>
      <c r="D185" s="2">
        <f>ProjectInput[[#This Row],[Proposed Fixture Quantity]]</f>
        <v>0</v>
      </c>
      <c r="E185" s="2" t="str">
        <f>CONCATENATE("Replace ", ReviewCalcs[[#This Row],[Existing Fixture Code]], " with ", ReviewCalcs[[#This Row],[Proposed Fixture Code]])</f>
        <v>Replace 0 with 0</v>
      </c>
      <c r="F185" s="2">
        <f>ReviewCalcs[[#This Row],[Measure Type]]</f>
        <v>0</v>
      </c>
      <c r="G185" s="2" t="str">
        <f>IF(Instructions!$F$25="Post-Retrofit","Completed","Recommended")</f>
        <v>Recommended</v>
      </c>
      <c r="H185" s="4">
        <f>ReviewCalcs[[#This Row],[Incentive Total Energy Savings (kWh)]]</f>
        <v>0</v>
      </c>
      <c r="I185" s="2">
        <f>ReviewCalcs[[#This Row],[Incentive Total Demand Savings (kW)]]</f>
        <v>0</v>
      </c>
      <c r="J185" s="3">
        <f>ProjectInput[[#This Row],[Energy Cost Savings ($)]]</f>
        <v>0</v>
      </c>
      <c r="K185" s="3">
        <f>ProjectInput[[#This Row],[Incentive ($)]]</f>
        <v>0</v>
      </c>
      <c r="L185" s="13">
        <f t="shared" si="3"/>
        <v>0</v>
      </c>
      <c r="M185" s="3"/>
      <c r="N185" s="3"/>
      <c r="O185" s="3"/>
      <c r="P185" s="3"/>
      <c r="Q185" s="3"/>
      <c r="R185" s="3"/>
      <c r="S185" s="3"/>
      <c r="T185" s="2"/>
      <c r="U185" s="133">
        <f>ProjectInput[[#This Row],[Location]]</f>
        <v>0</v>
      </c>
      <c r="V185" s="278">
        <f>ProjectInput[[#This Row],[Existing Fixture Code]]</f>
        <v>0</v>
      </c>
      <c r="W185"/>
      <c r="X185"/>
      <c r="Y185"/>
      <c r="Z185"/>
      <c r="AA185"/>
      <c r="AB185"/>
      <c r="AC185"/>
      <c r="AD185"/>
      <c r="AE185"/>
      <c r="AF185"/>
      <c r="AG185"/>
      <c r="AH185"/>
      <c r="AI185"/>
      <c r="AJ185"/>
      <c r="AK185"/>
      <c r="AL185"/>
      <c r="AM185"/>
      <c r="AN185"/>
      <c r="AO185"/>
    </row>
    <row r="186" spans="1:41" ht="15" customHeight="1">
      <c r="A186" s="2">
        <v>183</v>
      </c>
      <c r="B186" s="2"/>
      <c r="C186" s="3">
        <f>ProjectInput[[#This Row],[Retrofit Cost]]</f>
        <v>0</v>
      </c>
      <c r="D186" s="2">
        <f>ProjectInput[[#This Row],[Proposed Fixture Quantity]]</f>
        <v>0</v>
      </c>
      <c r="E186" s="2" t="str">
        <f>CONCATENATE("Replace ", ReviewCalcs[[#This Row],[Existing Fixture Code]], " with ", ReviewCalcs[[#This Row],[Proposed Fixture Code]])</f>
        <v>Replace 0 with 0</v>
      </c>
      <c r="F186" s="2">
        <f>ReviewCalcs[[#This Row],[Measure Type]]</f>
        <v>0</v>
      </c>
      <c r="G186" s="2" t="str">
        <f>IF(Instructions!$F$25="Post-Retrofit","Completed","Recommended")</f>
        <v>Recommended</v>
      </c>
      <c r="H186" s="4">
        <f>ReviewCalcs[[#This Row],[Incentive Total Energy Savings (kWh)]]</f>
        <v>0</v>
      </c>
      <c r="I186" s="2">
        <f>ReviewCalcs[[#This Row],[Incentive Total Demand Savings (kW)]]</f>
        <v>0</v>
      </c>
      <c r="J186" s="3">
        <f>ProjectInput[[#This Row],[Energy Cost Savings ($)]]</f>
        <v>0</v>
      </c>
      <c r="K186" s="3">
        <f>ProjectInput[[#This Row],[Incentive ($)]]</f>
        <v>0</v>
      </c>
      <c r="L186" s="13">
        <f t="shared" si="3"/>
        <v>0</v>
      </c>
      <c r="M186" s="3"/>
      <c r="N186" s="3"/>
      <c r="O186" s="3"/>
      <c r="P186" s="3"/>
      <c r="Q186" s="3"/>
      <c r="R186" s="3"/>
      <c r="S186" s="3"/>
      <c r="T186" s="2"/>
      <c r="U186" s="133">
        <f>ProjectInput[[#This Row],[Location]]</f>
        <v>0</v>
      </c>
      <c r="V186" s="278">
        <f>ProjectInput[[#This Row],[Existing Fixture Code]]</f>
        <v>0</v>
      </c>
      <c r="W186"/>
      <c r="X186"/>
      <c r="Y186"/>
      <c r="Z186"/>
      <c r="AA186"/>
      <c r="AB186"/>
      <c r="AC186"/>
      <c r="AD186"/>
      <c r="AE186"/>
      <c r="AF186"/>
      <c r="AG186"/>
      <c r="AH186"/>
      <c r="AI186"/>
      <c r="AJ186"/>
      <c r="AK186"/>
      <c r="AL186"/>
      <c r="AM186"/>
      <c r="AN186"/>
      <c r="AO186"/>
    </row>
    <row r="187" spans="1:41" ht="15" customHeight="1">
      <c r="A187" s="2">
        <v>184</v>
      </c>
      <c r="B187" s="2"/>
      <c r="C187" s="3">
        <f>ProjectInput[[#This Row],[Retrofit Cost]]</f>
        <v>0</v>
      </c>
      <c r="D187" s="2">
        <f>ProjectInput[[#This Row],[Proposed Fixture Quantity]]</f>
        <v>0</v>
      </c>
      <c r="E187" s="2" t="str">
        <f>CONCATENATE("Replace ", ReviewCalcs[[#This Row],[Existing Fixture Code]], " with ", ReviewCalcs[[#This Row],[Proposed Fixture Code]])</f>
        <v>Replace 0 with 0</v>
      </c>
      <c r="F187" s="2">
        <f>ReviewCalcs[[#This Row],[Measure Type]]</f>
        <v>0</v>
      </c>
      <c r="G187" s="2" t="str">
        <f>IF(Instructions!$F$25="Post-Retrofit","Completed","Recommended")</f>
        <v>Recommended</v>
      </c>
      <c r="H187" s="4">
        <f>ReviewCalcs[[#This Row],[Incentive Total Energy Savings (kWh)]]</f>
        <v>0</v>
      </c>
      <c r="I187" s="2">
        <f>ReviewCalcs[[#This Row],[Incentive Total Demand Savings (kW)]]</f>
        <v>0</v>
      </c>
      <c r="J187" s="3">
        <f>ProjectInput[[#This Row],[Energy Cost Savings ($)]]</f>
        <v>0</v>
      </c>
      <c r="K187" s="3">
        <f>ProjectInput[[#This Row],[Incentive ($)]]</f>
        <v>0</v>
      </c>
      <c r="L187" s="13">
        <f t="shared" si="3"/>
        <v>0</v>
      </c>
      <c r="M187" s="3"/>
      <c r="N187" s="3"/>
      <c r="O187" s="3"/>
      <c r="P187" s="3"/>
      <c r="Q187" s="3"/>
      <c r="R187" s="3"/>
      <c r="S187" s="3"/>
      <c r="T187" s="2"/>
      <c r="U187" s="133">
        <f>ProjectInput[[#This Row],[Location]]</f>
        <v>0</v>
      </c>
      <c r="V187" s="278">
        <f>ProjectInput[[#This Row],[Existing Fixture Code]]</f>
        <v>0</v>
      </c>
      <c r="W187"/>
      <c r="X187"/>
      <c r="Y187"/>
      <c r="Z187"/>
      <c r="AA187"/>
      <c r="AB187"/>
      <c r="AC187"/>
      <c r="AD187"/>
      <c r="AE187"/>
      <c r="AF187"/>
      <c r="AG187"/>
      <c r="AH187"/>
      <c r="AI187"/>
      <c r="AJ187"/>
      <c r="AK187"/>
      <c r="AL187"/>
      <c r="AM187"/>
      <c r="AN187"/>
      <c r="AO187"/>
    </row>
    <row r="188" spans="1:41" ht="15" customHeight="1">
      <c r="A188" s="2">
        <v>185</v>
      </c>
      <c r="B188" s="2"/>
      <c r="C188" s="3">
        <f>ProjectInput[[#This Row],[Retrofit Cost]]</f>
        <v>0</v>
      </c>
      <c r="D188" s="2">
        <f>ProjectInput[[#This Row],[Proposed Fixture Quantity]]</f>
        <v>0</v>
      </c>
      <c r="E188" s="2" t="str">
        <f>CONCATENATE("Replace ", ReviewCalcs[[#This Row],[Existing Fixture Code]], " with ", ReviewCalcs[[#This Row],[Proposed Fixture Code]])</f>
        <v>Replace 0 with 0</v>
      </c>
      <c r="F188" s="2">
        <f>ReviewCalcs[[#This Row],[Measure Type]]</f>
        <v>0</v>
      </c>
      <c r="G188" s="2" t="str">
        <f>IF(Instructions!$F$25="Post-Retrofit","Completed","Recommended")</f>
        <v>Recommended</v>
      </c>
      <c r="H188" s="4">
        <f>ReviewCalcs[[#This Row],[Incentive Total Energy Savings (kWh)]]</f>
        <v>0</v>
      </c>
      <c r="I188" s="2">
        <f>ReviewCalcs[[#This Row],[Incentive Total Demand Savings (kW)]]</f>
        <v>0</v>
      </c>
      <c r="J188" s="3">
        <f>ProjectInput[[#This Row],[Energy Cost Savings ($)]]</f>
        <v>0</v>
      </c>
      <c r="K188" s="3">
        <f>ProjectInput[[#This Row],[Incentive ($)]]</f>
        <v>0</v>
      </c>
      <c r="L188" s="13">
        <f t="shared" si="3"/>
        <v>0</v>
      </c>
      <c r="M188" s="3"/>
      <c r="N188" s="3"/>
      <c r="O188" s="3"/>
      <c r="P188" s="3"/>
      <c r="Q188" s="3"/>
      <c r="R188" s="3"/>
      <c r="S188" s="3"/>
      <c r="T188" s="2"/>
      <c r="U188" s="133">
        <f>ProjectInput[[#This Row],[Location]]</f>
        <v>0</v>
      </c>
      <c r="V188" s="278">
        <f>ProjectInput[[#This Row],[Existing Fixture Code]]</f>
        <v>0</v>
      </c>
      <c r="W188"/>
      <c r="X188"/>
      <c r="Y188"/>
      <c r="Z188"/>
      <c r="AA188"/>
      <c r="AB188"/>
      <c r="AC188"/>
      <c r="AD188"/>
      <c r="AE188"/>
      <c r="AF188"/>
      <c r="AG188"/>
      <c r="AH188"/>
      <c r="AI188"/>
      <c r="AJ188"/>
      <c r="AK188"/>
      <c r="AL188"/>
      <c r="AM188"/>
      <c r="AN188"/>
      <c r="AO188"/>
    </row>
    <row r="189" spans="1:41" ht="15" customHeight="1">
      <c r="A189" s="2">
        <v>186</v>
      </c>
      <c r="B189" s="2"/>
      <c r="C189" s="3">
        <f>ProjectInput[[#This Row],[Retrofit Cost]]</f>
        <v>0</v>
      </c>
      <c r="D189" s="2">
        <f>ProjectInput[[#This Row],[Proposed Fixture Quantity]]</f>
        <v>0</v>
      </c>
      <c r="E189" s="2" t="str">
        <f>CONCATENATE("Replace ", ReviewCalcs[[#This Row],[Existing Fixture Code]], " with ", ReviewCalcs[[#This Row],[Proposed Fixture Code]])</f>
        <v>Replace 0 with 0</v>
      </c>
      <c r="F189" s="2">
        <f>ReviewCalcs[[#This Row],[Measure Type]]</f>
        <v>0</v>
      </c>
      <c r="G189" s="2" t="str">
        <f>IF(Instructions!$F$25="Post-Retrofit","Completed","Recommended")</f>
        <v>Recommended</v>
      </c>
      <c r="H189" s="4">
        <f>ReviewCalcs[[#This Row],[Incentive Total Energy Savings (kWh)]]</f>
        <v>0</v>
      </c>
      <c r="I189" s="2">
        <f>ReviewCalcs[[#This Row],[Incentive Total Demand Savings (kW)]]</f>
        <v>0</v>
      </c>
      <c r="J189" s="3">
        <f>ProjectInput[[#This Row],[Energy Cost Savings ($)]]</f>
        <v>0</v>
      </c>
      <c r="K189" s="3">
        <f>ProjectInput[[#This Row],[Incentive ($)]]</f>
        <v>0</v>
      </c>
      <c r="L189" s="13">
        <f t="shared" si="3"/>
        <v>0</v>
      </c>
      <c r="M189" s="3"/>
      <c r="N189" s="3"/>
      <c r="O189" s="3"/>
      <c r="P189" s="3"/>
      <c r="Q189" s="3"/>
      <c r="R189" s="3"/>
      <c r="S189" s="3"/>
      <c r="T189" s="2"/>
      <c r="U189" s="133">
        <f>ProjectInput[[#This Row],[Location]]</f>
        <v>0</v>
      </c>
      <c r="V189" s="278">
        <f>ProjectInput[[#This Row],[Existing Fixture Code]]</f>
        <v>0</v>
      </c>
      <c r="W189"/>
      <c r="X189"/>
      <c r="Y189"/>
      <c r="Z189"/>
      <c r="AA189"/>
      <c r="AB189"/>
      <c r="AC189"/>
      <c r="AD189"/>
      <c r="AE189"/>
      <c r="AF189"/>
      <c r="AG189"/>
      <c r="AH189"/>
      <c r="AI189"/>
      <c r="AJ189"/>
      <c r="AK189"/>
      <c r="AL189"/>
      <c r="AM189"/>
      <c r="AN189"/>
      <c r="AO189"/>
    </row>
    <row r="190" spans="1:41" ht="15" customHeight="1">
      <c r="A190" s="2">
        <v>187</v>
      </c>
      <c r="B190" s="2"/>
      <c r="C190" s="3">
        <f>ProjectInput[[#This Row],[Retrofit Cost]]</f>
        <v>0</v>
      </c>
      <c r="D190" s="2">
        <f>ProjectInput[[#This Row],[Proposed Fixture Quantity]]</f>
        <v>0</v>
      </c>
      <c r="E190" s="2" t="str">
        <f>CONCATENATE("Replace ", ReviewCalcs[[#This Row],[Existing Fixture Code]], " with ", ReviewCalcs[[#This Row],[Proposed Fixture Code]])</f>
        <v>Replace 0 with 0</v>
      </c>
      <c r="F190" s="2">
        <f>ReviewCalcs[[#This Row],[Measure Type]]</f>
        <v>0</v>
      </c>
      <c r="G190" s="2" t="str">
        <f>IF(Instructions!$F$25="Post-Retrofit","Completed","Recommended")</f>
        <v>Recommended</v>
      </c>
      <c r="H190" s="4">
        <f>ReviewCalcs[[#This Row],[Incentive Total Energy Savings (kWh)]]</f>
        <v>0</v>
      </c>
      <c r="I190" s="2">
        <f>ReviewCalcs[[#This Row],[Incentive Total Demand Savings (kW)]]</f>
        <v>0</v>
      </c>
      <c r="J190" s="3">
        <f>ProjectInput[[#This Row],[Energy Cost Savings ($)]]</f>
        <v>0</v>
      </c>
      <c r="K190" s="3">
        <f>ProjectInput[[#This Row],[Incentive ($)]]</f>
        <v>0</v>
      </c>
      <c r="L190" s="13">
        <f t="shared" si="3"/>
        <v>0</v>
      </c>
      <c r="M190" s="3"/>
      <c r="N190" s="3"/>
      <c r="O190" s="3"/>
      <c r="P190" s="3"/>
      <c r="Q190" s="3"/>
      <c r="R190" s="3"/>
      <c r="S190" s="3"/>
      <c r="T190" s="2"/>
      <c r="U190" s="133">
        <f>ProjectInput[[#This Row],[Location]]</f>
        <v>0</v>
      </c>
      <c r="V190" s="278">
        <f>ProjectInput[[#This Row],[Existing Fixture Code]]</f>
        <v>0</v>
      </c>
      <c r="W190"/>
      <c r="X190"/>
      <c r="Y190"/>
      <c r="Z190"/>
      <c r="AA190"/>
      <c r="AB190"/>
      <c r="AC190"/>
      <c r="AD190"/>
      <c r="AE190"/>
      <c r="AF190"/>
      <c r="AG190"/>
      <c r="AH190"/>
      <c r="AI190"/>
      <c r="AJ190"/>
      <c r="AK190"/>
      <c r="AL190"/>
      <c r="AM190"/>
      <c r="AN190"/>
      <c r="AO190"/>
    </row>
    <row r="191" spans="1:41" ht="15" customHeight="1">
      <c r="A191" s="2">
        <v>188</v>
      </c>
      <c r="B191" s="2"/>
      <c r="C191" s="3">
        <f>ProjectInput[[#This Row],[Retrofit Cost]]</f>
        <v>0</v>
      </c>
      <c r="D191" s="2">
        <f>ProjectInput[[#This Row],[Proposed Fixture Quantity]]</f>
        <v>0</v>
      </c>
      <c r="E191" s="2" t="str">
        <f>CONCATENATE("Replace ", ReviewCalcs[[#This Row],[Existing Fixture Code]], " with ", ReviewCalcs[[#This Row],[Proposed Fixture Code]])</f>
        <v>Replace 0 with 0</v>
      </c>
      <c r="F191" s="2">
        <f>ReviewCalcs[[#This Row],[Measure Type]]</f>
        <v>0</v>
      </c>
      <c r="G191" s="2" t="str">
        <f>IF(Instructions!$F$25="Post-Retrofit","Completed","Recommended")</f>
        <v>Recommended</v>
      </c>
      <c r="H191" s="4">
        <f>ReviewCalcs[[#This Row],[Incentive Total Energy Savings (kWh)]]</f>
        <v>0</v>
      </c>
      <c r="I191" s="2">
        <f>ReviewCalcs[[#This Row],[Incentive Total Demand Savings (kW)]]</f>
        <v>0</v>
      </c>
      <c r="J191" s="3">
        <f>ProjectInput[[#This Row],[Energy Cost Savings ($)]]</f>
        <v>0</v>
      </c>
      <c r="K191" s="3">
        <f>ProjectInput[[#This Row],[Incentive ($)]]</f>
        <v>0</v>
      </c>
      <c r="L191" s="13">
        <f t="shared" si="3"/>
        <v>0</v>
      </c>
      <c r="M191" s="3"/>
      <c r="N191" s="3"/>
      <c r="O191" s="3"/>
      <c r="P191" s="3"/>
      <c r="Q191" s="3"/>
      <c r="R191" s="3"/>
      <c r="S191" s="3"/>
      <c r="T191" s="2"/>
      <c r="U191" s="133">
        <f>ProjectInput[[#This Row],[Location]]</f>
        <v>0</v>
      </c>
      <c r="V191" s="278">
        <f>ProjectInput[[#This Row],[Existing Fixture Code]]</f>
        <v>0</v>
      </c>
      <c r="W191"/>
      <c r="X191"/>
      <c r="Y191"/>
      <c r="Z191"/>
      <c r="AA191"/>
      <c r="AB191"/>
      <c r="AC191"/>
      <c r="AD191"/>
      <c r="AE191"/>
      <c r="AF191"/>
      <c r="AG191"/>
      <c r="AH191"/>
      <c r="AI191"/>
      <c r="AJ191"/>
      <c r="AK191"/>
      <c r="AL191"/>
      <c r="AM191"/>
      <c r="AN191"/>
      <c r="AO191"/>
    </row>
    <row r="192" spans="1:41" ht="15" customHeight="1">
      <c r="A192" s="2">
        <v>189</v>
      </c>
      <c r="B192" s="2"/>
      <c r="C192" s="3">
        <f>ProjectInput[[#This Row],[Retrofit Cost]]</f>
        <v>0</v>
      </c>
      <c r="D192" s="2">
        <f>ProjectInput[[#This Row],[Proposed Fixture Quantity]]</f>
        <v>0</v>
      </c>
      <c r="E192" s="2" t="str">
        <f>CONCATENATE("Replace ", ReviewCalcs[[#This Row],[Existing Fixture Code]], " with ", ReviewCalcs[[#This Row],[Proposed Fixture Code]])</f>
        <v>Replace 0 with 0</v>
      </c>
      <c r="F192" s="2">
        <f>ReviewCalcs[[#This Row],[Measure Type]]</f>
        <v>0</v>
      </c>
      <c r="G192" s="2" t="str">
        <f>IF(Instructions!$F$25="Post-Retrofit","Completed","Recommended")</f>
        <v>Recommended</v>
      </c>
      <c r="H192" s="4">
        <f>ReviewCalcs[[#This Row],[Incentive Total Energy Savings (kWh)]]</f>
        <v>0</v>
      </c>
      <c r="I192" s="2">
        <f>ReviewCalcs[[#This Row],[Incentive Total Demand Savings (kW)]]</f>
        <v>0</v>
      </c>
      <c r="J192" s="3">
        <f>ProjectInput[[#This Row],[Energy Cost Savings ($)]]</f>
        <v>0</v>
      </c>
      <c r="K192" s="3">
        <f>ProjectInput[[#This Row],[Incentive ($)]]</f>
        <v>0</v>
      </c>
      <c r="L192" s="13">
        <f t="shared" si="3"/>
        <v>0</v>
      </c>
      <c r="M192" s="3"/>
      <c r="N192" s="3"/>
      <c r="O192" s="3"/>
      <c r="P192" s="3"/>
      <c r="Q192" s="3"/>
      <c r="R192" s="3"/>
      <c r="S192" s="3"/>
      <c r="T192" s="2"/>
      <c r="U192" s="133">
        <f>ProjectInput[[#This Row],[Location]]</f>
        <v>0</v>
      </c>
      <c r="V192" s="278">
        <f>ProjectInput[[#This Row],[Existing Fixture Code]]</f>
        <v>0</v>
      </c>
      <c r="W192"/>
      <c r="X192"/>
      <c r="Y192"/>
      <c r="Z192"/>
      <c r="AA192"/>
      <c r="AB192"/>
      <c r="AC192"/>
      <c r="AD192"/>
      <c r="AE192"/>
      <c r="AF192"/>
      <c r="AG192"/>
      <c r="AH192"/>
      <c r="AI192"/>
      <c r="AJ192"/>
      <c r="AK192"/>
      <c r="AL192"/>
      <c r="AM192"/>
      <c r="AN192"/>
      <c r="AO192"/>
    </row>
    <row r="193" spans="1:41" ht="15" customHeight="1">
      <c r="A193" s="2">
        <v>190</v>
      </c>
      <c r="B193" s="2"/>
      <c r="C193" s="3">
        <f>ProjectInput[[#This Row],[Retrofit Cost]]</f>
        <v>0</v>
      </c>
      <c r="D193" s="2">
        <f>ProjectInput[[#This Row],[Proposed Fixture Quantity]]</f>
        <v>0</v>
      </c>
      <c r="E193" s="2" t="str">
        <f>CONCATENATE("Replace ", ReviewCalcs[[#This Row],[Existing Fixture Code]], " with ", ReviewCalcs[[#This Row],[Proposed Fixture Code]])</f>
        <v>Replace 0 with 0</v>
      </c>
      <c r="F193" s="2">
        <f>ReviewCalcs[[#This Row],[Measure Type]]</f>
        <v>0</v>
      </c>
      <c r="G193" s="2" t="str">
        <f>IF(Instructions!$F$25="Post-Retrofit","Completed","Recommended")</f>
        <v>Recommended</v>
      </c>
      <c r="H193" s="4">
        <f>ReviewCalcs[[#This Row],[Incentive Total Energy Savings (kWh)]]</f>
        <v>0</v>
      </c>
      <c r="I193" s="2">
        <f>ReviewCalcs[[#This Row],[Incentive Total Demand Savings (kW)]]</f>
        <v>0</v>
      </c>
      <c r="J193" s="3">
        <f>ProjectInput[[#This Row],[Energy Cost Savings ($)]]</f>
        <v>0</v>
      </c>
      <c r="K193" s="3">
        <f>ProjectInput[[#This Row],[Incentive ($)]]</f>
        <v>0</v>
      </c>
      <c r="L193" s="13">
        <f t="shared" si="3"/>
        <v>0</v>
      </c>
      <c r="M193" s="3"/>
      <c r="N193" s="3"/>
      <c r="O193" s="3"/>
      <c r="P193" s="3"/>
      <c r="Q193" s="3"/>
      <c r="R193" s="3"/>
      <c r="S193" s="3"/>
      <c r="T193" s="2"/>
      <c r="U193" s="133">
        <f>ProjectInput[[#This Row],[Location]]</f>
        <v>0</v>
      </c>
      <c r="V193" s="278">
        <f>ProjectInput[[#This Row],[Existing Fixture Code]]</f>
        <v>0</v>
      </c>
      <c r="W193"/>
      <c r="X193"/>
      <c r="Y193"/>
      <c r="Z193"/>
      <c r="AA193"/>
      <c r="AB193"/>
      <c r="AC193"/>
      <c r="AD193"/>
      <c r="AE193"/>
      <c r="AF193"/>
      <c r="AG193"/>
      <c r="AH193"/>
      <c r="AI193"/>
      <c r="AJ193"/>
      <c r="AK193"/>
      <c r="AL193"/>
      <c r="AM193"/>
      <c r="AN193"/>
      <c r="AO193"/>
    </row>
    <row r="194" spans="1:41" ht="15" customHeight="1">
      <c r="A194" s="2">
        <v>191</v>
      </c>
      <c r="B194" s="2"/>
      <c r="C194" s="3">
        <f>ProjectInput[[#This Row],[Retrofit Cost]]</f>
        <v>0</v>
      </c>
      <c r="D194" s="2">
        <f>ProjectInput[[#This Row],[Proposed Fixture Quantity]]</f>
        <v>0</v>
      </c>
      <c r="E194" s="2" t="str">
        <f>CONCATENATE("Replace ", ReviewCalcs[[#This Row],[Existing Fixture Code]], " with ", ReviewCalcs[[#This Row],[Proposed Fixture Code]])</f>
        <v>Replace 0 with 0</v>
      </c>
      <c r="F194" s="2">
        <f>ReviewCalcs[[#This Row],[Measure Type]]</f>
        <v>0</v>
      </c>
      <c r="G194" s="2" t="str">
        <f>IF(Instructions!$F$25="Post-Retrofit","Completed","Recommended")</f>
        <v>Recommended</v>
      </c>
      <c r="H194" s="4">
        <f>ReviewCalcs[[#This Row],[Incentive Total Energy Savings (kWh)]]</f>
        <v>0</v>
      </c>
      <c r="I194" s="2">
        <f>ReviewCalcs[[#This Row],[Incentive Total Demand Savings (kW)]]</f>
        <v>0</v>
      </c>
      <c r="J194" s="3">
        <f>ProjectInput[[#This Row],[Energy Cost Savings ($)]]</f>
        <v>0</v>
      </c>
      <c r="K194" s="3">
        <f>ProjectInput[[#This Row],[Incentive ($)]]</f>
        <v>0</v>
      </c>
      <c r="L194" s="13">
        <f t="shared" si="3"/>
        <v>0</v>
      </c>
      <c r="M194" s="3"/>
      <c r="N194" s="3"/>
      <c r="O194" s="3"/>
      <c r="P194" s="3"/>
      <c r="Q194" s="3"/>
      <c r="R194" s="3"/>
      <c r="S194" s="3"/>
      <c r="T194" s="2"/>
      <c r="U194" s="133">
        <f>ProjectInput[[#This Row],[Location]]</f>
        <v>0</v>
      </c>
      <c r="V194" s="278">
        <f>ProjectInput[[#This Row],[Existing Fixture Code]]</f>
        <v>0</v>
      </c>
      <c r="W194"/>
      <c r="X194"/>
      <c r="Y194"/>
      <c r="Z194"/>
      <c r="AA194"/>
      <c r="AB194"/>
      <c r="AC194"/>
      <c r="AD194"/>
      <c r="AE194"/>
      <c r="AF194"/>
      <c r="AG194"/>
      <c r="AH194"/>
      <c r="AI194"/>
      <c r="AJ194"/>
      <c r="AK194"/>
      <c r="AL194"/>
      <c r="AM194"/>
      <c r="AN194"/>
      <c r="AO194"/>
    </row>
    <row r="195" spans="1:41" ht="15" customHeight="1">
      <c r="A195" s="2">
        <v>192</v>
      </c>
      <c r="B195" s="2"/>
      <c r="C195" s="3">
        <f>ProjectInput[[#This Row],[Retrofit Cost]]</f>
        <v>0</v>
      </c>
      <c r="D195" s="2">
        <f>ProjectInput[[#This Row],[Proposed Fixture Quantity]]</f>
        <v>0</v>
      </c>
      <c r="E195" s="2" t="str">
        <f>CONCATENATE("Replace ", ReviewCalcs[[#This Row],[Existing Fixture Code]], " with ", ReviewCalcs[[#This Row],[Proposed Fixture Code]])</f>
        <v>Replace 0 with 0</v>
      </c>
      <c r="F195" s="2">
        <f>ReviewCalcs[[#This Row],[Measure Type]]</f>
        <v>0</v>
      </c>
      <c r="G195" s="2" t="str">
        <f>IF(Instructions!$F$25="Post-Retrofit","Completed","Recommended")</f>
        <v>Recommended</v>
      </c>
      <c r="H195" s="4">
        <f>ReviewCalcs[[#This Row],[Incentive Total Energy Savings (kWh)]]</f>
        <v>0</v>
      </c>
      <c r="I195" s="2">
        <f>ReviewCalcs[[#This Row],[Incentive Total Demand Savings (kW)]]</f>
        <v>0</v>
      </c>
      <c r="J195" s="3">
        <f>ProjectInput[[#This Row],[Energy Cost Savings ($)]]</f>
        <v>0</v>
      </c>
      <c r="K195" s="3">
        <f>ProjectInput[[#This Row],[Incentive ($)]]</f>
        <v>0</v>
      </c>
      <c r="L195" s="13">
        <f t="shared" si="3"/>
        <v>0</v>
      </c>
      <c r="M195" s="3"/>
      <c r="N195" s="3"/>
      <c r="O195" s="3"/>
      <c r="P195" s="3"/>
      <c r="Q195" s="3"/>
      <c r="R195" s="3"/>
      <c r="S195" s="3"/>
      <c r="T195" s="2"/>
      <c r="U195" s="133">
        <f>ProjectInput[[#This Row],[Location]]</f>
        <v>0</v>
      </c>
      <c r="V195" s="278">
        <f>ProjectInput[[#This Row],[Existing Fixture Code]]</f>
        <v>0</v>
      </c>
      <c r="W195"/>
      <c r="X195"/>
      <c r="Y195"/>
      <c r="Z195"/>
      <c r="AA195"/>
      <c r="AB195"/>
      <c r="AC195"/>
      <c r="AD195"/>
      <c r="AE195"/>
      <c r="AF195"/>
      <c r="AG195"/>
      <c r="AH195"/>
      <c r="AI195"/>
      <c r="AJ195"/>
      <c r="AK195"/>
      <c r="AL195"/>
      <c r="AM195"/>
      <c r="AN195"/>
      <c r="AO195"/>
    </row>
    <row r="196" spans="1:41" ht="15" customHeight="1">
      <c r="A196" s="2">
        <v>193</v>
      </c>
      <c r="B196" s="2"/>
      <c r="C196" s="3">
        <f>ProjectInput[[#This Row],[Retrofit Cost]]</f>
        <v>0</v>
      </c>
      <c r="D196" s="2">
        <f>ProjectInput[[#This Row],[Proposed Fixture Quantity]]</f>
        <v>0</v>
      </c>
      <c r="E196" s="2" t="str">
        <f>CONCATENATE("Replace ", ReviewCalcs[[#This Row],[Existing Fixture Code]], " with ", ReviewCalcs[[#This Row],[Proposed Fixture Code]])</f>
        <v>Replace 0 with 0</v>
      </c>
      <c r="F196" s="2">
        <f>ReviewCalcs[[#This Row],[Measure Type]]</f>
        <v>0</v>
      </c>
      <c r="G196" s="2" t="str">
        <f>IF(Instructions!$F$25="Post-Retrofit","Completed","Recommended")</f>
        <v>Recommended</v>
      </c>
      <c r="H196" s="4">
        <f>ReviewCalcs[[#This Row],[Incentive Total Energy Savings (kWh)]]</f>
        <v>0</v>
      </c>
      <c r="I196" s="2">
        <f>ReviewCalcs[[#This Row],[Incentive Total Demand Savings (kW)]]</f>
        <v>0</v>
      </c>
      <c r="J196" s="3">
        <f>ProjectInput[[#This Row],[Energy Cost Savings ($)]]</f>
        <v>0</v>
      </c>
      <c r="K196" s="3">
        <f>ProjectInput[[#This Row],[Incentive ($)]]</f>
        <v>0</v>
      </c>
      <c r="L196" s="13">
        <f t="shared" si="3"/>
        <v>0</v>
      </c>
      <c r="M196" s="3"/>
      <c r="N196" s="3"/>
      <c r="O196" s="3"/>
      <c r="P196" s="3"/>
      <c r="Q196" s="3"/>
      <c r="R196" s="3"/>
      <c r="S196" s="3"/>
      <c r="T196" s="2"/>
      <c r="U196" s="133">
        <f>ProjectInput[[#This Row],[Location]]</f>
        <v>0</v>
      </c>
      <c r="V196" s="278">
        <f>ProjectInput[[#This Row],[Existing Fixture Code]]</f>
        <v>0</v>
      </c>
      <c r="W196"/>
      <c r="X196"/>
      <c r="Y196"/>
      <c r="Z196"/>
      <c r="AA196"/>
      <c r="AB196"/>
      <c r="AC196"/>
      <c r="AD196"/>
      <c r="AE196"/>
      <c r="AF196"/>
      <c r="AG196"/>
      <c r="AH196"/>
      <c r="AI196"/>
      <c r="AJ196"/>
      <c r="AK196"/>
      <c r="AL196"/>
      <c r="AM196"/>
      <c r="AN196"/>
      <c r="AO196"/>
    </row>
    <row r="197" spans="1:41" ht="15" customHeight="1">
      <c r="A197" s="2">
        <v>194</v>
      </c>
      <c r="B197" s="2"/>
      <c r="C197" s="3">
        <f>ProjectInput[[#This Row],[Retrofit Cost]]</f>
        <v>0</v>
      </c>
      <c r="D197" s="2">
        <f>ProjectInput[[#This Row],[Proposed Fixture Quantity]]</f>
        <v>0</v>
      </c>
      <c r="E197" s="2" t="str">
        <f>CONCATENATE("Replace ", ReviewCalcs[[#This Row],[Existing Fixture Code]], " with ", ReviewCalcs[[#This Row],[Proposed Fixture Code]])</f>
        <v>Replace 0 with 0</v>
      </c>
      <c r="F197" s="2">
        <f>ReviewCalcs[[#This Row],[Measure Type]]</f>
        <v>0</v>
      </c>
      <c r="G197" s="2" t="str">
        <f>IF(Instructions!$F$25="Post-Retrofit","Completed","Recommended")</f>
        <v>Recommended</v>
      </c>
      <c r="H197" s="4">
        <f>ReviewCalcs[[#This Row],[Incentive Total Energy Savings (kWh)]]</f>
        <v>0</v>
      </c>
      <c r="I197" s="2">
        <f>ReviewCalcs[[#This Row],[Incentive Total Demand Savings (kW)]]</f>
        <v>0</v>
      </c>
      <c r="J197" s="3">
        <f>ProjectInput[[#This Row],[Energy Cost Savings ($)]]</f>
        <v>0</v>
      </c>
      <c r="K197" s="3">
        <f>ProjectInput[[#This Row],[Incentive ($)]]</f>
        <v>0</v>
      </c>
      <c r="L197" s="13">
        <f t="shared" si="3"/>
        <v>0</v>
      </c>
      <c r="M197" s="3"/>
      <c r="N197" s="3"/>
      <c r="O197" s="3"/>
      <c r="P197" s="3"/>
      <c r="Q197" s="3"/>
      <c r="R197" s="3"/>
      <c r="S197" s="3"/>
      <c r="T197" s="2"/>
      <c r="U197" s="133">
        <f>ProjectInput[[#This Row],[Location]]</f>
        <v>0</v>
      </c>
      <c r="V197" s="278">
        <f>ProjectInput[[#This Row],[Existing Fixture Code]]</f>
        <v>0</v>
      </c>
      <c r="W197"/>
      <c r="X197"/>
      <c r="Y197"/>
      <c r="Z197"/>
      <c r="AA197"/>
      <c r="AB197"/>
      <c r="AC197"/>
      <c r="AD197"/>
      <c r="AE197"/>
      <c r="AF197"/>
      <c r="AG197"/>
      <c r="AH197"/>
      <c r="AI197"/>
      <c r="AJ197"/>
      <c r="AK197"/>
      <c r="AL197"/>
      <c r="AM197"/>
      <c r="AN197"/>
      <c r="AO197"/>
    </row>
    <row r="198" spans="1:41" ht="15" customHeight="1">
      <c r="A198" s="2">
        <v>195</v>
      </c>
      <c r="B198" s="2"/>
      <c r="C198" s="3">
        <f>ProjectInput[[#This Row],[Retrofit Cost]]</f>
        <v>0</v>
      </c>
      <c r="D198" s="2">
        <f>ProjectInput[[#This Row],[Proposed Fixture Quantity]]</f>
        <v>0</v>
      </c>
      <c r="E198" s="2" t="str">
        <f>CONCATENATE("Replace ", ReviewCalcs[[#This Row],[Existing Fixture Code]], " with ", ReviewCalcs[[#This Row],[Proposed Fixture Code]])</f>
        <v>Replace 0 with 0</v>
      </c>
      <c r="F198" s="2">
        <f>ReviewCalcs[[#This Row],[Measure Type]]</f>
        <v>0</v>
      </c>
      <c r="G198" s="2" t="str">
        <f>IF(Instructions!$F$25="Post-Retrofit","Completed","Recommended")</f>
        <v>Recommended</v>
      </c>
      <c r="H198" s="4">
        <f>ReviewCalcs[[#This Row],[Incentive Total Energy Savings (kWh)]]</f>
        <v>0</v>
      </c>
      <c r="I198" s="2">
        <f>ReviewCalcs[[#This Row],[Incentive Total Demand Savings (kW)]]</f>
        <v>0</v>
      </c>
      <c r="J198" s="3">
        <f>ProjectInput[[#This Row],[Energy Cost Savings ($)]]</f>
        <v>0</v>
      </c>
      <c r="K198" s="3">
        <f>ProjectInput[[#This Row],[Incentive ($)]]</f>
        <v>0</v>
      </c>
      <c r="L198" s="13">
        <f t="shared" si="3"/>
        <v>0</v>
      </c>
      <c r="M198" s="3"/>
      <c r="N198" s="3"/>
      <c r="O198" s="3"/>
      <c r="P198" s="3"/>
      <c r="Q198" s="3"/>
      <c r="R198" s="3"/>
      <c r="S198" s="3"/>
      <c r="T198" s="2"/>
      <c r="U198" s="133">
        <f>ProjectInput[[#This Row],[Location]]</f>
        <v>0</v>
      </c>
      <c r="V198" s="278">
        <f>ProjectInput[[#This Row],[Existing Fixture Code]]</f>
        <v>0</v>
      </c>
      <c r="W198"/>
      <c r="X198"/>
      <c r="Y198"/>
      <c r="Z198"/>
      <c r="AA198"/>
      <c r="AB198"/>
      <c r="AC198"/>
      <c r="AD198"/>
      <c r="AE198"/>
      <c r="AF198"/>
      <c r="AG198"/>
      <c r="AH198"/>
      <c r="AI198"/>
      <c r="AJ198"/>
      <c r="AK198"/>
      <c r="AL198"/>
      <c r="AM198"/>
      <c r="AN198"/>
      <c r="AO198"/>
    </row>
    <row r="199" spans="1:41" ht="15" customHeight="1">
      <c r="A199" s="2">
        <v>196</v>
      </c>
      <c r="B199" s="2"/>
      <c r="C199" s="3">
        <f>ProjectInput[[#This Row],[Retrofit Cost]]</f>
        <v>0</v>
      </c>
      <c r="D199" s="2">
        <f>ProjectInput[[#This Row],[Proposed Fixture Quantity]]</f>
        <v>0</v>
      </c>
      <c r="E199" s="2" t="str">
        <f>CONCATENATE("Replace ", ReviewCalcs[[#This Row],[Existing Fixture Code]], " with ", ReviewCalcs[[#This Row],[Proposed Fixture Code]])</f>
        <v>Replace 0 with 0</v>
      </c>
      <c r="F199" s="2">
        <f>ReviewCalcs[[#This Row],[Measure Type]]</f>
        <v>0</v>
      </c>
      <c r="G199" s="2" t="str">
        <f>IF(Instructions!$F$25="Post-Retrofit","Completed","Recommended")</f>
        <v>Recommended</v>
      </c>
      <c r="H199" s="4">
        <f>ReviewCalcs[[#This Row],[Incentive Total Energy Savings (kWh)]]</f>
        <v>0</v>
      </c>
      <c r="I199" s="2">
        <f>ReviewCalcs[[#This Row],[Incentive Total Demand Savings (kW)]]</f>
        <v>0</v>
      </c>
      <c r="J199" s="3">
        <f>ProjectInput[[#This Row],[Energy Cost Savings ($)]]</f>
        <v>0</v>
      </c>
      <c r="K199" s="3">
        <f>ProjectInput[[#This Row],[Incentive ($)]]</f>
        <v>0</v>
      </c>
      <c r="L199" s="13">
        <f t="shared" si="3"/>
        <v>0</v>
      </c>
      <c r="M199" s="3"/>
      <c r="N199" s="3"/>
      <c r="O199" s="3"/>
      <c r="P199" s="3"/>
      <c r="Q199" s="3"/>
      <c r="R199" s="3"/>
      <c r="S199" s="3"/>
      <c r="T199" s="2"/>
      <c r="U199" s="133">
        <f>ProjectInput[[#This Row],[Location]]</f>
        <v>0</v>
      </c>
      <c r="V199" s="278">
        <f>ProjectInput[[#This Row],[Existing Fixture Code]]</f>
        <v>0</v>
      </c>
      <c r="W199"/>
      <c r="X199"/>
      <c r="Y199"/>
      <c r="Z199"/>
      <c r="AA199"/>
      <c r="AB199"/>
      <c r="AC199"/>
      <c r="AD199"/>
      <c r="AE199"/>
      <c r="AF199"/>
      <c r="AG199"/>
      <c r="AH199"/>
      <c r="AI199"/>
      <c r="AJ199"/>
      <c r="AK199"/>
      <c r="AL199"/>
      <c r="AM199"/>
      <c r="AN199"/>
      <c r="AO199"/>
    </row>
    <row r="200" spans="1:41" ht="15" customHeight="1">
      <c r="A200" s="2">
        <v>197</v>
      </c>
      <c r="B200" s="2"/>
      <c r="C200" s="3">
        <f>ProjectInput[[#This Row],[Retrofit Cost]]</f>
        <v>0</v>
      </c>
      <c r="D200" s="2">
        <f>ProjectInput[[#This Row],[Proposed Fixture Quantity]]</f>
        <v>0</v>
      </c>
      <c r="E200" s="2" t="str">
        <f>CONCATENATE("Replace ", ReviewCalcs[[#This Row],[Existing Fixture Code]], " with ", ReviewCalcs[[#This Row],[Proposed Fixture Code]])</f>
        <v>Replace 0 with 0</v>
      </c>
      <c r="F200" s="2">
        <f>ReviewCalcs[[#This Row],[Measure Type]]</f>
        <v>0</v>
      </c>
      <c r="G200" s="2" t="str">
        <f>IF(Instructions!$F$25="Post-Retrofit","Completed","Recommended")</f>
        <v>Recommended</v>
      </c>
      <c r="H200" s="4">
        <f>ReviewCalcs[[#This Row],[Incentive Total Energy Savings (kWh)]]</f>
        <v>0</v>
      </c>
      <c r="I200" s="2">
        <f>ReviewCalcs[[#This Row],[Incentive Total Demand Savings (kW)]]</f>
        <v>0</v>
      </c>
      <c r="J200" s="3">
        <f>ProjectInput[[#This Row],[Energy Cost Savings ($)]]</f>
        <v>0</v>
      </c>
      <c r="K200" s="3">
        <f>ProjectInput[[#This Row],[Incentive ($)]]</f>
        <v>0</v>
      </c>
      <c r="L200" s="13">
        <f t="shared" si="3"/>
        <v>0</v>
      </c>
      <c r="M200" s="3"/>
      <c r="N200" s="3"/>
      <c r="O200" s="3"/>
      <c r="P200" s="3"/>
      <c r="Q200" s="3"/>
      <c r="R200" s="3"/>
      <c r="S200" s="3"/>
      <c r="T200" s="2"/>
      <c r="U200" s="133">
        <f>ProjectInput[[#This Row],[Location]]</f>
        <v>0</v>
      </c>
      <c r="V200" s="278">
        <f>ProjectInput[[#This Row],[Existing Fixture Code]]</f>
        <v>0</v>
      </c>
      <c r="W200"/>
      <c r="X200"/>
      <c r="Y200"/>
      <c r="Z200"/>
      <c r="AA200"/>
      <c r="AB200"/>
      <c r="AC200"/>
      <c r="AD200"/>
      <c r="AE200"/>
      <c r="AF200"/>
      <c r="AG200"/>
      <c r="AH200"/>
      <c r="AI200"/>
      <c r="AJ200"/>
      <c r="AK200"/>
      <c r="AL200"/>
      <c r="AM200"/>
      <c r="AN200"/>
      <c r="AO200"/>
    </row>
    <row r="201" spans="1:41" ht="15" customHeight="1">
      <c r="A201" s="2">
        <v>198</v>
      </c>
      <c r="B201" s="2"/>
      <c r="C201" s="3">
        <f>ProjectInput[[#This Row],[Retrofit Cost]]</f>
        <v>0</v>
      </c>
      <c r="D201" s="2">
        <f>ProjectInput[[#This Row],[Proposed Fixture Quantity]]</f>
        <v>0</v>
      </c>
      <c r="E201" s="2" t="str">
        <f>CONCATENATE("Replace ", ReviewCalcs[[#This Row],[Existing Fixture Code]], " with ", ReviewCalcs[[#This Row],[Proposed Fixture Code]])</f>
        <v>Replace 0 with 0</v>
      </c>
      <c r="F201" s="2">
        <f>ReviewCalcs[[#This Row],[Measure Type]]</f>
        <v>0</v>
      </c>
      <c r="G201" s="2" t="str">
        <f>IF(Instructions!$F$25="Post-Retrofit","Completed","Recommended")</f>
        <v>Recommended</v>
      </c>
      <c r="H201" s="4">
        <f>ReviewCalcs[[#This Row],[Incentive Total Energy Savings (kWh)]]</f>
        <v>0</v>
      </c>
      <c r="I201" s="2">
        <f>ReviewCalcs[[#This Row],[Incentive Total Demand Savings (kW)]]</f>
        <v>0</v>
      </c>
      <c r="J201" s="3">
        <f>ProjectInput[[#This Row],[Energy Cost Savings ($)]]</f>
        <v>0</v>
      </c>
      <c r="K201" s="3">
        <f>ProjectInput[[#This Row],[Incentive ($)]]</f>
        <v>0</v>
      </c>
      <c r="L201" s="13">
        <f t="shared" si="3"/>
        <v>0</v>
      </c>
      <c r="M201" s="3"/>
      <c r="N201" s="3"/>
      <c r="O201" s="3"/>
      <c r="P201" s="3"/>
      <c r="Q201" s="3"/>
      <c r="R201" s="3"/>
      <c r="S201" s="3"/>
      <c r="T201" s="2"/>
      <c r="U201" s="133">
        <f>ProjectInput[[#This Row],[Location]]</f>
        <v>0</v>
      </c>
      <c r="V201" s="278">
        <f>ProjectInput[[#This Row],[Existing Fixture Code]]</f>
        <v>0</v>
      </c>
      <c r="W201"/>
      <c r="X201"/>
      <c r="Y201"/>
      <c r="Z201"/>
      <c r="AA201"/>
      <c r="AB201"/>
      <c r="AC201"/>
      <c r="AD201"/>
      <c r="AE201"/>
      <c r="AF201"/>
      <c r="AG201"/>
      <c r="AH201"/>
      <c r="AI201"/>
      <c r="AJ201"/>
      <c r="AK201"/>
      <c r="AL201"/>
      <c r="AM201"/>
      <c r="AN201"/>
      <c r="AO201"/>
    </row>
    <row r="202" spans="1:41" ht="15" customHeight="1">
      <c r="A202" s="2">
        <v>199</v>
      </c>
      <c r="B202" s="2"/>
      <c r="C202" s="3">
        <f>ProjectInput[[#This Row],[Retrofit Cost]]</f>
        <v>0</v>
      </c>
      <c r="D202" s="2">
        <f>ProjectInput[[#This Row],[Proposed Fixture Quantity]]</f>
        <v>0</v>
      </c>
      <c r="E202" s="2" t="str">
        <f>CONCATENATE("Replace ", ReviewCalcs[[#This Row],[Existing Fixture Code]], " with ", ReviewCalcs[[#This Row],[Proposed Fixture Code]])</f>
        <v>Replace 0 with 0</v>
      </c>
      <c r="F202" s="2">
        <f>ReviewCalcs[[#This Row],[Measure Type]]</f>
        <v>0</v>
      </c>
      <c r="G202" s="2" t="str">
        <f>IF(Instructions!$F$25="Post-Retrofit","Completed","Recommended")</f>
        <v>Recommended</v>
      </c>
      <c r="H202" s="4">
        <f>ReviewCalcs[[#This Row],[Incentive Total Energy Savings (kWh)]]</f>
        <v>0</v>
      </c>
      <c r="I202" s="2">
        <f>ReviewCalcs[[#This Row],[Incentive Total Demand Savings (kW)]]</f>
        <v>0</v>
      </c>
      <c r="J202" s="3">
        <f>ProjectInput[[#This Row],[Energy Cost Savings ($)]]</f>
        <v>0</v>
      </c>
      <c r="K202" s="3">
        <f>ProjectInput[[#This Row],[Incentive ($)]]</f>
        <v>0</v>
      </c>
      <c r="L202" s="13">
        <f t="shared" si="3"/>
        <v>0</v>
      </c>
      <c r="M202" s="3"/>
      <c r="N202" s="3"/>
      <c r="O202" s="3"/>
      <c r="P202" s="3"/>
      <c r="Q202" s="3"/>
      <c r="R202" s="3"/>
      <c r="S202" s="3"/>
      <c r="T202" s="2"/>
      <c r="U202" s="133">
        <f>ProjectInput[[#This Row],[Location]]</f>
        <v>0</v>
      </c>
      <c r="V202" s="278">
        <f>ProjectInput[[#This Row],[Existing Fixture Code]]</f>
        <v>0</v>
      </c>
      <c r="W202"/>
      <c r="X202"/>
      <c r="Y202"/>
      <c r="Z202"/>
      <c r="AA202"/>
      <c r="AB202"/>
      <c r="AC202"/>
      <c r="AD202"/>
      <c r="AE202"/>
      <c r="AF202"/>
      <c r="AG202"/>
      <c r="AH202"/>
      <c r="AI202"/>
      <c r="AJ202"/>
      <c r="AK202"/>
      <c r="AL202"/>
      <c r="AM202"/>
      <c r="AN202"/>
      <c r="AO202"/>
    </row>
    <row r="203" spans="1:41" ht="15" customHeight="1">
      <c r="A203" s="2">
        <v>200</v>
      </c>
      <c r="B203" s="2"/>
      <c r="C203" s="3">
        <f>ProjectInput[[#This Row],[Retrofit Cost]]</f>
        <v>0</v>
      </c>
      <c r="D203" s="2">
        <f>ProjectInput[[#This Row],[Proposed Fixture Quantity]]</f>
        <v>0</v>
      </c>
      <c r="E203" s="2" t="str">
        <f>CONCATENATE("Replace ", ReviewCalcs[[#This Row],[Existing Fixture Code]], " with ", ReviewCalcs[[#This Row],[Proposed Fixture Code]])</f>
        <v>Replace 0 with 0</v>
      </c>
      <c r="F203" s="2">
        <f>ReviewCalcs[[#This Row],[Measure Type]]</f>
        <v>0</v>
      </c>
      <c r="G203" s="2" t="str">
        <f>IF(Instructions!$F$25="Post-Retrofit","Completed","Recommended")</f>
        <v>Recommended</v>
      </c>
      <c r="H203" s="4">
        <f>ReviewCalcs[[#This Row],[Incentive Total Energy Savings (kWh)]]</f>
        <v>0</v>
      </c>
      <c r="I203" s="2">
        <f>ReviewCalcs[[#This Row],[Incentive Total Demand Savings (kW)]]</f>
        <v>0</v>
      </c>
      <c r="J203" s="3">
        <f>ProjectInput[[#This Row],[Energy Cost Savings ($)]]</f>
        <v>0</v>
      </c>
      <c r="K203" s="3">
        <f>ProjectInput[[#This Row],[Incentive ($)]]</f>
        <v>0</v>
      </c>
      <c r="L203" s="13">
        <f t="shared" si="3"/>
        <v>0</v>
      </c>
      <c r="M203" s="3"/>
      <c r="N203" s="3"/>
      <c r="O203" s="3"/>
      <c r="P203" s="3"/>
      <c r="Q203" s="3"/>
      <c r="R203" s="3"/>
      <c r="S203" s="3"/>
      <c r="T203" s="2"/>
      <c r="U203" s="133">
        <f>ProjectInput[[#This Row],[Location]]</f>
        <v>0</v>
      </c>
      <c r="V203" s="278">
        <f>ProjectInput[[#This Row],[Existing Fixture Code]]</f>
        <v>0</v>
      </c>
      <c r="W203"/>
      <c r="X203"/>
      <c r="Y203"/>
      <c r="Z203"/>
      <c r="AA203"/>
      <c r="AB203"/>
      <c r="AC203"/>
      <c r="AD203"/>
      <c r="AE203"/>
      <c r="AF203"/>
      <c r="AG203"/>
      <c r="AH203"/>
      <c r="AI203"/>
      <c r="AJ203"/>
      <c r="AK203"/>
      <c r="AL203"/>
      <c r="AM203"/>
      <c r="AN203"/>
      <c r="AO203"/>
    </row>
    <row r="204" spans="1:41" ht="15" customHeight="1">
      <c r="A204" s="2">
        <v>201</v>
      </c>
      <c r="B204" s="2"/>
      <c r="C204" s="3">
        <f>ProjectInput[[#This Row],[Retrofit Cost]]</f>
        <v>0</v>
      </c>
      <c r="D204" s="2">
        <f>ProjectInput[[#This Row],[Proposed Fixture Quantity]]</f>
        <v>0</v>
      </c>
      <c r="E204" s="2" t="str">
        <f>CONCATENATE("Replace ", ReviewCalcs[[#This Row],[Existing Fixture Code]], " with ", ReviewCalcs[[#This Row],[Proposed Fixture Code]])</f>
        <v>Replace 0 with 0</v>
      </c>
      <c r="F204" s="2">
        <f>ReviewCalcs[[#This Row],[Measure Type]]</f>
        <v>0</v>
      </c>
      <c r="G204" s="2" t="str">
        <f>IF(Instructions!$F$25="Post-Retrofit","Completed","Recommended")</f>
        <v>Recommended</v>
      </c>
      <c r="H204" s="4">
        <f>ReviewCalcs[[#This Row],[Incentive Total Energy Savings (kWh)]]</f>
        <v>0</v>
      </c>
      <c r="I204" s="2">
        <f>ReviewCalcs[[#This Row],[Incentive Total Demand Savings (kW)]]</f>
        <v>0</v>
      </c>
      <c r="J204" s="3">
        <f>ProjectInput[[#This Row],[Energy Cost Savings ($)]]</f>
        <v>0</v>
      </c>
      <c r="K204" s="3">
        <f>ProjectInput[[#This Row],[Incentive ($)]]</f>
        <v>0</v>
      </c>
      <c r="L204" s="13">
        <f t="shared" si="3"/>
        <v>0</v>
      </c>
      <c r="M204" s="3"/>
      <c r="N204" s="3"/>
      <c r="O204" s="3"/>
      <c r="P204" s="3"/>
      <c r="Q204" s="3"/>
      <c r="R204" s="3"/>
      <c r="S204" s="3"/>
      <c r="T204" s="2"/>
      <c r="U204" s="133">
        <f>ProjectInput[[#This Row],[Location]]</f>
        <v>0</v>
      </c>
      <c r="V204" s="278">
        <f>ProjectInput[[#This Row],[Existing Fixture Code]]</f>
        <v>0</v>
      </c>
      <c r="W204"/>
      <c r="X204"/>
      <c r="Y204"/>
      <c r="Z204"/>
      <c r="AA204"/>
      <c r="AB204"/>
      <c r="AC204"/>
      <c r="AD204"/>
      <c r="AE204"/>
      <c r="AF204"/>
      <c r="AG204"/>
      <c r="AH204"/>
      <c r="AI204"/>
      <c r="AJ204"/>
      <c r="AK204"/>
      <c r="AL204"/>
      <c r="AM204"/>
      <c r="AN204"/>
      <c r="AO204"/>
    </row>
    <row r="205" spans="1:41" ht="15" customHeight="1">
      <c r="A205" s="2">
        <v>202</v>
      </c>
      <c r="B205" s="2"/>
      <c r="C205" s="3">
        <f>ProjectInput[[#This Row],[Retrofit Cost]]</f>
        <v>0</v>
      </c>
      <c r="D205" s="2">
        <f>ProjectInput[[#This Row],[Proposed Fixture Quantity]]</f>
        <v>0</v>
      </c>
      <c r="E205" s="2" t="str">
        <f>CONCATENATE("Replace ", ReviewCalcs[[#This Row],[Existing Fixture Code]], " with ", ReviewCalcs[[#This Row],[Proposed Fixture Code]])</f>
        <v>Replace 0 with 0</v>
      </c>
      <c r="F205" s="2">
        <f>ReviewCalcs[[#This Row],[Measure Type]]</f>
        <v>0</v>
      </c>
      <c r="G205" s="2" t="str">
        <f>IF(Instructions!$F$25="Post-Retrofit","Completed","Recommended")</f>
        <v>Recommended</v>
      </c>
      <c r="H205" s="4">
        <f>ReviewCalcs[[#This Row],[Incentive Total Energy Savings (kWh)]]</f>
        <v>0</v>
      </c>
      <c r="I205" s="2">
        <f>ReviewCalcs[[#This Row],[Incentive Total Demand Savings (kW)]]</f>
        <v>0</v>
      </c>
      <c r="J205" s="3">
        <f>ProjectInput[[#This Row],[Energy Cost Savings ($)]]</f>
        <v>0</v>
      </c>
      <c r="K205" s="3">
        <f>ProjectInput[[#This Row],[Incentive ($)]]</f>
        <v>0</v>
      </c>
      <c r="L205" s="13">
        <f t="shared" si="3"/>
        <v>0</v>
      </c>
      <c r="M205" s="3"/>
      <c r="N205" s="3"/>
      <c r="O205" s="3"/>
      <c r="P205" s="3"/>
      <c r="Q205" s="3"/>
      <c r="R205" s="3"/>
      <c r="S205" s="3"/>
      <c r="T205" s="2"/>
      <c r="U205" s="133">
        <f>ProjectInput[[#This Row],[Location]]</f>
        <v>0</v>
      </c>
      <c r="V205" s="278">
        <f>ProjectInput[[#This Row],[Existing Fixture Code]]</f>
        <v>0</v>
      </c>
      <c r="W205"/>
      <c r="X205"/>
      <c r="Y205"/>
      <c r="Z205"/>
      <c r="AA205"/>
      <c r="AB205"/>
      <c r="AC205"/>
      <c r="AD205"/>
      <c r="AE205"/>
      <c r="AF205"/>
      <c r="AG205"/>
      <c r="AH205"/>
      <c r="AI205"/>
      <c r="AJ205"/>
      <c r="AK205"/>
      <c r="AL205"/>
      <c r="AM205"/>
      <c r="AN205"/>
      <c r="AO205"/>
    </row>
    <row r="206" spans="1:41" ht="15" customHeight="1">
      <c r="A206" s="2">
        <v>203</v>
      </c>
      <c r="B206" s="2"/>
      <c r="C206" s="3">
        <f>ProjectInput[[#This Row],[Retrofit Cost]]</f>
        <v>0</v>
      </c>
      <c r="D206" s="2">
        <f>ProjectInput[[#This Row],[Proposed Fixture Quantity]]</f>
        <v>0</v>
      </c>
      <c r="E206" s="2" t="str">
        <f>CONCATENATE("Replace ", ReviewCalcs[[#This Row],[Existing Fixture Code]], " with ", ReviewCalcs[[#This Row],[Proposed Fixture Code]])</f>
        <v>Replace 0 with 0</v>
      </c>
      <c r="F206" s="2">
        <f>ReviewCalcs[[#This Row],[Measure Type]]</f>
        <v>0</v>
      </c>
      <c r="G206" s="2" t="str">
        <f>IF(Instructions!$F$25="Post-Retrofit","Completed","Recommended")</f>
        <v>Recommended</v>
      </c>
      <c r="H206" s="4">
        <f>ReviewCalcs[[#This Row],[Incentive Total Energy Savings (kWh)]]</f>
        <v>0</v>
      </c>
      <c r="I206" s="2">
        <f>ReviewCalcs[[#This Row],[Incentive Total Demand Savings (kW)]]</f>
        <v>0</v>
      </c>
      <c r="J206" s="3">
        <f>ProjectInput[[#This Row],[Energy Cost Savings ($)]]</f>
        <v>0</v>
      </c>
      <c r="K206" s="3">
        <f>ProjectInput[[#This Row],[Incentive ($)]]</f>
        <v>0</v>
      </c>
      <c r="L206" s="13">
        <f t="shared" si="3"/>
        <v>0</v>
      </c>
      <c r="M206" s="3"/>
      <c r="N206" s="3"/>
      <c r="O206" s="3"/>
      <c r="P206" s="3"/>
      <c r="Q206" s="3"/>
      <c r="R206" s="3"/>
      <c r="S206" s="3"/>
      <c r="T206" s="2"/>
      <c r="U206" s="133">
        <f>ProjectInput[[#This Row],[Location]]</f>
        <v>0</v>
      </c>
      <c r="V206" s="278">
        <f>ProjectInput[[#This Row],[Existing Fixture Code]]</f>
        <v>0</v>
      </c>
      <c r="W206"/>
      <c r="X206"/>
      <c r="Y206"/>
      <c r="Z206"/>
      <c r="AA206"/>
      <c r="AB206"/>
      <c r="AC206"/>
      <c r="AD206"/>
      <c r="AE206"/>
      <c r="AF206"/>
      <c r="AG206"/>
      <c r="AH206"/>
      <c r="AI206"/>
      <c r="AJ206"/>
      <c r="AK206"/>
      <c r="AL206"/>
      <c r="AM206"/>
      <c r="AN206"/>
      <c r="AO206"/>
    </row>
    <row r="207" spans="1:41" ht="15" customHeight="1">
      <c r="A207" s="2">
        <v>204</v>
      </c>
      <c r="B207" s="2"/>
      <c r="C207" s="3">
        <f>ProjectInput[[#This Row],[Retrofit Cost]]</f>
        <v>0</v>
      </c>
      <c r="D207" s="2">
        <f>ProjectInput[[#This Row],[Proposed Fixture Quantity]]</f>
        <v>0</v>
      </c>
      <c r="E207" s="2" t="str">
        <f>CONCATENATE("Replace ", ReviewCalcs[[#This Row],[Existing Fixture Code]], " with ", ReviewCalcs[[#This Row],[Proposed Fixture Code]])</f>
        <v>Replace 0 with 0</v>
      </c>
      <c r="F207" s="2">
        <f>ReviewCalcs[[#This Row],[Measure Type]]</f>
        <v>0</v>
      </c>
      <c r="G207" s="2" t="str">
        <f>IF(Instructions!$F$25="Post-Retrofit","Completed","Recommended")</f>
        <v>Recommended</v>
      </c>
      <c r="H207" s="4">
        <f>ReviewCalcs[[#This Row],[Incentive Total Energy Savings (kWh)]]</f>
        <v>0</v>
      </c>
      <c r="I207" s="2">
        <f>ReviewCalcs[[#This Row],[Incentive Total Demand Savings (kW)]]</f>
        <v>0</v>
      </c>
      <c r="J207" s="3">
        <f>ProjectInput[[#This Row],[Energy Cost Savings ($)]]</f>
        <v>0</v>
      </c>
      <c r="K207" s="3">
        <f>ProjectInput[[#This Row],[Incentive ($)]]</f>
        <v>0</v>
      </c>
      <c r="L207" s="13">
        <f t="shared" si="3"/>
        <v>0</v>
      </c>
      <c r="M207" s="3"/>
      <c r="N207" s="3"/>
      <c r="O207" s="3"/>
      <c r="P207" s="3"/>
      <c r="Q207" s="3"/>
      <c r="R207" s="3"/>
      <c r="S207" s="3"/>
      <c r="T207" s="2"/>
      <c r="U207" s="133">
        <f>ProjectInput[[#This Row],[Location]]</f>
        <v>0</v>
      </c>
      <c r="V207" s="278">
        <f>ProjectInput[[#This Row],[Existing Fixture Code]]</f>
        <v>0</v>
      </c>
      <c r="W207"/>
      <c r="X207"/>
      <c r="Y207"/>
      <c r="Z207"/>
      <c r="AA207"/>
      <c r="AB207"/>
      <c r="AC207"/>
      <c r="AD207"/>
      <c r="AE207"/>
      <c r="AF207"/>
      <c r="AG207"/>
      <c r="AH207"/>
      <c r="AI207"/>
      <c r="AJ207"/>
      <c r="AK207"/>
      <c r="AL207"/>
      <c r="AM207"/>
      <c r="AN207"/>
      <c r="AO207"/>
    </row>
    <row r="208" spans="1:41" ht="15" customHeight="1">
      <c r="A208" s="2">
        <v>205</v>
      </c>
      <c r="B208" s="2"/>
      <c r="C208" s="3">
        <f>ProjectInput[[#This Row],[Retrofit Cost]]</f>
        <v>0</v>
      </c>
      <c r="D208" s="2">
        <f>ProjectInput[[#This Row],[Proposed Fixture Quantity]]</f>
        <v>0</v>
      </c>
      <c r="E208" s="2" t="str">
        <f>CONCATENATE("Replace ", ReviewCalcs[[#This Row],[Existing Fixture Code]], " with ", ReviewCalcs[[#This Row],[Proposed Fixture Code]])</f>
        <v>Replace 0 with 0</v>
      </c>
      <c r="F208" s="2">
        <f>ReviewCalcs[[#This Row],[Measure Type]]</f>
        <v>0</v>
      </c>
      <c r="G208" s="2" t="str">
        <f>IF(Instructions!$F$25="Post-Retrofit","Completed","Recommended")</f>
        <v>Recommended</v>
      </c>
      <c r="H208" s="4">
        <f>ReviewCalcs[[#This Row],[Incentive Total Energy Savings (kWh)]]</f>
        <v>0</v>
      </c>
      <c r="I208" s="2">
        <f>ReviewCalcs[[#This Row],[Incentive Total Demand Savings (kW)]]</f>
        <v>0</v>
      </c>
      <c r="J208" s="3">
        <f>ProjectInput[[#This Row],[Energy Cost Savings ($)]]</f>
        <v>0</v>
      </c>
      <c r="K208" s="3">
        <f>ProjectInput[[#This Row],[Incentive ($)]]</f>
        <v>0</v>
      </c>
      <c r="L208" s="13">
        <f t="shared" si="3"/>
        <v>0</v>
      </c>
      <c r="M208" s="3"/>
      <c r="N208" s="3"/>
      <c r="O208" s="3"/>
      <c r="P208" s="3"/>
      <c r="Q208" s="3"/>
      <c r="R208" s="3"/>
      <c r="S208" s="3"/>
      <c r="T208" s="2"/>
      <c r="U208" s="133">
        <f>ProjectInput[[#This Row],[Location]]</f>
        <v>0</v>
      </c>
      <c r="V208" s="278">
        <f>ProjectInput[[#This Row],[Existing Fixture Code]]</f>
        <v>0</v>
      </c>
      <c r="W208"/>
      <c r="X208"/>
      <c r="Y208"/>
      <c r="Z208"/>
      <c r="AA208"/>
      <c r="AB208"/>
      <c r="AC208"/>
      <c r="AD208"/>
      <c r="AE208"/>
      <c r="AF208"/>
      <c r="AG208"/>
      <c r="AH208"/>
      <c r="AI208"/>
      <c r="AJ208"/>
      <c r="AK208"/>
      <c r="AL208"/>
      <c r="AM208"/>
      <c r="AN208"/>
      <c r="AO208"/>
    </row>
    <row r="209" spans="1:41" ht="15" customHeight="1">
      <c r="A209" s="2">
        <v>206</v>
      </c>
      <c r="B209" s="2"/>
      <c r="C209" s="3">
        <f>ProjectInput[[#This Row],[Retrofit Cost]]</f>
        <v>0</v>
      </c>
      <c r="D209" s="2">
        <f>ProjectInput[[#This Row],[Proposed Fixture Quantity]]</f>
        <v>0</v>
      </c>
      <c r="E209" s="2" t="str">
        <f>CONCATENATE("Replace ", ReviewCalcs[[#This Row],[Existing Fixture Code]], " with ", ReviewCalcs[[#This Row],[Proposed Fixture Code]])</f>
        <v>Replace 0 with 0</v>
      </c>
      <c r="F209" s="2">
        <f>ReviewCalcs[[#This Row],[Measure Type]]</f>
        <v>0</v>
      </c>
      <c r="G209" s="2" t="str">
        <f>IF(Instructions!$F$25="Post-Retrofit","Completed","Recommended")</f>
        <v>Recommended</v>
      </c>
      <c r="H209" s="4">
        <f>ReviewCalcs[[#This Row],[Incentive Total Energy Savings (kWh)]]</f>
        <v>0</v>
      </c>
      <c r="I209" s="2">
        <f>ReviewCalcs[[#This Row],[Incentive Total Demand Savings (kW)]]</f>
        <v>0</v>
      </c>
      <c r="J209" s="3">
        <f>ProjectInput[[#This Row],[Energy Cost Savings ($)]]</f>
        <v>0</v>
      </c>
      <c r="K209" s="3">
        <f>ProjectInput[[#This Row],[Incentive ($)]]</f>
        <v>0</v>
      </c>
      <c r="L209" s="13">
        <f t="shared" si="3"/>
        <v>0</v>
      </c>
      <c r="M209" s="3"/>
      <c r="N209" s="3"/>
      <c r="O209" s="3"/>
      <c r="P209" s="3"/>
      <c r="Q209" s="3"/>
      <c r="R209" s="3"/>
      <c r="S209" s="3"/>
      <c r="T209" s="2"/>
      <c r="U209" s="133">
        <f>ProjectInput[[#This Row],[Location]]</f>
        <v>0</v>
      </c>
      <c r="V209" s="278">
        <f>ProjectInput[[#This Row],[Existing Fixture Code]]</f>
        <v>0</v>
      </c>
      <c r="W209"/>
      <c r="X209"/>
      <c r="Y209"/>
      <c r="Z209"/>
      <c r="AA209"/>
      <c r="AB209"/>
      <c r="AC209"/>
      <c r="AD209"/>
      <c r="AE209"/>
      <c r="AF209"/>
      <c r="AG209"/>
      <c r="AH209"/>
      <c r="AI209"/>
      <c r="AJ209"/>
      <c r="AK209"/>
      <c r="AL209"/>
      <c r="AM209"/>
      <c r="AN209"/>
      <c r="AO209"/>
    </row>
    <row r="210" spans="1:41" ht="15" customHeight="1">
      <c r="A210" s="2">
        <v>207</v>
      </c>
      <c r="B210" s="2"/>
      <c r="C210" s="3">
        <f>ProjectInput[[#This Row],[Retrofit Cost]]</f>
        <v>0</v>
      </c>
      <c r="D210" s="2">
        <f>ProjectInput[[#This Row],[Proposed Fixture Quantity]]</f>
        <v>0</v>
      </c>
      <c r="E210" s="2" t="str">
        <f>CONCATENATE("Replace ", ReviewCalcs[[#This Row],[Existing Fixture Code]], " with ", ReviewCalcs[[#This Row],[Proposed Fixture Code]])</f>
        <v>Replace 0 with 0</v>
      </c>
      <c r="F210" s="2">
        <f>ReviewCalcs[[#This Row],[Measure Type]]</f>
        <v>0</v>
      </c>
      <c r="G210" s="2" t="str">
        <f>IF(Instructions!$F$25="Post-Retrofit","Completed","Recommended")</f>
        <v>Recommended</v>
      </c>
      <c r="H210" s="4">
        <f>ReviewCalcs[[#This Row],[Incentive Total Energy Savings (kWh)]]</f>
        <v>0</v>
      </c>
      <c r="I210" s="2">
        <f>ReviewCalcs[[#This Row],[Incentive Total Demand Savings (kW)]]</f>
        <v>0</v>
      </c>
      <c r="J210" s="3">
        <f>ProjectInput[[#This Row],[Energy Cost Savings ($)]]</f>
        <v>0</v>
      </c>
      <c r="K210" s="3">
        <f>ProjectInput[[#This Row],[Incentive ($)]]</f>
        <v>0</v>
      </c>
      <c r="L210" s="13">
        <f t="shared" si="3"/>
        <v>0</v>
      </c>
      <c r="M210" s="3"/>
      <c r="N210" s="3"/>
      <c r="O210" s="3"/>
      <c r="P210" s="3"/>
      <c r="Q210" s="3"/>
      <c r="R210" s="3"/>
      <c r="S210" s="3"/>
      <c r="T210" s="2"/>
      <c r="U210" s="133">
        <f>ProjectInput[[#This Row],[Location]]</f>
        <v>0</v>
      </c>
      <c r="V210" s="278">
        <f>ProjectInput[[#This Row],[Existing Fixture Code]]</f>
        <v>0</v>
      </c>
      <c r="W210"/>
      <c r="X210"/>
      <c r="Y210"/>
      <c r="Z210"/>
      <c r="AA210"/>
      <c r="AB210"/>
      <c r="AC210"/>
      <c r="AD210"/>
      <c r="AE210"/>
      <c r="AF210"/>
      <c r="AG210"/>
      <c r="AH210"/>
      <c r="AI210"/>
      <c r="AJ210"/>
      <c r="AK210"/>
      <c r="AL210"/>
      <c r="AM210"/>
      <c r="AN210"/>
      <c r="AO210"/>
    </row>
    <row r="211" spans="1:41" ht="15" customHeight="1">
      <c r="A211" s="2">
        <v>208</v>
      </c>
      <c r="B211" s="2"/>
      <c r="C211" s="3">
        <f>ProjectInput[[#This Row],[Retrofit Cost]]</f>
        <v>0</v>
      </c>
      <c r="D211" s="2">
        <f>ProjectInput[[#This Row],[Proposed Fixture Quantity]]</f>
        <v>0</v>
      </c>
      <c r="E211" s="2" t="str">
        <f>CONCATENATE("Replace ", ReviewCalcs[[#This Row],[Existing Fixture Code]], " with ", ReviewCalcs[[#This Row],[Proposed Fixture Code]])</f>
        <v>Replace 0 with 0</v>
      </c>
      <c r="F211" s="2">
        <f>ReviewCalcs[[#This Row],[Measure Type]]</f>
        <v>0</v>
      </c>
      <c r="G211" s="2" t="str">
        <f>IF(Instructions!$F$25="Post-Retrofit","Completed","Recommended")</f>
        <v>Recommended</v>
      </c>
      <c r="H211" s="4">
        <f>ReviewCalcs[[#This Row],[Incentive Total Energy Savings (kWh)]]</f>
        <v>0</v>
      </c>
      <c r="I211" s="2">
        <f>ReviewCalcs[[#This Row],[Incentive Total Demand Savings (kW)]]</f>
        <v>0</v>
      </c>
      <c r="J211" s="3">
        <f>ProjectInput[[#This Row],[Energy Cost Savings ($)]]</f>
        <v>0</v>
      </c>
      <c r="K211" s="3">
        <f>ProjectInput[[#This Row],[Incentive ($)]]</f>
        <v>0</v>
      </c>
      <c r="L211" s="13">
        <f t="shared" si="3"/>
        <v>0</v>
      </c>
      <c r="M211" s="3"/>
      <c r="N211" s="3"/>
      <c r="O211" s="3"/>
      <c r="P211" s="3"/>
      <c r="Q211" s="3"/>
      <c r="R211" s="3"/>
      <c r="S211" s="3"/>
      <c r="T211" s="2"/>
      <c r="U211" s="133">
        <f>ProjectInput[[#This Row],[Location]]</f>
        <v>0</v>
      </c>
      <c r="V211" s="278">
        <f>ProjectInput[[#This Row],[Existing Fixture Code]]</f>
        <v>0</v>
      </c>
      <c r="W211"/>
      <c r="X211"/>
      <c r="Y211"/>
      <c r="Z211"/>
      <c r="AA211"/>
      <c r="AB211"/>
      <c r="AC211"/>
      <c r="AD211"/>
      <c r="AE211"/>
      <c r="AF211"/>
      <c r="AG211"/>
      <c r="AH211"/>
      <c r="AI211"/>
      <c r="AJ211"/>
      <c r="AK211"/>
      <c r="AL211"/>
      <c r="AM211"/>
      <c r="AN211"/>
      <c r="AO211"/>
    </row>
    <row r="212" spans="1:41" ht="15" customHeight="1">
      <c r="A212" s="2">
        <v>209</v>
      </c>
      <c r="B212" s="2"/>
      <c r="C212" s="3">
        <f>ProjectInput[[#This Row],[Retrofit Cost]]</f>
        <v>0</v>
      </c>
      <c r="D212" s="2">
        <f>ProjectInput[[#This Row],[Proposed Fixture Quantity]]</f>
        <v>0</v>
      </c>
      <c r="E212" s="2" t="str">
        <f>CONCATENATE("Replace ", ReviewCalcs[[#This Row],[Existing Fixture Code]], " with ", ReviewCalcs[[#This Row],[Proposed Fixture Code]])</f>
        <v>Replace 0 with 0</v>
      </c>
      <c r="F212" s="2">
        <f>ReviewCalcs[[#This Row],[Measure Type]]</f>
        <v>0</v>
      </c>
      <c r="G212" s="2" t="str">
        <f>IF(Instructions!$F$25="Post-Retrofit","Completed","Recommended")</f>
        <v>Recommended</v>
      </c>
      <c r="H212" s="4">
        <f>ReviewCalcs[[#This Row],[Incentive Total Energy Savings (kWh)]]</f>
        <v>0</v>
      </c>
      <c r="I212" s="2">
        <f>ReviewCalcs[[#This Row],[Incentive Total Demand Savings (kW)]]</f>
        <v>0</v>
      </c>
      <c r="J212" s="3">
        <f>ProjectInput[[#This Row],[Energy Cost Savings ($)]]</f>
        <v>0</v>
      </c>
      <c r="K212" s="3">
        <f>ProjectInput[[#This Row],[Incentive ($)]]</f>
        <v>0</v>
      </c>
      <c r="L212" s="13">
        <f t="shared" si="3"/>
        <v>0</v>
      </c>
      <c r="M212" s="3"/>
      <c r="N212" s="3"/>
      <c r="O212" s="3"/>
      <c r="P212" s="3"/>
      <c r="Q212" s="3"/>
      <c r="R212" s="3"/>
      <c r="S212" s="3"/>
      <c r="T212" s="2"/>
      <c r="U212" s="133">
        <f>ProjectInput[[#This Row],[Location]]</f>
        <v>0</v>
      </c>
      <c r="V212" s="278">
        <f>ProjectInput[[#This Row],[Existing Fixture Code]]</f>
        <v>0</v>
      </c>
      <c r="W212"/>
      <c r="X212"/>
      <c r="Y212"/>
      <c r="Z212"/>
      <c r="AA212"/>
      <c r="AB212"/>
      <c r="AC212"/>
      <c r="AD212"/>
      <c r="AE212"/>
      <c r="AF212"/>
      <c r="AG212"/>
      <c r="AH212"/>
      <c r="AI212"/>
      <c r="AJ212"/>
      <c r="AK212"/>
      <c r="AL212"/>
      <c r="AM212"/>
      <c r="AN212"/>
      <c r="AO212"/>
    </row>
    <row r="213" spans="1:41" ht="15" customHeight="1">
      <c r="A213" s="2">
        <v>210</v>
      </c>
      <c r="B213" s="2"/>
      <c r="C213" s="3">
        <f>ProjectInput[[#This Row],[Retrofit Cost]]</f>
        <v>0</v>
      </c>
      <c r="D213" s="2">
        <f>ProjectInput[[#This Row],[Proposed Fixture Quantity]]</f>
        <v>0</v>
      </c>
      <c r="E213" s="2" t="str">
        <f>CONCATENATE("Replace ", ReviewCalcs[[#This Row],[Existing Fixture Code]], " with ", ReviewCalcs[[#This Row],[Proposed Fixture Code]])</f>
        <v>Replace 0 with 0</v>
      </c>
      <c r="F213" s="2">
        <f>ReviewCalcs[[#This Row],[Measure Type]]</f>
        <v>0</v>
      </c>
      <c r="G213" s="2" t="str">
        <f>IF(Instructions!$F$25="Post-Retrofit","Completed","Recommended")</f>
        <v>Recommended</v>
      </c>
      <c r="H213" s="4">
        <f>ReviewCalcs[[#This Row],[Incentive Total Energy Savings (kWh)]]</f>
        <v>0</v>
      </c>
      <c r="I213" s="2">
        <f>ReviewCalcs[[#This Row],[Incentive Total Demand Savings (kW)]]</f>
        <v>0</v>
      </c>
      <c r="J213" s="3">
        <f>ProjectInput[[#This Row],[Energy Cost Savings ($)]]</f>
        <v>0</v>
      </c>
      <c r="K213" s="3">
        <f>ProjectInput[[#This Row],[Incentive ($)]]</f>
        <v>0</v>
      </c>
      <c r="L213" s="13">
        <f t="shared" si="3"/>
        <v>0</v>
      </c>
      <c r="M213" s="3"/>
      <c r="N213" s="3"/>
      <c r="O213" s="3"/>
      <c r="P213" s="3"/>
      <c r="Q213" s="3"/>
      <c r="R213" s="3"/>
      <c r="S213" s="3"/>
      <c r="T213" s="2"/>
      <c r="U213" s="133">
        <f>ProjectInput[[#This Row],[Location]]</f>
        <v>0</v>
      </c>
      <c r="V213" s="278">
        <f>ProjectInput[[#This Row],[Existing Fixture Code]]</f>
        <v>0</v>
      </c>
      <c r="W213"/>
      <c r="X213"/>
      <c r="Y213"/>
      <c r="Z213"/>
      <c r="AA213"/>
      <c r="AB213"/>
      <c r="AC213"/>
      <c r="AD213"/>
      <c r="AE213"/>
      <c r="AF213"/>
      <c r="AG213"/>
      <c r="AH213"/>
      <c r="AI213"/>
      <c r="AJ213"/>
      <c r="AK213"/>
      <c r="AL213"/>
      <c r="AM213"/>
      <c r="AN213"/>
      <c r="AO213"/>
    </row>
    <row r="214" spans="1:41" ht="15" customHeight="1">
      <c r="A214" s="2">
        <v>211</v>
      </c>
      <c r="B214" s="2"/>
      <c r="C214" s="3">
        <f>ProjectInput[[#This Row],[Retrofit Cost]]</f>
        <v>0</v>
      </c>
      <c r="D214" s="2">
        <f>ProjectInput[[#This Row],[Proposed Fixture Quantity]]</f>
        <v>0</v>
      </c>
      <c r="E214" s="2" t="str">
        <f>CONCATENATE("Replace ", ReviewCalcs[[#This Row],[Existing Fixture Code]], " with ", ReviewCalcs[[#This Row],[Proposed Fixture Code]])</f>
        <v>Replace 0 with 0</v>
      </c>
      <c r="F214" s="2">
        <f>ReviewCalcs[[#This Row],[Measure Type]]</f>
        <v>0</v>
      </c>
      <c r="G214" s="2" t="str">
        <f>IF(Instructions!$F$25="Post-Retrofit","Completed","Recommended")</f>
        <v>Recommended</v>
      </c>
      <c r="H214" s="4">
        <f>ReviewCalcs[[#This Row],[Incentive Total Energy Savings (kWh)]]</f>
        <v>0</v>
      </c>
      <c r="I214" s="2">
        <f>ReviewCalcs[[#This Row],[Incentive Total Demand Savings (kW)]]</f>
        <v>0</v>
      </c>
      <c r="J214" s="3">
        <f>ProjectInput[[#This Row],[Energy Cost Savings ($)]]</f>
        <v>0</v>
      </c>
      <c r="K214" s="3">
        <f>ProjectInput[[#This Row],[Incentive ($)]]</f>
        <v>0</v>
      </c>
      <c r="L214" s="13">
        <f t="shared" si="3"/>
        <v>0</v>
      </c>
      <c r="M214" s="3"/>
      <c r="N214" s="3"/>
      <c r="O214" s="3"/>
      <c r="P214" s="3"/>
      <c r="Q214" s="3"/>
      <c r="R214" s="3"/>
      <c r="S214" s="3"/>
      <c r="T214" s="2"/>
      <c r="U214" s="133">
        <f>ProjectInput[[#This Row],[Location]]</f>
        <v>0</v>
      </c>
      <c r="V214" s="278">
        <f>ProjectInput[[#This Row],[Existing Fixture Code]]</f>
        <v>0</v>
      </c>
      <c r="W214"/>
      <c r="X214"/>
      <c r="Y214"/>
      <c r="Z214"/>
      <c r="AA214"/>
      <c r="AB214"/>
      <c r="AC214"/>
      <c r="AD214"/>
      <c r="AE214"/>
      <c r="AF214"/>
      <c r="AG214"/>
      <c r="AH214"/>
      <c r="AI214"/>
      <c r="AJ214"/>
      <c r="AK214"/>
      <c r="AL214"/>
      <c r="AM214"/>
      <c r="AN214"/>
      <c r="AO214"/>
    </row>
    <row r="215" spans="1:41" ht="15" customHeight="1">
      <c r="A215" s="2">
        <v>212</v>
      </c>
      <c r="B215" s="2"/>
      <c r="C215" s="3">
        <f>ProjectInput[[#This Row],[Retrofit Cost]]</f>
        <v>0</v>
      </c>
      <c r="D215" s="2">
        <f>ProjectInput[[#This Row],[Proposed Fixture Quantity]]</f>
        <v>0</v>
      </c>
      <c r="E215" s="2" t="str">
        <f>CONCATENATE("Replace ", ReviewCalcs[[#This Row],[Existing Fixture Code]], " with ", ReviewCalcs[[#This Row],[Proposed Fixture Code]])</f>
        <v>Replace 0 with 0</v>
      </c>
      <c r="F215" s="2">
        <f>ReviewCalcs[[#This Row],[Measure Type]]</f>
        <v>0</v>
      </c>
      <c r="G215" s="2" t="str">
        <f>IF(Instructions!$F$25="Post-Retrofit","Completed","Recommended")</f>
        <v>Recommended</v>
      </c>
      <c r="H215" s="4">
        <f>ReviewCalcs[[#This Row],[Incentive Total Energy Savings (kWh)]]</f>
        <v>0</v>
      </c>
      <c r="I215" s="2">
        <f>ReviewCalcs[[#This Row],[Incentive Total Demand Savings (kW)]]</f>
        <v>0</v>
      </c>
      <c r="J215" s="3">
        <f>ProjectInput[[#This Row],[Energy Cost Savings ($)]]</f>
        <v>0</v>
      </c>
      <c r="K215" s="3">
        <f>ProjectInput[[#This Row],[Incentive ($)]]</f>
        <v>0</v>
      </c>
      <c r="L215" s="13">
        <f t="shared" si="3"/>
        <v>0</v>
      </c>
      <c r="M215" s="3"/>
      <c r="N215" s="3"/>
      <c r="O215" s="3"/>
      <c r="P215" s="3"/>
      <c r="Q215" s="3"/>
      <c r="R215" s="3"/>
      <c r="S215" s="3"/>
      <c r="T215" s="2"/>
      <c r="U215" s="133">
        <f>ProjectInput[[#This Row],[Location]]</f>
        <v>0</v>
      </c>
      <c r="V215" s="278">
        <f>ProjectInput[[#This Row],[Existing Fixture Code]]</f>
        <v>0</v>
      </c>
      <c r="W215"/>
      <c r="X215"/>
      <c r="Y215"/>
      <c r="Z215"/>
      <c r="AA215"/>
      <c r="AB215"/>
      <c r="AC215"/>
      <c r="AD215"/>
      <c r="AE215"/>
      <c r="AF215"/>
      <c r="AG215"/>
      <c r="AH215"/>
      <c r="AI215"/>
      <c r="AJ215"/>
      <c r="AK215"/>
      <c r="AL215"/>
      <c r="AM215"/>
      <c r="AN215"/>
      <c r="AO215"/>
    </row>
    <row r="216" spans="1:41" ht="15" customHeight="1">
      <c r="A216" s="2">
        <v>213</v>
      </c>
      <c r="B216" s="2"/>
      <c r="C216" s="3">
        <f>ProjectInput[[#This Row],[Retrofit Cost]]</f>
        <v>0</v>
      </c>
      <c r="D216" s="2">
        <f>ProjectInput[[#This Row],[Proposed Fixture Quantity]]</f>
        <v>0</v>
      </c>
      <c r="E216" s="2" t="str">
        <f>CONCATENATE("Replace ", ReviewCalcs[[#This Row],[Existing Fixture Code]], " with ", ReviewCalcs[[#This Row],[Proposed Fixture Code]])</f>
        <v>Replace 0 with 0</v>
      </c>
      <c r="F216" s="2">
        <f>ReviewCalcs[[#This Row],[Measure Type]]</f>
        <v>0</v>
      </c>
      <c r="G216" s="2" t="str">
        <f>IF(Instructions!$F$25="Post-Retrofit","Completed","Recommended")</f>
        <v>Recommended</v>
      </c>
      <c r="H216" s="4">
        <f>ReviewCalcs[[#This Row],[Incentive Total Energy Savings (kWh)]]</f>
        <v>0</v>
      </c>
      <c r="I216" s="2">
        <f>ReviewCalcs[[#This Row],[Incentive Total Demand Savings (kW)]]</f>
        <v>0</v>
      </c>
      <c r="J216" s="3">
        <f>ProjectInput[[#This Row],[Energy Cost Savings ($)]]</f>
        <v>0</v>
      </c>
      <c r="K216" s="3">
        <f>ProjectInput[[#This Row],[Incentive ($)]]</f>
        <v>0</v>
      </c>
      <c r="L216" s="13">
        <f t="shared" si="3"/>
        <v>0</v>
      </c>
      <c r="M216" s="3"/>
      <c r="N216" s="3"/>
      <c r="O216" s="3"/>
      <c r="P216" s="3"/>
      <c r="Q216" s="3"/>
      <c r="R216" s="3"/>
      <c r="S216" s="3"/>
      <c r="T216" s="2"/>
      <c r="U216" s="133">
        <f>ProjectInput[[#This Row],[Location]]</f>
        <v>0</v>
      </c>
      <c r="V216" s="278">
        <f>ProjectInput[[#This Row],[Existing Fixture Code]]</f>
        <v>0</v>
      </c>
      <c r="W216"/>
      <c r="X216"/>
      <c r="Y216"/>
      <c r="Z216"/>
      <c r="AA216"/>
      <c r="AB216"/>
      <c r="AC216"/>
      <c r="AD216"/>
      <c r="AE216"/>
      <c r="AF216"/>
      <c r="AG216"/>
      <c r="AH216"/>
      <c r="AI216"/>
      <c r="AJ216"/>
      <c r="AK216"/>
      <c r="AL216"/>
      <c r="AM216"/>
      <c r="AN216"/>
      <c r="AO216"/>
    </row>
    <row r="217" spans="1:41" ht="15" customHeight="1">
      <c r="A217" s="2">
        <v>214</v>
      </c>
      <c r="B217" s="2"/>
      <c r="C217" s="3">
        <f>ProjectInput[[#This Row],[Retrofit Cost]]</f>
        <v>0</v>
      </c>
      <c r="D217" s="2">
        <f>ProjectInput[[#This Row],[Proposed Fixture Quantity]]</f>
        <v>0</v>
      </c>
      <c r="E217" s="2" t="str">
        <f>CONCATENATE("Replace ", ReviewCalcs[[#This Row],[Existing Fixture Code]], " with ", ReviewCalcs[[#This Row],[Proposed Fixture Code]])</f>
        <v>Replace 0 with 0</v>
      </c>
      <c r="F217" s="2">
        <f>ReviewCalcs[[#This Row],[Measure Type]]</f>
        <v>0</v>
      </c>
      <c r="G217" s="2" t="str">
        <f>IF(Instructions!$F$25="Post-Retrofit","Completed","Recommended")</f>
        <v>Recommended</v>
      </c>
      <c r="H217" s="4">
        <f>ReviewCalcs[[#This Row],[Incentive Total Energy Savings (kWh)]]</f>
        <v>0</v>
      </c>
      <c r="I217" s="2">
        <f>ReviewCalcs[[#This Row],[Incentive Total Demand Savings (kW)]]</f>
        <v>0</v>
      </c>
      <c r="J217" s="3">
        <f>ProjectInput[[#This Row],[Energy Cost Savings ($)]]</f>
        <v>0</v>
      </c>
      <c r="K217" s="3">
        <f>ProjectInput[[#This Row],[Incentive ($)]]</f>
        <v>0</v>
      </c>
      <c r="L217" s="13">
        <f t="shared" si="3"/>
        <v>0</v>
      </c>
      <c r="M217" s="3"/>
      <c r="N217" s="3"/>
      <c r="O217" s="3"/>
      <c r="P217" s="3"/>
      <c r="Q217" s="3"/>
      <c r="R217" s="3"/>
      <c r="S217" s="3"/>
      <c r="T217" s="2"/>
      <c r="U217" s="133">
        <f>ProjectInput[[#This Row],[Location]]</f>
        <v>0</v>
      </c>
      <c r="V217" s="278">
        <f>ProjectInput[[#This Row],[Existing Fixture Code]]</f>
        <v>0</v>
      </c>
      <c r="W217"/>
      <c r="X217"/>
      <c r="Y217"/>
      <c r="Z217"/>
      <c r="AA217"/>
      <c r="AB217"/>
      <c r="AC217"/>
      <c r="AD217"/>
      <c r="AE217"/>
      <c r="AF217"/>
      <c r="AG217"/>
      <c r="AH217"/>
      <c r="AI217"/>
      <c r="AJ217"/>
      <c r="AK217"/>
      <c r="AL217"/>
      <c r="AM217"/>
      <c r="AN217"/>
      <c r="AO217"/>
    </row>
    <row r="218" spans="1:41" ht="15" customHeight="1">
      <c r="A218" s="2">
        <v>215</v>
      </c>
      <c r="B218" s="2"/>
      <c r="C218" s="3">
        <f>ProjectInput[[#This Row],[Retrofit Cost]]</f>
        <v>0</v>
      </c>
      <c r="D218" s="2">
        <f>ProjectInput[[#This Row],[Proposed Fixture Quantity]]</f>
        <v>0</v>
      </c>
      <c r="E218" s="2" t="str">
        <f>CONCATENATE("Replace ", ReviewCalcs[[#This Row],[Existing Fixture Code]], " with ", ReviewCalcs[[#This Row],[Proposed Fixture Code]])</f>
        <v>Replace 0 with 0</v>
      </c>
      <c r="F218" s="2">
        <f>ReviewCalcs[[#This Row],[Measure Type]]</f>
        <v>0</v>
      </c>
      <c r="G218" s="2" t="str">
        <f>IF(Instructions!$F$25="Post-Retrofit","Completed","Recommended")</f>
        <v>Recommended</v>
      </c>
      <c r="H218" s="4">
        <f>ReviewCalcs[[#This Row],[Incentive Total Energy Savings (kWh)]]</f>
        <v>0</v>
      </c>
      <c r="I218" s="2">
        <f>ReviewCalcs[[#This Row],[Incentive Total Demand Savings (kW)]]</f>
        <v>0</v>
      </c>
      <c r="J218" s="3">
        <f>ProjectInput[[#This Row],[Energy Cost Savings ($)]]</f>
        <v>0</v>
      </c>
      <c r="K218" s="3">
        <f>ProjectInput[[#This Row],[Incentive ($)]]</f>
        <v>0</v>
      </c>
      <c r="L218" s="13">
        <f t="shared" si="3"/>
        <v>0</v>
      </c>
      <c r="M218" s="3"/>
      <c r="N218" s="3"/>
      <c r="O218" s="3"/>
      <c r="P218" s="3"/>
      <c r="Q218" s="3"/>
      <c r="R218" s="3"/>
      <c r="S218" s="3"/>
      <c r="T218" s="2"/>
      <c r="U218" s="133">
        <f>ProjectInput[[#This Row],[Location]]</f>
        <v>0</v>
      </c>
      <c r="V218" s="278">
        <f>ProjectInput[[#This Row],[Existing Fixture Code]]</f>
        <v>0</v>
      </c>
      <c r="W218"/>
      <c r="X218"/>
      <c r="Y218"/>
      <c r="Z218"/>
      <c r="AA218"/>
      <c r="AB218"/>
      <c r="AC218"/>
      <c r="AD218"/>
      <c r="AE218"/>
      <c r="AF218"/>
      <c r="AG218"/>
      <c r="AH218"/>
      <c r="AI218"/>
      <c r="AJ218"/>
      <c r="AK218"/>
      <c r="AL218"/>
      <c r="AM218"/>
      <c r="AN218"/>
      <c r="AO218"/>
    </row>
    <row r="219" spans="1:41" ht="15" customHeight="1">
      <c r="A219" s="2">
        <v>216</v>
      </c>
      <c r="B219" s="2"/>
      <c r="C219" s="3">
        <f>ProjectInput[[#This Row],[Retrofit Cost]]</f>
        <v>0</v>
      </c>
      <c r="D219" s="2">
        <f>ProjectInput[[#This Row],[Proposed Fixture Quantity]]</f>
        <v>0</v>
      </c>
      <c r="E219" s="2" t="str">
        <f>CONCATENATE("Replace ", ReviewCalcs[[#This Row],[Existing Fixture Code]], " with ", ReviewCalcs[[#This Row],[Proposed Fixture Code]])</f>
        <v>Replace 0 with 0</v>
      </c>
      <c r="F219" s="2">
        <f>ReviewCalcs[[#This Row],[Measure Type]]</f>
        <v>0</v>
      </c>
      <c r="G219" s="2" t="str">
        <f>IF(Instructions!$F$25="Post-Retrofit","Completed","Recommended")</f>
        <v>Recommended</v>
      </c>
      <c r="H219" s="4">
        <f>ReviewCalcs[[#This Row],[Incentive Total Energy Savings (kWh)]]</f>
        <v>0</v>
      </c>
      <c r="I219" s="2">
        <f>ReviewCalcs[[#This Row],[Incentive Total Demand Savings (kW)]]</f>
        <v>0</v>
      </c>
      <c r="J219" s="3">
        <f>ProjectInput[[#This Row],[Energy Cost Savings ($)]]</f>
        <v>0</v>
      </c>
      <c r="K219" s="3">
        <f>ProjectInput[[#This Row],[Incentive ($)]]</f>
        <v>0</v>
      </c>
      <c r="L219" s="13">
        <f t="shared" si="3"/>
        <v>0</v>
      </c>
      <c r="M219" s="3"/>
      <c r="N219" s="3"/>
      <c r="O219" s="3"/>
      <c r="P219" s="3"/>
      <c r="Q219" s="3"/>
      <c r="R219" s="3"/>
      <c r="S219" s="3"/>
      <c r="T219" s="2"/>
      <c r="U219" s="133">
        <f>ProjectInput[[#This Row],[Location]]</f>
        <v>0</v>
      </c>
      <c r="V219" s="278">
        <f>ProjectInput[[#This Row],[Existing Fixture Code]]</f>
        <v>0</v>
      </c>
      <c r="W219"/>
      <c r="X219"/>
      <c r="Y219"/>
      <c r="Z219"/>
      <c r="AA219"/>
      <c r="AB219"/>
      <c r="AC219"/>
      <c r="AD219"/>
      <c r="AE219"/>
      <c r="AF219"/>
      <c r="AG219"/>
      <c r="AH219"/>
      <c r="AI219"/>
      <c r="AJ219"/>
      <c r="AK219"/>
      <c r="AL219"/>
      <c r="AM219"/>
      <c r="AN219"/>
      <c r="AO219"/>
    </row>
    <row r="220" spans="1:41" ht="15" customHeight="1">
      <c r="A220" s="2">
        <v>217</v>
      </c>
      <c r="B220" s="2"/>
      <c r="C220" s="3">
        <f>ProjectInput[[#This Row],[Retrofit Cost]]</f>
        <v>0</v>
      </c>
      <c r="D220" s="2">
        <f>ProjectInput[[#This Row],[Proposed Fixture Quantity]]</f>
        <v>0</v>
      </c>
      <c r="E220" s="2" t="str">
        <f>CONCATENATE("Replace ", ReviewCalcs[[#This Row],[Existing Fixture Code]], " with ", ReviewCalcs[[#This Row],[Proposed Fixture Code]])</f>
        <v>Replace 0 with 0</v>
      </c>
      <c r="F220" s="2">
        <f>ReviewCalcs[[#This Row],[Measure Type]]</f>
        <v>0</v>
      </c>
      <c r="G220" s="2" t="str">
        <f>IF(Instructions!$F$25="Post-Retrofit","Completed","Recommended")</f>
        <v>Recommended</v>
      </c>
      <c r="H220" s="4">
        <f>ReviewCalcs[[#This Row],[Incentive Total Energy Savings (kWh)]]</f>
        <v>0</v>
      </c>
      <c r="I220" s="2">
        <f>ReviewCalcs[[#This Row],[Incentive Total Demand Savings (kW)]]</f>
        <v>0</v>
      </c>
      <c r="J220" s="3">
        <f>ProjectInput[[#This Row],[Energy Cost Savings ($)]]</f>
        <v>0</v>
      </c>
      <c r="K220" s="3">
        <f>ProjectInput[[#This Row],[Incentive ($)]]</f>
        <v>0</v>
      </c>
      <c r="L220" s="13">
        <f t="shared" si="3"/>
        <v>0</v>
      </c>
      <c r="M220" s="3"/>
      <c r="N220" s="3"/>
      <c r="O220" s="3"/>
      <c r="P220" s="3"/>
      <c r="Q220" s="3"/>
      <c r="R220" s="3"/>
      <c r="S220" s="3"/>
      <c r="T220" s="2"/>
      <c r="U220" s="133">
        <f>ProjectInput[[#This Row],[Location]]</f>
        <v>0</v>
      </c>
      <c r="V220" s="278">
        <f>ProjectInput[[#This Row],[Existing Fixture Code]]</f>
        <v>0</v>
      </c>
      <c r="W220"/>
      <c r="X220"/>
      <c r="Y220"/>
      <c r="Z220"/>
      <c r="AA220"/>
      <c r="AB220"/>
      <c r="AC220"/>
      <c r="AD220"/>
      <c r="AE220"/>
      <c r="AF220"/>
      <c r="AG220"/>
      <c r="AH220"/>
      <c r="AI220"/>
      <c r="AJ220"/>
      <c r="AK220"/>
      <c r="AL220"/>
      <c r="AM220"/>
      <c r="AN220"/>
      <c r="AO220"/>
    </row>
    <row r="221" spans="1:41" ht="15" customHeight="1">
      <c r="A221" s="2">
        <v>218</v>
      </c>
      <c r="B221" s="2"/>
      <c r="C221" s="3">
        <f>ProjectInput[[#This Row],[Retrofit Cost]]</f>
        <v>0</v>
      </c>
      <c r="D221" s="2">
        <f>ProjectInput[[#This Row],[Proposed Fixture Quantity]]</f>
        <v>0</v>
      </c>
      <c r="E221" s="2" t="str">
        <f>CONCATENATE("Replace ", ReviewCalcs[[#This Row],[Existing Fixture Code]], " with ", ReviewCalcs[[#This Row],[Proposed Fixture Code]])</f>
        <v>Replace 0 with 0</v>
      </c>
      <c r="F221" s="2">
        <f>ReviewCalcs[[#This Row],[Measure Type]]</f>
        <v>0</v>
      </c>
      <c r="G221" s="2" t="str">
        <f>IF(Instructions!$F$25="Post-Retrofit","Completed","Recommended")</f>
        <v>Recommended</v>
      </c>
      <c r="H221" s="4">
        <f>ReviewCalcs[[#This Row],[Incentive Total Energy Savings (kWh)]]</f>
        <v>0</v>
      </c>
      <c r="I221" s="2">
        <f>ReviewCalcs[[#This Row],[Incentive Total Demand Savings (kW)]]</f>
        <v>0</v>
      </c>
      <c r="J221" s="3">
        <f>ProjectInput[[#This Row],[Energy Cost Savings ($)]]</f>
        <v>0</v>
      </c>
      <c r="K221" s="3">
        <f>ProjectInput[[#This Row],[Incentive ($)]]</f>
        <v>0</v>
      </c>
      <c r="L221" s="13">
        <f t="shared" si="3"/>
        <v>0</v>
      </c>
      <c r="M221" s="3"/>
      <c r="N221" s="3"/>
      <c r="O221" s="3"/>
      <c r="P221" s="3"/>
      <c r="Q221" s="3"/>
      <c r="R221" s="3"/>
      <c r="S221" s="3"/>
      <c r="T221" s="2"/>
      <c r="U221" s="133">
        <f>ProjectInput[[#This Row],[Location]]</f>
        <v>0</v>
      </c>
      <c r="V221" s="278">
        <f>ProjectInput[[#This Row],[Existing Fixture Code]]</f>
        <v>0</v>
      </c>
      <c r="W221"/>
      <c r="X221"/>
      <c r="Y221"/>
      <c r="Z221"/>
      <c r="AA221"/>
      <c r="AB221"/>
      <c r="AC221"/>
      <c r="AD221"/>
      <c r="AE221"/>
      <c r="AF221"/>
      <c r="AG221"/>
      <c r="AH221"/>
      <c r="AI221"/>
      <c r="AJ221"/>
      <c r="AK221"/>
      <c r="AL221"/>
      <c r="AM221"/>
      <c r="AN221"/>
      <c r="AO221"/>
    </row>
    <row r="222" spans="1:41" ht="15" customHeight="1">
      <c r="A222" s="2">
        <v>219</v>
      </c>
      <c r="B222" s="2"/>
      <c r="C222" s="3">
        <f>ProjectInput[[#This Row],[Retrofit Cost]]</f>
        <v>0</v>
      </c>
      <c r="D222" s="2">
        <f>ProjectInput[[#This Row],[Proposed Fixture Quantity]]</f>
        <v>0</v>
      </c>
      <c r="E222" s="2" t="str">
        <f>CONCATENATE("Replace ", ReviewCalcs[[#This Row],[Existing Fixture Code]], " with ", ReviewCalcs[[#This Row],[Proposed Fixture Code]])</f>
        <v>Replace 0 with 0</v>
      </c>
      <c r="F222" s="2">
        <f>ReviewCalcs[[#This Row],[Measure Type]]</f>
        <v>0</v>
      </c>
      <c r="G222" s="2" t="str">
        <f>IF(Instructions!$F$25="Post-Retrofit","Completed","Recommended")</f>
        <v>Recommended</v>
      </c>
      <c r="H222" s="4">
        <f>ReviewCalcs[[#This Row],[Incentive Total Energy Savings (kWh)]]</f>
        <v>0</v>
      </c>
      <c r="I222" s="2">
        <f>ReviewCalcs[[#This Row],[Incentive Total Demand Savings (kW)]]</f>
        <v>0</v>
      </c>
      <c r="J222" s="3">
        <f>ProjectInput[[#This Row],[Energy Cost Savings ($)]]</f>
        <v>0</v>
      </c>
      <c r="K222" s="3">
        <f>ProjectInput[[#This Row],[Incentive ($)]]</f>
        <v>0</v>
      </c>
      <c r="L222" s="13">
        <f t="shared" si="3"/>
        <v>0</v>
      </c>
      <c r="M222" s="3"/>
      <c r="N222" s="3"/>
      <c r="O222" s="3"/>
      <c r="P222" s="3"/>
      <c r="Q222" s="3"/>
      <c r="R222" s="3"/>
      <c r="S222" s="3"/>
      <c r="T222" s="2"/>
      <c r="U222" s="133">
        <f>ProjectInput[[#This Row],[Location]]</f>
        <v>0</v>
      </c>
      <c r="V222" s="278">
        <f>ProjectInput[[#This Row],[Existing Fixture Code]]</f>
        <v>0</v>
      </c>
      <c r="W222"/>
      <c r="X222"/>
      <c r="Y222"/>
      <c r="Z222"/>
      <c r="AA222"/>
      <c r="AB222"/>
      <c r="AC222"/>
      <c r="AD222"/>
      <c r="AE222"/>
      <c r="AF222"/>
      <c r="AG222"/>
      <c r="AH222"/>
      <c r="AI222"/>
      <c r="AJ222"/>
      <c r="AK222"/>
      <c r="AL222"/>
      <c r="AM222"/>
      <c r="AN222"/>
      <c r="AO222"/>
    </row>
    <row r="223" spans="1:41" ht="15" customHeight="1">
      <c r="A223" s="2">
        <v>220</v>
      </c>
      <c r="B223" s="2"/>
      <c r="C223" s="3">
        <f>ProjectInput[[#This Row],[Retrofit Cost]]</f>
        <v>0</v>
      </c>
      <c r="D223" s="2">
        <f>ProjectInput[[#This Row],[Proposed Fixture Quantity]]</f>
        <v>0</v>
      </c>
      <c r="E223" s="2" t="str">
        <f>CONCATENATE("Replace ", ReviewCalcs[[#This Row],[Existing Fixture Code]], " with ", ReviewCalcs[[#This Row],[Proposed Fixture Code]])</f>
        <v>Replace 0 with 0</v>
      </c>
      <c r="F223" s="2">
        <f>ReviewCalcs[[#This Row],[Measure Type]]</f>
        <v>0</v>
      </c>
      <c r="G223" s="2" t="str">
        <f>IF(Instructions!$F$25="Post-Retrofit","Completed","Recommended")</f>
        <v>Recommended</v>
      </c>
      <c r="H223" s="4">
        <f>ReviewCalcs[[#This Row],[Incentive Total Energy Savings (kWh)]]</f>
        <v>0</v>
      </c>
      <c r="I223" s="2">
        <f>ReviewCalcs[[#This Row],[Incentive Total Demand Savings (kW)]]</f>
        <v>0</v>
      </c>
      <c r="J223" s="3">
        <f>ProjectInput[[#This Row],[Energy Cost Savings ($)]]</f>
        <v>0</v>
      </c>
      <c r="K223" s="3">
        <f>ProjectInput[[#This Row],[Incentive ($)]]</f>
        <v>0</v>
      </c>
      <c r="L223" s="13">
        <f t="shared" si="3"/>
        <v>0</v>
      </c>
      <c r="M223" s="3"/>
      <c r="N223" s="3"/>
      <c r="O223" s="3"/>
      <c r="P223" s="3"/>
      <c r="Q223" s="3"/>
      <c r="R223" s="3"/>
      <c r="S223" s="3"/>
      <c r="T223" s="2"/>
      <c r="U223" s="133">
        <f>ProjectInput[[#This Row],[Location]]</f>
        <v>0</v>
      </c>
      <c r="V223" s="278">
        <f>ProjectInput[[#This Row],[Existing Fixture Code]]</f>
        <v>0</v>
      </c>
      <c r="W223"/>
      <c r="X223"/>
      <c r="Y223"/>
      <c r="Z223"/>
      <c r="AA223"/>
      <c r="AB223"/>
      <c r="AC223"/>
      <c r="AD223"/>
      <c r="AE223"/>
      <c r="AF223"/>
      <c r="AG223"/>
      <c r="AH223"/>
      <c r="AI223"/>
      <c r="AJ223"/>
      <c r="AK223"/>
      <c r="AL223"/>
      <c r="AM223"/>
      <c r="AN223"/>
      <c r="AO223"/>
    </row>
    <row r="224" spans="1:41" ht="15" customHeight="1">
      <c r="A224" s="2">
        <v>221</v>
      </c>
      <c r="B224" s="2"/>
      <c r="C224" s="3">
        <f>ProjectInput[[#This Row],[Retrofit Cost]]</f>
        <v>0</v>
      </c>
      <c r="D224" s="2">
        <f>ProjectInput[[#This Row],[Proposed Fixture Quantity]]</f>
        <v>0</v>
      </c>
      <c r="E224" s="2" t="str">
        <f>CONCATENATE("Replace ", ReviewCalcs[[#This Row],[Existing Fixture Code]], " with ", ReviewCalcs[[#This Row],[Proposed Fixture Code]])</f>
        <v>Replace 0 with 0</v>
      </c>
      <c r="F224" s="2">
        <f>ReviewCalcs[[#This Row],[Measure Type]]</f>
        <v>0</v>
      </c>
      <c r="G224" s="2" t="str">
        <f>IF(Instructions!$F$25="Post-Retrofit","Completed","Recommended")</f>
        <v>Recommended</v>
      </c>
      <c r="H224" s="4">
        <f>ReviewCalcs[[#This Row],[Incentive Total Energy Savings (kWh)]]</f>
        <v>0</v>
      </c>
      <c r="I224" s="2">
        <f>ReviewCalcs[[#This Row],[Incentive Total Demand Savings (kW)]]</f>
        <v>0</v>
      </c>
      <c r="J224" s="3">
        <f>ProjectInput[[#This Row],[Energy Cost Savings ($)]]</f>
        <v>0</v>
      </c>
      <c r="K224" s="3">
        <f>ProjectInput[[#This Row],[Incentive ($)]]</f>
        <v>0</v>
      </c>
      <c r="L224" s="13">
        <f t="shared" si="3"/>
        <v>0</v>
      </c>
      <c r="M224" s="3"/>
      <c r="N224" s="3"/>
      <c r="O224" s="3"/>
      <c r="P224" s="3"/>
      <c r="Q224" s="3"/>
      <c r="R224" s="3"/>
      <c r="S224" s="3"/>
      <c r="T224" s="2"/>
      <c r="U224" s="133">
        <f>ProjectInput[[#This Row],[Location]]</f>
        <v>0</v>
      </c>
      <c r="V224" s="278">
        <f>ProjectInput[[#This Row],[Existing Fixture Code]]</f>
        <v>0</v>
      </c>
      <c r="W224"/>
      <c r="X224"/>
      <c r="Y224"/>
      <c r="Z224"/>
      <c r="AA224"/>
      <c r="AB224"/>
      <c r="AC224"/>
      <c r="AD224"/>
      <c r="AE224"/>
      <c r="AF224"/>
      <c r="AG224"/>
      <c r="AH224"/>
      <c r="AI224"/>
      <c r="AJ224"/>
      <c r="AK224"/>
      <c r="AL224"/>
      <c r="AM224"/>
      <c r="AN224"/>
      <c r="AO224"/>
    </row>
    <row r="225" spans="1:41" ht="15" customHeight="1">
      <c r="A225" s="2">
        <v>222</v>
      </c>
      <c r="B225" s="2"/>
      <c r="C225" s="3">
        <f>ProjectInput[[#This Row],[Retrofit Cost]]</f>
        <v>0</v>
      </c>
      <c r="D225" s="2">
        <f>ProjectInput[[#This Row],[Proposed Fixture Quantity]]</f>
        <v>0</v>
      </c>
      <c r="E225" s="2" t="str">
        <f>CONCATENATE("Replace ", ReviewCalcs[[#This Row],[Existing Fixture Code]], " with ", ReviewCalcs[[#This Row],[Proposed Fixture Code]])</f>
        <v>Replace 0 with 0</v>
      </c>
      <c r="F225" s="2">
        <f>ReviewCalcs[[#This Row],[Measure Type]]</f>
        <v>0</v>
      </c>
      <c r="G225" s="2" t="str">
        <f>IF(Instructions!$F$25="Post-Retrofit","Completed","Recommended")</f>
        <v>Recommended</v>
      </c>
      <c r="H225" s="4">
        <f>ReviewCalcs[[#This Row],[Incentive Total Energy Savings (kWh)]]</f>
        <v>0</v>
      </c>
      <c r="I225" s="2">
        <f>ReviewCalcs[[#This Row],[Incentive Total Demand Savings (kW)]]</f>
        <v>0</v>
      </c>
      <c r="J225" s="3">
        <f>ProjectInput[[#This Row],[Energy Cost Savings ($)]]</f>
        <v>0</v>
      </c>
      <c r="K225" s="3">
        <f>ProjectInput[[#This Row],[Incentive ($)]]</f>
        <v>0</v>
      </c>
      <c r="L225" s="13">
        <f t="shared" si="3"/>
        <v>0</v>
      </c>
      <c r="M225" s="3"/>
      <c r="N225" s="3"/>
      <c r="O225" s="3"/>
      <c r="P225" s="3"/>
      <c r="Q225" s="3"/>
      <c r="R225" s="3"/>
      <c r="S225" s="3"/>
      <c r="T225" s="2"/>
      <c r="U225" s="133">
        <f>ProjectInput[[#This Row],[Location]]</f>
        <v>0</v>
      </c>
      <c r="V225" s="278">
        <f>ProjectInput[[#This Row],[Existing Fixture Code]]</f>
        <v>0</v>
      </c>
      <c r="W225"/>
      <c r="X225"/>
      <c r="Y225"/>
      <c r="Z225"/>
      <c r="AA225"/>
      <c r="AB225"/>
      <c r="AC225"/>
      <c r="AD225"/>
      <c r="AE225"/>
      <c r="AF225"/>
      <c r="AG225"/>
      <c r="AH225"/>
      <c r="AI225"/>
      <c r="AJ225"/>
      <c r="AK225"/>
      <c r="AL225"/>
      <c r="AM225"/>
      <c r="AN225"/>
      <c r="AO225"/>
    </row>
    <row r="226" spans="1:41" ht="15" customHeight="1">
      <c r="A226" s="2">
        <v>223</v>
      </c>
      <c r="B226" s="2"/>
      <c r="C226" s="3">
        <f>ProjectInput[[#This Row],[Retrofit Cost]]</f>
        <v>0</v>
      </c>
      <c r="D226" s="2">
        <f>ProjectInput[[#This Row],[Proposed Fixture Quantity]]</f>
        <v>0</v>
      </c>
      <c r="E226" s="2" t="str">
        <f>CONCATENATE("Replace ", ReviewCalcs[[#This Row],[Existing Fixture Code]], " with ", ReviewCalcs[[#This Row],[Proposed Fixture Code]])</f>
        <v>Replace 0 with 0</v>
      </c>
      <c r="F226" s="2">
        <f>ReviewCalcs[[#This Row],[Measure Type]]</f>
        <v>0</v>
      </c>
      <c r="G226" s="2" t="str">
        <f>IF(Instructions!$F$25="Post-Retrofit","Completed","Recommended")</f>
        <v>Recommended</v>
      </c>
      <c r="H226" s="4">
        <f>ReviewCalcs[[#This Row],[Incentive Total Energy Savings (kWh)]]</f>
        <v>0</v>
      </c>
      <c r="I226" s="2">
        <f>ReviewCalcs[[#This Row],[Incentive Total Demand Savings (kW)]]</f>
        <v>0</v>
      </c>
      <c r="J226" s="3">
        <f>ProjectInput[[#This Row],[Energy Cost Savings ($)]]</f>
        <v>0</v>
      </c>
      <c r="K226" s="3">
        <f>ProjectInput[[#This Row],[Incentive ($)]]</f>
        <v>0</v>
      </c>
      <c r="L226" s="13">
        <f t="shared" si="3"/>
        <v>0</v>
      </c>
      <c r="M226" s="3"/>
      <c r="N226" s="3"/>
      <c r="O226" s="3"/>
      <c r="P226" s="3"/>
      <c r="Q226" s="3"/>
      <c r="R226" s="3"/>
      <c r="S226" s="3"/>
      <c r="T226" s="2"/>
      <c r="U226" s="133">
        <f>ProjectInput[[#This Row],[Location]]</f>
        <v>0</v>
      </c>
      <c r="V226" s="278">
        <f>ProjectInput[[#This Row],[Existing Fixture Code]]</f>
        <v>0</v>
      </c>
      <c r="W226"/>
      <c r="X226"/>
      <c r="Y226"/>
      <c r="Z226"/>
      <c r="AA226"/>
      <c r="AB226"/>
      <c r="AC226"/>
      <c r="AD226"/>
      <c r="AE226"/>
      <c r="AF226"/>
      <c r="AG226"/>
      <c r="AH226"/>
      <c r="AI226"/>
      <c r="AJ226"/>
      <c r="AK226"/>
      <c r="AL226"/>
      <c r="AM226"/>
      <c r="AN226"/>
      <c r="AO226"/>
    </row>
    <row r="227" spans="1:41" ht="15" customHeight="1">
      <c r="A227" s="2">
        <v>224</v>
      </c>
      <c r="B227" s="2"/>
      <c r="C227" s="3">
        <f>ProjectInput[[#This Row],[Retrofit Cost]]</f>
        <v>0</v>
      </c>
      <c r="D227" s="2">
        <f>ProjectInput[[#This Row],[Proposed Fixture Quantity]]</f>
        <v>0</v>
      </c>
      <c r="E227" s="2" t="str">
        <f>CONCATENATE("Replace ", ReviewCalcs[[#This Row],[Existing Fixture Code]], " with ", ReviewCalcs[[#This Row],[Proposed Fixture Code]])</f>
        <v>Replace 0 with 0</v>
      </c>
      <c r="F227" s="2">
        <f>ReviewCalcs[[#This Row],[Measure Type]]</f>
        <v>0</v>
      </c>
      <c r="G227" s="2" t="str">
        <f>IF(Instructions!$F$25="Post-Retrofit","Completed","Recommended")</f>
        <v>Recommended</v>
      </c>
      <c r="H227" s="4">
        <f>ReviewCalcs[[#This Row],[Incentive Total Energy Savings (kWh)]]</f>
        <v>0</v>
      </c>
      <c r="I227" s="2">
        <f>ReviewCalcs[[#This Row],[Incentive Total Demand Savings (kW)]]</f>
        <v>0</v>
      </c>
      <c r="J227" s="3">
        <f>ProjectInput[[#This Row],[Energy Cost Savings ($)]]</f>
        <v>0</v>
      </c>
      <c r="K227" s="3">
        <f>ProjectInput[[#This Row],[Incentive ($)]]</f>
        <v>0</v>
      </c>
      <c r="L227" s="13">
        <f t="shared" si="3"/>
        <v>0</v>
      </c>
      <c r="M227" s="3"/>
      <c r="N227" s="3"/>
      <c r="O227" s="3"/>
      <c r="P227" s="3"/>
      <c r="Q227" s="3"/>
      <c r="R227" s="3"/>
      <c r="S227" s="3"/>
      <c r="T227" s="2"/>
      <c r="U227" s="133">
        <f>ProjectInput[[#This Row],[Location]]</f>
        <v>0</v>
      </c>
      <c r="V227" s="278">
        <f>ProjectInput[[#This Row],[Existing Fixture Code]]</f>
        <v>0</v>
      </c>
      <c r="W227"/>
      <c r="X227"/>
      <c r="Y227"/>
      <c r="Z227"/>
      <c r="AA227"/>
      <c r="AB227"/>
      <c r="AC227"/>
      <c r="AD227"/>
      <c r="AE227"/>
      <c r="AF227"/>
      <c r="AG227"/>
      <c r="AH227"/>
      <c r="AI227"/>
      <c r="AJ227"/>
      <c r="AK227"/>
      <c r="AL227"/>
      <c r="AM227"/>
      <c r="AN227"/>
      <c r="AO227"/>
    </row>
    <row r="228" spans="1:41" ht="15" customHeight="1">
      <c r="A228" s="2">
        <v>225</v>
      </c>
      <c r="B228" s="2"/>
      <c r="C228" s="3">
        <f>ProjectInput[[#This Row],[Retrofit Cost]]</f>
        <v>0</v>
      </c>
      <c r="D228" s="2">
        <f>ProjectInput[[#This Row],[Proposed Fixture Quantity]]</f>
        <v>0</v>
      </c>
      <c r="E228" s="2" t="str">
        <f>CONCATENATE("Replace ", ReviewCalcs[[#This Row],[Existing Fixture Code]], " with ", ReviewCalcs[[#This Row],[Proposed Fixture Code]])</f>
        <v>Replace 0 with 0</v>
      </c>
      <c r="F228" s="2">
        <f>ReviewCalcs[[#This Row],[Measure Type]]</f>
        <v>0</v>
      </c>
      <c r="G228" s="2" t="str">
        <f>IF(Instructions!$F$25="Post-Retrofit","Completed","Recommended")</f>
        <v>Recommended</v>
      </c>
      <c r="H228" s="4">
        <f>ReviewCalcs[[#This Row],[Incentive Total Energy Savings (kWh)]]</f>
        <v>0</v>
      </c>
      <c r="I228" s="2">
        <f>ReviewCalcs[[#This Row],[Incentive Total Demand Savings (kW)]]</f>
        <v>0</v>
      </c>
      <c r="J228" s="3">
        <f>ProjectInput[[#This Row],[Energy Cost Savings ($)]]</f>
        <v>0</v>
      </c>
      <c r="K228" s="3">
        <f>ProjectInput[[#This Row],[Incentive ($)]]</f>
        <v>0</v>
      </c>
      <c r="L228" s="13">
        <f t="shared" si="3"/>
        <v>0</v>
      </c>
      <c r="M228" s="3"/>
      <c r="N228" s="3"/>
      <c r="O228" s="3"/>
      <c r="P228" s="3"/>
      <c r="Q228" s="3"/>
      <c r="R228" s="3"/>
      <c r="S228" s="3"/>
      <c r="T228" s="2"/>
      <c r="U228" s="133">
        <f>ProjectInput[[#This Row],[Location]]</f>
        <v>0</v>
      </c>
      <c r="V228" s="278">
        <f>ProjectInput[[#This Row],[Existing Fixture Code]]</f>
        <v>0</v>
      </c>
      <c r="W228"/>
      <c r="X228"/>
      <c r="Y228"/>
      <c r="Z228"/>
      <c r="AA228"/>
      <c r="AB228"/>
      <c r="AC228"/>
      <c r="AD228"/>
      <c r="AE228"/>
      <c r="AF228"/>
      <c r="AG228"/>
      <c r="AH228"/>
      <c r="AI228"/>
      <c r="AJ228"/>
      <c r="AK228"/>
      <c r="AL228"/>
      <c r="AM228"/>
      <c r="AN228"/>
      <c r="AO228"/>
    </row>
    <row r="229" spans="1:41" ht="15" customHeight="1">
      <c r="A229" s="2">
        <v>226</v>
      </c>
      <c r="B229" s="2"/>
      <c r="C229" s="3">
        <f>ProjectInput[[#This Row],[Retrofit Cost]]</f>
        <v>0</v>
      </c>
      <c r="D229" s="2">
        <f>ProjectInput[[#This Row],[Proposed Fixture Quantity]]</f>
        <v>0</v>
      </c>
      <c r="E229" s="2" t="str">
        <f>CONCATENATE("Replace ", ReviewCalcs[[#This Row],[Existing Fixture Code]], " with ", ReviewCalcs[[#This Row],[Proposed Fixture Code]])</f>
        <v>Replace 0 with 0</v>
      </c>
      <c r="F229" s="2">
        <f>ReviewCalcs[[#This Row],[Measure Type]]</f>
        <v>0</v>
      </c>
      <c r="G229" s="2" t="str">
        <f>IF(Instructions!$F$25="Post-Retrofit","Completed","Recommended")</f>
        <v>Recommended</v>
      </c>
      <c r="H229" s="4">
        <f>ReviewCalcs[[#This Row],[Incentive Total Energy Savings (kWh)]]</f>
        <v>0</v>
      </c>
      <c r="I229" s="2">
        <f>ReviewCalcs[[#This Row],[Incentive Total Demand Savings (kW)]]</f>
        <v>0</v>
      </c>
      <c r="J229" s="3">
        <f>ProjectInput[[#This Row],[Energy Cost Savings ($)]]</f>
        <v>0</v>
      </c>
      <c r="K229" s="3">
        <f>ProjectInput[[#This Row],[Incentive ($)]]</f>
        <v>0</v>
      </c>
      <c r="L229" s="13">
        <f t="shared" si="3"/>
        <v>0</v>
      </c>
      <c r="M229" s="3"/>
      <c r="N229" s="3"/>
      <c r="O229" s="3"/>
      <c r="P229" s="3"/>
      <c r="Q229" s="3"/>
      <c r="R229" s="3"/>
      <c r="S229" s="3"/>
      <c r="T229" s="2"/>
      <c r="U229" s="133">
        <f>ProjectInput[[#This Row],[Location]]</f>
        <v>0</v>
      </c>
      <c r="V229" s="278">
        <f>ProjectInput[[#This Row],[Existing Fixture Code]]</f>
        <v>0</v>
      </c>
      <c r="W229"/>
      <c r="X229"/>
      <c r="Y229"/>
      <c r="Z229"/>
      <c r="AA229"/>
      <c r="AB229"/>
      <c r="AC229"/>
      <c r="AD229"/>
      <c r="AE229"/>
      <c r="AF229"/>
      <c r="AG229"/>
      <c r="AH229"/>
      <c r="AI229"/>
      <c r="AJ229"/>
      <c r="AK229"/>
      <c r="AL229"/>
      <c r="AM229"/>
      <c r="AN229"/>
      <c r="AO229"/>
    </row>
    <row r="230" spans="1:41" ht="15" customHeight="1">
      <c r="A230" s="2">
        <v>227</v>
      </c>
      <c r="B230" s="2"/>
      <c r="C230" s="3">
        <f>ProjectInput[[#This Row],[Retrofit Cost]]</f>
        <v>0</v>
      </c>
      <c r="D230" s="2">
        <f>ProjectInput[[#This Row],[Proposed Fixture Quantity]]</f>
        <v>0</v>
      </c>
      <c r="E230" s="2" t="str">
        <f>CONCATENATE("Replace ", ReviewCalcs[[#This Row],[Existing Fixture Code]], " with ", ReviewCalcs[[#This Row],[Proposed Fixture Code]])</f>
        <v>Replace 0 with 0</v>
      </c>
      <c r="F230" s="2">
        <f>ReviewCalcs[[#This Row],[Measure Type]]</f>
        <v>0</v>
      </c>
      <c r="G230" s="2" t="str">
        <f>IF(Instructions!$F$25="Post-Retrofit","Completed","Recommended")</f>
        <v>Recommended</v>
      </c>
      <c r="H230" s="4">
        <f>ReviewCalcs[[#This Row],[Incentive Total Energy Savings (kWh)]]</f>
        <v>0</v>
      </c>
      <c r="I230" s="2">
        <f>ReviewCalcs[[#This Row],[Incentive Total Demand Savings (kW)]]</f>
        <v>0</v>
      </c>
      <c r="J230" s="3">
        <f>ProjectInput[[#This Row],[Energy Cost Savings ($)]]</f>
        <v>0</v>
      </c>
      <c r="K230" s="3">
        <f>ProjectInput[[#This Row],[Incentive ($)]]</f>
        <v>0</v>
      </c>
      <c r="L230" s="13">
        <f t="shared" ref="L230:L293" si="4">IF(C230&lt;&gt;0,(C230-K230)/J230,0)</f>
        <v>0</v>
      </c>
      <c r="M230" s="3"/>
      <c r="N230" s="3"/>
      <c r="O230" s="3"/>
      <c r="P230" s="3"/>
      <c r="Q230" s="3"/>
      <c r="R230" s="3"/>
      <c r="S230" s="3"/>
      <c r="T230" s="2"/>
      <c r="U230" s="133">
        <f>ProjectInput[[#This Row],[Location]]</f>
        <v>0</v>
      </c>
      <c r="V230" s="278">
        <f>ProjectInput[[#This Row],[Existing Fixture Code]]</f>
        <v>0</v>
      </c>
      <c r="W230"/>
      <c r="X230"/>
      <c r="Y230"/>
      <c r="Z230"/>
      <c r="AA230"/>
      <c r="AB230"/>
      <c r="AC230"/>
      <c r="AD230"/>
      <c r="AE230"/>
      <c r="AF230"/>
      <c r="AG230"/>
      <c r="AH230"/>
      <c r="AI230"/>
      <c r="AJ230"/>
      <c r="AK230"/>
      <c r="AL230"/>
      <c r="AM230"/>
      <c r="AN230"/>
      <c r="AO230"/>
    </row>
    <row r="231" spans="1:41" ht="15" customHeight="1">
      <c r="A231" s="2">
        <v>228</v>
      </c>
      <c r="B231" s="2"/>
      <c r="C231" s="3">
        <f>ProjectInput[[#This Row],[Retrofit Cost]]</f>
        <v>0</v>
      </c>
      <c r="D231" s="2">
        <f>ProjectInput[[#This Row],[Proposed Fixture Quantity]]</f>
        <v>0</v>
      </c>
      <c r="E231" s="2" t="str">
        <f>CONCATENATE("Replace ", ReviewCalcs[[#This Row],[Existing Fixture Code]], " with ", ReviewCalcs[[#This Row],[Proposed Fixture Code]])</f>
        <v>Replace 0 with 0</v>
      </c>
      <c r="F231" s="2">
        <f>ReviewCalcs[[#This Row],[Measure Type]]</f>
        <v>0</v>
      </c>
      <c r="G231" s="2" t="str">
        <f>IF(Instructions!$F$25="Post-Retrofit","Completed","Recommended")</f>
        <v>Recommended</v>
      </c>
      <c r="H231" s="4">
        <f>ReviewCalcs[[#This Row],[Incentive Total Energy Savings (kWh)]]</f>
        <v>0</v>
      </c>
      <c r="I231" s="2">
        <f>ReviewCalcs[[#This Row],[Incentive Total Demand Savings (kW)]]</f>
        <v>0</v>
      </c>
      <c r="J231" s="3">
        <f>ProjectInput[[#This Row],[Energy Cost Savings ($)]]</f>
        <v>0</v>
      </c>
      <c r="K231" s="3">
        <f>ProjectInput[[#This Row],[Incentive ($)]]</f>
        <v>0</v>
      </c>
      <c r="L231" s="13">
        <f t="shared" si="4"/>
        <v>0</v>
      </c>
      <c r="M231" s="3"/>
      <c r="N231" s="3"/>
      <c r="O231" s="3"/>
      <c r="P231" s="3"/>
      <c r="Q231" s="3"/>
      <c r="R231" s="3"/>
      <c r="S231" s="3"/>
      <c r="T231" s="2"/>
      <c r="U231" s="133">
        <f>ProjectInput[[#This Row],[Location]]</f>
        <v>0</v>
      </c>
      <c r="V231" s="278">
        <f>ProjectInput[[#This Row],[Existing Fixture Code]]</f>
        <v>0</v>
      </c>
      <c r="W231"/>
      <c r="X231"/>
      <c r="Y231"/>
      <c r="Z231"/>
      <c r="AA231"/>
      <c r="AB231"/>
      <c r="AC231"/>
      <c r="AD231"/>
      <c r="AE231"/>
      <c r="AF231"/>
      <c r="AG231"/>
      <c r="AH231"/>
      <c r="AI231"/>
      <c r="AJ231"/>
      <c r="AK231"/>
      <c r="AL231"/>
      <c r="AM231"/>
      <c r="AN231"/>
      <c r="AO231"/>
    </row>
    <row r="232" spans="1:41" ht="15" customHeight="1">
      <c r="A232" s="2">
        <v>229</v>
      </c>
      <c r="B232" s="2"/>
      <c r="C232" s="3">
        <f>ProjectInput[[#This Row],[Retrofit Cost]]</f>
        <v>0</v>
      </c>
      <c r="D232" s="2">
        <f>ProjectInput[[#This Row],[Proposed Fixture Quantity]]</f>
        <v>0</v>
      </c>
      <c r="E232" s="2" t="str">
        <f>CONCATENATE("Replace ", ReviewCalcs[[#This Row],[Existing Fixture Code]], " with ", ReviewCalcs[[#This Row],[Proposed Fixture Code]])</f>
        <v>Replace 0 with 0</v>
      </c>
      <c r="F232" s="2">
        <f>ReviewCalcs[[#This Row],[Measure Type]]</f>
        <v>0</v>
      </c>
      <c r="G232" s="2" t="str">
        <f>IF(Instructions!$F$25="Post-Retrofit","Completed","Recommended")</f>
        <v>Recommended</v>
      </c>
      <c r="H232" s="4">
        <f>ReviewCalcs[[#This Row],[Incentive Total Energy Savings (kWh)]]</f>
        <v>0</v>
      </c>
      <c r="I232" s="2">
        <f>ReviewCalcs[[#This Row],[Incentive Total Demand Savings (kW)]]</f>
        <v>0</v>
      </c>
      <c r="J232" s="3">
        <f>ProjectInput[[#This Row],[Energy Cost Savings ($)]]</f>
        <v>0</v>
      </c>
      <c r="K232" s="3">
        <f>ProjectInput[[#This Row],[Incentive ($)]]</f>
        <v>0</v>
      </c>
      <c r="L232" s="13">
        <f t="shared" si="4"/>
        <v>0</v>
      </c>
      <c r="M232" s="3"/>
      <c r="N232" s="3"/>
      <c r="O232" s="3"/>
      <c r="P232" s="3"/>
      <c r="Q232" s="3"/>
      <c r="R232" s="3"/>
      <c r="S232" s="3"/>
      <c r="T232" s="2"/>
      <c r="U232" s="133">
        <f>ProjectInput[[#This Row],[Location]]</f>
        <v>0</v>
      </c>
      <c r="V232" s="278">
        <f>ProjectInput[[#This Row],[Existing Fixture Code]]</f>
        <v>0</v>
      </c>
      <c r="W232"/>
      <c r="X232"/>
      <c r="Y232"/>
      <c r="Z232"/>
      <c r="AA232"/>
      <c r="AB232"/>
      <c r="AC232"/>
      <c r="AD232"/>
      <c r="AE232"/>
      <c r="AF232"/>
      <c r="AG232"/>
      <c r="AH232"/>
      <c r="AI232"/>
      <c r="AJ232"/>
      <c r="AK232"/>
      <c r="AL232"/>
      <c r="AM232"/>
      <c r="AN232"/>
      <c r="AO232"/>
    </row>
    <row r="233" spans="1:41" ht="15" customHeight="1">
      <c r="A233" s="2">
        <v>230</v>
      </c>
      <c r="B233" s="2"/>
      <c r="C233" s="3">
        <f>ProjectInput[[#This Row],[Retrofit Cost]]</f>
        <v>0</v>
      </c>
      <c r="D233" s="2">
        <f>ProjectInput[[#This Row],[Proposed Fixture Quantity]]</f>
        <v>0</v>
      </c>
      <c r="E233" s="2" t="str">
        <f>CONCATENATE("Replace ", ReviewCalcs[[#This Row],[Existing Fixture Code]], " with ", ReviewCalcs[[#This Row],[Proposed Fixture Code]])</f>
        <v>Replace 0 with 0</v>
      </c>
      <c r="F233" s="2">
        <f>ReviewCalcs[[#This Row],[Measure Type]]</f>
        <v>0</v>
      </c>
      <c r="G233" s="2" t="str">
        <f>IF(Instructions!$F$25="Post-Retrofit","Completed","Recommended")</f>
        <v>Recommended</v>
      </c>
      <c r="H233" s="4">
        <f>ReviewCalcs[[#This Row],[Incentive Total Energy Savings (kWh)]]</f>
        <v>0</v>
      </c>
      <c r="I233" s="2">
        <f>ReviewCalcs[[#This Row],[Incentive Total Demand Savings (kW)]]</f>
        <v>0</v>
      </c>
      <c r="J233" s="3">
        <f>ProjectInput[[#This Row],[Energy Cost Savings ($)]]</f>
        <v>0</v>
      </c>
      <c r="K233" s="3">
        <f>ProjectInput[[#This Row],[Incentive ($)]]</f>
        <v>0</v>
      </c>
      <c r="L233" s="13">
        <f t="shared" si="4"/>
        <v>0</v>
      </c>
      <c r="M233" s="3"/>
      <c r="N233" s="3"/>
      <c r="O233" s="3"/>
      <c r="P233" s="3"/>
      <c r="Q233" s="3"/>
      <c r="R233" s="3"/>
      <c r="S233" s="3"/>
      <c r="T233" s="2"/>
      <c r="U233" s="133">
        <f>ProjectInput[[#This Row],[Location]]</f>
        <v>0</v>
      </c>
      <c r="V233" s="278">
        <f>ProjectInput[[#This Row],[Existing Fixture Code]]</f>
        <v>0</v>
      </c>
      <c r="W233"/>
      <c r="X233"/>
      <c r="Y233"/>
      <c r="Z233"/>
      <c r="AA233"/>
      <c r="AB233"/>
      <c r="AC233"/>
      <c r="AD233"/>
      <c r="AE233"/>
      <c r="AF233"/>
      <c r="AG233"/>
      <c r="AH233"/>
      <c r="AI233"/>
      <c r="AJ233"/>
      <c r="AK233"/>
      <c r="AL233"/>
      <c r="AM233"/>
      <c r="AN233"/>
      <c r="AO233"/>
    </row>
    <row r="234" spans="1:41" ht="15" customHeight="1">
      <c r="A234" s="2">
        <v>231</v>
      </c>
      <c r="B234" s="2"/>
      <c r="C234" s="3">
        <f>ProjectInput[[#This Row],[Retrofit Cost]]</f>
        <v>0</v>
      </c>
      <c r="D234" s="2">
        <f>ProjectInput[[#This Row],[Proposed Fixture Quantity]]</f>
        <v>0</v>
      </c>
      <c r="E234" s="2" t="str">
        <f>CONCATENATE("Replace ", ReviewCalcs[[#This Row],[Existing Fixture Code]], " with ", ReviewCalcs[[#This Row],[Proposed Fixture Code]])</f>
        <v>Replace 0 with 0</v>
      </c>
      <c r="F234" s="2">
        <f>ReviewCalcs[[#This Row],[Measure Type]]</f>
        <v>0</v>
      </c>
      <c r="G234" s="2" t="str">
        <f>IF(Instructions!$F$25="Post-Retrofit","Completed","Recommended")</f>
        <v>Recommended</v>
      </c>
      <c r="H234" s="4">
        <f>ReviewCalcs[[#This Row],[Incentive Total Energy Savings (kWh)]]</f>
        <v>0</v>
      </c>
      <c r="I234" s="2">
        <f>ReviewCalcs[[#This Row],[Incentive Total Demand Savings (kW)]]</f>
        <v>0</v>
      </c>
      <c r="J234" s="3">
        <f>ProjectInput[[#This Row],[Energy Cost Savings ($)]]</f>
        <v>0</v>
      </c>
      <c r="K234" s="3">
        <f>ProjectInput[[#This Row],[Incentive ($)]]</f>
        <v>0</v>
      </c>
      <c r="L234" s="13">
        <f t="shared" si="4"/>
        <v>0</v>
      </c>
      <c r="M234" s="3"/>
      <c r="N234" s="3"/>
      <c r="O234" s="3"/>
      <c r="P234" s="3"/>
      <c r="Q234" s="3"/>
      <c r="R234" s="3"/>
      <c r="S234" s="3"/>
      <c r="T234" s="2"/>
      <c r="U234" s="133">
        <f>ProjectInput[[#This Row],[Location]]</f>
        <v>0</v>
      </c>
      <c r="V234" s="278">
        <f>ProjectInput[[#This Row],[Existing Fixture Code]]</f>
        <v>0</v>
      </c>
      <c r="W234"/>
      <c r="X234"/>
      <c r="Y234"/>
      <c r="Z234"/>
      <c r="AA234"/>
      <c r="AB234"/>
      <c r="AC234"/>
      <c r="AD234"/>
      <c r="AE234"/>
      <c r="AF234"/>
      <c r="AG234"/>
      <c r="AH234"/>
      <c r="AI234"/>
      <c r="AJ234"/>
      <c r="AK234"/>
      <c r="AL234"/>
      <c r="AM234"/>
      <c r="AN234"/>
      <c r="AO234"/>
    </row>
    <row r="235" spans="1:41" ht="15" customHeight="1">
      <c r="A235" s="2">
        <v>232</v>
      </c>
      <c r="B235" s="2"/>
      <c r="C235" s="3">
        <f>ProjectInput[[#This Row],[Retrofit Cost]]</f>
        <v>0</v>
      </c>
      <c r="D235" s="2">
        <f>ProjectInput[[#This Row],[Proposed Fixture Quantity]]</f>
        <v>0</v>
      </c>
      <c r="E235" s="2" t="str">
        <f>CONCATENATE("Replace ", ReviewCalcs[[#This Row],[Existing Fixture Code]], " with ", ReviewCalcs[[#This Row],[Proposed Fixture Code]])</f>
        <v>Replace 0 with 0</v>
      </c>
      <c r="F235" s="2">
        <f>ReviewCalcs[[#This Row],[Measure Type]]</f>
        <v>0</v>
      </c>
      <c r="G235" s="2" t="str">
        <f>IF(Instructions!$F$25="Post-Retrofit","Completed","Recommended")</f>
        <v>Recommended</v>
      </c>
      <c r="H235" s="4">
        <f>ReviewCalcs[[#This Row],[Incentive Total Energy Savings (kWh)]]</f>
        <v>0</v>
      </c>
      <c r="I235" s="2">
        <f>ReviewCalcs[[#This Row],[Incentive Total Demand Savings (kW)]]</f>
        <v>0</v>
      </c>
      <c r="J235" s="3">
        <f>ProjectInput[[#This Row],[Energy Cost Savings ($)]]</f>
        <v>0</v>
      </c>
      <c r="K235" s="3">
        <f>ProjectInput[[#This Row],[Incentive ($)]]</f>
        <v>0</v>
      </c>
      <c r="L235" s="13">
        <f t="shared" si="4"/>
        <v>0</v>
      </c>
      <c r="M235" s="3"/>
      <c r="N235" s="3"/>
      <c r="O235" s="3"/>
      <c r="P235" s="3"/>
      <c r="Q235" s="3"/>
      <c r="R235" s="3"/>
      <c r="S235" s="3"/>
      <c r="T235" s="2"/>
      <c r="U235" s="133">
        <f>ProjectInput[[#This Row],[Location]]</f>
        <v>0</v>
      </c>
      <c r="V235" s="278">
        <f>ProjectInput[[#This Row],[Existing Fixture Code]]</f>
        <v>0</v>
      </c>
      <c r="W235"/>
      <c r="X235"/>
      <c r="Y235"/>
      <c r="Z235"/>
      <c r="AA235"/>
      <c r="AB235"/>
      <c r="AC235"/>
      <c r="AD235"/>
      <c r="AE235"/>
      <c r="AF235"/>
      <c r="AG235"/>
      <c r="AH235"/>
      <c r="AI235"/>
      <c r="AJ235"/>
      <c r="AK235"/>
      <c r="AL235"/>
      <c r="AM235"/>
      <c r="AN235"/>
      <c r="AO235"/>
    </row>
    <row r="236" spans="1:41" ht="15" customHeight="1">
      <c r="A236" s="2">
        <v>233</v>
      </c>
      <c r="B236" s="2"/>
      <c r="C236" s="3">
        <f>ProjectInput[[#This Row],[Retrofit Cost]]</f>
        <v>0</v>
      </c>
      <c r="D236" s="2">
        <f>ProjectInput[[#This Row],[Proposed Fixture Quantity]]</f>
        <v>0</v>
      </c>
      <c r="E236" s="2" t="str">
        <f>CONCATENATE("Replace ", ReviewCalcs[[#This Row],[Existing Fixture Code]], " with ", ReviewCalcs[[#This Row],[Proposed Fixture Code]])</f>
        <v>Replace 0 with 0</v>
      </c>
      <c r="F236" s="2">
        <f>ReviewCalcs[[#This Row],[Measure Type]]</f>
        <v>0</v>
      </c>
      <c r="G236" s="2" t="str">
        <f>IF(Instructions!$F$25="Post-Retrofit","Completed","Recommended")</f>
        <v>Recommended</v>
      </c>
      <c r="H236" s="4">
        <f>ReviewCalcs[[#This Row],[Incentive Total Energy Savings (kWh)]]</f>
        <v>0</v>
      </c>
      <c r="I236" s="2">
        <f>ReviewCalcs[[#This Row],[Incentive Total Demand Savings (kW)]]</f>
        <v>0</v>
      </c>
      <c r="J236" s="3">
        <f>ProjectInput[[#This Row],[Energy Cost Savings ($)]]</f>
        <v>0</v>
      </c>
      <c r="K236" s="3">
        <f>ProjectInput[[#This Row],[Incentive ($)]]</f>
        <v>0</v>
      </c>
      <c r="L236" s="13">
        <f t="shared" si="4"/>
        <v>0</v>
      </c>
      <c r="M236" s="3"/>
      <c r="N236" s="3"/>
      <c r="O236" s="3"/>
      <c r="P236" s="3"/>
      <c r="Q236" s="3"/>
      <c r="R236" s="3"/>
      <c r="S236" s="3"/>
      <c r="T236" s="2"/>
      <c r="U236" s="133">
        <f>ProjectInput[[#This Row],[Location]]</f>
        <v>0</v>
      </c>
      <c r="V236" s="278">
        <f>ProjectInput[[#This Row],[Existing Fixture Code]]</f>
        <v>0</v>
      </c>
      <c r="W236"/>
      <c r="X236"/>
      <c r="Y236"/>
      <c r="Z236"/>
      <c r="AA236"/>
      <c r="AB236"/>
      <c r="AC236"/>
      <c r="AD236"/>
      <c r="AE236"/>
      <c r="AF236"/>
      <c r="AG236"/>
      <c r="AH236"/>
      <c r="AI236"/>
      <c r="AJ236"/>
      <c r="AK236"/>
      <c r="AL236"/>
      <c r="AM236"/>
      <c r="AN236"/>
      <c r="AO236"/>
    </row>
    <row r="237" spans="1:41" ht="15" customHeight="1">
      <c r="A237" s="2">
        <v>234</v>
      </c>
      <c r="B237" s="2"/>
      <c r="C237" s="3">
        <f>ProjectInput[[#This Row],[Retrofit Cost]]</f>
        <v>0</v>
      </c>
      <c r="D237" s="2">
        <f>ProjectInput[[#This Row],[Proposed Fixture Quantity]]</f>
        <v>0</v>
      </c>
      <c r="E237" s="2" t="str">
        <f>CONCATENATE("Replace ", ReviewCalcs[[#This Row],[Existing Fixture Code]], " with ", ReviewCalcs[[#This Row],[Proposed Fixture Code]])</f>
        <v>Replace 0 with 0</v>
      </c>
      <c r="F237" s="2">
        <f>ReviewCalcs[[#This Row],[Measure Type]]</f>
        <v>0</v>
      </c>
      <c r="G237" s="2" t="str">
        <f>IF(Instructions!$F$25="Post-Retrofit","Completed","Recommended")</f>
        <v>Recommended</v>
      </c>
      <c r="H237" s="4">
        <f>ReviewCalcs[[#This Row],[Incentive Total Energy Savings (kWh)]]</f>
        <v>0</v>
      </c>
      <c r="I237" s="2">
        <f>ReviewCalcs[[#This Row],[Incentive Total Demand Savings (kW)]]</f>
        <v>0</v>
      </c>
      <c r="J237" s="3">
        <f>ProjectInput[[#This Row],[Energy Cost Savings ($)]]</f>
        <v>0</v>
      </c>
      <c r="K237" s="3">
        <f>ProjectInput[[#This Row],[Incentive ($)]]</f>
        <v>0</v>
      </c>
      <c r="L237" s="13">
        <f t="shared" si="4"/>
        <v>0</v>
      </c>
      <c r="M237" s="3"/>
      <c r="N237" s="3"/>
      <c r="O237" s="3"/>
      <c r="P237" s="3"/>
      <c r="Q237" s="3"/>
      <c r="R237" s="3"/>
      <c r="S237" s="3"/>
      <c r="T237" s="2"/>
      <c r="U237" s="133">
        <f>ProjectInput[[#This Row],[Location]]</f>
        <v>0</v>
      </c>
      <c r="V237" s="278">
        <f>ProjectInput[[#This Row],[Existing Fixture Code]]</f>
        <v>0</v>
      </c>
      <c r="W237"/>
      <c r="X237"/>
      <c r="Y237"/>
      <c r="Z237"/>
      <c r="AA237"/>
      <c r="AB237"/>
      <c r="AC237"/>
      <c r="AD237"/>
      <c r="AE237"/>
      <c r="AF237"/>
      <c r="AG237"/>
      <c r="AH237"/>
      <c r="AI237"/>
      <c r="AJ237"/>
      <c r="AK237"/>
      <c r="AL237"/>
      <c r="AM237"/>
      <c r="AN237"/>
      <c r="AO237"/>
    </row>
    <row r="238" spans="1:41" ht="15" customHeight="1">
      <c r="A238" s="2">
        <v>235</v>
      </c>
      <c r="B238" s="2"/>
      <c r="C238" s="3">
        <f>ProjectInput[[#This Row],[Retrofit Cost]]</f>
        <v>0</v>
      </c>
      <c r="D238" s="2">
        <f>ProjectInput[[#This Row],[Proposed Fixture Quantity]]</f>
        <v>0</v>
      </c>
      <c r="E238" s="2" t="str">
        <f>CONCATENATE("Replace ", ReviewCalcs[[#This Row],[Existing Fixture Code]], " with ", ReviewCalcs[[#This Row],[Proposed Fixture Code]])</f>
        <v>Replace 0 with 0</v>
      </c>
      <c r="F238" s="2">
        <f>ReviewCalcs[[#This Row],[Measure Type]]</f>
        <v>0</v>
      </c>
      <c r="G238" s="2" t="str">
        <f>IF(Instructions!$F$25="Post-Retrofit","Completed","Recommended")</f>
        <v>Recommended</v>
      </c>
      <c r="H238" s="4">
        <f>ReviewCalcs[[#This Row],[Incentive Total Energy Savings (kWh)]]</f>
        <v>0</v>
      </c>
      <c r="I238" s="2">
        <f>ReviewCalcs[[#This Row],[Incentive Total Demand Savings (kW)]]</f>
        <v>0</v>
      </c>
      <c r="J238" s="3">
        <f>ProjectInput[[#This Row],[Energy Cost Savings ($)]]</f>
        <v>0</v>
      </c>
      <c r="K238" s="3">
        <f>ProjectInput[[#This Row],[Incentive ($)]]</f>
        <v>0</v>
      </c>
      <c r="L238" s="13">
        <f t="shared" si="4"/>
        <v>0</v>
      </c>
      <c r="M238" s="3"/>
      <c r="N238" s="3"/>
      <c r="O238" s="3"/>
      <c r="P238" s="3"/>
      <c r="Q238" s="3"/>
      <c r="R238" s="3"/>
      <c r="S238" s="3"/>
      <c r="T238" s="2"/>
      <c r="U238" s="133">
        <f>ProjectInput[[#This Row],[Location]]</f>
        <v>0</v>
      </c>
      <c r="V238" s="278">
        <f>ProjectInput[[#This Row],[Existing Fixture Code]]</f>
        <v>0</v>
      </c>
      <c r="W238"/>
      <c r="X238"/>
      <c r="Y238"/>
      <c r="Z238"/>
      <c r="AA238"/>
      <c r="AB238"/>
      <c r="AC238"/>
      <c r="AD238"/>
      <c r="AE238"/>
      <c r="AF238"/>
      <c r="AG238"/>
      <c r="AH238"/>
      <c r="AI238"/>
      <c r="AJ238"/>
      <c r="AK238"/>
      <c r="AL238"/>
      <c r="AM238"/>
      <c r="AN238"/>
      <c r="AO238"/>
    </row>
    <row r="239" spans="1:41" ht="15" customHeight="1">
      <c r="A239" s="2">
        <v>236</v>
      </c>
      <c r="B239" s="2"/>
      <c r="C239" s="3">
        <f>ProjectInput[[#This Row],[Retrofit Cost]]</f>
        <v>0</v>
      </c>
      <c r="D239" s="2">
        <f>ProjectInput[[#This Row],[Proposed Fixture Quantity]]</f>
        <v>0</v>
      </c>
      <c r="E239" s="2" t="str">
        <f>CONCATENATE("Replace ", ReviewCalcs[[#This Row],[Existing Fixture Code]], " with ", ReviewCalcs[[#This Row],[Proposed Fixture Code]])</f>
        <v>Replace 0 with 0</v>
      </c>
      <c r="F239" s="2">
        <f>ReviewCalcs[[#This Row],[Measure Type]]</f>
        <v>0</v>
      </c>
      <c r="G239" s="2" t="str">
        <f>IF(Instructions!$F$25="Post-Retrofit","Completed","Recommended")</f>
        <v>Recommended</v>
      </c>
      <c r="H239" s="4">
        <f>ReviewCalcs[[#This Row],[Incentive Total Energy Savings (kWh)]]</f>
        <v>0</v>
      </c>
      <c r="I239" s="2">
        <f>ReviewCalcs[[#This Row],[Incentive Total Demand Savings (kW)]]</f>
        <v>0</v>
      </c>
      <c r="J239" s="3">
        <f>ProjectInput[[#This Row],[Energy Cost Savings ($)]]</f>
        <v>0</v>
      </c>
      <c r="K239" s="3">
        <f>ProjectInput[[#This Row],[Incentive ($)]]</f>
        <v>0</v>
      </c>
      <c r="L239" s="13">
        <f t="shared" si="4"/>
        <v>0</v>
      </c>
      <c r="M239" s="3"/>
      <c r="N239" s="3"/>
      <c r="O239" s="3"/>
      <c r="P239" s="3"/>
      <c r="Q239" s="3"/>
      <c r="R239" s="3"/>
      <c r="S239" s="3"/>
      <c r="T239" s="2"/>
      <c r="U239" s="133">
        <f>ProjectInput[[#This Row],[Location]]</f>
        <v>0</v>
      </c>
      <c r="V239" s="278">
        <f>ProjectInput[[#This Row],[Existing Fixture Code]]</f>
        <v>0</v>
      </c>
      <c r="W239"/>
      <c r="X239"/>
      <c r="Y239"/>
      <c r="Z239"/>
      <c r="AA239"/>
      <c r="AB239"/>
      <c r="AC239"/>
      <c r="AD239"/>
      <c r="AE239"/>
      <c r="AF239"/>
      <c r="AG239"/>
      <c r="AH239"/>
      <c r="AI239"/>
      <c r="AJ239"/>
      <c r="AK239"/>
      <c r="AL239"/>
      <c r="AM239"/>
      <c r="AN239"/>
      <c r="AO239"/>
    </row>
    <row r="240" spans="1:41" ht="15" customHeight="1">
      <c r="A240" s="2">
        <v>237</v>
      </c>
      <c r="B240" s="2"/>
      <c r="C240" s="3">
        <f>ProjectInput[[#This Row],[Retrofit Cost]]</f>
        <v>0</v>
      </c>
      <c r="D240" s="2">
        <f>ProjectInput[[#This Row],[Proposed Fixture Quantity]]</f>
        <v>0</v>
      </c>
      <c r="E240" s="2" t="str">
        <f>CONCATENATE("Replace ", ReviewCalcs[[#This Row],[Existing Fixture Code]], " with ", ReviewCalcs[[#This Row],[Proposed Fixture Code]])</f>
        <v>Replace 0 with 0</v>
      </c>
      <c r="F240" s="2">
        <f>ReviewCalcs[[#This Row],[Measure Type]]</f>
        <v>0</v>
      </c>
      <c r="G240" s="2" t="str">
        <f>IF(Instructions!$F$25="Post-Retrofit","Completed","Recommended")</f>
        <v>Recommended</v>
      </c>
      <c r="H240" s="4">
        <f>ReviewCalcs[[#This Row],[Incentive Total Energy Savings (kWh)]]</f>
        <v>0</v>
      </c>
      <c r="I240" s="2">
        <f>ReviewCalcs[[#This Row],[Incentive Total Demand Savings (kW)]]</f>
        <v>0</v>
      </c>
      <c r="J240" s="3">
        <f>ProjectInput[[#This Row],[Energy Cost Savings ($)]]</f>
        <v>0</v>
      </c>
      <c r="K240" s="3">
        <f>ProjectInput[[#This Row],[Incentive ($)]]</f>
        <v>0</v>
      </c>
      <c r="L240" s="13">
        <f t="shared" si="4"/>
        <v>0</v>
      </c>
      <c r="M240" s="3"/>
      <c r="N240" s="3"/>
      <c r="O240" s="3"/>
      <c r="P240" s="3"/>
      <c r="Q240" s="3"/>
      <c r="R240" s="3"/>
      <c r="S240" s="3"/>
      <c r="T240" s="2"/>
      <c r="U240" s="133">
        <f>ProjectInput[[#This Row],[Location]]</f>
        <v>0</v>
      </c>
      <c r="V240" s="278">
        <f>ProjectInput[[#This Row],[Existing Fixture Code]]</f>
        <v>0</v>
      </c>
      <c r="W240"/>
      <c r="X240"/>
      <c r="Y240"/>
      <c r="Z240"/>
      <c r="AA240"/>
      <c r="AB240"/>
      <c r="AC240"/>
      <c r="AD240"/>
      <c r="AE240"/>
      <c r="AF240"/>
      <c r="AG240"/>
      <c r="AH240"/>
      <c r="AI240"/>
      <c r="AJ240"/>
      <c r="AK240"/>
      <c r="AL240"/>
      <c r="AM240"/>
      <c r="AN240"/>
      <c r="AO240"/>
    </row>
    <row r="241" spans="1:41" ht="15" customHeight="1">
      <c r="A241" s="2">
        <v>238</v>
      </c>
      <c r="B241" s="2"/>
      <c r="C241" s="3">
        <f>ProjectInput[[#This Row],[Retrofit Cost]]</f>
        <v>0</v>
      </c>
      <c r="D241" s="2">
        <f>ProjectInput[[#This Row],[Proposed Fixture Quantity]]</f>
        <v>0</v>
      </c>
      <c r="E241" s="2" t="str">
        <f>CONCATENATE("Replace ", ReviewCalcs[[#This Row],[Existing Fixture Code]], " with ", ReviewCalcs[[#This Row],[Proposed Fixture Code]])</f>
        <v>Replace 0 with 0</v>
      </c>
      <c r="F241" s="2">
        <f>ReviewCalcs[[#This Row],[Measure Type]]</f>
        <v>0</v>
      </c>
      <c r="G241" s="2" t="str">
        <f>IF(Instructions!$F$25="Post-Retrofit","Completed","Recommended")</f>
        <v>Recommended</v>
      </c>
      <c r="H241" s="4">
        <f>ReviewCalcs[[#This Row],[Incentive Total Energy Savings (kWh)]]</f>
        <v>0</v>
      </c>
      <c r="I241" s="2">
        <f>ReviewCalcs[[#This Row],[Incentive Total Demand Savings (kW)]]</f>
        <v>0</v>
      </c>
      <c r="J241" s="3">
        <f>ProjectInput[[#This Row],[Energy Cost Savings ($)]]</f>
        <v>0</v>
      </c>
      <c r="K241" s="3">
        <f>ProjectInput[[#This Row],[Incentive ($)]]</f>
        <v>0</v>
      </c>
      <c r="L241" s="13">
        <f t="shared" si="4"/>
        <v>0</v>
      </c>
      <c r="M241" s="3"/>
      <c r="N241" s="3"/>
      <c r="O241" s="3"/>
      <c r="P241" s="3"/>
      <c r="Q241" s="3"/>
      <c r="R241" s="3"/>
      <c r="S241" s="3"/>
      <c r="T241" s="2"/>
      <c r="U241" s="133">
        <f>ProjectInput[[#This Row],[Location]]</f>
        <v>0</v>
      </c>
      <c r="V241" s="278">
        <f>ProjectInput[[#This Row],[Existing Fixture Code]]</f>
        <v>0</v>
      </c>
      <c r="W241"/>
      <c r="X241"/>
      <c r="Y241"/>
      <c r="Z241"/>
      <c r="AA241"/>
      <c r="AB241"/>
      <c r="AC241"/>
      <c r="AD241"/>
      <c r="AE241"/>
      <c r="AF241"/>
      <c r="AG241"/>
      <c r="AH241"/>
      <c r="AI241"/>
      <c r="AJ241"/>
      <c r="AK241"/>
      <c r="AL241"/>
      <c r="AM241"/>
      <c r="AN241"/>
      <c r="AO241"/>
    </row>
    <row r="242" spans="1:41" ht="15" customHeight="1">
      <c r="A242" s="2">
        <v>239</v>
      </c>
      <c r="B242" s="2"/>
      <c r="C242" s="3">
        <f>ProjectInput[[#This Row],[Retrofit Cost]]</f>
        <v>0</v>
      </c>
      <c r="D242" s="2">
        <f>ProjectInput[[#This Row],[Proposed Fixture Quantity]]</f>
        <v>0</v>
      </c>
      <c r="E242" s="2" t="str">
        <f>CONCATENATE("Replace ", ReviewCalcs[[#This Row],[Existing Fixture Code]], " with ", ReviewCalcs[[#This Row],[Proposed Fixture Code]])</f>
        <v>Replace 0 with 0</v>
      </c>
      <c r="F242" s="2">
        <f>ReviewCalcs[[#This Row],[Measure Type]]</f>
        <v>0</v>
      </c>
      <c r="G242" s="2" t="str">
        <f>IF(Instructions!$F$25="Post-Retrofit","Completed","Recommended")</f>
        <v>Recommended</v>
      </c>
      <c r="H242" s="4">
        <f>ReviewCalcs[[#This Row],[Incentive Total Energy Savings (kWh)]]</f>
        <v>0</v>
      </c>
      <c r="I242" s="2">
        <f>ReviewCalcs[[#This Row],[Incentive Total Demand Savings (kW)]]</f>
        <v>0</v>
      </c>
      <c r="J242" s="3">
        <f>ProjectInput[[#This Row],[Energy Cost Savings ($)]]</f>
        <v>0</v>
      </c>
      <c r="K242" s="3">
        <f>ProjectInput[[#This Row],[Incentive ($)]]</f>
        <v>0</v>
      </c>
      <c r="L242" s="13">
        <f t="shared" si="4"/>
        <v>0</v>
      </c>
      <c r="M242" s="3"/>
      <c r="N242" s="3"/>
      <c r="O242" s="3"/>
      <c r="P242" s="3"/>
      <c r="Q242" s="3"/>
      <c r="R242" s="3"/>
      <c r="S242" s="3"/>
      <c r="T242" s="2"/>
      <c r="U242" s="133">
        <f>ProjectInput[[#This Row],[Location]]</f>
        <v>0</v>
      </c>
      <c r="V242" s="278">
        <f>ProjectInput[[#This Row],[Existing Fixture Code]]</f>
        <v>0</v>
      </c>
      <c r="W242"/>
      <c r="X242"/>
      <c r="Y242"/>
      <c r="Z242"/>
      <c r="AA242"/>
      <c r="AB242"/>
      <c r="AC242"/>
      <c r="AD242"/>
      <c r="AE242"/>
      <c r="AF242"/>
      <c r="AG242"/>
      <c r="AH242"/>
      <c r="AI242"/>
      <c r="AJ242"/>
      <c r="AK242"/>
      <c r="AL242"/>
      <c r="AM242"/>
      <c r="AN242"/>
      <c r="AO242"/>
    </row>
    <row r="243" spans="1:41" ht="15" customHeight="1">
      <c r="A243" s="2">
        <v>240</v>
      </c>
      <c r="B243" s="2"/>
      <c r="C243" s="3">
        <f>ProjectInput[[#This Row],[Retrofit Cost]]</f>
        <v>0</v>
      </c>
      <c r="D243" s="2">
        <f>ProjectInput[[#This Row],[Proposed Fixture Quantity]]</f>
        <v>0</v>
      </c>
      <c r="E243" s="2" t="str">
        <f>CONCATENATE("Replace ", ReviewCalcs[[#This Row],[Existing Fixture Code]], " with ", ReviewCalcs[[#This Row],[Proposed Fixture Code]])</f>
        <v>Replace 0 with 0</v>
      </c>
      <c r="F243" s="2">
        <f>ReviewCalcs[[#This Row],[Measure Type]]</f>
        <v>0</v>
      </c>
      <c r="G243" s="2" t="str">
        <f>IF(Instructions!$F$25="Post-Retrofit","Completed","Recommended")</f>
        <v>Recommended</v>
      </c>
      <c r="H243" s="4">
        <f>ReviewCalcs[[#This Row],[Incentive Total Energy Savings (kWh)]]</f>
        <v>0</v>
      </c>
      <c r="I243" s="2">
        <f>ReviewCalcs[[#This Row],[Incentive Total Demand Savings (kW)]]</f>
        <v>0</v>
      </c>
      <c r="J243" s="3">
        <f>ProjectInput[[#This Row],[Energy Cost Savings ($)]]</f>
        <v>0</v>
      </c>
      <c r="K243" s="3">
        <f>ProjectInput[[#This Row],[Incentive ($)]]</f>
        <v>0</v>
      </c>
      <c r="L243" s="13">
        <f t="shared" si="4"/>
        <v>0</v>
      </c>
      <c r="M243" s="3"/>
      <c r="N243" s="3"/>
      <c r="O243" s="3"/>
      <c r="P243" s="3"/>
      <c r="Q243" s="3"/>
      <c r="R243" s="3"/>
      <c r="S243" s="3"/>
      <c r="T243" s="2"/>
      <c r="U243" s="133">
        <f>ProjectInput[[#This Row],[Location]]</f>
        <v>0</v>
      </c>
      <c r="V243" s="278">
        <f>ProjectInput[[#This Row],[Existing Fixture Code]]</f>
        <v>0</v>
      </c>
      <c r="W243"/>
      <c r="X243"/>
      <c r="Y243"/>
      <c r="Z243"/>
      <c r="AA243"/>
      <c r="AB243"/>
      <c r="AC243"/>
      <c r="AD243"/>
      <c r="AE243"/>
      <c r="AF243"/>
      <c r="AG243"/>
      <c r="AH243"/>
      <c r="AI243"/>
      <c r="AJ243"/>
      <c r="AK243"/>
      <c r="AL243"/>
      <c r="AM243"/>
      <c r="AN243"/>
      <c r="AO243"/>
    </row>
    <row r="244" spans="1:41" ht="15" customHeight="1">
      <c r="A244" s="2">
        <v>241</v>
      </c>
      <c r="B244" s="2"/>
      <c r="C244" s="3">
        <f>ProjectInput[[#This Row],[Retrofit Cost]]</f>
        <v>0</v>
      </c>
      <c r="D244" s="2">
        <f>ProjectInput[[#This Row],[Proposed Fixture Quantity]]</f>
        <v>0</v>
      </c>
      <c r="E244" s="2" t="str">
        <f>CONCATENATE("Replace ", ReviewCalcs[[#This Row],[Existing Fixture Code]], " with ", ReviewCalcs[[#This Row],[Proposed Fixture Code]])</f>
        <v>Replace 0 with 0</v>
      </c>
      <c r="F244" s="2">
        <f>ReviewCalcs[[#This Row],[Measure Type]]</f>
        <v>0</v>
      </c>
      <c r="G244" s="2" t="str">
        <f>IF(Instructions!$F$25="Post-Retrofit","Completed","Recommended")</f>
        <v>Recommended</v>
      </c>
      <c r="H244" s="4">
        <f>ReviewCalcs[[#This Row],[Incentive Total Energy Savings (kWh)]]</f>
        <v>0</v>
      </c>
      <c r="I244" s="2">
        <f>ReviewCalcs[[#This Row],[Incentive Total Demand Savings (kW)]]</f>
        <v>0</v>
      </c>
      <c r="J244" s="3">
        <f>ProjectInput[[#This Row],[Energy Cost Savings ($)]]</f>
        <v>0</v>
      </c>
      <c r="K244" s="3">
        <f>ProjectInput[[#This Row],[Incentive ($)]]</f>
        <v>0</v>
      </c>
      <c r="L244" s="13">
        <f t="shared" si="4"/>
        <v>0</v>
      </c>
      <c r="M244" s="3"/>
      <c r="N244" s="3"/>
      <c r="O244" s="3"/>
      <c r="P244" s="3"/>
      <c r="Q244" s="3"/>
      <c r="R244" s="3"/>
      <c r="S244" s="3"/>
      <c r="T244" s="2"/>
      <c r="U244" s="133">
        <f>ProjectInput[[#This Row],[Location]]</f>
        <v>0</v>
      </c>
      <c r="V244" s="278">
        <f>ProjectInput[[#This Row],[Existing Fixture Code]]</f>
        <v>0</v>
      </c>
      <c r="W244"/>
      <c r="X244"/>
      <c r="Y244"/>
      <c r="Z244"/>
      <c r="AA244"/>
      <c r="AB244"/>
      <c r="AC244"/>
      <c r="AD244"/>
      <c r="AE244"/>
      <c r="AF244"/>
      <c r="AG244"/>
      <c r="AH244"/>
      <c r="AI244"/>
      <c r="AJ244"/>
      <c r="AK244"/>
      <c r="AL244"/>
      <c r="AM244"/>
      <c r="AN244"/>
      <c r="AO244"/>
    </row>
    <row r="245" spans="1:41" ht="15" customHeight="1">
      <c r="A245" s="2">
        <v>242</v>
      </c>
      <c r="B245" s="2"/>
      <c r="C245" s="3">
        <f>ProjectInput[[#This Row],[Retrofit Cost]]</f>
        <v>0</v>
      </c>
      <c r="D245" s="2">
        <f>ProjectInput[[#This Row],[Proposed Fixture Quantity]]</f>
        <v>0</v>
      </c>
      <c r="E245" s="2" t="str">
        <f>CONCATENATE("Replace ", ReviewCalcs[[#This Row],[Existing Fixture Code]], " with ", ReviewCalcs[[#This Row],[Proposed Fixture Code]])</f>
        <v>Replace 0 with 0</v>
      </c>
      <c r="F245" s="2">
        <f>ReviewCalcs[[#This Row],[Measure Type]]</f>
        <v>0</v>
      </c>
      <c r="G245" s="2" t="str">
        <f>IF(Instructions!$F$25="Post-Retrofit","Completed","Recommended")</f>
        <v>Recommended</v>
      </c>
      <c r="H245" s="4">
        <f>ReviewCalcs[[#This Row],[Incentive Total Energy Savings (kWh)]]</f>
        <v>0</v>
      </c>
      <c r="I245" s="2">
        <f>ReviewCalcs[[#This Row],[Incentive Total Demand Savings (kW)]]</f>
        <v>0</v>
      </c>
      <c r="J245" s="3">
        <f>ProjectInput[[#This Row],[Energy Cost Savings ($)]]</f>
        <v>0</v>
      </c>
      <c r="K245" s="3">
        <f>ProjectInput[[#This Row],[Incentive ($)]]</f>
        <v>0</v>
      </c>
      <c r="L245" s="13">
        <f t="shared" si="4"/>
        <v>0</v>
      </c>
      <c r="M245" s="3"/>
      <c r="N245" s="3"/>
      <c r="O245" s="3"/>
      <c r="P245" s="3"/>
      <c r="Q245" s="3"/>
      <c r="R245" s="3"/>
      <c r="S245" s="3"/>
      <c r="T245" s="2"/>
      <c r="U245" s="133">
        <f>ProjectInput[[#This Row],[Location]]</f>
        <v>0</v>
      </c>
      <c r="V245" s="278">
        <f>ProjectInput[[#This Row],[Existing Fixture Code]]</f>
        <v>0</v>
      </c>
      <c r="W245"/>
      <c r="X245"/>
      <c r="Y245"/>
      <c r="Z245"/>
      <c r="AA245"/>
      <c r="AB245"/>
      <c r="AC245"/>
      <c r="AD245"/>
      <c r="AE245"/>
      <c r="AF245"/>
      <c r="AG245"/>
      <c r="AH245"/>
      <c r="AI245"/>
      <c r="AJ245"/>
      <c r="AK245"/>
      <c r="AL245"/>
      <c r="AM245"/>
      <c r="AN245"/>
      <c r="AO245"/>
    </row>
    <row r="246" spans="1:41" ht="15" customHeight="1">
      <c r="A246" s="2">
        <v>243</v>
      </c>
      <c r="B246" s="2"/>
      <c r="C246" s="3">
        <f>ProjectInput[[#This Row],[Retrofit Cost]]</f>
        <v>0</v>
      </c>
      <c r="D246" s="2">
        <f>ProjectInput[[#This Row],[Proposed Fixture Quantity]]</f>
        <v>0</v>
      </c>
      <c r="E246" s="2" t="str">
        <f>CONCATENATE("Replace ", ReviewCalcs[[#This Row],[Existing Fixture Code]], " with ", ReviewCalcs[[#This Row],[Proposed Fixture Code]])</f>
        <v>Replace 0 with 0</v>
      </c>
      <c r="F246" s="2">
        <f>ReviewCalcs[[#This Row],[Measure Type]]</f>
        <v>0</v>
      </c>
      <c r="G246" s="2" t="str">
        <f>IF(Instructions!$F$25="Post-Retrofit","Completed","Recommended")</f>
        <v>Recommended</v>
      </c>
      <c r="H246" s="4">
        <f>ReviewCalcs[[#This Row],[Incentive Total Energy Savings (kWh)]]</f>
        <v>0</v>
      </c>
      <c r="I246" s="2">
        <f>ReviewCalcs[[#This Row],[Incentive Total Demand Savings (kW)]]</f>
        <v>0</v>
      </c>
      <c r="J246" s="3">
        <f>ProjectInput[[#This Row],[Energy Cost Savings ($)]]</f>
        <v>0</v>
      </c>
      <c r="K246" s="3">
        <f>ProjectInput[[#This Row],[Incentive ($)]]</f>
        <v>0</v>
      </c>
      <c r="L246" s="13">
        <f t="shared" si="4"/>
        <v>0</v>
      </c>
      <c r="M246" s="3"/>
      <c r="N246" s="3"/>
      <c r="O246" s="3"/>
      <c r="P246" s="3"/>
      <c r="Q246" s="3"/>
      <c r="R246" s="3"/>
      <c r="S246" s="3"/>
      <c r="T246" s="2"/>
      <c r="U246" s="133">
        <f>ProjectInput[[#This Row],[Location]]</f>
        <v>0</v>
      </c>
      <c r="V246" s="278">
        <f>ProjectInput[[#This Row],[Existing Fixture Code]]</f>
        <v>0</v>
      </c>
      <c r="W246"/>
      <c r="X246"/>
      <c r="Y246"/>
      <c r="Z246"/>
      <c r="AA246"/>
      <c r="AB246"/>
      <c r="AC246"/>
      <c r="AD246"/>
      <c r="AE246"/>
      <c r="AF246"/>
      <c r="AG246"/>
      <c r="AH246"/>
      <c r="AI246"/>
      <c r="AJ246"/>
      <c r="AK246"/>
      <c r="AL246"/>
      <c r="AM246"/>
      <c r="AN246"/>
      <c r="AO246"/>
    </row>
    <row r="247" spans="1:41" ht="15" customHeight="1">
      <c r="A247" s="2">
        <v>244</v>
      </c>
      <c r="B247" s="2"/>
      <c r="C247" s="3">
        <f>ProjectInput[[#This Row],[Retrofit Cost]]</f>
        <v>0</v>
      </c>
      <c r="D247" s="2">
        <f>ProjectInput[[#This Row],[Proposed Fixture Quantity]]</f>
        <v>0</v>
      </c>
      <c r="E247" s="2" t="str">
        <f>CONCATENATE("Replace ", ReviewCalcs[[#This Row],[Existing Fixture Code]], " with ", ReviewCalcs[[#This Row],[Proposed Fixture Code]])</f>
        <v>Replace 0 with 0</v>
      </c>
      <c r="F247" s="2">
        <f>ReviewCalcs[[#This Row],[Measure Type]]</f>
        <v>0</v>
      </c>
      <c r="G247" s="2" t="str">
        <f>IF(Instructions!$F$25="Post-Retrofit","Completed","Recommended")</f>
        <v>Recommended</v>
      </c>
      <c r="H247" s="4">
        <f>ReviewCalcs[[#This Row],[Incentive Total Energy Savings (kWh)]]</f>
        <v>0</v>
      </c>
      <c r="I247" s="2">
        <f>ReviewCalcs[[#This Row],[Incentive Total Demand Savings (kW)]]</f>
        <v>0</v>
      </c>
      <c r="J247" s="3">
        <f>ProjectInput[[#This Row],[Energy Cost Savings ($)]]</f>
        <v>0</v>
      </c>
      <c r="K247" s="3">
        <f>ProjectInput[[#This Row],[Incentive ($)]]</f>
        <v>0</v>
      </c>
      <c r="L247" s="13">
        <f t="shared" si="4"/>
        <v>0</v>
      </c>
      <c r="M247" s="3"/>
      <c r="N247" s="3"/>
      <c r="O247" s="3"/>
      <c r="P247" s="3"/>
      <c r="Q247" s="3"/>
      <c r="R247" s="3"/>
      <c r="S247" s="3"/>
      <c r="T247" s="2"/>
      <c r="U247" s="133">
        <f>ProjectInput[[#This Row],[Location]]</f>
        <v>0</v>
      </c>
      <c r="V247" s="278">
        <f>ProjectInput[[#This Row],[Existing Fixture Code]]</f>
        <v>0</v>
      </c>
      <c r="W247"/>
      <c r="X247"/>
      <c r="Y247"/>
      <c r="Z247"/>
      <c r="AA247"/>
      <c r="AB247"/>
      <c r="AC247"/>
      <c r="AD247"/>
      <c r="AE247"/>
      <c r="AF247"/>
      <c r="AG247"/>
      <c r="AH247"/>
      <c r="AI247"/>
      <c r="AJ247"/>
      <c r="AK247"/>
      <c r="AL247"/>
      <c r="AM247"/>
      <c r="AN247"/>
      <c r="AO247"/>
    </row>
    <row r="248" spans="1:41" ht="15" customHeight="1">
      <c r="A248" s="2">
        <v>245</v>
      </c>
      <c r="B248" s="2"/>
      <c r="C248" s="3">
        <f>ProjectInput[[#This Row],[Retrofit Cost]]</f>
        <v>0</v>
      </c>
      <c r="D248" s="2">
        <f>ProjectInput[[#This Row],[Proposed Fixture Quantity]]</f>
        <v>0</v>
      </c>
      <c r="E248" s="2" t="str">
        <f>CONCATENATE("Replace ", ReviewCalcs[[#This Row],[Existing Fixture Code]], " with ", ReviewCalcs[[#This Row],[Proposed Fixture Code]])</f>
        <v>Replace 0 with 0</v>
      </c>
      <c r="F248" s="2">
        <f>ReviewCalcs[[#This Row],[Measure Type]]</f>
        <v>0</v>
      </c>
      <c r="G248" s="2" t="str">
        <f>IF(Instructions!$F$25="Post-Retrofit","Completed","Recommended")</f>
        <v>Recommended</v>
      </c>
      <c r="H248" s="4">
        <f>ReviewCalcs[[#This Row],[Incentive Total Energy Savings (kWh)]]</f>
        <v>0</v>
      </c>
      <c r="I248" s="2">
        <f>ReviewCalcs[[#This Row],[Incentive Total Demand Savings (kW)]]</f>
        <v>0</v>
      </c>
      <c r="J248" s="3">
        <f>ProjectInput[[#This Row],[Energy Cost Savings ($)]]</f>
        <v>0</v>
      </c>
      <c r="K248" s="3">
        <f>ProjectInput[[#This Row],[Incentive ($)]]</f>
        <v>0</v>
      </c>
      <c r="L248" s="13">
        <f t="shared" si="4"/>
        <v>0</v>
      </c>
      <c r="M248" s="3"/>
      <c r="N248" s="3"/>
      <c r="O248" s="3"/>
      <c r="P248" s="3"/>
      <c r="Q248" s="3"/>
      <c r="R248" s="3"/>
      <c r="S248" s="3"/>
      <c r="T248" s="2"/>
      <c r="U248" s="133">
        <f>ProjectInput[[#This Row],[Location]]</f>
        <v>0</v>
      </c>
      <c r="V248" s="278">
        <f>ProjectInput[[#This Row],[Existing Fixture Code]]</f>
        <v>0</v>
      </c>
      <c r="W248"/>
      <c r="X248"/>
      <c r="Y248"/>
      <c r="Z248"/>
      <c r="AA248"/>
      <c r="AB248"/>
      <c r="AC248"/>
      <c r="AD248"/>
      <c r="AE248"/>
      <c r="AF248"/>
      <c r="AG248"/>
      <c r="AH248"/>
      <c r="AI248"/>
      <c r="AJ248"/>
      <c r="AK248"/>
      <c r="AL248"/>
      <c r="AM248"/>
      <c r="AN248"/>
      <c r="AO248"/>
    </row>
    <row r="249" spans="1:41" ht="15" customHeight="1">
      <c r="A249" s="2">
        <v>246</v>
      </c>
      <c r="B249" s="2"/>
      <c r="C249" s="3">
        <f>ProjectInput[[#This Row],[Retrofit Cost]]</f>
        <v>0</v>
      </c>
      <c r="D249" s="2">
        <f>ProjectInput[[#This Row],[Proposed Fixture Quantity]]</f>
        <v>0</v>
      </c>
      <c r="E249" s="2" t="str">
        <f>CONCATENATE("Replace ", ReviewCalcs[[#This Row],[Existing Fixture Code]], " with ", ReviewCalcs[[#This Row],[Proposed Fixture Code]])</f>
        <v>Replace 0 with 0</v>
      </c>
      <c r="F249" s="2">
        <f>ReviewCalcs[[#This Row],[Measure Type]]</f>
        <v>0</v>
      </c>
      <c r="G249" s="2" t="str">
        <f>IF(Instructions!$F$25="Post-Retrofit","Completed","Recommended")</f>
        <v>Recommended</v>
      </c>
      <c r="H249" s="4">
        <f>ReviewCalcs[[#This Row],[Incentive Total Energy Savings (kWh)]]</f>
        <v>0</v>
      </c>
      <c r="I249" s="2">
        <f>ReviewCalcs[[#This Row],[Incentive Total Demand Savings (kW)]]</f>
        <v>0</v>
      </c>
      <c r="J249" s="3">
        <f>ProjectInput[[#This Row],[Energy Cost Savings ($)]]</f>
        <v>0</v>
      </c>
      <c r="K249" s="3">
        <f>ProjectInput[[#This Row],[Incentive ($)]]</f>
        <v>0</v>
      </c>
      <c r="L249" s="13">
        <f t="shared" si="4"/>
        <v>0</v>
      </c>
      <c r="M249" s="3"/>
      <c r="N249" s="3"/>
      <c r="O249" s="3"/>
      <c r="P249" s="3"/>
      <c r="Q249" s="3"/>
      <c r="R249" s="3"/>
      <c r="S249" s="3"/>
      <c r="T249" s="2"/>
      <c r="U249" s="133">
        <f>ProjectInput[[#This Row],[Location]]</f>
        <v>0</v>
      </c>
      <c r="V249" s="278">
        <f>ProjectInput[[#This Row],[Existing Fixture Code]]</f>
        <v>0</v>
      </c>
      <c r="W249"/>
      <c r="X249"/>
      <c r="Y249"/>
      <c r="Z249"/>
      <c r="AA249"/>
      <c r="AB249"/>
      <c r="AC249"/>
      <c r="AD249"/>
      <c r="AE249"/>
      <c r="AF249"/>
      <c r="AG249"/>
      <c r="AH249"/>
      <c r="AI249"/>
      <c r="AJ249"/>
      <c r="AK249"/>
      <c r="AL249"/>
      <c r="AM249"/>
      <c r="AN249"/>
      <c r="AO249"/>
    </row>
    <row r="250" spans="1:41" ht="15" customHeight="1">
      <c r="A250" s="2">
        <v>247</v>
      </c>
      <c r="B250" s="2"/>
      <c r="C250" s="3">
        <f>ProjectInput[[#This Row],[Retrofit Cost]]</f>
        <v>0</v>
      </c>
      <c r="D250" s="2">
        <f>ProjectInput[[#This Row],[Proposed Fixture Quantity]]</f>
        <v>0</v>
      </c>
      <c r="E250" s="2" t="str">
        <f>CONCATENATE("Replace ", ReviewCalcs[[#This Row],[Existing Fixture Code]], " with ", ReviewCalcs[[#This Row],[Proposed Fixture Code]])</f>
        <v>Replace 0 with 0</v>
      </c>
      <c r="F250" s="2">
        <f>ReviewCalcs[[#This Row],[Measure Type]]</f>
        <v>0</v>
      </c>
      <c r="G250" s="2" t="str">
        <f>IF(Instructions!$F$25="Post-Retrofit","Completed","Recommended")</f>
        <v>Recommended</v>
      </c>
      <c r="H250" s="4">
        <f>ReviewCalcs[[#This Row],[Incentive Total Energy Savings (kWh)]]</f>
        <v>0</v>
      </c>
      <c r="I250" s="2">
        <f>ReviewCalcs[[#This Row],[Incentive Total Demand Savings (kW)]]</f>
        <v>0</v>
      </c>
      <c r="J250" s="3">
        <f>ProjectInput[[#This Row],[Energy Cost Savings ($)]]</f>
        <v>0</v>
      </c>
      <c r="K250" s="3">
        <f>ProjectInput[[#This Row],[Incentive ($)]]</f>
        <v>0</v>
      </c>
      <c r="L250" s="13">
        <f t="shared" si="4"/>
        <v>0</v>
      </c>
      <c r="M250" s="3"/>
      <c r="N250" s="3"/>
      <c r="O250" s="3"/>
      <c r="P250" s="3"/>
      <c r="Q250" s="3"/>
      <c r="R250" s="3"/>
      <c r="S250" s="3"/>
      <c r="T250" s="2"/>
      <c r="U250" s="133">
        <f>ProjectInput[[#This Row],[Location]]</f>
        <v>0</v>
      </c>
      <c r="V250" s="278">
        <f>ProjectInput[[#This Row],[Existing Fixture Code]]</f>
        <v>0</v>
      </c>
      <c r="W250"/>
      <c r="X250"/>
      <c r="Y250"/>
      <c r="Z250"/>
      <c r="AA250"/>
      <c r="AB250"/>
      <c r="AC250"/>
      <c r="AD250"/>
      <c r="AE250"/>
      <c r="AF250"/>
      <c r="AG250"/>
      <c r="AH250"/>
      <c r="AI250"/>
      <c r="AJ250"/>
      <c r="AK250"/>
      <c r="AL250"/>
      <c r="AM250"/>
      <c r="AN250"/>
      <c r="AO250"/>
    </row>
    <row r="251" spans="1:41" ht="15" customHeight="1">
      <c r="A251" s="2">
        <v>248</v>
      </c>
      <c r="B251" s="2"/>
      <c r="C251" s="3">
        <f>ProjectInput[[#This Row],[Retrofit Cost]]</f>
        <v>0</v>
      </c>
      <c r="D251" s="2">
        <f>ProjectInput[[#This Row],[Proposed Fixture Quantity]]</f>
        <v>0</v>
      </c>
      <c r="E251" s="2" t="str">
        <f>CONCATENATE("Replace ", ReviewCalcs[[#This Row],[Existing Fixture Code]], " with ", ReviewCalcs[[#This Row],[Proposed Fixture Code]])</f>
        <v>Replace 0 with 0</v>
      </c>
      <c r="F251" s="2">
        <f>ReviewCalcs[[#This Row],[Measure Type]]</f>
        <v>0</v>
      </c>
      <c r="G251" s="2" t="str">
        <f>IF(Instructions!$F$25="Post-Retrofit","Completed","Recommended")</f>
        <v>Recommended</v>
      </c>
      <c r="H251" s="4">
        <f>ReviewCalcs[[#This Row],[Incentive Total Energy Savings (kWh)]]</f>
        <v>0</v>
      </c>
      <c r="I251" s="2">
        <f>ReviewCalcs[[#This Row],[Incentive Total Demand Savings (kW)]]</f>
        <v>0</v>
      </c>
      <c r="J251" s="3">
        <f>ProjectInput[[#This Row],[Energy Cost Savings ($)]]</f>
        <v>0</v>
      </c>
      <c r="K251" s="3">
        <f>ProjectInput[[#This Row],[Incentive ($)]]</f>
        <v>0</v>
      </c>
      <c r="L251" s="13">
        <f t="shared" si="4"/>
        <v>0</v>
      </c>
      <c r="M251" s="3"/>
      <c r="N251" s="3"/>
      <c r="O251" s="3"/>
      <c r="P251" s="3"/>
      <c r="Q251" s="3"/>
      <c r="R251" s="3"/>
      <c r="S251" s="3"/>
      <c r="T251" s="2"/>
      <c r="U251" s="133">
        <f>ProjectInput[[#This Row],[Location]]</f>
        <v>0</v>
      </c>
      <c r="V251" s="278">
        <f>ProjectInput[[#This Row],[Existing Fixture Code]]</f>
        <v>0</v>
      </c>
      <c r="W251"/>
      <c r="X251"/>
      <c r="Y251"/>
      <c r="Z251"/>
      <c r="AA251"/>
      <c r="AB251"/>
      <c r="AC251"/>
      <c r="AD251"/>
      <c r="AE251"/>
      <c r="AF251"/>
      <c r="AG251"/>
      <c r="AH251"/>
      <c r="AI251"/>
      <c r="AJ251"/>
      <c r="AK251"/>
      <c r="AL251"/>
      <c r="AM251"/>
      <c r="AN251"/>
      <c r="AO251"/>
    </row>
    <row r="252" spans="1:41" ht="15" customHeight="1">
      <c r="A252" s="2">
        <v>249</v>
      </c>
      <c r="B252" s="2"/>
      <c r="C252" s="3">
        <f>ProjectInput[[#This Row],[Retrofit Cost]]</f>
        <v>0</v>
      </c>
      <c r="D252" s="2">
        <f>ProjectInput[[#This Row],[Proposed Fixture Quantity]]</f>
        <v>0</v>
      </c>
      <c r="E252" s="2" t="str">
        <f>CONCATENATE("Replace ", ReviewCalcs[[#This Row],[Existing Fixture Code]], " with ", ReviewCalcs[[#This Row],[Proposed Fixture Code]])</f>
        <v>Replace 0 with 0</v>
      </c>
      <c r="F252" s="2">
        <f>ReviewCalcs[[#This Row],[Measure Type]]</f>
        <v>0</v>
      </c>
      <c r="G252" s="2" t="str">
        <f>IF(Instructions!$F$25="Post-Retrofit","Completed","Recommended")</f>
        <v>Recommended</v>
      </c>
      <c r="H252" s="4">
        <f>ReviewCalcs[[#This Row],[Incentive Total Energy Savings (kWh)]]</f>
        <v>0</v>
      </c>
      <c r="I252" s="2">
        <f>ReviewCalcs[[#This Row],[Incentive Total Demand Savings (kW)]]</f>
        <v>0</v>
      </c>
      <c r="J252" s="3">
        <f>ProjectInput[[#This Row],[Energy Cost Savings ($)]]</f>
        <v>0</v>
      </c>
      <c r="K252" s="3">
        <f>ProjectInput[[#This Row],[Incentive ($)]]</f>
        <v>0</v>
      </c>
      <c r="L252" s="13">
        <f t="shared" si="4"/>
        <v>0</v>
      </c>
      <c r="M252" s="3"/>
      <c r="N252" s="3"/>
      <c r="O252" s="3"/>
      <c r="P252" s="3"/>
      <c r="Q252" s="3"/>
      <c r="R252" s="3"/>
      <c r="S252" s="3"/>
      <c r="T252" s="2"/>
      <c r="U252" s="133">
        <f>ProjectInput[[#This Row],[Location]]</f>
        <v>0</v>
      </c>
      <c r="V252" s="278">
        <f>ProjectInput[[#This Row],[Existing Fixture Code]]</f>
        <v>0</v>
      </c>
      <c r="W252"/>
      <c r="X252"/>
      <c r="Y252"/>
      <c r="Z252"/>
      <c r="AA252"/>
      <c r="AB252"/>
      <c r="AC252"/>
      <c r="AD252"/>
      <c r="AE252"/>
      <c r="AF252"/>
      <c r="AG252"/>
      <c r="AH252"/>
      <c r="AI252"/>
      <c r="AJ252"/>
      <c r="AK252"/>
      <c r="AL252"/>
      <c r="AM252"/>
      <c r="AN252"/>
      <c r="AO252"/>
    </row>
    <row r="253" spans="1:41" ht="15" customHeight="1">
      <c r="A253" s="2">
        <v>250</v>
      </c>
      <c r="B253" s="2"/>
      <c r="C253" s="3">
        <f>ProjectInput[[#This Row],[Retrofit Cost]]</f>
        <v>0</v>
      </c>
      <c r="D253" s="2">
        <f>ProjectInput[[#This Row],[Proposed Fixture Quantity]]</f>
        <v>0</v>
      </c>
      <c r="E253" s="2" t="str">
        <f>CONCATENATE("Replace ", ReviewCalcs[[#This Row],[Existing Fixture Code]], " with ", ReviewCalcs[[#This Row],[Proposed Fixture Code]])</f>
        <v>Replace 0 with 0</v>
      </c>
      <c r="F253" s="2">
        <f>ReviewCalcs[[#This Row],[Measure Type]]</f>
        <v>0</v>
      </c>
      <c r="G253" s="2" t="str">
        <f>IF(Instructions!$F$25="Post-Retrofit","Completed","Recommended")</f>
        <v>Recommended</v>
      </c>
      <c r="H253" s="4">
        <f>ReviewCalcs[[#This Row],[Incentive Total Energy Savings (kWh)]]</f>
        <v>0</v>
      </c>
      <c r="I253" s="2">
        <f>ReviewCalcs[[#This Row],[Incentive Total Demand Savings (kW)]]</f>
        <v>0</v>
      </c>
      <c r="J253" s="3">
        <f>ProjectInput[[#This Row],[Energy Cost Savings ($)]]</f>
        <v>0</v>
      </c>
      <c r="K253" s="3">
        <f>ProjectInput[[#This Row],[Incentive ($)]]</f>
        <v>0</v>
      </c>
      <c r="L253" s="13">
        <f t="shared" si="4"/>
        <v>0</v>
      </c>
      <c r="M253" s="3"/>
      <c r="N253" s="3"/>
      <c r="O253" s="3"/>
      <c r="P253" s="3"/>
      <c r="Q253" s="3"/>
      <c r="R253" s="3"/>
      <c r="S253" s="3"/>
      <c r="T253" s="2"/>
      <c r="U253" s="133">
        <f>ProjectInput[[#This Row],[Location]]</f>
        <v>0</v>
      </c>
      <c r="V253" s="278">
        <f>ProjectInput[[#This Row],[Existing Fixture Code]]</f>
        <v>0</v>
      </c>
      <c r="W253"/>
      <c r="X253"/>
      <c r="Y253"/>
      <c r="Z253"/>
      <c r="AA253"/>
      <c r="AB253"/>
      <c r="AC253"/>
      <c r="AD253"/>
      <c r="AE253"/>
      <c r="AF253"/>
      <c r="AG253"/>
      <c r="AH253"/>
      <c r="AI253"/>
      <c r="AJ253"/>
      <c r="AK253"/>
      <c r="AL253"/>
      <c r="AM253"/>
      <c r="AN253"/>
      <c r="AO253"/>
    </row>
    <row r="254" spans="1:41" ht="15" customHeight="1">
      <c r="A254" s="2">
        <v>251</v>
      </c>
      <c r="B254" s="2"/>
      <c r="C254" s="3">
        <f>ProjectInput[[#This Row],[Retrofit Cost]]</f>
        <v>0</v>
      </c>
      <c r="D254" s="2">
        <f>ProjectInput[[#This Row],[Proposed Fixture Quantity]]</f>
        <v>0</v>
      </c>
      <c r="E254" s="2" t="str">
        <f>CONCATENATE("Replace ", ReviewCalcs[[#This Row],[Existing Fixture Code]], " with ", ReviewCalcs[[#This Row],[Proposed Fixture Code]])</f>
        <v>Replace 0 with 0</v>
      </c>
      <c r="F254" s="2">
        <f>ReviewCalcs[[#This Row],[Measure Type]]</f>
        <v>0</v>
      </c>
      <c r="G254" s="2" t="str">
        <f>IF(Instructions!$F$25="Post-Retrofit","Completed","Recommended")</f>
        <v>Recommended</v>
      </c>
      <c r="H254" s="4">
        <f>ReviewCalcs[[#This Row],[Incentive Total Energy Savings (kWh)]]</f>
        <v>0</v>
      </c>
      <c r="I254" s="2">
        <f>ReviewCalcs[[#This Row],[Incentive Total Demand Savings (kW)]]</f>
        <v>0</v>
      </c>
      <c r="J254" s="3">
        <f>ProjectInput[[#This Row],[Energy Cost Savings ($)]]</f>
        <v>0</v>
      </c>
      <c r="K254" s="3">
        <f>ProjectInput[[#This Row],[Incentive ($)]]</f>
        <v>0</v>
      </c>
      <c r="L254" s="13">
        <f t="shared" si="4"/>
        <v>0</v>
      </c>
      <c r="M254" s="3"/>
      <c r="N254" s="3"/>
      <c r="O254" s="3"/>
      <c r="P254" s="3"/>
      <c r="Q254" s="3"/>
      <c r="R254" s="3"/>
      <c r="S254" s="3"/>
      <c r="T254" s="2"/>
      <c r="U254" s="133">
        <f>ProjectInput[[#This Row],[Location]]</f>
        <v>0</v>
      </c>
      <c r="V254" s="278">
        <f>ProjectInput[[#This Row],[Existing Fixture Code]]</f>
        <v>0</v>
      </c>
      <c r="W254"/>
      <c r="X254"/>
      <c r="Y254"/>
      <c r="Z254"/>
      <c r="AA254"/>
      <c r="AB254"/>
      <c r="AC254"/>
      <c r="AD254"/>
      <c r="AE254"/>
      <c r="AF254"/>
      <c r="AG254"/>
      <c r="AH254"/>
      <c r="AI254"/>
      <c r="AJ254"/>
      <c r="AK254"/>
      <c r="AL254"/>
      <c r="AM254"/>
      <c r="AN254"/>
      <c r="AO254"/>
    </row>
    <row r="255" spans="1:41" ht="15" customHeight="1">
      <c r="A255" s="2">
        <v>252</v>
      </c>
      <c r="B255" s="2"/>
      <c r="C255" s="3">
        <f>ProjectInput[[#This Row],[Retrofit Cost]]</f>
        <v>0</v>
      </c>
      <c r="D255" s="2">
        <f>ProjectInput[[#This Row],[Proposed Fixture Quantity]]</f>
        <v>0</v>
      </c>
      <c r="E255" s="2" t="str">
        <f>CONCATENATE("Replace ", ReviewCalcs[[#This Row],[Existing Fixture Code]], " with ", ReviewCalcs[[#This Row],[Proposed Fixture Code]])</f>
        <v>Replace 0 with 0</v>
      </c>
      <c r="F255" s="2">
        <f>ReviewCalcs[[#This Row],[Measure Type]]</f>
        <v>0</v>
      </c>
      <c r="G255" s="2" t="str">
        <f>IF(Instructions!$F$25="Post-Retrofit","Completed","Recommended")</f>
        <v>Recommended</v>
      </c>
      <c r="H255" s="4">
        <f>ReviewCalcs[[#This Row],[Incentive Total Energy Savings (kWh)]]</f>
        <v>0</v>
      </c>
      <c r="I255" s="2">
        <f>ReviewCalcs[[#This Row],[Incentive Total Demand Savings (kW)]]</f>
        <v>0</v>
      </c>
      <c r="J255" s="3">
        <f>ProjectInput[[#This Row],[Energy Cost Savings ($)]]</f>
        <v>0</v>
      </c>
      <c r="K255" s="3">
        <f>ProjectInput[[#This Row],[Incentive ($)]]</f>
        <v>0</v>
      </c>
      <c r="L255" s="13">
        <f t="shared" si="4"/>
        <v>0</v>
      </c>
      <c r="M255" s="3"/>
      <c r="N255" s="3"/>
      <c r="O255" s="3"/>
      <c r="P255" s="3"/>
      <c r="Q255" s="3"/>
      <c r="R255" s="3"/>
      <c r="S255" s="3"/>
      <c r="T255" s="2"/>
      <c r="U255" s="133">
        <f>ProjectInput[[#This Row],[Location]]</f>
        <v>0</v>
      </c>
      <c r="V255" s="278">
        <f>ProjectInput[[#This Row],[Existing Fixture Code]]</f>
        <v>0</v>
      </c>
      <c r="W255"/>
      <c r="X255"/>
      <c r="Y255"/>
      <c r="Z255"/>
      <c r="AA255"/>
      <c r="AB255"/>
      <c r="AC255"/>
      <c r="AD255"/>
      <c r="AE255"/>
      <c r="AF255"/>
      <c r="AG255"/>
      <c r="AH255"/>
      <c r="AI255"/>
      <c r="AJ255"/>
      <c r="AK255"/>
      <c r="AL255"/>
      <c r="AM255"/>
      <c r="AN255"/>
      <c r="AO255"/>
    </row>
    <row r="256" spans="1:41" ht="15" customHeight="1">
      <c r="A256" s="2">
        <v>253</v>
      </c>
      <c r="B256" s="2"/>
      <c r="C256" s="3">
        <f>ProjectInput[[#This Row],[Retrofit Cost]]</f>
        <v>0</v>
      </c>
      <c r="D256" s="2">
        <f>ProjectInput[[#This Row],[Proposed Fixture Quantity]]</f>
        <v>0</v>
      </c>
      <c r="E256" s="2" t="str">
        <f>CONCATENATE("Replace ", ReviewCalcs[[#This Row],[Existing Fixture Code]], " with ", ReviewCalcs[[#This Row],[Proposed Fixture Code]])</f>
        <v>Replace 0 with 0</v>
      </c>
      <c r="F256" s="2">
        <f>ReviewCalcs[[#This Row],[Measure Type]]</f>
        <v>0</v>
      </c>
      <c r="G256" s="2" t="str">
        <f>IF(Instructions!$F$25="Post-Retrofit","Completed","Recommended")</f>
        <v>Recommended</v>
      </c>
      <c r="H256" s="4">
        <f>ReviewCalcs[[#This Row],[Incentive Total Energy Savings (kWh)]]</f>
        <v>0</v>
      </c>
      <c r="I256" s="2">
        <f>ReviewCalcs[[#This Row],[Incentive Total Demand Savings (kW)]]</f>
        <v>0</v>
      </c>
      <c r="J256" s="3">
        <f>ProjectInput[[#This Row],[Energy Cost Savings ($)]]</f>
        <v>0</v>
      </c>
      <c r="K256" s="3">
        <f>ProjectInput[[#This Row],[Incentive ($)]]</f>
        <v>0</v>
      </c>
      <c r="L256" s="13">
        <f t="shared" si="4"/>
        <v>0</v>
      </c>
      <c r="M256" s="3"/>
      <c r="N256" s="3"/>
      <c r="O256" s="3"/>
      <c r="P256" s="3"/>
      <c r="Q256" s="3"/>
      <c r="R256" s="3"/>
      <c r="S256" s="3"/>
      <c r="T256" s="2"/>
      <c r="U256" s="133">
        <f>ProjectInput[[#This Row],[Location]]</f>
        <v>0</v>
      </c>
      <c r="V256" s="278">
        <f>ProjectInput[[#This Row],[Existing Fixture Code]]</f>
        <v>0</v>
      </c>
      <c r="W256"/>
      <c r="X256"/>
      <c r="Y256"/>
      <c r="Z256"/>
      <c r="AA256"/>
      <c r="AB256"/>
      <c r="AC256"/>
      <c r="AD256"/>
      <c r="AE256"/>
      <c r="AF256"/>
      <c r="AG256"/>
      <c r="AH256"/>
      <c r="AI256"/>
      <c r="AJ256"/>
      <c r="AK256"/>
      <c r="AL256"/>
      <c r="AM256"/>
      <c r="AN256"/>
      <c r="AO256"/>
    </row>
    <row r="257" spans="1:41" ht="15" customHeight="1">
      <c r="A257" s="2">
        <v>254</v>
      </c>
      <c r="B257" s="2"/>
      <c r="C257" s="3">
        <f>ProjectInput[[#This Row],[Retrofit Cost]]</f>
        <v>0</v>
      </c>
      <c r="D257" s="2">
        <f>ProjectInput[[#This Row],[Proposed Fixture Quantity]]</f>
        <v>0</v>
      </c>
      <c r="E257" s="2" t="str">
        <f>CONCATENATE("Replace ", ReviewCalcs[[#This Row],[Existing Fixture Code]], " with ", ReviewCalcs[[#This Row],[Proposed Fixture Code]])</f>
        <v>Replace 0 with 0</v>
      </c>
      <c r="F257" s="2">
        <f>ReviewCalcs[[#This Row],[Measure Type]]</f>
        <v>0</v>
      </c>
      <c r="G257" s="2" t="str">
        <f>IF(Instructions!$F$25="Post-Retrofit","Completed","Recommended")</f>
        <v>Recommended</v>
      </c>
      <c r="H257" s="4">
        <f>ReviewCalcs[[#This Row],[Incentive Total Energy Savings (kWh)]]</f>
        <v>0</v>
      </c>
      <c r="I257" s="2">
        <f>ReviewCalcs[[#This Row],[Incentive Total Demand Savings (kW)]]</f>
        <v>0</v>
      </c>
      <c r="J257" s="3">
        <f>ProjectInput[[#This Row],[Energy Cost Savings ($)]]</f>
        <v>0</v>
      </c>
      <c r="K257" s="3">
        <f>ProjectInput[[#This Row],[Incentive ($)]]</f>
        <v>0</v>
      </c>
      <c r="L257" s="13">
        <f t="shared" si="4"/>
        <v>0</v>
      </c>
      <c r="M257" s="3"/>
      <c r="N257" s="3"/>
      <c r="O257" s="3"/>
      <c r="P257" s="3"/>
      <c r="Q257" s="3"/>
      <c r="R257" s="3"/>
      <c r="S257" s="3"/>
      <c r="T257" s="2"/>
      <c r="U257" s="133">
        <f>ProjectInput[[#This Row],[Location]]</f>
        <v>0</v>
      </c>
      <c r="V257" s="278">
        <f>ProjectInput[[#This Row],[Existing Fixture Code]]</f>
        <v>0</v>
      </c>
      <c r="W257"/>
      <c r="X257"/>
      <c r="Y257"/>
      <c r="Z257"/>
      <c r="AA257"/>
      <c r="AB257"/>
      <c r="AC257"/>
      <c r="AD257"/>
      <c r="AE257"/>
      <c r="AF257"/>
      <c r="AG257"/>
      <c r="AH257"/>
      <c r="AI257"/>
      <c r="AJ257"/>
      <c r="AK257"/>
      <c r="AL257"/>
      <c r="AM257"/>
      <c r="AN257"/>
      <c r="AO257"/>
    </row>
    <row r="258" spans="1:41" ht="15" customHeight="1">
      <c r="A258" s="2">
        <v>255</v>
      </c>
      <c r="B258" s="2"/>
      <c r="C258" s="3">
        <f>ProjectInput[[#This Row],[Retrofit Cost]]</f>
        <v>0</v>
      </c>
      <c r="D258" s="2">
        <f>ProjectInput[[#This Row],[Proposed Fixture Quantity]]</f>
        <v>0</v>
      </c>
      <c r="E258" s="2" t="str">
        <f>CONCATENATE("Replace ", ReviewCalcs[[#This Row],[Existing Fixture Code]], " with ", ReviewCalcs[[#This Row],[Proposed Fixture Code]])</f>
        <v>Replace 0 with 0</v>
      </c>
      <c r="F258" s="2">
        <f>ReviewCalcs[[#This Row],[Measure Type]]</f>
        <v>0</v>
      </c>
      <c r="G258" s="2" t="str">
        <f>IF(Instructions!$F$25="Post-Retrofit","Completed","Recommended")</f>
        <v>Recommended</v>
      </c>
      <c r="H258" s="4">
        <f>ReviewCalcs[[#This Row],[Incentive Total Energy Savings (kWh)]]</f>
        <v>0</v>
      </c>
      <c r="I258" s="2">
        <f>ReviewCalcs[[#This Row],[Incentive Total Demand Savings (kW)]]</f>
        <v>0</v>
      </c>
      <c r="J258" s="3">
        <f>ProjectInput[[#This Row],[Energy Cost Savings ($)]]</f>
        <v>0</v>
      </c>
      <c r="K258" s="3">
        <f>ProjectInput[[#This Row],[Incentive ($)]]</f>
        <v>0</v>
      </c>
      <c r="L258" s="13">
        <f t="shared" si="4"/>
        <v>0</v>
      </c>
      <c r="M258" s="3"/>
      <c r="N258" s="3"/>
      <c r="O258" s="3"/>
      <c r="P258" s="3"/>
      <c r="Q258" s="3"/>
      <c r="R258" s="3"/>
      <c r="S258" s="3"/>
      <c r="T258" s="2"/>
      <c r="U258" s="133">
        <f>ProjectInput[[#This Row],[Location]]</f>
        <v>0</v>
      </c>
      <c r="V258" s="278">
        <f>ProjectInput[[#This Row],[Existing Fixture Code]]</f>
        <v>0</v>
      </c>
      <c r="W258"/>
      <c r="X258"/>
      <c r="Y258"/>
      <c r="Z258"/>
      <c r="AA258"/>
      <c r="AB258"/>
      <c r="AC258"/>
      <c r="AD258"/>
      <c r="AE258"/>
      <c r="AF258"/>
      <c r="AG258"/>
      <c r="AH258"/>
      <c r="AI258"/>
      <c r="AJ258"/>
      <c r="AK258"/>
      <c r="AL258"/>
      <c r="AM258"/>
      <c r="AN258"/>
      <c r="AO258"/>
    </row>
    <row r="259" spans="1:41" ht="15" customHeight="1">
      <c r="A259" s="2">
        <v>256</v>
      </c>
      <c r="B259" s="2"/>
      <c r="C259" s="3">
        <f>ProjectInput[[#This Row],[Retrofit Cost]]</f>
        <v>0</v>
      </c>
      <c r="D259" s="2">
        <f>ProjectInput[[#This Row],[Proposed Fixture Quantity]]</f>
        <v>0</v>
      </c>
      <c r="E259" s="2" t="str">
        <f>CONCATENATE("Replace ", ReviewCalcs[[#This Row],[Existing Fixture Code]], " with ", ReviewCalcs[[#This Row],[Proposed Fixture Code]])</f>
        <v>Replace 0 with 0</v>
      </c>
      <c r="F259" s="2">
        <f>ReviewCalcs[[#This Row],[Measure Type]]</f>
        <v>0</v>
      </c>
      <c r="G259" s="2" t="str">
        <f>IF(Instructions!$F$25="Post-Retrofit","Completed","Recommended")</f>
        <v>Recommended</v>
      </c>
      <c r="H259" s="4">
        <f>ReviewCalcs[[#This Row],[Incentive Total Energy Savings (kWh)]]</f>
        <v>0</v>
      </c>
      <c r="I259" s="2">
        <f>ReviewCalcs[[#This Row],[Incentive Total Demand Savings (kW)]]</f>
        <v>0</v>
      </c>
      <c r="J259" s="3">
        <f>ProjectInput[[#This Row],[Energy Cost Savings ($)]]</f>
        <v>0</v>
      </c>
      <c r="K259" s="3">
        <f>ProjectInput[[#This Row],[Incentive ($)]]</f>
        <v>0</v>
      </c>
      <c r="L259" s="13">
        <f t="shared" si="4"/>
        <v>0</v>
      </c>
      <c r="M259" s="3"/>
      <c r="N259" s="3"/>
      <c r="O259" s="3"/>
      <c r="P259" s="3"/>
      <c r="Q259" s="3"/>
      <c r="R259" s="3"/>
      <c r="S259" s="3"/>
      <c r="T259" s="2"/>
      <c r="U259" s="133">
        <f>ProjectInput[[#This Row],[Location]]</f>
        <v>0</v>
      </c>
      <c r="V259" s="278">
        <f>ProjectInput[[#This Row],[Existing Fixture Code]]</f>
        <v>0</v>
      </c>
      <c r="W259"/>
      <c r="X259"/>
      <c r="Y259"/>
      <c r="Z259"/>
      <c r="AA259"/>
      <c r="AB259"/>
      <c r="AC259"/>
      <c r="AD259"/>
      <c r="AE259"/>
      <c r="AF259"/>
      <c r="AG259"/>
      <c r="AH259"/>
      <c r="AI259"/>
      <c r="AJ259"/>
      <c r="AK259"/>
      <c r="AL259"/>
      <c r="AM259"/>
      <c r="AN259"/>
      <c r="AO259"/>
    </row>
    <row r="260" spans="1:41" ht="15" customHeight="1">
      <c r="A260" s="2">
        <v>257</v>
      </c>
      <c r="B260" s="2"/>
      <c r="C260" s="3">
        <f>ProjectInput[[#This Row],[Retrofit Cost]]</f>
        <v>0</v>
      </c>
      <c r="D260" s="2">
        <f>ProjectInput[[#This Row],[Proposed Fixture Quantity]]</f>
        <v>0</v>
      </c>
      <c r="E260" s="2" t="str">
        <f>CONCATENATE("Replace ", ReviewCalcs[[#This Row],[Existing Fixture Code]], " with ", ReviewCalcs[[#This Row],[Proposed Fixture Code]])</f>
        <v>Replace 0 with 0</v>
      </c>
      <c r="F260" s="2">
        <f>ReviewCalcs[[#This Row],[Measure Type]]</f>
        <v>0</v>
      </c>
      <c r="G260" s="2" t="str">
        <f>IF(Instructions!$F$25="Post-Retrofit","Completed","Recommended")</f>
        <v>Recommended</v>
      </c>
      <c r="H260" s="4">
        <f>ReviewCalcs[[#This Row],[Incentive Total Energy Savings (kWh)]]</f>
        <v>0</v>
      </c>
      <c r="I260" s="2">
        <f>ReviewCalcs[[#This Row],[Incentive Total Demand Savings (kW)]]</f>
        <v>0</v>
      </c>
      <c r="J260" s="3">
        <f>ProjectInput[[#This Row],[Energy Cost Savings ($)]]</f>
        <v>0</v>
      </c>
      <c r="K260" s="3">
        <f>ProjectInput[[#This Row],[Incentive ($)]]</f>
        <v>0</v>
      </c>
      <c r="L260" s="13">
        <f t="shared" si="4"/>
        <v>0</v>
      </c>
      <c r="M260" s="3"/>
      <c r="N260" s="3"/>
      <c r="O260" s="3"/>
      <c r="P260" s="3"/>
      <c r="Q260" s="3"/>
      <c r="R260" s="3"/>
      <c r="S260" s="3"/>
      <c r="T260" s="2"/>
      <c r="U260" s="133">
        <f>ProjectInput[[#This Row],[Location]]</f>
        <v>0</v>
      </c>
      <c r="V260" s="278">
        <f>ProjectInput[[#This Row],[Existing Fixture Code]]</f>
        <v>0</v>
      </c>
      <c r="W260"/>
      <c r="X260"/>
      <c r="Y260"/>
      <c r="Z260"/>
      <c r="AA260"/>
      <c r="AB260"/>
      <c r="AC260"/>
      <c r="AD260"/>
      <c r="AE260"/>
      <c r="AF260"/>
      <c r="AG260"/>
      <c r="AH260"/>
      <c r="AI260"/>
      <c r="AJ260"/>
      <c r="AK260"/>
      <c r="AL260"/>
      <c r="AM260"/>
      <c r="AN260"/>
      <c r="AO260"/>
    </row>
    <row r="261" spans="1:41" ht="15" customHeight="1">
      <c r="A261" s="2">
        <v>258</v>
      </c>
      <c r="B261" s="2"/>
      <c r="C261" s="3">
        <f>ProjectInput[[#This Row],[Retrofit Cost]]</f>
        <v>0</v>
      </c>
      <c r="D261" s="2">
        <f>ProjectInput[[#This Row],[Proposed Fixture Quantity]]</f>
        <v>0</v>
      </c>
      <c r="E261" s="2" t="str">
        <f>CONCATENATE("Replace ", ReviewCalcs[[#This Row],[Existing Fixture Code]], " with ", ReviewCalcs[[#This Row],[Proposed Fixture Code]])</f>
        <v>Replace 0 with 0</v>
      </c>
      <c r="F261" s="2">
        <f>ReviewCalcs[[#This Row],[Measure Type]]</f>
        <v>0</v>
      </c>
      <c r="G261" s="2" t="str">
        <f>IF(Instructions!$F$25="Post-Retrofit","Completed","Recommended")</f>
        <v>Recommended</v>
      </c>
      <c r="H261" s="4">
        <f>ReviewCalcs[[#This Row],[Incentive Total Energy Savings (kWh)]]</f>
        <v>0</v>
      </c>
      <c r="I261" s="2">
        <f>ReviewCalcs[[#This Row],[Incentive Total Demand Savings (kW)]]</f>
        <v>0</v>
      </c>
      <c r="J261" s="3">
        <f>ProjectInput[[#This Row],[Energy Cost Savings ($)]]</f>
        <v>0</v>
      </c>
      <c r="K261" s="3">
        <f>ProjectInput[[#This Row],[Incentive ($)]]</f>
        <v>0</v>
      </c>
      <c r="L261" s="13">
        <f t="shared" si="4"/>
        <v>0</v>
      </c>
      <c r="M261" s="3"/>
      <c r="N261" s="3"/>
      <c r="O261" s="3"/>
      <c r="P261" s="3"/>
      <c r="Q261" s="3"/>
      <c r="R261" s="3"/>
      <c r="S261" s="3"/>
      <c r="T261" s="2"/>
      <c r="U261" s="133">
        <f>ProjectInput[[#This Row],[Location]]</f>
        <v>0</v>
      </c>
      <c r="V261" s="278">
        <f>ProjectInput[[#This Row],[Existing Fixture Code]]</f>
        <v>0</v>
      </c>
      <c r="W261"/>
      <c r="X261"/>
      <c r="Y261"/>
      <c r="Z261"/>
      <c r="AA261"/>
      <c r="AB261"/>
      <c r="AC261"/>
      <c r="AD261"/>
      <c r="AE261"/>
      <c r="AF261"/>
      <c r="AG261"/>
      <c r="AH261"/>
      <c r="AI261"/>
      <c r="AJ261"/>
      <c r="AK261"/>
      <c r="AL261"/>
      <c r="AM261"/>
      <c r="AN261"/>
      <c r="AO261"/>
    </row>
    <row r="262" spans="1:41" ht="15" customHeight="1">
      <c r="A262" s="2">
        <v>259</v>
      </c>
      <c r="B262" s="2"/>
      <c r="C262" s="3">
        <f>ProjectInput[[#This Row],[Retrofit Cost]]</f>
        <v>0</v>
      </c>
      <c r="D262" s="2">
        <f>ProjectInput[[#This Row],[Proposed Fixture Quantity]]</f>
        <v>0</v>
      </c>
      <c r="E262" s="2" t="str">
        <f>CONCATENATE("Replace ", ReviewCalcs[[#This Row],[Existing Fixture Code]], " with ", ReviewCalcs[[#This Row],[Proposed Fixture Code]])</f>
        <v>Replace 0 with 0</v>
      </c>
      <c r="F262" s="2">
        <f>ReviewCalcs[[#This Row],[Measure Type]]</f>
        <v>0</v>
      </c>
      <c r="G262" s="2" t="str">
        <f>IF(Instructions!$F$25="Post-Retrofit","Completed","Recommended")</f>
        <v>Recommended</v>
      </c>
      <c r="H262" s="4">
        <f>ReviewCalcs[[#This Row],[Incentive Total Energy Savings (kWh)]]</f>
        <v>0</v>
      </c>
      <c r="I262" s="2">
        <f>ReviewCalcs[[#This Row],[Incentive Total Demand Savings (kW)]]</f>
        <v>0</v>
      </c>
      <c r="J262" s="3">
        <f>ProjectInput[[#This Row],[Energy Cost Savings ($)]]</f>
        <v>0</v>
      </c>
      <c r="K262" s="3">
        <f>ProjectInput[[#This Row],[Incentive ($)]]</f>
        <v>0</v>
      </c>
      <c r="L262" s="13">
        <f t="shared" si="4"/>
        <v>0</v>
      </c>
      <c r="M262" s="3"/>
      <c r="N262" s="3"/>
      <c r="O262" s="3"/>
      <c r="P262" s="3"/>
      <c r="Q262" s="3"/>
      <c r="R262" s="3"/>
      <c r="S262" s="3"/>
      <c r="T262" s="2"/>
      <c r="U262" s="133">
        <f>ProjectInput[[#This Row],[Location]]</f>
        <v>0</v>
      </c>
      <c r="V262" s="278">
        <f>ProjectInput[[#This Row],[Existing Fixture Code]]</f>
        <v>0</v>
      </c>
      <c r="W262"/>
      <c r="X262"/>
      <c r="Y262"/>
      <c r="Z262"/>
      <c r="AA262"/>
      <c r="AB262"/>
      <c r="AC262"/>
      <c r="AD262"/>
      <c r="AE262"/>
      <c r="AF262"/>
      <c r="AG262"/>
      <c r="AH262"/>
      <c r="AI262"/>
      <c r="AJ262"/>
      <c r="AK262"/>
      <c r="AL262"/>
      <c r="AM262"/>
      <c r="AN262"/>
      <c r="AO262"/>
    </row>
    <row r="263" spans="1:41" ht="15" customHeight="1">
      <c r="A263" s="2">
        <v>260</v>
      </c>
      <c r="B263" s="2"/>
      <c r="C263" s="3">
        <f>ProjectInput[[#This Row],[Retrofit Cost]]</f>
        <v>0</v>
      </c>
      <c r="D263" s="2">
        <f>ProjectInput[[#This Row],[Proposed Fixture Quantity]]</f>
        <v>0</v>
      </c>
      <c r="E263" s="2" t="str">
        <f>CONCATENATE("Replace ", ReviewCalcs[[#This Row],[Existing Fixture Code]], " with ", ReviewCalcs[[#This Row],[Proposed Fixture Code]])</f>
        <v>Replace 0 with 0</v>
      </c>
      <c r="F263" s="2">
        <f>ReviewCalcs[[#This Row],[Measure Type]]</f>
        <v>0</v>
      </c>
      <c r="G263" s="2" t="str">
        <f>IF(Instructions!$F$25="Post-Retrofit","Completed","Recommended")</f>
        <v>Recommended</v>
      </c>
      <c r="H263" s="4">
        <f>ReviewCalcs[[#This Row],[Incentive Total Energy Savings (kWh)]]</f>
        <v>0</v>
      </c>
      <c r="I263" s="2">
        <f>ReviewCalcs[[#This Row],[Incentive Total Demand Savings (kW)]]</f>
        <v>0</v>
      </c>
      <c r="J263" s="3">
        <f>ProjectInput[[#This Row],[Energy Cost Savings ($)]]</f>
        <v>0</v>
      </c>
      <c r="K263" s="3">
        <f>ProjectInput[[#This Row],[Incentive ($)]]</f>
        <v>0</v>
      </c>
      <c r="L263" s="13">
        <f t="shared" si="4"/>
        <v>0</v>
      </c>
      <c r="M263" s="3"/>
      <c r="N263" s="3"/>
      <c r="O263" s="3"/>
      <c r="P263" s="3"/>
      <c r="Q263" s="3"/>
      <c r="R263" s="3"/>
      <c r="S263" s="3"/>
      <c r="T263" s="2"/>
      <c r="U263" s="133">
        <f>ProjectInput[[#This Row],[Location]]</f>
        <v>0</v>
      </c>
      <c r="V263" s="278">
        <f>ProjectInput[[#This Row],[Existing Fixture Code]]</f>
        <v>0</v>
      </c>
      <c r="W263"/>
      <c r="X263"/>
      <c r="Y263"/>
      <c r="Z263"/>
      <c r="AA263"/>
      <c r="AB263"/>
      <c r="AC263"/>
      <c r="AD263"/>
      <c r="AE263"/>
      <c r="AF263"/>
      <c r="AG263"/>
      <c r="AH263"/>
      <c r="AI263"/>
      <c r="AJ263"/>
      <c r="AK263"/>
      <c r="AL263"/>
      <c r="AM263"/>
      <c r="AN263"/>
      <c r="AO263"/>
    </row>
    <row r="264" spans="1:41" ht="15" customHeight="1">
      <c r="A264" s="2">
        <v>261</v>
      </c>
      <c r="B264" s="2"/>
      <c r="C264" s="3">
        <f>ProjectInput[[#This Row],[Retrofit Cost]]</f>
        <v>0</v>
      </c>
      <c r="D264" s="2">
        <f>ProjectInput[[#This Row],[Proposed Fixture Quantity]]</f>
        <v>0</v>
      </c>
      <c r="E264" s="2" t="str">
        <f>CONCATENATE("Replace ", ReviewCalcs[[#This Row],[Existing Fixture Code]], " with ", ReviewCalcs[[#This Row],[Proposed Fixture Code]])</f>
        <v>Replace 0 with 0</v>
      </c>
      <c r="F264" s="2">
        <f>ReviewCalcs[[#This Row],[Measure Type]]</f>
        <v>0</v>
      </c>
      <c r="G264" s="2" t="str">
        <f>IF(Instructions!$F$25="Post-Retrofit","Completed","Recommended")</f>
        <v>Recommended</v>
      </c>
      <c r="H264" s="4">
        <f>ReviewCalcs[[#This Row],[Incentive Total Energy Savings (kWh)]]</f>
        <v>0</v>
      </c>
      <c r="I264" s="2">
        <f>ReviewCalcs[[#This Row],[Incentive Total Demand Savings (kW)]]</f>
        <v>0</v>
      </c>
      <c r="J264" s="3">
        <f>ProjectInput[[#This Row],[Energy Cost Savings ($)]]</f>
        <v>0</v>
      </c>
      <c r="K264" s="3">
        <f>ProjectInput[[#This Row],[Incentive ($)]]</f>
        <v>0</v>
      </c>
      <c r="L264" s="13">
        <f t="shared" si="4"/>
        <v>0</v>
      </c>
      <c r="M264" s="3"/>
      <c r="N264" s="3"/>
      <c r="O264" s="3"/>
      <c r="P264" s="3"/>
      <c r="Q264" s="3"/>
      <c r="R264" s="3"/>
      <c r="S264" s="3"/>
      <c r="T264" s="2"/>
      <c r="U264" s="133">
        <f>ProjectInput[[#This Row],[Location]]</f>
        <v>0</v>
      </c>
      <c r="V264" s="278">
        <f>ProjectInput[[#This Row],[Existing Fixture Code]]</f>
        <v>0</v>
      </c>
      <c r="W264"/>
      <c r="X264"/>
      <c r="Y264"/>
      <c r="Z264"/>
      <c r="AA264"/>
      <c r="AB264"/>
      <c r="AC264"/>
      <c r="AD264"/>
      <c r="AE264"/>
      <c r="AF264"/>
      <c r="AG264"/>
      <c r="AH264"/>
      <c r="AI264"/>
      <c r="AJ264"/>
      <c r="AK264"/>
      <c r="AL264"/>
      <c r="AM264"/>
      <c r="AN264"/>
      <c r="AO264"/>
    </row>
    <row r="265" spans="1:41" ht="15" customHeight="1">
      <c r="A265" s="2">
        <v>262</v>
      </c>
      <c r="B265" s="2"/>
      <c r="C265" s="3">
        <f>ProjectInput[[#This Row],[Retrofit Cost]]</f>
        <v>0</v>
      </c>
      <c r="D265" s="2">
        <f>ProjectInput[[#This Row],[Proposed Fixture Quantity]]</f>
        <v>0</v>
      </c>
      <c r="E265" s="2" t="str">
        <f>CONCATENATE("Replace ", ReviewCalcs[[#This Row],[Existing Fixture Code]], " with ", ReviewCalcs[[#This Row],[Proposed Fixture Code]])</f>
        <v>Replace 0 with 0</v>
      </c>
      <c r="F265" s="2">
        <f>ReviewCalcs[[#This Row],[Measure Type]]</f>
        <v>0</v>
      </c>
      <c r="G265" s="2" t="str">
        <f>IF(Instructions!$F$25="Post-Retrofit","Completed","Recommended")</f>
        <v>Recommended</v>
      </c>
      <c r="H265" s="4">
        <f>ReviewCalcs[[#This Row],[Incentive Total Energy Savings (kWh)]]</f>
        <v>0</v>
      </c>
      <c r="I265" s="2">
        <f>ReviewCalcs[[#This Row],[Incentive Total Demand Savings (kW)]]</f>
        <v>0</v>
      </c>
      <c r="J265" s="3">
        <f>ProjectInput[[#This Row],[Energy Cost Savings ($)]]</f>
        <v>0</v>
      </c>
      <c r="K265" s="3">
        <f>ProjectInput[[#This Row],[Incentive ($)]]</f>
        <v>0</v>
      </c>
      <c r="L265" s="13">
        <f t="shared" si="4"/>
        <v>0</v>
      </c>
      <c r="M265" s="3"/>
      <c r="N265" s="3"/>
      <c r="O265" s="3"/>
      <c r="P265" s="3"/>
      <c r="Q265" s="3"/>
      <c r="R265" s="3"/>
      <c r="S265" s="3"/>
      <c r="T265" s="2"/>
      <c r="U265" s="133">
        <f>ProjectInput[[#This Row],[Location]]</f>
        <v>0</v>
      </c>
      <c r="V265" s="278">
        <f>ProjectInput[[#This Row],[Existing Fixture Code]]</f>
        <v>0</v>
      </c>
      <c r="W265"/>
      <c r="X265"/>
      <c r="Y265"/>
      <c r="Z265"/>
      <c r="AA265"/>
      <c r="AB265"/>
      <c r="AC265"/>
      <c r="AD265"/>
      <c r="AE265"/>
      <c r="AF265"/>
      <c r="AG265"/>
      <c r="AH265"/>
      <c r="AI265"/>
      <c r="AJ265"/>
      <c r="AK265"/>
      <c r="AL265"/>
      <c r="AM265"/>
      <c r="AN265"/>
      <c r="AO265"/>
    </row>
    <row r="266" spans="1:41" ht="15" customHeight="1">
      <c r="A266" s="2">
        <v>263</v>
      </c>
      <c r="B266" s="2"/>
      <c r="C266" s="3">
        <f>ProjectInput[[#This Row],[Retrofit Cost]]</f>
        <v>0</v>
      </c>
      <c r="D266" s="2">
        <f>ProjectInput[[#This Row],[Proposed Fixture Quantity]]</f>
        <v>0</v>
      </c>
      <c r="E266" s="2" t="str">
        <f>CONCATENATE("Replace ", ReviewCalcs[[#This Row],[Existing Fixture Code]], " with ", ReviewCalcs[[#This Row],[Proposed Fixture Code]])</f>
        <v>Replace 0 with 0</v>
      </c>
      <c r="F266" s="2">
        <f>ReviewCalcs[[#This Row],[Measure Type]]</f>
        <v>0</v>
      </c>
      <c r="G266" s="2" t="str">
        <f>IF(Instructions!$F$25="Post-Retrofit","Completed","Recommended")</f>
        <v>Recommended</v>
      </c>
      <c r="H266" s="4">
        <f>ReviewCalcs[[#This Row],[Incentive Total Energy Savings (kWh)]]</f>
        <v>0</v>
      </c>
      <c r="I266" s="2">
        <f>ReviewCalcs[[#This Row],[Incentive Total Demand Savings (kW)]]</f>
        <v>0</v>
      </c>
      <c r="J266" s="3">
        <f>ProjectInput[[#This Row],[Energy Cost Savings ($)]]</f>
        <v>0</v>
      </c>
      <c r="K266" s="3">
        <f>ProjectInput[[#This Row],[Incentive ($)]]</f>
        <v>0</v>
      </c>
      <c r="L266" s="13">
        <f t="shared" si="4"/>
        <v>0</v>
      </c>
      <c r="M266" s="3"/>
      <c r="N266" s="3"/>
      <c r="O266" s="3"/>
      <c r="P266" s="3"/>
      <c r="Q266" s="3"/>
      <c r="R266" s="3"/>
      <c r="S266" s="3"/>
      <c r="T266" s="2"/>
      <c r="U266" s="133">
        <f>ProjectInput[[#This Row],[Location]]</f>
        <v>0</v>
      </c>
      <c r="V266" s="278">
        <f>ProjectInput[[#This Row],[Existing Fixture Code]]</f>
        <v>0</v>
      </c>
      <c r="W266"/>
      <c r="X266"/>
      <c r="Y266"/>
      <c r="Z266"/>
      <c r="AA266"/>
      <c r="AB266"/>
      <c r="AC266"/>
      <c r="AD266"/>
      <c r="AE266"/>
      <c r="AF266"/>
      <c r="AG266"/>
      <c r="AH266"/>
      <c r="AI266"/>
      <c r="AJ266"/>
      <c r="AK266"/>
      <c r="AL266"/>
      <c r="AM266"/>
      <c r="AN266"/>
      <c r="AO266"/>
    </row>
    <row r="267" spans="1:41" ht="15" customHeight="1">
      <c r="A267" s="2">
        <v>264</v>
      </c>
      <c r="B267" s="2"/>
      <c r="C267" s="3">
        <f>ProjectInput[[#This Row],[Retrofit Cost]]</f>
        <v>0</v>
      </c>
      <c r="D267" s="2">
        <f>ProjectInput[[#This Row],[Proposed Fixture Quantity]]</f>
        <v>0</v>
      </c>
      <c r="E267" s="2" t="str">
        <f>CONCATENATE("Replace ", ReviewCalcs[[#This Row],[Existing Fixture Code]], " with ", ReviewCalcs[[#This Row],[Proposed Fixture Code]])</f>
        <v>Replace 0 with 0</v>
      </c>
      <c r="F267" s="2">
        <f>ReviewCalcs[[#This Row],[Measure Type]]</f>
        <v>0</v>
      </c>
      <c r="G267" s="2" t="str">
        <f>IF(Instructions!$F$25="Post-Retrofit","Completed","Recommended")</f>
        <v>Recommended</v>
      </c>
      <c r="H267" s="4">
        <f>ReviewCalcs[[#This Row],[Incentive Total Energy Savings (kWh)]]</f>
        <v>0</v>
      </c>
      <c r="I267" s="2">
        <f>ReviewCalcs[[#This Row],[Incentive Total Demand Savings (kW)]]</f>
        <v>0</v>
      </c>
      <c r="J267" s="3">
        <f>ProjectInput[[#This Row],[Energy Cost Savings ($)]]</f>
        <v>0</v>
      </c>
      <c r="K267" s="3">
        <f>ProjectInput[[#This Row],[Incentive ($)]]</f>
        <v>0</v>
      </c>
      <c r="L267" s="13">
        <f t="shared" si="4"/>
        <v>0</v>
      </c>
      <c r="M267" s="3"/>
      <c r="N267" s="3"/>
      <c r="O267" s="3"/>
      <c r="P267" s="3"/>
      <c r="Q267" s="3"/>
      <c r="R267" s="3"/>
      <c r="S267" s="3"/>
      <c r="T267" s="2"/>
      <c r="U267" s="133">
        <f>ProjectInput[[#This Row],[Location]]</f>
        <v>0</v>
      </c>
      <c r="V267" s="278">
        <f>ProjectInput[[#This Row],[Existing Fixture Code]]</f>
        <v>0</v>
      </c>
      <c r="W267"/>
      <c r="X267"/>
      <c r="Y267"/>
      <c r="Z267"/>
      <c r="AA267"/>
      <c r="AB267"/>
      <c r="AC267"/>
      <c r="AD267"/>
      <c r="AE267"/>
      <c r="AF267"/>
      <c r="AG267"/>
      <c r="AH267"/>
      <c r="AI267"/>
      <c r="AJ267"/>
      <c r="AK267"/>
      <c r="AL267"/>
      <c r="AM267"/>
      <c r="AN267"/>
      <c r="AO267"/>
    </row>
    <row r="268" spans="1:41" ht="15" customHeight="1">
      <c r="A268" s="2">
        <v>265</v>
      </c>
      <c r="B268" s="2"/>
      <c r="C268" s="3">
        <f>ProjectInput[[#This Row],[Retrofit Cost]]</f>
        <v>0</v>
      </c>
      <c r="D268" s="2">
        <f>ProjectInput[[#This Row],[Proposed Fixture Quantity]]</f>
        <v>0</v>
      </c>
      <c r="E268" s="2" t="str">
        <f>CONCATENATE("Replace ", ReviewCalcs[[#This Row],[Existing Fixture Code]], " with ", ReviewCalcs[[#This Row],[Proposed Fixture Code]])</f>
        <v>Replace 0 with 0</v>
      </c>
      <c r="F268" s="2">
        <f>ReviewCalcs[[#This Row],[Measure Type]]</f>
        <v>0</v>
      </c>
      <c r="G268" s="2" t="str">
        <f>IF(Instructions!$F$25="Post-Retrofit","Completed","Recommended")</f>
        <v>Recommended</v>
      </c>
      <c r="H268" s="4">
        <f>ReviewCalcs[[#This Row],[Incentive Total Energy Savings (kWh)]]</f>
        <v>0</v>
      </c>
      <c r="I268" s="2">
        <f>ReviewCalcs[[#This Row],[Incentive Total Demand Savings (kW)]]</f>
        <v>0</v>
      </c>
      <c r="J268" s="3">
        <f>ProjectInput[[#This Row],[Energy Cost Savings ($)]]</f>
        <v>0</v>
      </c>
      <c r="K268" s="3">
        <f>ProjectInput[[#This Row],[Incentive ($)]]</f>
        <v>0</v>
      </c>
      <c r="L268" s="13">
        <f t="shared" si="4"/>
        <v>0</v>
      </c>
      <c r="M268" s="3"/>
      <c r="N268" s="3"/>
      <c r="O268" s="3"/>
      <c r="P268" s="3"/>
      <c r="Q268" s="3"/>
      <c r="R268" s="3"/>
      <c r="S268" s="3"/>
      <c r="T268" s="2"/>
      <c r="U268" s="133">
        <f>ProjectInput[[#This Row],[Location]]</f>
        <v>0</v>
      </c>
      <c r="V268" s="278">
        <f>ProjectInput[[#This Row],[Existing Fixture Code]]</f>
        <v>0</v>
      </c>
      <c r="W268"/>
      <c r="X268"/>
      <c r="Y268"/>
      <c r="Z268"/>
      <c r="AA268"/>
      <c r="AB268"/>
      <c r="AC268"/>
      <c r="AD268"/>
      <c r="AE268"/>
      <c r="AF268"/>
      <c r="AG268"/>
      <c r="AH268"/>
      <c r="AI268"/>
      <c r="AJ268"/>
      <c r="AK268"/>
      <c r="AL268"/>
      <c r="AM268"/>
      <c r="AN268"/>
      <c r="AO268"/>
    </row>
    <row r="269" spans="1:41" ht="15" customHeight="1">
      <c r="A269" s="2">
        <v>266</v>
      </c>
      <c r="B269" s="2"/>
      <c r="C269" s="3">
        <f>ProjectInput[[#This Row],[Retrofit Cost]]</f>
        <v>0</v>
      </c>
      <c r="D269" s="2">
        <f>ProjectInput[[#This Row],[Proposed Fixture Quantity]]</f>
        <v>0</v>
      </c>
      <c r="E269" s="2" t="str">
        <f>CONCATENATE("Replace ", ReviewCalcs[[#This Row],[Existing Fixture Code]], " with ", ReviewCalcs[[#This Row],[Proposed Fixture Code]])</f>
        <v>Replace 0 with 0</v>
      </c>
      <c r="F269" s="2">
        <f>ReviewCalcs[[#This Row],[Measure Type]]</f>
        <v>0</v>
      </c>
      <c r="G269" s="2" t="str">
        <f>IF(Instructions!$F$25="Post-Retrofit","Completed","Recommended")</f>
        <v>Recommended</v>
      </c>
      <c r="H269" s="4">
        <f>ReviewCalcs[[#This Row],[Incentive Total Energy Savings (kWh)]]</f>
        <v>0</v>
      </c>
      <c r="I269" s="2">
        <f>ReviewCalcs[[#This Row],[Incentive Total Demand Savings (kW)]]</f>
        <v>0</v>
      </c>
      <c r="J269" s="3">
        <f>ProjectInput[[#This Row],[Energy Cost Savings ($)]]</f>
        <v>0</v>
      </c>
      <c r="K269" s="3">
        <f>ProjectInput[[#This Row],[Incentive ($)]]</f>
        <v>0</v>
      </c>
      <c r="L269" s="13">
        <f t="shared" si="4"/>
        <v>0</v>
      </c>
      <c r="M269" s="3"/>
      <c r="N269" s="3"/>
      <c r="O269" s="3"/>
      <c r="P269" s="3"/>
      <c r="Q269" s="3"/>
      <c r="R269" s="3"/>
      <c r="S269" s="3"/>
      <c r="T269" s="2"/>
      <c r="U269" s="133">
        <f>ProjectInput[[#This Row],[Location]]</f>
        <v>0</v>
      </c>
      <c r="V269" s="278">
        <f>ProjectInput[[#This Row],[Existing Fixture Code]]</f>
        <v>0</v>
      </c>
      <c r="W269"/>
      <c r="X269"/>
      <c r="Y269"/>
      <c r="Z269"/>
      <c r="AA269"/>
      <c r="AB269"/>
      <c r="AC269"/>
      <c r="AD269"/>
      <c r="AE269"/>
      <c r="AF269"/>
      <c r="AG269"/>
      <c r="AH269"/>
      <c r="AI269"/>
      <c r="AJ269"/>
      <c r="AK269"/>
      <c r="AL269"/>
      <c r="AM269"/>
      <c r="AN269"/>
      <c r="AO269"/>
    </row>
    <row r="270" spans="1:41" ht="15" customHeight="1">
      <c r="A270" s="2">
        <v>267</v>
      </c>
      <c r="B270" s="2"/>
      <c r="C270" s="3">
        <f>ProjectInput[[#This Row],[Retrofit Cost]]</f>
        <v>0</v>
      </c>
      <c r="D270" s="2">
        <f>ProjectInput[[#This Row],[Proposed Fixture Quantity]]</f>
        <v>0</v>
      </c>
      <c r="E270" s="2" t="str">
        <f>CONCATENATE("Replace ", ReviewCalcs[[#This Row],[Existing Fixture Code]], " with ", ReviewCalcs[[#This Row],[Proposed Fixture Code]])</f>
        <v>Replace 0 with 0</v>
      </c>
      <c r="F270" s="2">
        <f>ReviewCalcs[[#This Row],[Measure Type]]</f>
        <v>0</v>
      </c>
      <c r="G270" s="2" t="str">
        <f>IF(Instructions!$F$25="Post-Retrofit","Completed","Recommended")</f>
        <v>Recommended</v>
      </c>
      <c r="H270" s="4">
        <f>ReviewCalcs[[#This Row],[Incentive Total Energy Savings (kWh)]]</f>
        <v>0</v>
      </c>
      <c r="I270" s="2">
        <f>ReviewCalcs[[#This Row],[Incentive Total Demand Savings (kW)]]</f>
        <v>0</v>
      </c>
      <c r="J270" s="3">
        <f>ProjectInput[[#This Row],[Energy Cost Savings ($)]]</f>
        <v>0</v>
      </c>
      <c r="K270" s="3">
        <f>ProjectInput[[#This Row],[Incentive ($)]]</f>
        <v>0</v>
      </c>
      <c r="L270" s="13">
        <f t="shared" si="4"/>
        <v>0</v>
      </c>
      <c r="M270" s="3"/>
      <c r="N270" s="3"/>
      <c r="O270" s="3"/>
      <c r="P270" s="3"/>
      <c r="Q270" s="3"/>
      <c r="R270" s="3"/>
      <c r="S270" s="3"/>
      <c r="T270" s="2"/>
      <c r="U270" s="133">
        <f>ProjectInput[[#This Row],[Location]]</f>
        <v>0</v>
      </c>
      <c r="V270" s="278">
        <f>ProjectInput[[#This Row],[Existing Fixture Code]]</f>
        <v>0</v>
      </c>
      <c r="W270"/>
      <c r="X270"/>
      <c r="Y270"/>
      <c r="Z270"/>
      <c r="AA270"/>
      <c r="AB270"/>
      <c r="AC270"/>
      <c r="AD270"/>
      <c r="AE270"/>
      <c r="AF270"/>
      <c r="AG270"/>
      <c r="AH270"/>
      <c r="AI270"/>
      <c r="AJ270"/>
      <c r="AK270"/>
      <c r="AL270"/>
      <c r="AM270"/>
      <c r="AN270"/>
      <c r="AO270"/>
    </row>
    <row r="271" spans="1:41" ht="15" customHeight="1">
      <c r="A271" s="2">
        <v>268</v>
      </c>
      <c r="B271" s="2"/>
      <c r="C271" s="3">
        <f>ProjectInput[[#This Row],[Retrofit Cost]]</f>
        <v>0</v>
      </c>
      <c r="D271" s="2">
        <f>ProjectInput[[#This Row],[Proposed Fixture Quantity]]</f>
        <v>0</v>
      </c>
      <c r="E271" s="2" t="str">
        <f>CONCATENATE("Replace ", ReviewCalcs[[#This Row],[Existing Fixture Code]], " with ", ReviewCalcs[[#This Row],[Proposed Fixture Code]])</f>
        <v>Replace 0 with 0</v>
      </c>
      <c r="F271" s="2">
        <f>ReviewCalcs[[#This Row],[Measure Type]]</f>
        <v>0</v>
      </c>
      <c r="G271" s="2" t="str">
        <f>IF(Instructions!$F$25="Post-Retrofit","Completed","Recommended")</f>
        <v>Recommended</v>
      </c>
      <c r="H271" s="4">
        <f>ReviewCalcs[[#This Row],[Incentive Total Energy Savings (kWh)]]</f>
        <v>0</v>
      </c>
      <c r="I271" s="2">
        <f>ReviewCalcs[[#This Row],[Incentive Total Demand Savings (kW)]]</f>
        <v>0</v>
      </c>
      <c r="J271" s="3">
        <f>ProjectInput[[#This Row],[Energy Cost Savings ($)]]</f>
        <v>0</v>
      </c>
      <c r="K271" s="3">
        <f>ProjectInput[[#This Row],[Incentive ($)]]</f>
        <v>0</v>
      </c>
      <c r="L271" s="13">
        <f t="shared" si="4"/>
        <v>0</v>
      </c>
      <c r="M271" s="3"/>
      <c r="N271" s="3"/>
      <c r="O271" s="3"/>
      <c r="P271" s="3"/>
      <c r="Q271" s="3"/>
      <c r="R271" s="3"/>
      <c r="S271" s="3"/>
      <c r="T271" s="2"/>
      <c r="U271" s="133">
        <f>ProjectInput[[#This Row],[Location]]</f>
        <v>0</v>
      </c>
      <c r="V271" s="278">
        <f>ProjectInput[[#This Row],[Existing Fixture Code]]</f>
        <v>0</v>
      </c>
      <c r="W271"/>
      <c r="X271"/>
      <c r="Y271"/>
      <c r="Z271"/>
      <c r="AA271"/>
      <c r="AB271"/>
      <c r="AC271"/>
      <c r="AD271"/>
      <c r="AE271"/>
      <c r="AF271"/>
      <c r="AG271"/>
      <c r="AH271"/>
      <c r="AI271"/>
      <c r="AJ271"/>
      <c r="AK271"/>
      <c r="AL271"/>
      <c r="AM271"/>
      <c r="AN271"/>
      <c r="AO271"/>
    </row>
    <row r="272" spans="1:41" ht="15" customHeight="1">
      <c r="A272" s="2">
        <v>269</v>
      </c>
      <c r="B272" s="2"/>
      <c r="C272" s="3">
        <f>ProjectInput[[#This Row],[Retrofit Cost]]</f>
        <v>0</v>
      </c>
      <c r="D272" s="2">
        <f>ProjectInput[[#This Row],[Proposed Fixture Quantity]]</f>
        <v>0</v>
      </c>
      <c r="E272" s="2" t="str">
        <f>CONCATENATE("Replace ", ReviewCalcs[[#This Row],[Existing Fixture Code]], " with ", ReviewCalcs[[#This Row],[Proposed Fixture Code]])</f>
        <v>Replace 0 with 0</v>
      </c>
      <c r="F272" s="2">
        <f>ReviewCalcs[[#This Row],[Measure Type]]</f>
        <v>0</v>
      </c>
      <c r="G272" s="2" t="str">
        <f>IF(Instructions!$F$25="Post-Retrofit","Completed","Recommended")</f>
        <v>Recommended</v>
      </c>
      <c r="H272" s="4">
        <f>ReviewCalcs[[#This Row],[Incentive Total Energy Savings (kWh)]]</f>
        <v>0</v>
      </c>
      <c r="I272" s="2">
        <f>ReviewCalcs[[#This Row],[Incentive Total Demand Savings (kW)]]</f>
        <v>0</v>
      </c>
      <c r="J272" s="3">
        <f>ProjectInput[[#This Row],[Energy Cost Savings ($)]]</f>
        <v>0</v>
      </c>
      <c r="K272" s="3">
        <f>ProjectInput[[#This Row],[Incentive ($)]]</f>
        <v>0</v>
      </c>
      <c r="L272" s="13">
        <f t="shared" si="4"/>
        <v>0</v>
      </c>
      <c r="M272" s="3"/>
      <c r="N272" s="3"/>
      <c r="O272" s="3"/>
      <c r="P272" s="3"/>
      <c r="Q272" s="3"/>
      <c r="R272" s="3"/>
      <c r="S272" s="3"/>
      <c r="T272" s="2"/>
      <c r="U272" s="133">
        <f>ProjectInput[[#This Row],[Location]]</f>
        <v>0</v>
      </c>
      <c r="V272" s="278">
        <f>ProjectInput[[#This Row],[Existing Fixture Code]]</f>
        <v>0</v>
      </c>
      <c r="W272"/>
      <c r="X272"/>
      <c r="Y272"/>
      <c r="Z272"/>
      <c r="AA272"/>
      <c r="AB272"/>
      <c r="AC272"/>
      <c r="AD272"/>
      <c r="AE272"/>
      <c r="AF272"/>
      <c r="AG272"/>
      <c r="AH272"/>
      <c r="AI272"/>
      <c r="AJ272"/>
      <c r="AK272"/>
      <c r="AL272"/>
      <c r="AM272"/>
      <c r="AN272"/>
      <c r="AO272"/>
    </row>
    <row r="273" spans="1:41" ht="15" customHeight="1">
      <c r="A273" s="2">
        <v>270</v>
      </c>
      <c r="B273" s="2"/>
      <c r="C273" s="3">
        <f>ProjectInput[[#This Row],[Retrofit Cost]]</f>
        <v>0</v>
      </c>
      <c r="D273" s="2">
        <f>ProjectInput[[#This Row],[Proposed Fixture Quantity]]</f>
        <v>0</v>
      </c>
      <c r="E273" s="2" t="str">
        <f>CONCATENATE("Replace ", ReviewCalcs[[#This Row],[Existing Fixture Code]], " with ", ReviewCalcs[[#This Row],[Proposed Fixture Code]])</f>
        <v>Replace 0 with 0</v>
      </c>
      <c r="F273" s="2">
        <f>ReviewCalcs[[#This Row],[Measure Type]]</f>
        <v>0</v>
      </c>
      <c r="G273" s="2" t="str">
        <f>IF(Instructions!$F$25="Post-Retrofit","Completed","Recommended")</f>
        <v>Recommended</v>
      </c>
      <c r="H273" s="4">
        <f>ReviewCalcs[[#This Row],[Incentive Total Energy Savings (kWh)]]</f>
        <v>0</v>
      </c>
      <c r="I273" s="2">
        <f>ReviewCalcs[[#This Row],[Incentive Total Demand Savings (kW)]]</f>
        <v>0</v>
      </c>
      <c r="J273" s="3">
        <f>ProjectInput[[#This Row],[Energy Cost Savings ($)]]</f>
        <v>0</v>
      </c>
      <c r="K273" s="3">
        <f>ProjectInput[[#This Row],[Incentive ($)]]</f>
        <v>0</v>
      </c>
      <c r="L273" s="13">
        <f t="shared" si="4"/>
        <v>0</v>
      </c>
      <c r="M273" s="3"/>
      <c r="N273" s="3"/>
      <c r="O273" s="3"/>
      <c r="P273" s="3"/>
      <c r="Q273" s="3"/>
      <c r="R273" s="3"/>
      <c r="S273" s="3"/>
      <c r="T273" s="2"/>
      <c r="U273" s="133">
        <f>ProjectInput[[#This Row],[Location]]</f>
        <v>0</v>
      </c>
      <c r="V273" s="278">
        <f>ProjectInput[[#This Row],[Existing Fixture Code]]</f>
        <v>0</v>
      </c>
      <c r="W273"/>
      <c r="X273"/>
      <c r="Y273"/>
      <c r="Z273"/>
      <c r="AA273"/>
      <c r="AB273"/>
      <c r="AC273"/>
      <c r="AD273"/>
      <c r="AE273"/>
      <c r="AF273"/>
      <c r="AG273"/>
      <c r="AH273"/>
      <c r="AI273"/>
      <c r="AJ273"/>
      <c r="AK273"/>
      <c r="AL273"/>
      <c r="AM273"/>
      <c r="AN273"/>
      <c r="AO273"/>
    </row>
    <row r="274" spans="1:41" ht="15" customHeight="1">
      <c r="A274" s="2">
        <v>271</v>
      </c>
      <c r="B274" s="2"/>
      <c r="C274" s="3">
        <f>ProjectInput[[#This Row],[Retrofit Cost]]</f>
        <v>0</v>
      </c>
      <c r="D274" s="2">
        <f>ProjectInput[[#This Row],[Proposed Fixture Quantity]]</f>
        <v>0</v>
      </c>
      <c r="E274" s="2" t="str">
        <f>CONCATENATE("Replace ", ReviewCalcs[[#This Row],[Existing Fixture Code]], " with ", ReviewCalcs[[#This Row],[Proposed Fixture Code]])</f>
        <v>Replace 0 with 0</v>
      </c>
      <c r="F274" s="2">
        <f>ReviewCalcs[[#This Row],[Measure Type]]</f>
        <v>0</v>
      </c>
      <c r="G274" s="2" t="str">
        <f>IF(Instructions!$F$25="Post-Retrofit","Completed","Recommended")</f>
        <v>Recommended</v>
      </c>
      <c r="H274" s="4">
        <f>ReviewCalcs[[#This Row],[Incentive Total Energy Savings (kWh)]]</f>
        <v>0</v>
      </c>
      <c r="I274" s="2">
        <f>ReviewCalcs[[#This Row],[Incentive Total Demand Savings (kW)]]</f>
        <v>0</v>
      </c>
      <c r="J274" s="3">
        <f>ProjectInput[[#This Row],[Energy Cost Savings ($)]]</f>
        <v>0</v>
      </c>
      <c r="K274" s="3">
        <f>ProjectInput[[#This Row],[Incentive ($)]]</f>
        <v>0</v>
      </c>
      <c r="L274" s="13">
        <f t="shared" si="4"/>
        <v>0</v>
      </c>
      <c r="M274" s="3"/>
      <c r="N274" s="3"/>
      <c r="O274" s="3"/>
      <c r="P274" s="3"/>
      <c r="Q274" s="3"/>
      <c r="R274" s="3"/>
      <c r="S274" s="3"/>
      <c r="T274" s="2"/>
      <c r="U274" s="133">
        <f>ProjectInput[[#This Row],[Location]]</f>
        <v>0</v>
      </c>
      <c r="V274" s="278">
        <f>ProjectInput[[#This Row],[Existing Fixture Code]]</f>
        <v>0</v>
      </c>
      <c r="W274"/>
      <c r="X274"/>
      <c r="Y274"/>
      <c r="Z274"/>
      <c r="AA274"/>
      <c r="AB274"/>
      <c r="AC274"/>
      <c r="AD274"/>
      <c r="AE274"/>
      <c r="AF274"/>
      <c r="AG274"/>
      <c r="AH274"/>
      <c r="AI274"/>
      <c r="AJ274"/>
      <c r="AK274"/>
      <c r="AL274"/>
      <c r="AM274"/>
      <c r="AN274"/>
      <c r="AO274"/>
    </row>
    <row r="275" spans="1:41" ht="15" customHeight="1">
      <c r="A275" s="2">
        <v>272</v>
      </c>
      <c r="B275" s="2"/>
      <c r="C275" s="3">
        <f>ProjectInput[[#This Row],[Retrofit Cost]]</f>
        <v>0</v>
      </c>
      <c r="D275" s="2">
        <f>ProjectInput[[#This Row],[Proposed Fixture Quantity]]</f>
        <v>0</v>
      </c>
      <c r="E275" s="2" t="str">
        <f>CONCATENATE("Replace ", ReviewCalcs[[#This Row],[Existing Fixture Code]], " with ", ReviewCalcs[[#This Row],[Proposed Fixture Code]])</f>
        <v>Replace 0 with 0</v>
      </c>
      <c r="F275" s="2">
        <f>ReviewCalcs[[#This Row],[Measure Type]]</f>
        <v>0</v>
      </c>
      <c r="G275" s="2" t="str">
        <f>IF(Instructions!$F$25="Post-Retrofit","Completed","Recommended")</f>
        <v>Recommended</v>
      </c>
      <c r="H275" s="4">
        <f>ReviewCalcs[[#This Row],[Incentive Total Energy Savings (kWh)]]</f>
        <v>0</v>
      </c>
      <c r="I275" s="2">
        <f>ReviewCalcs[[#This Row],[Incentive Total Demand Savings (kW)]]</f>
        <v>0</v>
      </c>
      <c r="J275" s="3">
        <f>ProjectInput[[#This Row],[Energy Cost Savings ($)]]</f>
        <v>0</v>
      </c>
      <c r="K275" s="3">
        <f>ProjectInput[[#This Row],[Incentive ($)]]</f>
        <v>0</v>
      </c>
      <c r="L275" s="13">
        <f t="shared" si="4"/>
        <v>0</v>
      </c>
      <c r="M275" s="3"/>
      <c r="N275" s="3"/>
      <c r="O275" s="3"/>
      <c r="P275" s="3"/>
      <c r="Q275" s="3"/>
      <c r="R275" s="3"/>
      <c r="S275" s="3"/>
      <c r="T275" s="2"/>
      <c r="U275" s="133">
        <f>ProjectInput[[#This Row],[Location]]</f>
        <v>0</v>
      </c>
      <c r="V275" s="278">
        <f>ProjectInput[[#This Row],[Existing Fixture Code]]</f>
        <v>0</v>
      </c>
      <c r="W275"/>
      <c r="X275"/>
      <c r="Y275"/>
      <c r="Z275"/>
      <c r="AA275"/>
      <c r="AB275"/>
      <c r="AC275"/>
      <c r="AD275"/>
      <c r="AE275"/>
      <c r="AF275"/>
      <c r="AG275"/>
      <c r="AH275"/>
      <c r="AI275"/>
      <c r="AJ275"/>
      <c r="AK275"/>
      <c r="AL275"/>
      <c r="AM275"/>
      <c r="AN275"/>
      <c r="AO275"/>
    </row>
    <row r="276" spans="1:41" ht="15" customHeight="1">
      <c r="A276" s="2">
        <v>273</v>
      </c>
      <c r="B276" s="2"/>
      <c r="C276" s="3">
        <f>ProjectInput[[#This Row],[Retrofit Cost]]</f>
        <v>0</v>
      </c>
      <c r="D276" s="2">
        <f>ProjectInput[[#This Row],[Proposed Fixture Quantity]]</f>
        <v>0</v>
      </c>
      <c r="E276" s="2" t="str">
        <f>CONCATENATE("Replace ", ReviewCalcs[[#This Row],[Existing Fixture Code]], " with ", ReviewCalcs[[#This Row],[Proposed Fixture Code]])</f>
        <v>Replace 0 with 0</v>
      </c>
      <c r="F276" s="2">
        <f>ReviewCalcs[[#This Row],[Measure Type]]</f>
        <v>0</v>
      </c>
      <c r="G276" s="2" t="str">
        <f>IF(Instructions!$F$25="Post-Retrofit","Completed","Recommended")</f>
        <v>Recommended</v>
      </c>
      <c r="H276" s="4">
        <f>ReviewCalcs[[#This Row],[Incentive Total Energy Savings (kWh)]]</f>
        <v>0</v>
      </c>
      <c r="I276" s="2">
        <f>ReviewCalcs[[#This Row],[Incentive Total Demand Savings (kW)]]</f>
        <v>0</v>
      </c>
      <c r="J276" s="3">
        <f>ProjectInput[[#This Row],[Energy Cost Savings ($)]]</f>
        <v>0</v>
      </c>
      <c r="K276" s="3">
        <f>ProjectInput[[#This Row],[Incentive ($)]]</f>
        <v>0</v>
      </c>
      <c r="L276" s="13">
        <f t="shared" si="4"/>
        <v>0</v>
      </c>
      <c r="M276" s="3"/>
      <c r="N276" s="3"/>
      <c r="O276" s="3"/>
      <c r="P276" s="3"/>
      <c r="Q276" s="3"/>
      <c r="R276" s="3"/>
      <c r="S276" s="3"/>
      <c r="T276" s="2"/>
      <c r="U276" s="133">
        <f>ProjectInput[[#This Row],[Location]]</f>
        <v>0</v>
      </c>
      <c r="V276" s="278">
        <f>ProjectInput[[#This Row],[Existing Fixture Code]]</f>
        <v>0</v>
      </c>
      <c r="W276"/>
      <c r="X276"/>
      <c r="Y276"/>
      <c r="Z276"/>
      <c r="AA276"/>
      <c r="AB276"/>
      <c r="AC276"/>
      <c r="AD276"/>
      <c r="AE276"/>
      <c r="AF276"/>
      <c r="AG276"/>
      <c r="AH276"/>
      <c r="AI276"/>
      <c r="AJ276"/>
      <c r="AK276"/>
      <c r="AL276"/>
      <c r="AM276"/>
      <c r="AN276"/>
      <c r="AO276"/>
    </row>
    <row r="277" spans="1:41" ht="15" customHeight="1">
      <c r="A277" s="2">
        <v>274</v>
      </c>
      <c r="B277" s="2"/>
      <c r="C277" s="3">
        <f>ProjectInput[[#This Row],[Retrofit Cost]]</f>
        <v>0</v>
      </c>
      <c r="D277" s="2">
        <f>ProjectInput[[#This Row],[Proposed Fixture Quantity]]</f>
        <v>0</v>
      </c>
      <c r="E277" s="2" t="str">
        <f>CONCATENATE("Replace ", ReviewCalcs[[#This Row],[Existing Fixture Code]], " with ", ReviewCalcs[[#This Row],[Proposed Fixture Code]])</f>
        <v>Replace 0 with 0</v>
      </c>
      <c r="F277" s="2">
        <f>ReviewCalcs[[#This Row],[Measure Type]]</f>
        <v>0</v>
      </c>
      <c r="G277" s="2" t="str">
        <f>IF(Instructions!$F$25="Post-Retrofit","Completed","Recommended")</f>
        <v>Recommended</v>
      </c>
      <c r="H277" s="4">
        <f>ReviewCalcs[[#This Row],[Incentive Total Energy Savings (kWh)]]</f>
        <v>0</v>
      </c>
      <c r="I277" s="2">
        <f>ReviewCalcs[[#This Row],[Incentive Total Demand Savings (kW)]]</f>
        <v>0</v>
      </c>
      <c r="J277" s="3">
        <f>ProjectInput[[#This Row],[Energy Cost Savings ($)]]</f>
        <v>0</v>
      </c>
      <c r="K277" s="3">
        <f>ProjectInput[[#This Row],[Incentive ($)]]</f>
        <v>0</v>
      </c>
      <c r="L277" s="13">
        <f t="shared" si="4"/>
        <v>0</v>
      </c>
      <c r="M277" s="3"/>
      <c r="N277" s="3"/>
      <c r="O277" s="3"/>
      <c r="P277" s="3"/>
      <c r="Q277" s="3"/>
      <c r="R277" s="3"/>
      <c r="S277" s="3"/>
      <c r="T277" s="2"/>
      <c r="U277" s="133">
        <f>ProjectInput[[#This Row],[Location]]</f>
        <v>0</v>
      </c>
      <c r="V277" s="278">
        <f>ProjectInput[[#This Row],[Existing Fixture Code]]</f>
        <v>0</v>
      </c>
      <c r="W277"/>
      <c r="X277"/>
      <c r="Y277"/>
      <c r="Z277"/>
      <c r="AA277"/>
      <c r="AB277"/>
      <c r="AC277"/>
      <c r="AD277"/>
      <c r="AE277"/>
      <c r="AF277"/>
      <c r="AG277"/>
      <c r="AH277"/>
      <c r="AI277"/>
      <c r="AJ277"/>
      <c r="AK277"/>
      <c r="AL277"/>
      <c r="AM277"/>
      <c r="AN277"/>
      <c r="AO277"/>
    </row>
    <row r="278" spans="1:41" ht="15" customHeight="1">
      <c r="A278" s="2">
        <v>275</v>
      </c>
      <c r="B278" s="2"/>
      <c r="C278" s="3">
        <f>ProjectInput[[#This Row],[Retrofit Cost]]</f>
        <v>0</v>
      </c>
      <c r="D278" s="2">
        <f>ProjectInput[[#This Row],[Proposed Fixture Quantity]]</f>
        <v>0</v>
      </c>
      <c r="E278" s="2" t="str">
        <f>CONCATENATE("Replace ", ReviewCalcs[[#This Row],[Existing Fixture Code]], " with ", ReviewCalcs[[#This Row],[Proposed Fixture Code]])</f>
        <v>Replace 0 with 0</v>
      </c>
      <c r="F278" s="2">
        <f>ReviewCalcs[[#This Row],[Measure Type]]</f>
        <v>0</v>
      </c>
      <c r="G278" s="2" t="str">
        <f>IF(Instructions!$F$25="Post-Retrofit","Completed","Recommended")</f>
        <v>Recommended</v>
      </c>
      <c r="H278" s="4">
        <f>ReviewCalcs[[#This Row],[Incentive Total Energy Savings (kWh)]]</f>
        <v>0</v>
      </c>
      <c r="I278" s="2">
        <f>ReviewCalcs[[#This Row],[Incentive Total Demand Savings (kW)]]</f>
        <v>0</v>
      </c>
      <c r="J278" s="3">
        <f>ProjectInput[[#This Row],[Energy Cost Savings ($)]]</f>
        <v>0</v>
      </c>
      <c r="K278" s="3">
        <f>ProjectInput[[#This Row],[Incentive ($)]]</f>
        <v>0</v>
      </c>
      <c r="L278" s="13">
        <f t="shared" si="4"/>
        <v>0</v>
      </c>
      <c r="M278" s="3"/>
      <c r="N278" s="3"/>
      <c r="O278" s="3"/>
      <c r="P278" s="3"/>
      <c r="Q278" s="3"/>
      <c r="R278" s="3"/>
      <c r="S278" s="3"/>
      <c r="T278" s="2"/>
      <c r="U278" s="133">
        <f>ProjectInput[[#This Row],[Location]]</f>
        <v>0</v>
      </c>
      <c r="V278" s="278">
        <f>ProjectInput[[#This Row],[Existing Fixture Code]]</f>
        <v>0</v>
      </c>
      <c r="W278"/>
      <c r="X278"/>
      <c r="Y278"/>
      <c r="Z278"/>
      <c r="AA278"/>
      <c r="AB278"/>
      <c r="AC278"/>
      <c r="AD278"/>
      <c r="AE278"/>
      <c r="AF278"/>
      <c r="AG278"/>
      <c r="AH278"/>
      <c r="AI278"/>
      <c r="AJ278"/>
      <c r="AK278"/>
      <c r="AL278"/>
      <c r="AM278"/>
      <c r="AN278"/>
      <c r="AO278"/>
    </row>
    <row r="279" spans="1:41" ht="15" customHeight="1">
      <c r="A279" s="2">
        <v>276</v>
      </c>
      <c r="B279" s="2"/>
      <c r="C279" s="3">
        <f>ProjectInput[[#This Row],[Retrofit Cost]]</f>
        <v>0</v>
      </c>
      <c r="D279" s="2">
        <f>ProjectInput[[#This Row],[Proposed Fixture Quantity]]</f>
        <v>0</v>
      </c>
      <c r="E279" s="2" t="str">
        <f>CONCATENATE("Replace ", ReviewCalcs[[#This Row],[Existing Fixture Code]], " with ", ReviewCalcs[[#This Row],[Proposed Fixture Code]])</f>
        <v>Replace 0 with 0</v>
      </c>
      <c r="F279" s="2">
        <f>ReviewCalcs[[#This Row],[Measure Type]]</f>
        <v>0</v>
      </c>
      <c r="G279" s="2" t="str">
        <f>IF(Instructions!$F$25="Post-Retrofit","Completed","Recommended")</f>
        <v>Recommended</v>
      </c>
      <c r="H279" s="4">
        <f>ReviewCalcs[[#This Row],[Incentive Total Energy Savings (kWh)]]</f>
        <v>0</v>
      </c>
      <c r="I279" s="2">
        <f>ReviewCalcs[[#This Row],[Incentive Total Demand Savings (kW)]]</f>
        <v>0</v>
      </c>
      <c r="J279" s="3">
        <f>ProjectInput[[#This Row],[Energy Cost Savings ($)]]</f>
        <v>0</v>
      </c>
      <c r="K279" s="3">
        <f>ProjectInput[[#This Row],[Incentive ($)]]</f>
        <v>0</v>
      </c>
      <c r="L279" s="13">
        <f t="shared" si="4"/>
        <v>0</v>
      </c>
      <c r="M279" s="3"/>
      <c r="N279" s="3"/>
      <c r="O279" s="3"/>
      <c r="P279" s="3"/>
      <c r="Q279" s="3"/>
      <c r="R279" s="3"/>
      <c r="S279" s="3"/>
      <c r="T279" s="2"/>
      <c r="U279" s="133">
        <f>ProjectInput[[#This Row],[Location]]</f>
        <v>0</v>
      </c>
      <c r="V279" s="278">
        <f>ProjectInput[[#This Row],[Existing Fixture Code]]</f>
        <v>0</v>
      </c>
      <c r="W279"/>
      <c r="X279"/>
      <c r="Y279"/>
      <c r="Z279"/>
      <c r="AA279"/>
      <c r="AB279"/>
      <c r="AC279"/>
      <c r="AD279"/>
      <c r="AE279"/>
      <c r="AF279"/>
      <c r="AG279"/>
      <c r="AH279"/>
      <c r="AI279"/>
      <c r="AJ279"/>
      <c r="AK279"/>
      <c r="AL279"/>
      <c r="AM279"/>
      <c r="AN279"/>
      <c r="AO279"/>
    </row>
    <row r="280" spans="1:41" ht="15" customHeight="1">
      <c r="A280" s="2">
        <v>277</v>
      </c>
      <c r="B280" s="2"/>
      <c r="C280" s="3">
        <f>ProjectInput[[#This Row],[Retrofit Cost]]</f>
        <v>0</v>
      </c>
      <c r="D280" s="2">
        <f>ProjectInput[[#This Row],[Proposed Fixture Quantity]]</f>
        <v>0</v>
      </c>
      <c r="E280" s="2" t="str">
        <f>CONCATENATE("Replace ", ReviewCalcs[[#This Row],[Existing Fixture Code]], " with ", ReviewCalcs[[#This Row],[Proposed Fixture Code]])</f>
        <v>Replace 0 with 0</v>
      </c>
      <c r="F280" s="2">
        <f>ReviewCalcs[[#This Row],[Measure Type]]</f>
        <v>0</v>
      </c>
      <c r="G280" s="2" t="str">
        <f>IF(Instructions!$F$25="Post-Retrofit","Completed","Recommended")</f>
        <v>Recommended</v>
      </c>
      <c r="H280" s="4">
        <f>ReviewCalcs[[#This Row],[Incentive Total Energy Savings (kWh)]]</f>
        <v>0</v>
      </c>
      <c r="I280" s="2">
        <f>ReviewCalcs[[#This Row],[Incentive Total Demand Savings (kW)]]</f>
        <v>0</v>
      </c>
      <c r="J280" s="3">
        <f>ProjectInput[[#This Row],[Energy Cost Savings ($)]]</f>
        <v>0</v>
      </c>
      <c r="K280" s="3">
        <f>ProjectInput[[#This Row],[Incentive ($)]]</f>
        <v>0</v>
      </c>
      <c r="L280" s="13">
        <f t="shared" si="4"/>
        <v>0</v>
      </c>
      <c r="M280" s="3"/>
      <c r="N280" s="3"/>
      <c r="O280" s="3"/>
      <c r="P280" s="3"/>
      <c r="Q280" s="3"/>
      <c r="R280" s="3"/>
      <c r="S280" s="3"/>
      <c r="T280" s="2"/>
      <c r="U280" s="133">
        <f>ProjectInput[[#This Row],[Location]]</f>
        <v>0</v>
      </c>
      <c r="V280" s="278">
        <f>ProjectInput[[#This Row],[Existing Fixture Code]]</f>
        <v>0</v>
      </c>
      <c r="W280"/>
      <c r="X280"/>
      <c r="Y280"/>
      <c r="Z280"/>
      <c r="AA280"/>
      <c r="AB280"/>
      <c r="AC280"/>
      <c r="AD280"/>
      <c r="AE280"/>
      <c r="AF280"/>
      <c r="AG280"/>
      <c r="AH280"/>
      <c r="AI280"/>
      <c r="AJ280"/>
      <c r="AK280"/>
      <c r="AL280"/>
      <c r="AM280"/>
      <c r="AN280"/>
      <c r="AO280"/>
    </row>
    <row r="281" spans="1:41" ht="15" customHeight="1">
      <c r="A281" s="2">
        <v>278</v>
      </c>
      <c r="B281" s="2"/>
      <c r="C281" s="3">
        <f>ProjectInput[[#This Row],[Retrofit Cost]]</f>
        <v>0</v>
      </c>
      <c r="D281" s="2">
        <f>ProjectInput[[#This Row],[Proposed Fixture Quantity]]</f>
        <v>0</v>
      </c>
      <c r="E281" s="2" t="str">
        <f>CONCATENATE("Replace ", ReviewCalcs[[#This Row],[Existing Fixture Code]], " with ", ReviewCalcs[[#This Row],[Proposed Fixture Code]])</f>
        <v>Replace 0 with 0</v>
      </c>
      <c r="F281" s="2">
        <f>ReviewCalcs[[#This Row],[Measure Type]]</f>
        <v>0</v>
      </c>
      <c r="G281" s="2" t="str">
        <f>IF(Instructions!$F$25="Post-Retrofit","Completed","Recommended")</f>
        <v>Recommended</v>
      </c>
      <c r="H281" s="4">
        <f>ReviewCalcs[[#This Row],[Incentive Total Energy Savings (kWh)]]</f>
        <v>0</v>
      </c>
      <c r="I281" s="2">
        <f>ReviewCalcs[[#This Row],[Incentive Total Demand Savings (kW)]]</f>
        <v>0</v>
      </c>
      <c r="J281" s="3">
        <f>ProjectInput[[#This Row],[Energy Cost Savings ($)]]</f>
        <v>0</v>
      </c>
      <c r="K281" s="3">
        <f>ProjectInput[[#This Row],[Incentive ($)]]</f>
        <v>0</v>
      </c>
      <c r="L281" s="13">
        <f t="shared" si="4"/>
        <v>0</v>
      </c>
      <c r="M281" s="3"/>
      <c r="N281" s="3"/>
      <c r="O281" s="3"/>
      <c r="P281" s="3"/>
      <c r="Q281" s="3"/>
      <c r="R281" s="3"/>
      <c r="S281" s="3"/>
      <c r="T281" s="2"/>
      <c r="U281" s="133">
        <f>ProjectInput[[#This Row],[Location]]</f>
        <v>0</v>
      </c>
      <c r="V281" s="278">
        <f>ProjectInput[[#This Row],[Existing Fixture Code]]</f>
        <v>0</v>
      </c>
      <c r="W281"/>
      <c r="X281"/>
      <c r="Y281"/>
      <c r="Z281"/>
      <c r="AA281"/>
      <c r="AB281"/>
      <c r="AC281"/>
      <c r="AD281"/>
      <c r="AE281"/>
      <c r="AF281"/>
      <c r="AG281"/>
      <c r="AH281"/>
      <c r="AI281"/>
      <c r="AJ281"/>
      <c r="AK281"/>
      <c r="AL281"/>
      <c r="AM281"/>
      <c r="AN281"/>
      <c r="AO281"/>
    </row>
    <row r="282" spans="1:41" ht="15" customHeight="1">
      <c r="A282" s="2">
        <v>279</v>
      </c>
      <c r="B282" s="2"/>
      <c r="C282" s="3">
        <f>ProjectInput[[#This Row],[Retrofit Cost]]</f>
        <v>0</v>
      </c>
      <c r="D282" s="2">
        <f>ProjectInput[[#This Row],[Proposed Fixture Quantity]]</f>
        <v>0</v>
      </c>
      <c r="E282" s="2" t="str">
        <f>CONCATENATE("Replace ", ReviewCalcs[[#This Row],[Existing Fixture Code]], " with ", ReviewCalcs[[#This Row],[Proposed Fixture Code]])</f>
        <v>Replace 0 with 0</v>
      </c>
      <c r="F282" s="2">
        <f>ReviewCalcs[[#This Row],[Measure Type]]</f>
        <v>0</v>
      </c>
      <c r="G282" s="2" t="str">
        <f>IF(Instructions!$F$25="Post-Retrofit","Completed","Recommended")</f>
        <v>Recommended</v>
      </c>
      <c r="H282" s="4">
        <f>ReviewCalcs[[#This Row],[Incentive Total Energy Savings (kWh)]]</f>
        <v>0</v>
      </c>
      <c r="I282" s="2">
        <f>ReviewCalcs[[#This Row],[Incentive Total Demand Savings (kW)]]</f>
        <v>0</v>
      </c>
      <c r="J282" s="3">
        <f>ProjectInput[[#This Row],[Energy Cost Savings ($)]]</f>
        <v>0</v>
      </c>
      <c r="K282" s="3">
        <f>ProjectInput[[#This Row],[Incentive ($)]]</f>
        <v>0</v>
      </c>
      <c r="L282" s="13">
        <f t="shared" si="4"/>
        <v>0</v>
      </c>
      <c r="M282" s="3"/>
      <c r="N282" s="3"/>
      <c r="O282" s="3"/>
      <c r="P282" s="3"/>
      <c r="Q282" s="3"/>
      <c r="R282" s="3"/>
      <c r="S282" s="3"/>
      <c r="T282" s="2"/>
      <c r="U282" s="133">
        <f>ProjectInput[[#This Row],[Location]]</f>
        <v>0</v>
      </c>
      <c r="V282" s="278">
        <f>ProjectInput[[#This Row],[Existing Fixture Code]]</f>
        <v>0</v>
      </c>
      <c r="W282"/>
      <c r="X282"/>
      <c r="Y282"/>
      <c r="Z282"/>
      <c r="AA282"/>
      <c r="AB282"/>
      <c r="AC282"/>
      <c r="AD282"/>
      <c r="AE282"/>
      <c r="AF282"/>
      <c r="AG282"/>
      <c r="AH282"/>
      <c r="AI282"/>
      <c r="AJ282"/>
      <c r="AK282"/>
      <c r="AL282"/>
      <c r="AM282"/>
      <c r="AN282"/>
      <c r="AO282"/>
    </row>
    <row r="283" spans="1:41" ht="15" customHeight="1">
      <c r="A283" s="2">
        <v>280</v>
      </c>
      <c r="B283" s="2"/>
      <c r="C283" s="3">
        <f>ProjectInput[[#This Row],[Retrofit Cost]]</f>
        <v>0</v>
      </c>
      <c r="D283" s="2">
        <f>ProjectInput[[#This Row],[Proposed Fixture Quantity]]</f>
        <v>0</v>
      </c>
      <c r="E283" s="2" t="str">
        <f>CONCATENATE("Replace ", ReviewCalcs[[#This Row],[Existing Fixture Code]], " with ", ReviewCalcs[[#This Row],[Proposed Fixture Code]])</f>
        <v>Replace 0 with 0</v>
      </c>
      <c r="F283" s="2">
        <f>ReviewCalcs[[#This Row],[Measure Type]]</f>
        <v>0</v>
      </c>
      <c r="G283" s="2" t="str">
        <f>IF(Instructions!$F$25="Post-Retrofit","Completed","Recommended")</f>
        <v>Recommended</v>
      </c>
      <c r="H283" s="4">
        <f>ReviewCalcs[[#This Row],[Incentive Total Energy Savings (kWh)]]</f>
        <v>0</v>
      </c>
      <c r="I283" s="2">
        <f>ReviewCalcs[[#This Row],[Incentive Total Demand Savings (kW)]]</f>
        <v>0</v>
      </c>
      <c r="J283" s="3">
        <f>ProjectInput[[#This Row],[Energy Cost Savings ($)]]</f>
        <v>0</v>
      </c>
      <c r="K283" s="3">
        <f>ProjectInput[[#This Row],[Incentive ($)]]</f>
        <v>0</v>
      </c>
      <c r="L283" s="13">
        <f t="shared" si="4"/>
        <v>0</v>
      </c>
      <c r="M283" s="3"/>
      <c r="N283" s="3"/>
      <c r="O283" s="3"/>
      <c r="P283" s="3"/>
      <c r="Q283" s="3"/>
      <c r="R283" s="3"/>
      <c r="S283" s="3"/>
      <c r="T283" s="2"/>
      <c r="U283" s="133">
        <f>ProjectInput[[#This Row],[Location]]</f>
        <v>0</v>
      </c>
      <c r="V283" s="278">
        <f>ProjectInput[[#This Row],[Existing Fixture Code]]</f>
        <v>0</v>
      </c>
      <c r="W283"/>
      <c r="X283"/>
      <c r="Y283"/>
      <c r="Z283"/>
      <c r="AA283"/>
      <c r="AB283"/>
      <c r="AC283"/>
      <c r="AD283"/>
      <c r="AE283"/>
      <c r="AF283"/>
      <c r="AG283"/>
      <c r="AH283"/>
      <c r="AI283"/>
      <c r="AJ283"/>
      <c r="AK283"/>
      <c r="AL283"/>
      <c r="AM283"/>
      <c r="AN283"/>
      <c r="AO283"/>
    </row>
    <row r="284" spans="1:41" ht="15" customHeight="1">
      <c r="A284" s="2">
        <v>281</v>
      </c>
      <c r="B284" s="2"/>
      <c r="C284" s="3">
        <f>ProjectInput[[#This Row],[Retrofit Cost]]</f>
        <v>0</v>
      </c>
      <c r="D284" s="2">
        <f>ProjectInput[[#This Row],[Proposed Fixture Quantity]]</f>
        <v>0</v>
      </c>
      <c r="E284" s="2" t="str">
        <f>CONCATENATE("Replace ", ReviewCalcs[[#This Row],[Existing Fixture Code]], " with ", ReviewCalcs[[#This Row],[Proposed Fixture Code]])</f>
        <v>Replace 0 with 0</v>
      </c>
      <c r="F284" s="2">
        <f>ReviewCalcs[[#This Row],[Measure Type]]</f>
        <v>0</v>
      </c>
      <c r="G284" s="2" t="str">
        <f>IF(Instructions!$F$25="Post-Retrofit","Completed","Recommended")</f>
        <v>Recommended</v>
      </c>
      <c r="H284" s="4">
        <f>ReviewCalcs[[#This Row],[Incentive Total Energy Savings (kWh)]]</f>
        <v>0</v>
      </c>
      <c r="I284" s="2">
        <f>ReviewCalcs[[#This Row],[Incentive Total Demand Savings (kW)]]</f>
        <v>0</v>
      </c>
      <c r="J284" s="3">
        <f>ProjectInput[[#This Row],[Energy Cost Savings ($)]]</f>
        <v>0</v>
      </c>
      <c r="K284" s="3">
        <f>ProjectInput[[#This Row],[Incentive ($)]]</f>
        <v>0</v>
      </c>
      <c r="L284" s="13">
        <f t="shared" si="4"/>
        <v>0</v>
      </c>
      <c r="M284" s="3"/>
      <c r="N284" s="3"/>
      <c r="O284" s="3"/>
      <c r="P284" s="3"/>
      <c r="Q284" s="3"/>
      <c r="R284" s="3"/>
      <c r="S284" s="3"/>
      <c r="T284" s="2"/>
      <c r="U284" s="133">
        <f>ProjectInput[[#This Row],[Location]]</f>
        <v>0</v>
      </c>
      <c r="V284" s="278">
        <f>ProjectInput[[#This Row],[Existing Fixture Code]]</f>
        <v>0</v>
      </c>
      <c r="W284"/>
      <c r="X284"/>
      <c r="Y284"/>
      <c r="Z284"/>
      <c r="AA284"/>
      <c r="AB284"/>
      <c r="AC284"/>
      <c r="AD284"/>
      <c r="AE284"/>
      <c r="AF284"/>
      <c r="AG284"/>
      <c r="AH284"/>
      <c r="AI284"/>
      <c r="AJ284"/>
      <c r="AK284"/>
      <c r="AL284"/>
      <c r="AM284"/>
      <c r="AN284"/>
      <c r="AO284"/>
    </row>
    <row r="285" spans="1:41" ht="15" customHeight="1">
      <c r="A285" s="2">
        <v>282</v>
      </c>
      <c r="B285" s="2"/>
      <c r="C285" s="3">
        <f>ProjectInput[[#This Row],[Retrofit Cost]]</f>
        <v>0</v>
      </c>
      <c r="D285" s="2">
        <f>ProjectInput[[#This Row],[Proposed Fixture Quantity]]</f>
        <v>0</v>
      </c>
      <c r="E285" s="2" t="str">
        <f>CONCATENATE("Replace ", ReviewCalcs[[#This Row],[Existing Fixture Code]], " with ", ReviewCalcs[[#This Row],[Proposed Fixture Code]])</f>
        <v>Replace 0 with 0</v>
      </c>
      <c r="F285" s="2">
        <f>ReviewCalcs[[#This Row],[Measure Type]]</f>
        <v>0</v>
      </c>
      <c r="G285" s="2" t="str">
        <f>IF(Instructions!$F$25="Post-Retrofit","Completed","Recommended")</f>
        <v>Recommended</v>
      </c>
      <c r="H285" s="4">
        <f>ReviewCalcs[[#This Row],[Incentive Total Energy Savings (kWh)]]</f>
        <v>0</v>
      </c>
      <c r="I285" s="2">
        <f>ReviewCalcs[[#This Row],[Incentive Total Demand Savings (kW)]]</f>
        <v>0</v>
      </c>
      <c r="J285" s="3">
        <f>ProjectInput[[#This Row],[Energy Cost Savings ($)]]</f>
        <v>0</v>
      </c>
      <c r="K285" s="3">
        <f>ProjectInput[[#This Row],[Incentive ($)]]</f>
        <v>0</v>
      </c>
      <c r="L285" s="13">
        <f t="shared" si="4"/>
        <v>0</v>
      </c>
      <c r="M285" s="3"/>
      <c r="N285" s="3"/>
      <c r="O285" s="3"/>
      <c r="P285" s="3"/>
      <c r="Q285" s="3"/>
      <c r="R285" s="3"/>
      <c r="S285" s="3"/>
      <c r="T285" s="2"/>
      <c r="U285" s="133">
        <f>ProjectInput[[#This Row],[Location]]</f>
        <v>0</v>
      </c>
      <c r="V285" s="278">
        <f>ProjectInput[[#This Row],[Existing Fixture Code]]</f>
        <v>0</v>
      </c>
      <c r="W285"/>
      <c r="X285"/>
      <c r="Y285"/>
      <c r="Z285"/>
      <c r="AA285"/>
      <c r="AB285"/>
      <c r="AC285"/>
      <c r="AD285"/>
      <c r="AE285"/>
      <c r="AF285"/>
      <c r="AG285"/>
      <c r="AH285"/>
      <c r="AI285"/>
      <c r="AJ285"/>
      <c r="AK285"/>
      <c r="AL285"/>
      <c r="AM285"/>
      <c r="AN285"/>
      <c r="AO285"/>
    </row>
    <row r="286" spans="1:41" ht="15" customHeight="1">
      <c r="A286" s="2">
        <v>283</v>
      </c>
      <c r="B286" s="2"/>
      <c r="C286" s="3">
        <f>ProjectInput[[#This Row],[Retrofit Cost]]</f>
        <v>0</v>
      </c>
      <c r="D286" s="2">
        <f>ProjectInput[[#This Row],[Proposed Fixture Quantity]]</f>
        <v>0</v>
      </c>
      <c r="E286" s="2" t="str">
        <f>CONCATENATE("Replace ", ReviewCalcs[[#This Row],[Existing Fixture Code]], " with ", ReviewCalcs[[#This Row],[Proposed Fixture Code]])</f>
        <v>Replace 0 with 0</v>
      </c>
      <c r="F286" s="2">
        <f>ReviewCalcs[[#This Row],[Measure Type]]</f>
        <v>0</v>
      </c>
      <c r="G286" s="2" t="str">
        <f>IF(Instructions!$F$25="Post-Retrofit","Completed","Recommended")</f>
        <v>Recommended</v>
      </c>
      <c r="H286" s="4">
        <f>ReviewCalcs[[#This Row],[Incentive Total Energy Savings (kWh)]]</f>
        <v>0</v>
      </c>
      <c r="I286" s="2">
        <f>ReviewCalcs[[#This Row],[Incentive Total Demand Savings (kW)]]</f>
        <v>0</v>
      </c>
      <c r="J286" s="3">
        <f>ProjectInput[[#This Row],[Energy Cost Savings ($)]]</f>
        <v>0</v>
      </c>
      <c r="K286" s="3">
        <f>ProjectInput[[#This Row],[Incentive ($)]]</f>
        <v>0</v>
      </c>
      <c r="L286" s="13">
        <f t="shared" si="4"/>
        <v>0</v>
      </c>
      <c r="M286" s="3"/>
      <c r="N286" s="3"/>
      <c r="O286" s="3"/>
      <c r="P286" s="3"/>
      <c r="Q286" s="3"/>
      <c r="R286" s="3"/>
      <c r="S286" s="3"/>
      <c r="T286" s="2"/>
      <c r="U286" s="133">
        <f>ProjectInput[[#This Row],[Location]]</f>
        <v>0</v>
      </c>
      <c r="V286" s="278">
        <f>ProjectInput[[#This Row],[Existing Fixture Code]]</f>
        <v>0</v>
      </c>
      <c r="W286"/>
      <c r="X286"/>
      <c r="Y286"/>
      <c r="Z286"/>
      <c r="AA286"/>
      <c r="AB286"/>
      <c r="AC286"/>
      <c r="AD286"/>
      <c r="AE286"/>
      <c r="AF286"/>
      <c r="AG286"/>
      <c r="AH286"/>
      <c r="AI286"/>
      <c r="AJ286"/>
      <c r="AK286"/>
      <c r="AL286"/>
      <c r="AM286"/>
      <c r="AN286"/>
      <c r="AO286"/>
    </row>
    <row r="287" spans="1:41" ht="15" customHeight="1">
      <c r="A287" s="2">
        <v>284</v>
      </c>
      <c r="B287" s="2"/>
      <c r="C287" s="3">
        <f>ProjectInput[[#This Row],[Retrofit Cost]]</f>
        <v>0</v>
      </c>
      <c r="D287" s="2">
        <f>ProjectInput[[#This Row],[Proposed Fixture Quantity]]</f>
        <v>0</v>
      </c>
      <c r="E287" s="2" t="str">
        <f>CONCATENATE("Replace ", ReviewCalcs[[#This Row],[Existing Fixture Code]], " with ", ReviewCalcs[[#This Row],[Proposed Fixture Code]])</f>
        <v>Replace 0 with 0</v>
      </c>
      <c r="F287" s="2">
        <f>ReviewCalcs[[#This Row],[Measure Type]]</f>
        <v>0</v>
      </c>
      <c r="G287" s="2" t="str">
        <f>IF(Instructions!$F$25="Post-Retrofit","Completed","Recommended")</f>
        <v>Recommended</v>
      </c>
      <c r="H287" s="4">
        <f>ReviewCalcs[[#This Row],[Incentive Total Energy Savings (kWh)]]</f>
        <v>0</v>
      </c>
      <c r="I287" s="2">
        <f>ReviewCalcs[[#This Row],[Incentive Total Demand Savings (kW)]]</f>
        <v>0</v>
      </c>
      <c r="J287" s="3">
        <f>ProjectInput[[#This Row],[Energy Cost Savings ($)]]</f>
        <v>0</v>
      </c>
      <c r="K287" s="3">
        <f>ProjectInput[[#This Row],[Incentive ($)]]</f>
        <v>0</v>
      </c>
      <c r="L287" s="13">
        <f t="shared" si="4"/>
        <v>0</v>
      </c>
      <c r="M287" s="3"/>
      <c r="N287" s="3"/>
      <c r="O287" s="3"/>
      <c r="P287" s="3"/>
      <c r="Q287" s="3"/>
      <c r="R287" s="3"/>
      <c r="S287" s="3"/>
      <c r="T287" s="2"/>
      <c r="U287" s="133">
        <f>ProjectInput[[#This Row],[Location]]</f>
        <v>0</v>
      </c>
      <c r="V287" s="278">
        <f>ProjectInput[[#This Row],[Existing Fixture Code]]</f>
        <v>0</v>
      </c>
      <c r="W287"/>
      <c r="X287"/>
      <c r="Y287"/>
      <c r="Z287"/>
      <c r="AA287"/>
      <c r="AB287"/>
      <c r="AC287"/>
      <c r="AD287"/>
      <c r="AE287"/>
      <c r="AF287"/>
      <c r="AG287"/>
      <c r="AH287"/>
      <c r="AI287"/>
      <c r="AJ287"/>
      <c r="AK287"/>
      <c r="AL287"/>
      <c r="AM287"/>
      <c r="AN287"/>
      <c r="AO287"/>
    </row>
    <row r="288" spans="1:41" ht="15" customHeight="1">
      <c r="A288" s="2">
        <v>285</v>
      </c>
      <c r="B288" s="2"/>
      <c r="C288" s="3">
        <f>ProjectInput[[#This Row],[Retrofit Cost]]</f>
        <v>0</v>
      </c>
      <c r="D288" s="2">
        <f>ProjectInput[[#This Row],[Proposed Fixture Quantity]]</f>
        <v>0</v>
      </c>
      <c r="E288" s="2" t="str">
        <f>CONCATENATE("Replace ", ReviewCalcs[[#This Row],[Existing Fixture Code]], " with ", ReviewCalcs[[#This Row],[Proposed Fixture Code]])</f>
        <v>Replace 0 with 0</v>
      </c>
      <c r="F288" s="2">
        <f>ReviewCalcs[[#This Row],[Measure Type]]</f>
        <v>0</v>
      </c>
      <c r="G288" s="2" t="str">
        <f>IF(Instructions!$F$25="Post-Retrofit","Completed","Recommended")</f>
        <v>Recommended</v>
      </c>
      <c r="H288" s="4">
        <f>ReviewCalcs[[#This Row],[Incentive Total Energy Savings (kWh)]]</f>
        <v>0</v>
      </c>
      <c r="I288" s="2">
        <f>ReviewCalcs[[#This Row],[Incentive Total Demand Savings (kW)]]</f>
        <v>0</v>
      </c>
      <c r="J288" s="3">
        <f>ProjectInput[[#This Row],[Energy Cost Savings ($)]]</f>
        <v>0</v>
      </c>
      <c r="K288" s="3">
        <f>ProjectInput[[#This Row],[Incentive ($)]]</f>
        <v>0</v>
      </c>
      <c r="L288" s="13">
        <f t="shared" si="4"/>
        <v>0</v>
      </c>
      <c r="M288" s="3"/>
      <c r="N288" s="3"/>
      <c r="O288" s="3"/>
      <c r="P288" s="3"/>
      <c r="Q288" s="3"/>
      <c r="R288" s="3"/>
      <c r="S288" s="3"/>
      <c r="T288" s="2"/>
      <c r="U288" s="133">
        <f>ProjectInput[[#This Row],[Location]]</f>
        <v>0</v>
      </c>
      <c r="V288" s="278">
        <f>ProjectInput[[#This Row],[Existing Fixture Code]]</f>
        <v>0</v>
      </c>
      <c r="W288"/>
      <c r="X288"/>
      <c r="Y288"/>
      <c r="Z288"/>
      <c r="AA288"/>
      <c r="AB288"/>
      <c r="AC288"/>
      <c r="AD288"/>
      <c r="AE288"/>
      <c r="AF288"/>
      <c r="AG288"/>
      <c r="AH288"/>
      <c r="AI288"/>
      <c r="AJ288"/>
      <c r="AK288"/>
      <c r="AL288"/>
      <c r="AM288"/>
      <c r="AN288"/>
      <c r="AO288"/>
    </row>
    <row r="289" spans="1:41" ht="15" customHeight="1">
      <c r="A289" s="2">
        <v>286</v>
      </c>
      <c r="B289" s="2"/>
      <c r="C289" s="3">
        <f>ProjectInput[[#This Row],[Retrofit Cost]]</f>
        <v>0</v>
      </c>
      <c r="D289" s="2">
        <f>ProjectInput[[#This Row],[Proposed Fixture Quantity]]</f>
        <v>0</v>
      </c>
      <c r="E289" s="2" t="str">
        <f>CONCATENATE("Replace ", ReviewCalcs[[#This Row],[Existing Fixture Code]], " with ", ReviewCalcs[[#This Row],[Proposed Fixture Code]])</f>
        <v>Replace 0 with 0</v>
      </c>
      <c r="F289" s="2">
        <f>ReviewCalcs[[#This Row],[Measure Type]]</f>
        <v>0</v>
      </c>
      <c r="G289" s="2" t="str">
        <f>IF(Instructions!$F$25="Post-Retrofit","Completed","Recommended")</f>
        <v>Recommended</v>
      </c>
      <c r="H289" s="4">
        <f>ReviewCalcs[[#This Row],[Incentive Total Energy Savings (kWh)]]</f>
        <v>0</v>
      </c>
      <c r="I289" s="2">
        <f>ReviewCalcs[[#This Row],[Incentive Total Demand Savings (kW)]]</f>
        <v>0</v>
      </c>
      <c r="J289" s="3">
        <f>ProjectInput[[#This Row],[Energy Cost Savings ($)]]</f>
        <v>0</v>
      </c>
      <c r="K289" s="3">
        <f>ProjectInput[[#This Row],[Incentive ($)]]</f>
        <v>0</v>
      </c>
      <c r="L289" s="13">
        <f t="shared" si="4"/>
        <v>0</v>
      </c>
      <c r="M289" s="3"/>
      <c r="N289" s="3"/>
      <c r="O289" s="3"/>
      <c r="P289" s="3"/>
      <c r="Q289" s="3"/>
      <c r="R289" s="3"/>
      <c r="S289" s="3"/>
      <c r="T289" s="2"/>
      <c r="U289" s="133">
        <f>ProjectInput[[#This Row],[Location]]</f>
        <v>0</v>
      </c>
      <c r="V289" s="278">
        <f>ProjectInput[[#This Row],[Existing Fixture Code]]</f>
        <v>0</v>
      </c>
      <c r="W289"/>
      <c r="X289"/>
      <c r="Y289"/>
      <c r="Z289"/>
      <c r="AA289"/>
      <c r="AB289"/>
      <c r="AC289"/>
      <c r="AD289"/>
      <c r="AE289"/>
      <c r="AF289"/>
      <c r="AG289"/>
      <c r="AH289"/>
      <c r="AI289"/>
      <c r="AJ289"/>
      <c r="AK289"/>
      <c r="AL289"/>
      <c r="AM289"/>
      <c r="AN289"/>
      <c r="AO289"/>
    </row>
    <row r="290" spans="1:41" ht="15" customHeight="1">
      <c r="A290" s="2">
        <v>287</v>
      </c>
      <c r="B290" s="2"/>
      <c r="C290" s="3">
        <f>ProjectInput[[#This Row],[Retrofit Cost]]</f>
        <v>0</v>
      </c>
      <c r="D290" s="2">
        <f>ProjectInput[[#This Row],[Proposed Fixture Quantity]]</f>
        <v>0</v>
      </c>
      <c r="E290" s="2" t="str">
        <f>CONCATENATE("Replace ", ReviewCalcs[[#This Row],[Existing Fixture Code]], " with ", ReviewCalcs[[#This Row],[Proposed Fixture Code]])</f>
        <v>Replace 0 with 0</v>
      </c>
      <c r="F290" s="2">
        <f>ReviewCalcs[[#This Row],[Measure Type]]</f>
        <v>0</v>
      </c>
      <c r="G290" s="2" t="str">
        <f>IF(Instructions!$F$25="Post-Retrofit","Completed","Recommended")</f>
        <v>Recommended</v>
      </c>
      <c r="H290" s="4">
        <f>ReviewCalcs[[#This Row],[Incentive Total Energy Savings (kWh)]]</f>
        <v>0</v>
      </c>
      <c r="I290" s="2">
        <f>ReviewCalcs[[#This Row],[Incentive Total Demand Savings (kW)]]</f>
        <v>0</v>
      </c>
      <c r="J290" s="3">
        <f>ProjectInput[[#This Row],[Energy Cost Savings ($)]]</f>
        <v>0</v>
      </c>
      <c r="K290" s="3">
        <f>ProjectInput[[#This Row],[Incentive ($)]]</f>
        <v>0</v>
      </c>
      <c r="L290" s="13">
        <f t="shared" si="4"/>
        <v>0</v>
      </c>
      <c r="M290" s="3"/>
      <c r="N290" s="3"/>
      <c r="O290" s="3"/>
      <c r="P290" s="3"/>
      <c r="Q290" s="3"/>
      <c r="R290" s="3"/>
      <c r="S290" s="3"/>
      <c r="T290" s="2"/>
      <c r="U290" s="133">
        <f>ProjectInput[[#This Row],[Location]]</f>
        <v>0</v>
      </c>
      <c r="V290" s="278">
        <f>ProjectInput[[#This Row],[Existing Fixture Code]]</f>
        <v>0</v>
      </c>
      <c r="W290"/>
      <c r="X290"/>
      <c r="Y290"/>
      <c r="Z290"/>
      <c r="AA290"/>
      <c r="AB290"/>
      <c r="AC290"/>
      <c r="AD290"/>
      <c r="AE290"/>
      <c r="AF290"/>
      <c r="AG290"/>
      <c r="AH290"/>
      <c r="AI290"/>
      <c r="AJ290"/>
      <c r="AK290"/>
      <c r="AL290"/>
      <c r="AM290"/>
      <c r="AN290"/>
      <c r="AO290"/>
    </row>
    <row r="291" spans="1:41" ht="15" customHeight="1">
      <c r="A291" s="2">
        <v>288</v>
      </c>
      <c r="B291" s="2"/>
      <c r="C291" s="3">
        <f>ProjectInput[[#This Row],[Retrofit Cost]]</f>
        <v>0</v>
      </c>
      <c r="D291" s="2">
        <f>ProjectInput[[#This Row],[Proposed Fixture Quantity]]</f>
        <v>0</v>
      </c>
      <c r="E291" s="2" t="str">
        <f>CONCATENATE("Replace ", ReviewCalcs[[#This Row],[Existing Fixture Code]], " with ", ReviewCalcs[[#This Row],[Proposed Fixture Code]])</f>
        <v>Replace 0 with 0</v>
      </c>
      <c r="F291" s="2">
        <f>ReviewCalcs[[#This Row],[Measure Type]]</f>
        <v>0</v>
      </c>
      <c r="G291" s="2" t="str">
        <f>IF(Instructions!$F$25="Post-Retrofit","Completed","Recommended")</f>
        <v>Recommended</v>
      </c>
      <c r="H291" s="4">
        <f>ReviewCalcs[[#This Row],[Incentive Total Energy Savings (kWh)]]</f>
        <v>0</v>
      </c>
      <c r="I291" s="2">
        <f>ReviewCalcs[[#This Row],[Incentive Total Demand Savings (kW)]]</f>
        <v>0</v>
      </c>
      <c r="J291" s="3">
        <f>ProjectInput[[#This Row],[Energy Cost Savings ($)]]</f>
        <v>0</v>
      </c>
      <c r="K291" s="3">
        <f>ProjectInput[[#This Row],[Incentive ($)]]</f>
        <v>0</v>
      </c>
      <c r="L291" s="13">
        <f t="shared" si="4"/>
        <v>0</v>
      </c>
      <c r="M291" s="3"/>
      <c r="N291" s="3"/>
      <c r="O291" s="3"/>
      <c r="P291" s="3"/>
      <c r="Q291" s="3"/>
      <c r="R291" s="3"/>
      <c r="S291" s="3"/>
      <c r="T291" s="2"/>
      <c r="U291" s="133">
        <f>ProjectInput[[#This Row],[Location]]</f>
        <v>0</v>
      </c>
      <c r="V291" s="278">
        <f>ProjectInput[[#This Row],[Existing Fixture Code]]</f>
        <v>0</v>
      </c>
      <c r="W291"/>
      <c r="X291"/>
      <c r="Y291"/>
      <c r="Z291"/>
      <c r="AA291"/>
      <c r="AB291"/>
      <c r="AC291"/>
      <c r="AD291"/>
      <c r="AE291"/>
      <c r="AF291"/>
      <c r="AG291"/>
      <c r="AH291"/>
      <c r="AI291"/>
      <c r="AJ291"/>
      <c r="AK291"/>
      <c r="AL291"/>
      <c r="AM291"/>
      <c r="AN291"/>
      <c r="AO291"/>
    </row>
    <row r="292" spans="1:41" ht="15" customHeight="1">
      <c r="A292" s="2">
        <v>289</v>
      </c>
      <c r="B292" s="2"/>
      <c r="C292" s="3">
        <f>ProjectInput[[#This Row],[Retrofit Cost]]</f>
        <v>0</v>
      </c>
      <c r="D292" s="2">
        <f>ProjectInput[[#This Row],[Proposed Fixture Quantity]]</f>
        <v>0</v>
      </c>
      <c r="E292" s="2" t="str">
        <f>CONCATENATE("Replace ", ReviewCalcs[[#This Row],[Existing Fixture Code]], " with ", ReviewCalcs[[#This Row],[Proposed Fixture Code]])</f>
        <v>Replace 0 with 0</v>
      </c>
      <c r="F292" s="2">
        <f>ReviewCalcs[[#This Row],[Measure Type]]</f>
        <v>0</v>
      </c>
      <c r="G292" s="2" t="str">
        <f>IF(Instructions!$F$25="Post-Retrofit","Completed","Recommended")</f>
        <v>Recommended</v>
      </c>
      <c r="H292" s="4">
        <f>ReviewCalcs[[#This Row],[Incentive Total Energy Savings (kWh)]]</f>
        <v>0</v>
      </c>
      <c r="I292" s="2">
        <f>ReviewCalcs[[#This Row],[Incentive Total Demand Savings (kW)]]</f>
        <v>0</v>
      </c>
      <c r="J292" s="3">
        <f>ProjectInput[[#This Row],[Energy Cost Savings ($)]]</f>
        <v>0</v>
      </c>
      <c r="K292" s="3">
        <f>ProjectInput[[#This Row],[Incentive ($)]]</f>
        <v>0</v>
      </c>
      <c r="L292" s="13">
        <f t="shared" si="4"/>
        <v>0</v>
      </c>
      <c r="M292" s="3"/>
      <c r="N292" s="3"/>
      <c r="O292" s="3"/>
      <c r="P292" s="3"/>
      <c r="Q292" s="3"/>
      <c r="R292" s="3"/>
      <c r="S292" s="3"/>
      <c r="T292" s="2"/>
      <c r="U292" s="133">
        <f>ProjectInput[[#This Row],[Location]]</f>
        <v>0</v>
      </c>
      <c r="V292" s="278">
        <f>ProjectInput[[#This Row],[Existing Fixture Code]]</f>
        <v>0</v>
      </c>
      <c r="W292"/>
      <c r="X292"/>
      <c r="Y292"/>
      <c r="Z292"/>
      <c r="AA292"/>
      <c r="AB292"/>
      <c r="AC292"/>
      <c r="AD292"/>
      <c r="AE292"/>
      <c r="AF292"/>
      <c r="AG292"/>
      <c r="AH292"/>
      <c r="AI292"/>
      <c r="AJ292"/>
      <c r="AK292"/>
      <c r="AL292"/>
      <c r="AM292"/>
      <c r="AN292"/>
      <c r="AO292"/>
    </row>
    <row r="293" spans="1:41" ht="15" customHeight="1">
      <c r="A293" s="2">
        <v>290</v>
      </c>
      <c r="B293" s="2"/>
      <c r="C293" s="3">
        <f>ProjectInput[[#This Row],[Retrofit Cost]]</f>
        <v>0</v>
      </c>
      <c r="D293" s="2">
        <f>ProjectInput[[#This Row],[Proposed Fixture Quantity]]</f>
        <v>0</v>
      </c>
      <c r="E293" s="2" t="str">
        <f>CONCATENATE("Replace ", ReviewCalcs[[#This Row],[Existing Fixture Code]], " with ", ReviewCalcs[[#This Row],[Proposed Fixture Code]])</f>
        <v>Replace 0 with 0</v>
      </c>
      <c r="F293" s="2">
        <f>ReviewCalcs[[#This Row],[Measure Type]]</f>
        <v>0</v>
      </c>
      <c r="G293" s="2" t="str">
        <f>IF(Instructions!$F$25="Post-Retrofit","Completed","Recommended")</f>
        <v>Recommended</v>
      </c>
      <c r="H293" s="4">
        <f>ReviewCalcs[[#This Row],[Incentive Total Energy Savings (kWh)]]</f>
        <v>0</v>
      </c>
      <c r="I293" s="2">
        <f>ReviewCalcs[[#This Row],[Incentive Total Demand Savings (kW)]]</f>
        <v>0</v>
      </c>
      <c r="J293" s="3">
        <f>ProjectInput[[#This Row],[Energy Cost Savings ($)]]</f>
        <v>0</v>
      </c>
      <c r="K293" s="3">
        <f>ProjectInput[[#This Row],[Incentive ($)]]</f>
        <v>0</v>
      </c>
      <c r="L293" s="13">
        <f t="shared" si="4"/>
        <v>0</v>
      </c>
      <c r="M293" s="3"/>
      <c r="N293" s="3"/>
      <c r="O293" s="3"/>
      <c r="P293" s="3"/>
      <c r="Q293" s="3"/>
      <c r="R293" s="3"/>
      <c r="S293" s="3"/>
      <c r="T293" s="2"/>
      <c r="U293" s="133">
        <f>ProjectInput[[#This Row],[Location]]</f>
        <v>0</v>
      </c>
      <c r="V293" s="278">
        <f>ProjectInput[[#This Row],[Existing Fixture Code]]</f>
        <v>0</v>
      </c>
      <c r="W293"/>
      <c r="X293"/>
      <c r="Y293"/>
      <c r="Z293"/>
      <c r="AA293"/>
      <c r="AB293"/>
      <c r="AC293"/>
      <c r="AD293"/>
      <c r="AE293"/>
      <c r="AF293"/>
      <c r="AG293"/>
      <c r="AH293"/>
      <c r="AI293"/>
      <c r="AJ293"/>
      <c r="AK293"/>
      <c r="AL293"/>
      <c r="AM293"/>
      <c r="AN293"/>
      <c r="AO293"/>
    </row>
    <row r="294" spans="1:41" ht="15" customHeight="1">
      <c r="A294" s="2">
        <v>291</v>
      </c>
      <c r="B294" s="2"/>
      <c r="C294" s="3">
        <f>ProjectInput[[#This Row],[Retrofit Cost]]</f>
        <v>0</v>
      </c>
      <c r="D294" s="2">
        <f>ProjectInput[[#This Row],[Proposed Fixture Quantity]]</f>
        <v>0</v>
      </c>
      <c r="E294" s="2" t="str">
        <f>CONCATENATE("Replace ", ReviewCalcs[[#This Row],[Existing Fixture Code]], " with ", ReviewCalcs[[#This Row],[Proposed Fixture Code]])</f>
        <v>Replace 0 with 0</v>
      </c>
      <c r="F294" s="2">
        <f>ReviewCalcs[[#This Row],[Measure Type]]</f>
        <v>0</v>
      </c>
      <c r="G294" s="2" t="str">
        <f>IF(Instructions!$F$25="Post-Retrofit","Completed","Recommended")</f>
        <v>Recommended</v>
      </c>
      <c r="H294" s="4">
        <f>ReviewCalcs[[#This Row],[Incentive Total Energy Savings (kWh)]]</f>
        <v>0</v>
      </c>
      <c r="I294" s="2">
        <f>ReviewCalcs[[#This Row],[Incentive Total Demand Savings (kW)]]</f>
        <v>0</v>
      </c>
      <c r="J294" s="3">
        <f>ProjectInput[[#This Row],[Energy Cost Savings ($)]]</f>
        <v>0</v>
      </c>
      <c r="K294" s="3">
        <f>ProjectInput[[#This Row],[Incentive ($)]]</f>
        <v>0</v>
      </c>
      <c r="L294" s="13">
        <f t="shared" ref="L294:L300" si="5">IF(C294&lt;&gt;0,(C294-K294)/J294,0)</f>
        <v>0</v>
      </c>
      <c r="M294" s="3"/>
      <c r="N294" s="3"/>
      <c r="O294" s="3"/>
      <c r="P294" s="3"/>
      <c r="Q294" s="3"/>
      <c r="R294" s="3"/>
      <c r="S294" s="3"/>
      <c r="T294" s="2"/>
      <c r="U294" s="133">
        <f>ProjectInput[[#This Row],[Location]]</f>
        <v>0</v>
      </c>
      <c r="V294" s="278">
        <f>ProjectInput[[#This Row],[Existing Fixture Code]]</f>
        <v>0</v>
      </c>
      <c r="W294"/>
      <c r="X294"/>
      <c r="Y294"/>
      <c r="Z294"/>
      <c r="AA294"/>
      <c r="AB294"/>
      <c r="AC294"/>
      <c r="AD294"/>
      <c r="AE294"/>
      <c r="AF294"/>
      <c r="AG294"/>
      <c r="AH294"/>
      <c r="AI294"/>
      <c r="AJ294"/>
      <c r="AK294"/>
      <c r="AL294"/>
      <c r="AM294"/>
      <c r="AN294"/>
      <c r="AO294"/>
    </row>
    <row r="295" spans="1:41" ht="15" customHeight="1">
      <c r="A295" s="2">
        <v>292</v>
      </c>
      <c r="B295" s="2"/>
      <c r="C295" s="3">
        <f>ProjectInput[[#This Row],[Retrofit Cost]]</f>
        <v>0</v>
      </c>
      <c r="D295" s="2">
        <f>ProjectInput[[#This Row],[Proposed Fixture Quantity]]</f>
        <v>0</v>
      </c>
      <c r="E295" s="2" t="str">
        <f>CONCATENATE("Replace ", ReviewCalcs[[#This Row],[Existing Fixture Code]], " with ", ReviewCalcs[[#This Row],[Proposed Fixture Code]])</f>
        <v>Replace 0 with 0</v>
      </c>
      <c r="F295" s="2">
        <f>ReviewCalcs[[#This Row],[Measure Type]]</f>
        <v>0</v>
      </c>
      <c r="G295" s="2" t="str">
        <f>IF(Instructions!$F$25="Post-Retrofit","Completed","Recommended")</f>
        <v>Recommended</v>
      </c>
      <c r="H295" s="4">
        <f>ReviewCalcs[[#This Row],[Incentive Total Energy Savings (kWh)]]</f>
        <v>0</v>
      </c>
      <c r="I295" s="2">
        <f>ReviewCalcs[[#This Row],[Incentive Total Demand Savings (kW)]]</f>
        <v>0</v>
      </c>
      <c r="J295" s="3">
        <f>ProjectInput[[#This Row],[Energy Cost Savings ($)]]</f>
        <v>0</v>
      </c>
      <c r="K295" s="3">
        <f>ProjectInput[[#This Row],[Incentive ($)]]</f>
        <v>0</v>
      </c>
      <c r="L295" s="13">
        <f t="shared" si="5"/>
        <v>0</v>
      </c>
      <c r="M295" s="3"/>
      <c r="N295" s="3"/>
      <c r="O295" s="3"/>
      <c r="P295" s="3"/>
      <c r="Q295" s="3"/>
      <c r="R295" s="3"/>
      <c r="S295" s="3"/>
      <c r="T295" s="2"/>
      <c r="U295" s="133">
        <f>ProjectInput[[#This Row],[Location]]</f>
        <v>0</v>
      </c>
      <c r="V295" s="278">
        <f>ProjectInput[[#This Row],[Existing Fixture Code]]</f>
        <v>0</v>
      </c>
      <c r="W295"/>
      <c r="X295"/>
      <c r="Y295"/>
      <c r="Z295"/>
      <c r="AA295"/>
      <c r="AB295"/>
      <c r="AC295"/>
      <c r="AD295"/>
      <c r="AE295"/>
      <c r="AF295"/>
      <c r="AG295"/>
      <c r="AH295"/>
      <c r="AI295"/>
      <c r="AJ295"/>
      <c r="AK295"/>
      <c r="AL295"/>
      <c r="AM295"/>
      <c r="AN295"/>
      <c r="AO295"/>
    </row>
    <row r="296" spans="1:41" ht="15" customHeight="1">
      <c r="A296" s="2">
        <v>293</v>
      </c>
      <c r="B296" s="2"/>
      <c r="C296" s="3">
        <f>ProjectInput[[#This Row],[Retrofit Cost]]</f>
        <v>0</v>
      </c>
      <c r="D296" s="2">
        <f>ProjectInput[[#This Row],[Proposed Fixture Quantity]]</f>
        <v>0</v>
      </c>
      <c r="E296" s="2" t="str">
        <f>CONCATENATE("Replace ", ReviewCalcs[[#This Row],[Existing Fixture Code]], " with ", ReviewCalcs[[#This Row],[Proposed Fixture Code]])</f>
        <v>Replace 0 with 0</v>
      </c>
      <c r="F296" s="2">
        <f>ReviewCalcs[[#This Row],[Measure Type]]</f>
        <v>0</v>
      </c>
      <c r="G296" s="2" t="str">
        <f>IF(Instructions!$F$25="Post-Retrofit","Completed","Recommended")</f>
        <v>Recommended</v>
      </c>
      <c r="H296" s="4">
        <f>ReviewCalcs[[#This Row],[Incentive Total Energy Savings (kWh)]]</f>
        <v>0</v>
      </c>
      <c r="I296" s="2">
        <f>ReviewCalcs[[#This Row],[Incentive Total Demand Savings (kW)]]</f>
        <v>0</v>
      </c>
      <c r="J296" s="3">
        <f>ProjectInput[[#This Row],[Energy Cost Savings ($)]]</f>
        <v>0</v>
      </c>
      <c r="K296" s="3">
        <f>ProjectInput[[#This Row],[Incentive ($)]]</f>
        <v>0</v>
      </c>
      <c r="L296" s="13">
        <f t="shared" si="5"/>
        <v>0</v>
      </c>
      <c r="M296" s="3"/>
      <c r="N296" s="3"/>
      <c r="O296" s="3"/>
      <c r="P296" s="3"/>
      <c r="Q296" s="3"/>
      <c r="R296" s="3"/>
      <c r="S296" s="3"/>
      <c r="T296" s="2"/>
      <c r="U296" s="133">
        <f>ProjectInput[[#This Row],[Location]]</f>
        <v>0</v>
      </c>
      <c r="V296" s="278">
        <f>ProjectInput[[#This Row],[Existing Fixture Code]]</f>
        <v>0</v>
      </c>
      <c r="W296"/>
      <c r="X296"/>
      <c r="Y296"/>
      <c r="Z296"/>
      <c r="AA296"/>
      <c r="AB296"/>
      <c r="AC296"/>
      <c r="AD296"/>
      <c r="AE296"/>
      <c r="AF296"/>
      <c r="AG296"/>
      <c r="AH296"/>
      <c r="AI296"/>
      <c r="AJ296"/>
      <c r="AK296"/>
      <c r="AL296"/>
      <c r="AM296"/>
      <c r="AN296"/>
      <c r="AO296"/>
    </row>
    <row r="297" spans="1:41" ht="15" customHeight="1">
      <c r="A297" s="2">
        <v>294</v>
      </c>
      <c r="B297" s="2"/>
      <c r="C297" s="3">
        <f>ProjectInput[[#This Row],[Retrofit Cost]]</f>
        <v>0</v>
      </c>
      <c r="D297" s="2">
        <f>ProjectInput[[#This Row],[Proposed Fixture Quantity]]</f>
        <v>0</v>
      </c>
      <c r="E297" s="2" t="str">
        <f>CONCATENATE("Replace ", ReviewCalcs[[#This Row],[Existing Fixture Code]], " with ", ReviewCalcs[[#This Row],[Proposed Fixture Code]])</f>
        <v>Replace 0 with 0</v>
      </c>
      <c r="F297" s="2">
        <f>ReviewCalcs[[#This Row],[Measure Type]]</f>
        <v>0</v>
      </c>
      <c r="G297" s="2" t="str">
        <f>IF(Instructions!$F$25="Post-Retrofit","Completed","Recommended")</f>
        <v>Recommended</v>
      </c>
      <c r="H297" s="4">
        <f>ReviewCalcs[[#This Row],[Incentive Total Energy Savings (kWh)]]</f>
        <v>0</v>
      </c>
      <c r="I297" s="2">
        <f>ReviewCalcs[[#This Row],[Incentive Total Demand Savings (kW)]]</f>
        <v>0</v>
      </c>
      <c r="J297" s="3">
        <f>ProjectInput[[#This Row],[Energy Cost Savings ($)]]</f>
        <v>0</v>
      </c>
      <c r="K297" s="3">
        <f>ProjectInput[[#This Row],[Incentive ($)]]</f>
        <v>0</v>
      </c>
      <c r="L297" s="13">
        <f t="shared" si="5"/>
        <v>0</v>
      </c>
      <c r="M297" s="3"/>
      <c r="N297" s="3"/>
      <c r="O297" s="3"/>
      <c r="P297" s="3"/>
      <c r="Q297" s="3"/>
      <c r="R297" s="3"/>
      <c r="S297" s="3"/>
      <c r="T297" s="2"/>
      <c r="U297" s="133">
        <f>ProjectInput[[#This Row],[Location]]</f>
        <v>0</v>
      </c>
      <c r="V297" s="278">
        <f>ProjectInput[[#This Row],[Existing Fixture Code]]</f>
        <v>0</v>
      </c>
      <c r="W297"/>
      <c r="X297"/>
      <c r="Y297"/>
      <c r="Z297"/>
      <c r="AA297"/>
      <c r="AB297"/>
      <c r="AC297"/>
      <c r="AD297"/>
      <c r="AE297"/>
      <c r="AF297"/>
      <c r="AG297"/>
      <c r="AH297"/>
      <c r="AI297"/>
      <c r="AJ297"/>
      <c r="AK297"/>
      <c r="AL297"/>
      <c r="AM297"/>
      <c r="AN297"/>
      <c r="AO297"/>
    </row>
    <row r="298" spans="1:41" ht="15" customHeight="1">
      <c r="A298" s="2">
        <v>295</v>
      </c>
      <c r="B298" s="2"/>
      <c r="C298" s="3">
        <f>ProjectInput[[#This Row],[Retrofit Cost]]</f>
        <v>0</v>
      </c>
      <c r="D298" s="2">
        <f>ProjectInput[[#This Row],[Proposed Fixture Quantity]]</f>
        <v>0</v>
      </c>
      <c r="E298" s="2" t="str">
        <f>CONCATENATE("Replace ", ReviewCalcs[[#This Row],[Existing Fixture Code]], " with ", ReviewCalcs[[#This Row],[Proposed Fixture Code]])</f>
        <v>Replace 0 with 0</v>
      </c>
      <c r="F298" s="2">
        <f>ReviewCalcs[[#This Row],[Measure Type]]</f>
        <v>0</v>
      </c>
      <c r="G298" s="2" t="str">
        <f>IF(Instructions!$F$25="Post-Retrofit","Completed","Recommended")</f>
        <v>Recommended</v>
      </c>
      <c r="H298" s="4">
        <f>ReviewCalcs[[#This Row],[Incentive Total Energy Savings (kWh)]]</f>
        <v>0</v>
      </c>
      <c r="I298" s="2">
        <f>ReviewCalcs[[#This Row],[Incentive Total Demand Savings (kW)]]</f>
        <v>0</v>
      </c>
      <c r="J298" s="3">
        <f>ProjectInput[[#This Row],[Energy Cost Savings ($)]]</f>
        <v>0</v>
      </c>
      <c r="K298" s="3">
        <f>ProjectInput[[#This Row],[Incentive ($)]]</f>
        <v>0</v>
      </c>
      <c r="L298" s="13">
        <f t="shared" si="5"/>
        <v>0</v>
      </c>
      <c r="M298" s="3"/>
      <c r="N298" s="3"/>
      <c r="O298" s="3"/>
      <c r="P298" s="3"/>
      <c r="Q298" s="3"/>
      <c r="R298" s="3"/>
      <c r="S298" s="3"/>
      <c r="T298" s="2"/>
      <c r="U298" s="133">
        <f>ProjectInput[[#This Row],[Location]]</f>
        <v>0</v>
      </c>
      <c r="V298" s="278">
        <f>ProjectInput[[#This Row],[Existing Fixture Code]]</f>
        <v>0</v>
      </c>
      <c r="W298"/>
      <c r="X298"/>
      <c r="Y298"/>
      <c r="Z298"/>
      <c r="AA298"/>
      <c r="AB298"/>
      <c r="AC298"/>
      <c r="AD298"/>
      <c r="AE298"/>
      <c r="AF298"/>
      <c r="AG298"/>
      <c r="AH298"/>
      <c r="AI298"/>
      <c r="AJ298"/>
      <c r="AK298"/>
      <c r="AL298"/>
      <c r="AM298"/>
      <c r="AN298"/>
      <c r="AO298"/>
    </row>
    <row r="299" spans="1:41" ht="15" customHeight="1">
      <c r="A299" s="2">
        <v>296</v>
      </c>
      <c r="B299" s="2"/>
      <c r="C299" s="3">
        <f>ProjectInput[[#This Row],[Retrofit Cost]]</f>
        <v>0</v>
      </c>
      <c r="D299" s="2">
        <f>ProjectInput[[#This Row],[Proposed Fixture Quantity]]</f>
        <v>0</v>
      </c>
      <c r="E299" s="2" t="str">
        <f>CONCATENATE("Replace ", ReviewCalcs[[#This Row],[Existing Fixture Code]], " with ", ReviewCalcs[[#This Row],[Proposed Fixture Code]])</f>
        <v>Replace 0 with 0</v>
      </c>
      <c r="F299" s="2">
        <f>ReviewCalcs[[#This Row],[Measure Type]]</f>
        <v>0</v>
      </c>
      <c r="G299" s="2" t="str">
        <f>IF(Instructions!$F$25="Post-Retrofit","Completed","Recommended")</f>
        <v>Recommended</v>
      </c>
      <c r="H299" s="4">
        <f>ReviewCalcs[[#This Row],[Incentive Total Energy Savings (kWh)]]</f>
        <v>0</v>
      </c>
      <c r="I299" s="2">
        <f>ReviewCalcs[[#This Row],[Incentive Total Demand Savings (kW)]]</f>
        <v>0</v>
      </c>
      <c r="J299" s="3">
        <f>ProjectInput[[#This Row],[Energy Cost Savings ($)]]</f>
        <v>0</v>
      </c>
      <c r="K299" s="3">
        <f>ProjectInput[[#This Row],[Incentive ($)]]</f>
        <v>0</v>
      </c>
      <c r="L299" s="13">
        <f t="shared" si="5"/>
        <v>0</v>
      </c>
      <c r="M299" s="3"/>
      <c r="N299" s="3"/>
      <c r="O299" s="3"/>
      <c r="P299" s="3"/>
      <c r="Q299" s="3"/>
      <c r="R299" s="3"/>
      <c r="S299" s="3"/>
      <c r="T299" s="2"/>
      <c r="U299" s="133">
        <f>ProjectInput[[#This Row],[Location]]</f>
        <v>0</v>
      </c>
      <c r="V299" s="278">
        <f>ProjectInput[[#This Row],[Existing Fixture Code]]</f>
        <v>0</v>
      </c>
      <c r="W299"/>
      <c r="X299"/>
      <c r="Y299"/>
      <c r="Z299"/>
      <c r="AA299"/>
      <c r="AB299"/>
      <c r="AC299"/>
      <c r="AD299"/>
      <c r="AE299"/>
      <c r="AF299"/>
      <c r="AG299"/>
      <c r="AH299"/>
      <c r="AI299"/>
      <c r="AJ299"/>
      <c r="AK299"/>
      <c r="AL299"/>
      <c r="AM299"/>
      <c r="AN299"/>
      <c r="AO299"/>
    </row>
    <row r="300" spans="1:41" ht="15" customHeight="1">
      <c r="A300" s="2">
        <v>297</v>
      </c>
      <c r="B300" s="2"/>
      <c r="C300" s="3">
        <f>ProjectInput[[#This Row],[Retrofit Cost]]</f>
        <v>0</v>
      </c>
      <c r="D300" s="2">
        <f>ProjectInput[[#This Row],[Proposed Fixture Quantity]]</f>
        <v>0</v>
      </c>
      <c r="E300" s="2" t="str">
        <f>CONCATENATE("Replace ", ReviewCalcs[[#This Row],[Existing Fixture Code]], " with ", ReviewCalcs[[#This Row],[Proposed Fixture Code]])</f>
        <v>Replace 0 with 0</v>
      </c>
      <c r="F300" s="2">
        <f>ReviewCalcs[[#This Row],[Measure Type]]</f>
        <v>0</v>
      </c>
      <c r="G300" s="2" t="str">
        <f>IF(Instructions!$F$25="Post-Retrofit","Completed","Recommended")</f>
        <v>Recommended</v>
      </c>
      <c r="H300" s="4">
        <f>ReviewCalcs[[#This Row],[Incentive Total Energy Savings (kWh)]]</f>
        <v>0</v>
      </c>
      <c r="I300" s="2">
        <f>ReviewCalcs[[#This Row],[Incentive Total Demand Savings (kW)]]</f>
        <v>0</v>
      </c>
      <c r="J300" s="3">
        <f>ProjectInput[[#This Row],[Energy Cost Savings ($)]]</f>
        <v>0</v>
      </c>
      <c r="K300" s="3">
        <f>ProjectInput[[#This Row],[Incentive ($)]]</f>
        <v>0</v>
      </c>
      <c r="L300" s="13">
        <f t="shared" si="5"/>
        <v>0</v>
      </c>
      <c r="M300" s="3"/>
      <c r="N300" s="3"/>
      <c r="O300" s="3"/>
      <c r="P300" s="3"/>
      <c r="Q300" s="3"/>
      <c r="R300" s="3"/>
      <c r="S300" s="3"/>
      <c r="T300" s="2"/>
      <c r="U300" s="133">
        <f>ProjectInput[[#This Row],[Location]]</f>
        <v>0</v>
      </c>
      <c r="V300" s="278">
        <f>ProjectInput[[#This Row],[Existing Fixture Code]]</f>
        <v>0</v>
      </c>
      <c r="W300"/>
      <c r="X300"/>
      <c r="Y300"/>
      <c r="Z300"/>
      <c r="AA300"/>
      <c r="AB300"/>
      <c r="AC300"/>
      <c r="AD300"/>
      <c r="AE300"/>
      <c r="AF300"/>
      <c r="AG300"/>
      <c r="AH300"/>
      <c r="AI300"/>
      <c r="AJ300"/>
      <c r="AK300"/>
      <c r="AL300"/>
      <c r="AM300"/>
      <c r="AN300"/>
      <c r="AO300"/>
    </row>
    <row r="301" spans="1:41" ht="15" customHeight="1">
      <c r="A301" s="2">
        <v>298</v>
      </c>
      <c r="B301" s="2"/>
      <c r="C301" s="3">
        <f>ProjectInput[[#This Row],[Retrofit Cost]]</f>
        <v>0</v>
      </c>
      <c r="D301" s="2">
        <f>ProjectInput[[#This Row],[Proposed Fixture Quantity]]</f>
        <v>0</v>
      </c>
      <c r="E301" s="2" t="str">
        <f>CONCATENATE("Replace ", ReviewCalcs[[#This Row],[Existing Fixture Code]], " with ", ReviewCalcs[[#This Row],[Proposed Fixture Code]])</f>
        <v>Replace 0 with 0</v>
      </c>
      <c r="F301" s="2">
        <f>ReviewCalcs[[#This Row],[Measure Type]]</f>
        <v>0</v>
      </c>
      <c r="G301" s="2" t="str">
        <f>IF(Instructions!$F$25="Post-Retrofit","Completed","Recommended")</f>
        <v>Recommended</v>
      </c>
      <c r="H301" s="4">
        <f>ReviewCalcs[[#This Row],[Incentive Total Energy Savings (kWh)]]</f>
        <v>0</v>
      </c>
      <c r="I301" s="2">
        <f>ReviewCalcs[[#This Row],[Incentive Total Demand Savings (kW)]]</f>
        <v>0</v>
      </c>
      <c r="J301" s="3">
        <f>ProjectInput[[#This Row],[Energy Cost Savings ($)]]</f>
        <v>0</v>
      </c>
      <c r="K301" s="3">
        <f>ProjectInput[[#This Row],[Incentive ($)]]</f>
        <v>0</v>
      </c>
      <c r="L301" s="13">
        <f t="shared" ref="L301:L303" si="6">IF(C301&lt;&gt;0,(C301-K301)/J301,0)</f>
        <v>0</v>
      </c>
      <c r="M301" s="3"/>
      <c r="N301" s="3"/>
      <c r="O301" s="3"/>
      <c r="P301" s="3"/>
      <c r="Q301" s="3"/>
      <c r="R301" s="3"/>
      <c r="S301" s="3"/>
      <c r="T301" s="2"/>
      <c r="U301" s="133">
        <f>ProjectInput[[#This Row],[Location]]</f>
        <v>0</v>
      </c>
      <c r="V301" s="278">
        <f>ProjectInput[[#This Row],[Existing Fixture Code]]</f>
        <v>0</v>
      </c>
    </row>
    <row r="302" spans="1:41" ht="15" customHeight="1">
      <c r="A302" s="2">
        <v>299</v>
      </c>
      <c r="B302" s="2"/>
      <c r="C302" s="3">
        <f>ProjectInput[[#This Row],[Retrofit Cost]]</f>
        <v>0</v>
      </c>
      <c r="D302" s="2">
        <f>ProjectInput[[#This Row],[Proposed Fixture Quantity]]</f>
        <v>0</v>
      </c>
      <c r="E302" s="2" t="str">
        <f>CONCATENATE("Replace ", ReviewCalcs[[#This Row],[Existing Fixture Code]], " with ", ReviewCalcs[[#This Row],[Proposed Fixture Code]])</f>
        <v>Replace 0 with 0</v>
      </c>
      <c r="F302" s="2">
        <f>ReviewCalcs[[#This Row],[Measure Type]]</f>
        <v>0</v>
      </c>
      <c r="G302" s="2" t="str">
        <f>IF(Instructions!$F$25="Post-Retrofit","Completed","Recommended")</f>
        <v>Recommended</v>
      </c>
      <c r="H302" s="4">
        <f>ReviewCalcs[[#This Row],[Incentive Total Energy Savings (kWh)]]</f>
        <v>0</v>
      </c>
      <c r="I302" s="2">
        <f>ReviewCalcs[[#This Row],[Incentive Total Demand Savings (kW)]]</f>
        <v>0</v>
      </c>
      <c r="J302" s="3">
        <f>ProjectInput[[#This Row],[Energy Cost Savings ($)]]</f>
        <v>0</v>
      </c>
      <c r="K302" s="3">
        <f>ProjectInput[[#This Row],[Incentive ($)]]</f>
        <v>0</v>
      </c>
      <c r="L302" s="13">
        <f t="shared" si="6"/>
        <v>0</v>
      </c>
      <c r="M302" s="3"/>
      <c r="N302" s="3"/>
      <c r="O302" s="3"/>
      <c r="P302" s="3"/>
      <c r="Q302" s="3"/>
      <c r="R302" s="3"/>
      <c r="S302" s="3"/>
      <c r="T302" s="2"/>
      <c r="U302" s="133">
        <f>ProjectInput[[#This Row],[Location]]</f>
        <v>0</v>
      </c>
      <c r="V302" s="278">
        <f>ProjectInput[[#This Row],[Existing Fixture Code]]</f>
        <v>0</v>
      </c>
    </row>
    <row r="303" spans="1:41" ht="15" customHeight="1">
      <c r="A303" s="2">
        <v>300</v>
      </c>
      <c r="B303" s="2"/>
      <c r="C303" s="3">
        <f>ProjectInput[[#This Row],[Retrofit Cost]]</f>
        <v>0</v>
      </c>
      <c r="D303" s="2">
        <f>ProjectInput[[#This Row],[Proposed Fixture Quantity]]</f>
        <v>0</v>
      </c>
      <c r="E303" s="2" t="str">
        <f>CONCATENATE("Replace ", ReviewCalcs[[#This Row],[Existing Fixture Code]], " with ", ReviewCalcs[[#This Row],[Proposed Fixture Code]])</f>
        <v>Replace 0 with 0</v>
      </c>
      <c r="F303" s="2">
        <f>ReviewCalcs[[#This Row],[Measure Type]]</f>
        <v>0</v>
      </c>
      <c r="G303" s="2" t="str">
        <f>IF(Instructions!$F$25="Post-Retrofit","Completed","Recommended")</f>
        <v>Recommended</v>
      </c>
      <c r="H303" s="4">
        <f>ReviewCalcs[[#This Row],[Incentive Total Energy Savings (kWh)]]</f>
        <v>0</v>
      </c>
      <c r="I303" s="2">
        <f>ReviewCalcs[[#This Row],[Incentive Total Demand Savings (kW)]]</f>
        <v>0</v>
      </c>
      <c r="J303" s="3">
        <f>ProjectInput[[#This Row],[Energy Cost Savings ($)]]</f>
        <v>0</v>
      </c>
      <c r="K303" s="3">
        <f>ProjectInput[[#This Row],[Incentive ($)]]</f>
        <v>0</v>
      </c>
      <c r="L303" s="13">
        <f t="shared" si="6"/>
        <v>0</v>
      </c>
      <c r="M303" s="3"/>
      <c r="N303" s="3"/>
      <c r="O303" s="3"/>
      <c r="P303" s="3"/>
      <c r="Q303" s="3"/>
      <c r="R303" s="3"/>
      <c r="S303" s="3"/>
      <c r="T303" s="2"/>
      <c r="U303" s="133">
        <f>ProjectInput[[#This Row],[Location]]</f>
        <v>0</v>
      </c>
      <c r="V303" s="278">
        <f>ProjectInput[[#This Row],[Existing Fixture Code]]</f>
        <v>0</v>
      </c>
    </row>
  </sheetData>
  <mergeCells count="3">
    <mergeCell ref="H2:J2"/>
    <mergeCell ref="M2:R2"/>
    <mergeCell ref="V2:V3"/>
  </mergeCells>
  <dataValidations count="1">
    <dataValidation type="list" allowBlank="1" showInputMessage="1" showErrorMessage="1" sqref="AB4 G4:G303" xr:uid="{00000000-0002-0000-0700-000000000000}">
      <formula1>"Recommended, Completed, Not Completed"</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AO320"/>
  <sheetViews>
    <sheetView topLeftCell="G1" zoomScale="90" zoomScaleNormal="90" workbookViewId="0">
      <pane ySplit="3" topLeftCell="A4" activePane="bottomLeft" state="frozen"/>
      <selection activeCell="E244" sqref="E244"/>
      <selection pane="bottomLeft" activeCell="L4" sqref="L4"/>
    </sheetView>
  </sheetViews>
  <sheetFormatPr defaultColWidth="8.81640625" defaultRowHeight="14.5"/>
  <cols>
    <col min="1" max="1" width="8.26953125" customWidth="1"/>
    <col min="2" max="2" width="27.1796875" customWidth="1"/>
    <col min="3" max="3" width="14" customWidth="1"/>
    <col min="4" max="4" width="9" customWidth="1"/>
    <col min="5" max="5" width="58.1796875" customWidth="1"/>
    <col min="6" max="6" width="19.81640625" hidden="1" customWidth="1"/>
    <col min="7" max="8" width="19.81640625" customWidth="1"/>
    <col min="9" max="9" width="15.81640625" customWidth="1"/>
    <col min="10" max="10" width="16.453125" customWidth="1"/>
    <col min="11" max="11" width="12.1796875" customWidth="1"/>
    <col min="12" max="13" width="17.453125" customWidth="1"/>
    <col min="14" max="19" width="17.453125" hidden="1" customWidth="1"/>
    <col min="20" max="20" width="26.7265625" hidden="1" customWidth="1"/>
    <col min="21" max="21" width="49.453125" hidden="1" customWidth="1"/>
    <col min="22" max="39" width="8.81640625" style="7"/>
    <col min="40" max="40" width="41.453125" style="7" customWidth="1"/>
    <col min="41" max="41" width="8.81640625" style="7"/>
  </cols>
  <sheetData>
    <row r="2" spans="1:41" ht="15.75" customHeight="1">
      <c r="A2" s="11"/>
      <c r="B2" s="11"/>
      <c r="C2" s="11"/>
      <c r="D2" s="11"/>
      <c r="E2" s="131"/>
      <c r="F2" s="131"/>
      <c r="G2" s="131"/>
      <c r="H2" s="131"/>
      <c r="I2" s="337" t="s">
        <v>111</v>
      </c>
      <c r="J2" s="338"/>
      <c r="K2" s="339"/>
      <c r="L2" s="157" t="s">
        <v>130</v>
      </c>
      <c r="M2" s="11" t="s">
        <v>120</v>
      </c>
      <c r="N2" s="340" t="s">
        <v>121</v>
      </c>
      <c r="O2" s="340"/>
      <c r="P2" s="340"/>
      <c r="Q2" s="340"/>
      <c r="R2" s="340"/>
      <c r="S2" s="340"/>
      <c r="T2" s="11"/>
      <c r="U2" s="11"/>
      <c r="V2" s="5"/>
      <c r="W2" s="5"/>
      <c r="X2" s="5"/>
      <c r="Y2" s="5"/>
      <c r="Z2" s="5"/>
      <c r="AA2" s="5"/>
      <c r="AB2" s="5"/>
      <c r="AC2" s="5"/>
      <c r="AD2" s="5"/>
      <c r="AE2" s="5"/>
      <c r="AF2" s="6"/>
      <c r="AG2" s="6"/>
      <c r="AH2" s="5"/>
      <c r="AI2" s="5"/>
      <c r="AJ2" s="5"/>
      <c r="AK2" s="5"/>
      <c r="AL2" s="5"/>
      <c r="AM2" s="5"/>
      <c r="AN2" s="5"/>
      <c r="AO2" s="5"/>
    </row>
    <row r="3" spans="1:41" ht="31">
      <c r="A3" s="12" t="s">
        <v>112</v>
      </c>
      <c r="B3" s="12" t="s">
        <v>113</v>
      </c>
      <c r="C3" s="12" t="s">
        <v>114</v>
      </c>
      <c r="D3" s="12" t="s">
        <v>10</v>
      </c>
      <c r="E3" s="275" t="s">
        <v>3887</v>
      </c>
      <c r="F3" s="132" t="s">
        <v>3888</v>
      </c>
      <c r="G3" s="275" t="s">
        <v>4030</v>
      </c>
      <c r="H3" s="275" t="s">
        <v>4031</v>
      </c>
      <c r="I3" s="12" t="s">
        <v>115</v>
      </c>
      <c r="J3" s="12" t="s">
        <v>116</v>
      </c>
      <c r="K3" s="12" t="s">
        <v>117</v>
      </c>
      <c r="L3" s="157" t="s">
        <v>122</v>
      </c>
      <c r="M3" s="157" t="s">
        <v>123</v>
      </c>
      <c r="N3" s="157" t="s">
        <v>124</v>
      </c>
      <c r="O3" s="157" t="s">
        <v>125</v>
      </c>
      <c r="P3" s="157" t="s">
        <v>126</v>
      </c>
      <c r="Q3" s="157" t="s">
        <v>127</v>
      </c>
      <c r="R3" s="157" t="s">
        <v>128</v>
      </c>
      <c r="S3" s="157" t="s">
        <v>129</v>
      </c>
      <c r="T3" s="157" t="s">
        <v>118</v>
      </c>
      <c r="U3" s="12" t="s">
        <v>119</v>
      </c>
      <c r="V3" s="5"/>
      <c r="W3" s="5"/>
      <c r="X3" s="5"/>
      <c r="Y3" s="6"/>
      <c r="Z3" s="6"/>
      <c r="AA3" s="6"/>
      <c r="AB3" s="6"/>
      <c r="AC3" s="6"/>
      <c r="AD3" s="6"/>
      <c r="AE3" s="6"/>
      <c r="AF3" s="6"/>
      <c r="AG3" s="6"/>
      <c r="AH3" s="6"/>
      <c r="AI3" s="6"/>
      <c r="AJ3" s="6"/>
      <c r="AK3" s="6"/>
      <c r="AL3" s="6"/>
      <c r="AM3" s="6"/>
      <c r="AN3" s="5"/>
      <c r="AO3" s="5"/>
    </row>
    <row r="4" spans="1:41">
      <c r="A4" s="2">
        <v>1</v>
      </c>
      <c r="B4" s="2">
        <f>IFERROR(_xlfn.IFNA(VLOOKUP(E4,Summary_Pre!E:F,2,FALSE),0),0)</f>
        <v>0</v>
      </c>
      <c r="C4" s="3">
        <f>SUMIF(Summary_Pre!E:E,"="&amp; E4,Summary_Pre!C:C)</f>
        <v>0</v>
      </c>
      <c r="D4" s="134">
        <f>SUMIF(Summary_Pre!E:E,"="&amp; E4,Summary_Pre!D:D)</f>
        <v>0</v>
      </c>
      <c r="E4" s="158" t="str">
        <f t="array" ref="E4">INDEX(Summary_Pre!E$4:E$303, MATCH(0, COUNTIF($E$3:E3,Summary_Pre!E$4:E$303), 0))</f>
        <v>Replace 0 with 0</v>
      </c>
      <c r="F4" s="2" t="str">
        <f>IF(Instructions!F25="Post-Retrofit","Completed","Recommended")</f>
        <v>Recommended</v>
      </c>
      <c r="G4" s="2"/>
      <c r="H4" s="2"/>
      <c r="I4" s="4">
        <f>SUMIF(Summary_Pre!E:E,"="&amp; E4,Summary_Pre!H:H)</f>
        <v>0</v>
      </c>
      <c r="J4" s="2">
        <f>SUMIF(Summary_Pre!E:E,"="&amp; E4,Summary_Pre!I:I)</f>
        <v>0</v>
      </c>
      <c r="K4" s="3">
        <f>SUMIF(Summary_Pre!E:E,"="&amp; E4,Summary_Pre!J:J)</f>
        <v>0</v>
      </c>
      <c r="L4" s="3">
        <f>SUMIF(Summary_Pre!E:E,"="&amp; E4,Summary_Pre!K:K)</f>
        <v>0</v>
      </c>
      <c r="M4" s="13">
        <f>IF(K4&lt;&gt;0,(C4-L4)/K4,0)</f>
        <v>0</v>
      </c>
      <c r="N4" s="3"/>
      <c r="O4" s="3"/>
      <c r="P4" s="3"/>
      <c r="Q4" s="3"/>
      <c r="R4" s="3"/>
      <c r="S4" s="3"/>
      <c r="T4" s="3"/>
      <c r="U4" s="2"/>
      <c r="Y4" s="8"/>
      <c r="AE4" s="8"/>
      <c r="AF4" s="9"/>
      <c r="AH4" s="9"/>
      <c r="AI4" s="9"/>
      <c r="AJ4" s="9"/>
      <c r="AK4" s="9"/>
      <c r="AL4" s="9"/>
      <c r="AM4" s="9"/>
    </row>
    <row r="5" spans="1:41">
      <c r="A5" s="2">
        <v>2</v>
      </c>
      <c r="B5" s="2">
        <f>IFERROR(_xlfn.IFNA(VLOOKUP(E5,Summary_Pre!E:F,2,FALSE),0),0)</f>
        <v>0</v>
      </c>
      <c r="C5" s="3">
        <f>SUMIF(Summary_Pre!E:E,"="&amp; E5,Summary_Pre!C:C)</f>
        <v>0</v>
      </c>
      <c r="D5" s="134">
        <f>SUMIF(Summary_Pre!E:E,"="&amp; E5,Summary_Pre!D:D)</f>
        <v>0</v>
      </c>
      <c r="E5" s="158" t="e">
        <f t="array" ref="E5">INDEX(Summary_Pre!E$4:E$303, MATCH(0, COUNTIF($E$3:E4,Summary_Pre!E$4:E$303), 0))</f>
        <v>#N/A</v>
      </c>
      <c r="F5" s="2" t="str">
        <f>IF(Instructions!F25="Post-Retrofit","Completed","Recommended")</f>
        <v>Recommended</v>
      </c>
      <c r="G5" s="2"/>
      <c r="H5" s="2"/>
      <c r="I5" s="4">
        <f>SUMIF(Summary_Pre!E:E,"="&amp; E5,Summary_Pre!H:H)</f>
        <v>0</v>
      </c>
      <c r="J5" s="2">
        <f>SUMIF(Summary_Pre!E:E,"="&amp; E5,Summary_Pre!I:I)</f>
        <v>0</v>
      </c>
      <c r="K5" s="3">
        <f>SUMIF(Summary_Pre!E:E,"="&amp; E5,Summary_Pre!J:J)</f>
        <v>0</v>
      </c>
      <c r="L5" s="3">
        <f>SUMIF(Summary_Pre!E:E,"="&amp; E5,Summary_Pre!K:K)</f>
        <v>0</v>
      </c>
      <c r="M5" s="13">
        <f>IF(K5&lt;&gt;0,(C5-L5)/K5,0)</f>
        <v>0</v>
      </c>
      <c r="N5" s="3"/>
      <c r="O5" s="3"/>
      <c r="P5" s="3"/>
      <c r="Q5" s="3"/>
      <c r="R5" s="3"/>
      <c r="S5" s="3"/>
      <c r="T5" s="3"/>
      <c r="U5" s="2"/>
    </row>
    <row r="6" spans="1:41">
      <c r="A6" s="2">
        <v>3</v>
      </c>
      <c r="B6" s="2">
        <f>IFERROR(_xlfn.IFNA(VLOOKUP(E6,Summary_Pre!E:F,2,FALSE),0),0)</f>
        <v>0</v>
      </c>
      <c r="C6" s="3">
        <f>SUMIF(Summary_Pre!E:E,"="&amp; E6,Summary_Pre!C:C)</f>
        <v>0</v>
      </c>
      <c r="D6" s="134">
        <f>SUMIF(Summary_Pre!E:E,"="&amp; E6,Summary_Pre!D:D)</f>
        <v>0</v>
      </c>
      <c r="E6" s="158" t="e">
        <f t="array" ref="E6">INDEX(Summary_Pre!E$4:E$303, MATCH(0, COUNTIF($E$3:E5,Summary_Pre!E$4:E$303), 0))</f>
        <v>#N/A</v>
      </c>
      <c r="F6" s="2" t="str">
        <f>IF(Instructions!F25="Post-Retrofit","Completed","Recommended")</f>
        <v>Recommended</v>
      </c>
      <c r="G6" s="2"/>
      <c r="H6" s="2"/>
      <c r="I6" s="4">
        <f>SUMIF(Summary_Pre!E:E,"="&amp; E6,Summary_Pre!H:H)</f>
        <v>0</v>
      </c>
      <c r="J6" s="2">
        <f>SUMIF(Summary_Pre!E:E,"="&amp; E6,Summary_Pre!I:I)</f>
        <v>0</v>
      </c>
      <c r="K6" s="3">
        <f>SUMIF(Summary_Pre!E:E,"="&amp; E6,Summary_Pre!J:J)</f>
        <v>0</v>
      </c>
      <c r="L6" s="3">
        <f>SUMIF(Summary_Pre!E:E,"="&amp; E6,Summary_Pre!K:K)</f>
        <v>0</v>
      </c>
      <c r="M6" s="13">
        <f t="shared" ref="M6:M53" si="0">IF(K6&lt;&gt;0,(C6-L6)/K6,0)</f>
        <v>0</v>
      </c>
      <c r="N6" s="3"/>
      <c r="O6" s="3"/>
      <c r="P6" s="3"/>
      <c r="Q6" s="3"/>
      <c r="R6" s="3"/>
      <c r="S6" s="3"/>
      <c r="T6" s="3"/>
      <c r="U6" s="2"/>
    </row>
    <row r="7" spans="1:41">
      <c r="A7" s="2">
        <v>4</v>
      </c>
      <c r="B7" s="2">
        <f>IFERROR(_xlfn.IFNA(VLOOKUP(E7,Summary_Pre!E:F,2,FALSE),0),0)</f>
        <v>0</v>
      </c>
      <c r="C7" s="3">
        <f>SUMIF(Summary_Pre!E:E,"="&amp; E7,Summary_Pre!C:C)</f>
        <v>0</v>
      </c>
      <c r="D7" s="134">
        <f>SUMIF(Summary_Pre!E:E,"="&amp; E7,Summary_Pre!D:D)</f>
        <v>0</v>
      </c>
      <c r="E7" s="158" t="e">
        <f t="array" ref="E7">INDEX(Summary_Pre!E$4:E$303, MATCH(0, COUNTIF($E$3:E6,Summary_Pre!E$4:E$303), 0))</f>
        <v>#N/A</v>
      </c>
      <c r="F7" s="2" t="str">
        <f>IF(Instructions!F25="Post-Retrofit","Completed","Recommended")</f>
        <v>Recommended</v>
      </c>
      <c r="G7" s="2"/>
      <c r="H7" s="2"/>
      <c r="I7" s="4">
        <f>SUMIF(Summary_Pre!E:E,"="&amp; E7,Summary_Pre!H:H)</f>
        <v>0</v>
      </c>
      <c r="J7" s="2">
        <f>SUMIF(Summary_Pre!E:E,"="&amp; E7,Summary_Pre!I:I)</f>
        <v>0</v>
      </c>
      <c r="K7" s="3">
        <f>SUMIF(Summary_Pre!E:E,"="&amp; E7,Summary_Pre!J:J)</f>
        <v>0</v>
      </c>
      <c r="L7" s="3">
        <f>SUMIF(Summary_Pre!E:E,"="&amp; E7,Summary_Pre!K:K)</f>
        <v>0</v>
      </c>
      <c r="M7" s="13">
        <f t="shared" si="0"/>
        <v>0</v>
      </c>
      <c r="N7" s="3"/>
      <c r="O7" s="3"/>
      <c r="P7" s="3"/>
      <c r="Q7" s="3"/>
      <c r="R7" s="3"/>
      <c r="S7" s="3"/>
      <c r="T7" s="3"/>
      <c r="U7" s="2"/>
    </row>
    <row r="8" spans="1:41">
      <c r="A8" s="2">
        <v>5</v>
      </c>
      <c r="B8" s="2">
        <f>IFERROR(_xlfn.IFNA(VLOOKUP(E8,Summary_Pre!E:F,2,FALSE),0),0)</f>
        <v>0</v>
      </c>
      <c r="C8" s="3">
        <f>SUMIF(Summary_Pre!E:E,"="&amp; E8,Summary_Pre!C:C)</f>
        <v>0</v>
      </c>
      <c r="D8" s="134">
        <f>SUMIF(Summary_Pre!E:E,"="&amp; E8,Summary_Pre!D:D)</f>
        <v>0</v>
      </c>
      <c r="E8" s="158" t="e">
        <f t="array" ref="E8">INDEX(Summary_Pre!E$4:E$303, MATCH(0, COUNTIF($E$3:E7,Summary_Pre!E$4:E$303), 0))</f>
        <v>#N/A</v>
      </c>
      <c r="F8" s="2" t="str">
        <f>IF(Instructions!F25="Post-Retrofit","Completed","Recommended")</f>
        <v>Recommended</v>
      </c>
      <c r="G8" s="2"/>
      <c r="H8" s="2"/>
      <c r="I8" s="4">
        <f>SUMIF(Summary_Pre!E:E,"="&amp; E8,Summary_Pre!H:H)</f>
        <v>0</v>
      </c>
      <c r="J8" s="2">
        <f>SUMIF(Summary_Pre!E:E,"="&amp; E8,Summary_Pre!I:I)</f>
        <v>0</v>
      </c>
      <c r="K8" s="3">
        <f>SUMIF(Summary_Pre!E:E,"="&amp; E8,Summary_Pre!J:J)</f>
        <v>0</v>
      </c>
      <c r="L8" s="3">
        <f>SUMIF(Summary_Pre!E:E,"="&amp; E8,Summary_Pre!K:K)</f>
        <v>0</v>
      </c>
      <c r="M8" s="13">
        <f t="shared" si="0"/>
        <v>0</v>
      </c>
      <c r="N8" s="3"/>
      <c r="O8" s="3"/>
      <c r="P8" s="3"/>
      <c r="Q8" s="3"/>
      <c r="R8" s="3"/>
      <c r="S8" s="3"/>
      <c r="T8" s="3"/>
      <c r="U8" s="2"/>
    </row>
    <row r="9" spans="1:41">
      <c r="A9" s="2">
        <v>6</v>
      </c>
      <c r="B9" s="2">
        <f>IFERROR(_xlfn.IFNA(VLOOKUP(E9,Summary_Pre!E:F,2,FALSE),0),0)</f>
        <v>0</v>
      </c>
      <c r="C9" s="3">
        <f>SUMIF(Summary_Pre!E:E,"="&amp; E9,Summary_Pre!C:C)</f>
        <v>0</v>
      </c>
      <c r="D9" s="134">
        <f>SUMIF(Summary_Pre!E:E,"="&amp; E9,Summary_Pre!D:D)</f>
        <v>0</v>
      </c>
      <c r="E9" s="158" t="e">
        <f t="array" ref="E9">INDEX(Summary_Pre!E$4:E$303, MATCH(0, COUNTIF($E$3:E8,Summary_Pre!E$4:E$303), 0))</f>
        <v>#N/A</v>
      </c>
      <c r="F9" s="2" t="str">
        <f>IF(Instructions!F25="Post-Retrofit","Completed","Recommended")</f>
        <v>Recommended</v>
      </c>
      <c r="G9" s="2"/>
      <c r="H9" s="2"/>
      <c r="I9" s="4">
        <f>SUMIF(Summary_Pre!E:E,"="&amp; E9,Summary_Pre!H:H)</f>
        <v>0</v>
      </c>
      <c r="J9" s="2">
        <f>SUMIF(Summary_Pre!E:E,"="&amp; E9,Summary_Pre!I:I)</f>
        <v>0</v>
      </c>
      <c r="K9" s="3">
        <f>SUMIF(Summary_Pre!E:E,"="&amp; E9,Summary_Pre!J:J)</f>
        <v>0</v>
      </c>
      <c r="L9" s="3">
        <f>SUMIF(Summary_Pre!E:E,"="&amp; E9,Summary_Pre!K:K)</f>
        <v>0</v>
      </c>
      <c r="M9" s="13">
        <f t="shared" si="0"/>
        <v>0</v>
      </c>
      <c r="N9" s="3"/>
      <c r="O9" s="3"/>
      <c r="P9" s="3"/>
      <c r="Q9" s="3"/>
      <c r="R9" s="3"/>
      <c r="S9" s="3"/>
      <c r="T9" s="3"/>
      <c r="U9" s="2"/>
    </row>
    <row r="10" spans="1:41">
      <c r="A10" s="2">
        <v>7</v>
      </c>
      <c r="B10" s="2">
        <f>IFERROR(_xlfn.IFNA(VLOOKUP(E10,Summary_Pre!E:F,2,FALSE),0),0)</f>
        <v>0</v>
      </c>
      <c r="C10" s="3">
        <f>SUMIF(Summary_Pre!E:E,"="&amp; E10,Summary_Pre!C:C)</f>
        <v>0</v>
      </c>
      <c r="D10" s="134">
        <f>SUMIF(Summary_Pre!E:E,"="&amp; E10,Summary_Pre!D:D)</f>
        <v>0</v>
      </c>
      <c r="E10" s="158" t="e">
        <f t="array" ref="E10">INDEX(Summary_Pre!E$4:E$303, MATCH(0, COUNTIF($E$3:E9,Summary_Pre!E$4:E$303), 0))</f>
        <v>#N/A</v>
      </c>
      <c r="F10" s="2" t="str">
        <f>IF(Instructions!F25="Post-Retrofit","Completed","Recommended")</f>
        <v>Recommended</v>
      </c>
      <c r="G10" s="2"/>
      <c r="H10" s="2"/>
      <c r="I10" s="4">
        <f>SUMIF(Summary_Pre!E:E,"="&amp; E10,Summary_Pre!H:H)</f>
        <v>0</v>
      </c>
      <c r="J10" s="2">
        <f>SUMIF(Summary_Pre!E:E,"="&amp; E10,Summary_Pre!I:I)</f>
        <v>0</v>
      </c>
      <c r="K10" s="3">
        <f>SUMIF(Summary_Pre!E:E,"="&amp; E10,Summary_Pre!J:J)</f>
        <v>0</v>
      </c>
      <c r="L10" s="3">
        <f>SUMIF(Summary_Pre!E:E,"="&amp; E10,Summary_Pre!K:K)</f>
        <v>0</v>
      </c>
      <c r="M10" s="13">
        <f t="shared" si="0"/>
        <v>0</v>
      </c>
      <c r="N10" s="3"/>
      <c r="O10" s="3"/>
      <c r="P10" s="3"/>
      <c r="Q10" s="3"/>
      <c r="R10" s="3"/>
      <c r="S10" s="3"/>
      <c r="T10" s="3"/>
      <c r="U10" s="2"/>
    </row>
    <row r="11" spans="1:41">
      <c r="A11" s="2">
        <v>8</v>
      </c>
      <c r="B11" s="2">
        <f>IFERROR(_xlfn.IFNA(VLOOKUP(E11,Summary_Pre!E:F,2,FALSE),0),0)</f>
        <v>0</v>
      </c>
      <c r="C11" s="3">
        <f>SUMIF(Summary_Pre!E:E,"="&amp; E11,Summary_Pre!C:C)</f>
        <v>0</v>
      </c>
      <c r="D11" s="134">
        <f>SUMIF(Summary_Pre!E:E,"="&amp; E11,Summary_Pre!D:D)</f>
        <v>0</v>
      </c>
      <c r="E11" s="158" t="e">
        <f t="array" ref="E11">INDEX(Summary_Pre!E$4:E$303, MATCH(0, COUNTIF($E$3:E10,Summary_Pre!E$4:E$303), 0))</f>
        <v>#N/A</v>
      </c>
      <c r="F11" s="2" t="str">
        <f>IF(Instructions!F25="Post-Retrofit","Completed","Recommended")</f>
        <v>Recommended</v>
      </c>
      <c r="G11" s="2"/>
      <c r="H11" s="2"/>
      <c r="I11" s="4">
        <f>SUMIF(Summary_Pre!E:E,"="&amp; E11,Summary_Pre!H:H)</f>
        <v>0</v>
      </c>
      <c r="J11" s="2">
        <f>SUMIF(Summary_Pre!E:E,"="&amp; E11,Summary_Pre!I:I)</f>
        <v>0</v>
      </c>
      <c r="K11" s="3">
        <f>SUMIF(Summary_Pre!E:E,"="&amp; E11,Summary_Pre!J:J)</f>
        <v>0</v>
      </c>
      <c r="L11" s="3">
        <f>SUMIF(Summary_Pre!E:E,"="&amp; E11,Summary_Pre!K:K)</f>
        <v>0</v>
      </c>
      <c r="M11" s="13">
        <f t="shared" si="0"/>
        <v>0</v>
      </c>
      <c r="N11" s="3"/>
      <c r="O11" s="3"/>
      <c r="P11" s="3"/>
      <c r="Q11" s="3"/>
      <c r="R11" s="3"/>
      <c r="S11" s="3"/>
      <c r="T11" s="3"/>
      <c r="U11" s="2"/>
    </row>
    <row r="12" spans="1:41">
      <c r="A12" s="2">
        <v>9</v>
      </c>
      <c r="B12" s="2">
        <f>IFERROR(_xlfn.IFNA(VLOOKUP(E12,Summary_Pre!E:F,2,FALSE),0),0)</f>
        <v>0</v>
      </c>
      <c r="C12" s="3">
        <f>SUMIF(Summary_Pre!E:E,"="&amp; E12,Summary_Pre!C:C)</f>
        <v>0</v>
      </c>
      <c r="D12" s="134">
        <f>SUMIF(Summary_Pre!E:E,"="&amp; E12,Summary_Pre!D:D)</f>
        <v>0</v>
      </c>
      <c r="E12" s="158" t="e">
        <f t="array" ref="E12">INDEX(Summary_Pre!E$4:E$303, MATCH(0, COUNTIF($E$3:E11,Summary_Pre!E$4:E$303), 0))</f>
        <v>#N/A</v>
      </c>
      <c r="F12" s="2" t="str">
        <f>IF(Instructions!F25="Post-Retrofit","Completed","Recommended")</f>
        <v>Recommended</v>
      </c>
      <c r="G12" s="2"/>
      <c r="H12" s="2"/>
      <c r="I12" s="4">
        <f>SUMIF(Summary_Pre!E:E,"="&amp; E12,Summary_Pre!H:H)</f>
        <v>0</v>
      </c>
      <c r="J12" s="2">
        <f>SUMIF(Summary_Pre!E:E,"="&amp; E12,Summary_Pre!I:I)</f>
        <v>0</v>
      </c>
      <c r="K12" s="3">
        <f>SUMIF(Summary_Pre!E:E,"="&amp; E12,Summary_Pre!J:J)</f>
        <v>0</v>
      </c>
      <c r="L12" s="3">
        <f>SUMIF(Summary_Pre!E:E,"="&amp; E12,Summary_Pre!K:K)</f>
        <v>0</v>
      </c>
      <c r="M12" s="13">
        <f t="shared" si="0"/>
        <v>0</v>
      </c>
      <c r="N12" s="3"/>
      <c r="O12" s="3"/>
      <c r="P12" s="3"/>
      <c r="Q12" s="3"/>
      <c r="R12" s="3"/>
      <c r="S12" s="3"/>
      <c r="T12" s="3"/>
      <c r="U12" s="2"/>
    </row>
    <row r="13" spans="1:41">
      <c r="A13" s="2">
        <v>10</v>
      </c>
      <c r="B13" s="2">
        <f>IFERROR(_xlfn.IFNA(VLOOKUP(E13,Summary_Pre!E:F,2,FALSE),0),0)</f>
        <v>0</v>
      </c>
      <c r="C13" s="3">
        <f>SUMIF(Summary_Pre!E:E,"="&amp; E13,Summary_Pre!C:C)</f>
        <v>0</v>
      </c>
      <c r="D13" s="134">
        <f>SUMIF(Summary_Pre!E:E,"="&amp; E13,Summary_Pre!D:D)</f>
        <v>0</v>
      </c>
      <c r="E13" s="158" t="e">
        <f t="array" ref="E13">INDEX(Summary_Pre!E$4:E$303, MATCH(0, COUNTIF($E$3:E12,Summary_Pre!E$4:E$303), 0))</f>
        <v>#N/A</v>
      </c>
      <c r="F13" s="2" t="str">
        <f>IF(Instructions!F25="Post-Retrofit","Completed","Recommended")</f>
        <v>Recommended</v>
      </c>
      <c r="G13" s="2"/>
      <c r="H13" s="2"/>
      <c r="I13" s="4">
        <f>SUMIF(Summary_Pre!E:E,"="&amp; E13,Summary_Pre!H:H)</f>
        <v>0</v>
      </c>
      <c r="J13" s="2">
        <f>SUMIF(Summary_Pre!E:E,"="&amp; E13,Summary_Pre!I:I)</f>
        <v>0</v>
      </c>
      <c r="K13" s="3">
        <f>SUMIF(Summary_Pre!E:E,"="&amp; E13,Summary_Pre!J:J)</f>
        <v>0</v>
      </c>
      <c r="L13" s="3">
        <f>SUMIF(Summary_Pre!E:E,"="&amp; E13,Summary_Pre!K:K)</f>
        <v>0</v>
      </c>
      <c r="M13" s="13">
        <f t="shared" si="0"/>
        <v>0</v>
      </c>
      <c r="N13" s="3"/>
      <c r="O13" s="3"/>
      <c r="P13" s="3"/>
      <c r="Q13" s="3"/>
      <c r="R13" s="3"/>
      <c r="S13" s="3"/>
      <c r="T13" s="3"/>
      <c r="U13" s="2"/>
    </row>
    <row r="14" spans="1:41">
      <c r="A14" s="2">
        <v>11</v>
      </c>
      <c r="B14" s="2">
        <f>IFERROR(_xlfn.IFNA(VLOOKUP(E14,Summary_Pre!E:F,2,FALSE),0),0)</f>
        <v>0</v>
      </c>
      <c r="C14" s="3">
        <f>SUMIF(Summary_Pre!E:E,"="&amp; E14,Summary_Pre!C:C)</f>
        <v>0</v>
      </c>
      <c r="D14" s="134">
        <f>SUMIF(Summary_Pre!E:E,"="&amp; E14,Summary_Pre!D:D)</f>
        <v>0</v>
      </c>
      <c r="E14" s="158" t="e">
        <f t="array" ref="E14">INDEX(Summary_Pre!E$4:E$303, MATCH(0, COUNTIF($E$3:E13,Summary_Pre!E$4:E$303), 0))</f>
        <v>#N/A</v>
      </c>
      <c r="F14" s="2" t="str">
        <f>IF(Instructions!F25="Post-Retrofit","Completed","Recommended")</f>
        <v>Recommended</v>
      </c>
      <c r="G14" s="2"/>
      <c r="H14" s="2"/>
      <c r="I14" s="4">
        <f>SUMIF(Summary_Pre!E:E,"="&amp; E14,Summary_Pre!H:H)</f>
        <v>0</v>
      </c>
      <c r="J14" s="2">
        <f>SUMIF(Summary_Pre!E:E,"="&amp; E14,Summary_Pre!I:I)</f>
        <v>0</v>
      </c>
      <c r="K14" s="3">
        <f>SUMIF(Summary_Pre!E:E,"="&amp; E14,Summary_Pre!J:J)</f>
        <v>0</v>
      </c>
      <c r="L14" s="3">
        <f>SUMIF(Summary_Pre!E:E,"="&amp; E14,Summary_Pre!K:K)</f>
        <v>0</v>
      </c>
      <c r="M14" s="13">
        <f t="shared" si="0"/>
        <v>0</v>
      </c>
      <c r="N14" s="3"/>
      <c r="O14" s="3"/>
      <c r="P14" s="3"/>
      <c r="Q14" s="3"/>
      <c r="R14" s="3"/>
      <c r="S14" s="3"/>
      <c r="T14" s="3"/>
      <c r="U14" s="2"/>
    </row>
    <row r="15" spans="1:41">
      <c r="A15" s="2">
        <v>12</v>
      </c>
      <c r="B15" s="2">
        <f>IFERROR(_xlfn.IFNA(VLOOKUP(E15,Summary_Pre!E:F,2,FALSE),0),0)</f>
        <v>0</v>
      </c>
      <c r="C15" s="3">
        <f>SUMIF(Summary_Pre!E:E,"="&amp; E15,Summary_Pre!C:C)</f>
        <v>0</v>
      </c>
      <c r="D15" s="134">
        <f>SUMIF(Summary_Pre!E:E,"="&amp; E15,Summary_Pre!D:D)</f>
        <v>0</v>
      </c>
      <c r="E15" s="158" t="e">
        <f t="array" ref="E15">INDEX(Summary_Pre!E$4:E$303, MATCH(0, COUNTIF($E$3:E14,Summary_Pre!E$4:E$303), 0))</f>
        <v>#N/A</v>
      </c>
      <c r="F15" s="2" t="str">
        <f>IF(Instructions!F25="Post-Retrofit","Completed","Recommended")</f>
        <v>Recommended</v>
      </c>
      <c r="G15" s="2"/>
      <c r="H15" s="2"/>
      <c r="I15" s="4">
        <f>SUMIF(Summary_Pre!E:E,"="&amp; E15,Summary_Pre!H:H)</f>
        <v>0</v>
      </c>
      <c r="J15" s="2">
        <f>SUMIF(Summary_Pre!E:E,"="&amp; E15,Summary_Pre!I:I)</f>
        <v>0</v>
      </c>
      <c r="K15" s="3">
        <f>SUMIF(Summary_Pre!E:E,"="&amp; E15,Summary_Pre!J:J)</f>
        <v>0</v>
      </c>
      <c r="L15" s="3">
        <f>SUMIF(Summary_Pre!E:E,"="&amp; E15,Summary_Pre!K:K)</f>
        <v>0</v>
      </c>
      <c r="M15" s="13">
        <f t="shared" si="0"/>
        <v>0</v>
      </c>
      <c r="N15" s="3"/>
      <c r="O15" s="3"/>
      <c r="P15" s="3"/>
      <c r="Q15" s="3"/>
      <c r="R15" s="3"/>
      <c r="S15" s="3"/>
      <c r="T15" s="3"/>
      <c r="U15" s="2"/>
    </row>
    <row r="16" spans="1:41">
      <c r="A16" s="2">
        <v>13</v>
      </c>
      <c r="B16" s="2">
        <f>IFERROR(_xlfn.IFNA(VLOOKUP(E16,Summary_Pre!E:F,2,FALSE),0),0)</f>
        <v>0</v>
      </c>
      <c r="C16" s="3">
        <f>SUMIF(Summary_Pre!E:E,"="&amp; E16,Summary_Pre!C:C)</f>
        <v>0</v>
      </c>
      <c r="D16" s="134">
        <f>SUMIF(Summary_Pre!E:E,"="&amp; E16,Summary_Pre!D:D)</f>
        <v>0</v>
      </c>
      <c r="E16" s="158" t="e">
        <f t="array" ref="E16">INDEX(Summary_Pre!E$4:E$303, MATCH(0, COUNTIF($E$3:E15,Summary_Pre!E$4:E$303), 0))</f>
        <v>#N/A</v>
      </c>
      <c r="F16" s="2" t="str">
        <f>IF(Instructions!F25="Post-Retrofit","Completed","Recommended")</f>
        <v>Recommended</v>
      </c>
      <c r="G16" s="2"/>
      <c r="H16" s="2"/>
      <c r="I16" s="4">
        <f>SUMIF(Summary_Pre!E:E,"="&amp; E16,Summary_Pre!H:H)</f>
        <v>0</v>
      </c>
      <c r="J16" s="2">
        <f>SUMIF(Summary_Pre!E:E,"="&amp; E16,Summary_Pre!I:I)</f>
        <v>0</v>
      </c>
      <c r="K16" s="3">
        <f>SUMIF(Summary_Pre!E:E,"="&amp; E16,Summary_Pre!J:J)</f>
        <v>0</v>
      </c>
      <c r="L16" s="3">
        <f>SUMIF(Summary_Pre!E:E,"="&amp; E16,Summary_Pre!K:K)</f>
        <v>0</v>
      </c>
      <c r="M16" s="13">
        <f t="shared" si="0"/>
        <v>0</v>
      </c>
      <c r="N16" s="3"/>
      <c r="O16" s="3"/>
      <c r="P16" s="3"/>
      <c r="Q16" s="3"/>
      <c r="R16" s="3"/>
      <c r="S16" s="3"/>
      <c r="T16" s="3"/>
      <c r="U16" s="2"/>
    </row>
    <row r="17" spans="1:41">
      <c r="A17" s="2">
        <v>14</v>
      </c>
      <c r="B17" s="2">
        <f>IFERROR(_xlfn.IFNA(VLOOKUP(E17,Summary_Pre!E:F,2,FALSE),0),0)</f>
        <v>0</v>
      </c>
      <c r="C17" s="3">
        <f>SUMIF(Summary_Pre!E:E,"="&amp; E17,Summary_Pre!C:C)</f>
        <v>0</v>
      </c>
      <c r="D17" s="134">
        <f>SUMIF(Summary_Pre!E:E,"="&amp; E17,Summary_Pre!D:D)</f>
        <v>0</v>
      </c>
      <c r="E17" s="158" t="e">
        <f t="array" ref="E17">INDEX(Summary_Pre!E$4:E$303, MATCH(0, COUNTIF($E$3:E16,Summary_Pre!E$4:E$303), 0))</f>
        <v>#N/A</v>
      </c>
      <c r="F17" s="2" t="str">
        <f>IF(Instructions!F25="Post-Retrofit","Completed","Recommended")</f>
        <v>Recommended</v>
      </c>
      <c r="G17" s="2"/>
      <c r="H17" s="2"/>
      <c r="I17" s="4">
        <f>SUMIF(Summary_Pre!E:E,"="&amp; E17,Summary_Pre!H:H)</f>
        <v>0</v>
      </c>
      <c r="J17" s="2">
        <f>SUMIF(Summary_Pre!E:E,"="&amp; E17,Summary_Pre!I:I)</f>
        <v>0</v>
      </c>
      <c r="K17" s="3">
        <f>SUMIF(Summary_Pre!E:E,"="&amp; E17,Summary_Pre!J:J)</f>
        <v>0</v>
      </c>
      <c r="L17" s="3">
        <f>SUMIF(Summary_Pre!E:E,"="&amp; E17,Summary_Pre!K:K)</f>
        <v>0</v>
      </c>
      <c r="M17" s="13">
        <f t="shared" si="0"/>
        <v>0</v>
      </c>
      <c r="N17" s="3"/>
      <c r="O17" s="3"/>
      <c r="P17" s="3"/>
      <c r="Q17" s="3"/>
      <c r="R17" s="3"/>
      <c r="S17" s="3"/>
      <c r="T17" s="3"/>
      <c r="U17" s="2"/>
      <c r="V17"/>
      <c r="W17"/>
      <c r="X17"/>
      <c r="Y17"/>
      <c r="Z17"/>
      <c r="AA17"/>
      <c r="AB17"/>
      <c r="AC17"/>
      <c r="AD17"/>
      <c r="AE17"/>
      <c r="AF17"/>
      <c r="AG17"/>
      <c r="AH17"/>
      <c r="AI17"/>
      <c r="AJ17"/>
      <c r="AK17"/>
      <c r="AL17"/>
      <c r="AM17"/>
      <c r="AN17"/>
      <c r="AO17"/>
    </row>
    <row r="18" spans="1:41">
      <c r="A18" s="2">
        <v>15</v>
      </c>
      <c r="B18" s="2">
        <f>IFERROR(_xlfn.IFNA(VLOOKUP(E18,Summary_Pre!E:F,2,FALSE),0),0)</f>
        <v>0</v>
      </c>
      <c r="C18" s="3">
        <f>SUMIF(Summary_Pre!E:E,"="&amp; E18,Summary_Pre!C:C)</f>
        <v>0</v>
      </c>
      <c r="D18" s="134">
        <f>SUMIF(Summary_Pre!E:E,"="&amp; E18,Summary_Pre!D:D)</f>
        <v>0</v>
      </c>
      <c r="E18" s="158" t="e">
        <f t="array" ref="E18">INDEX(Summary_Pre!E$4:E$303, MATCH(0, COUNTIF($E$3:E17,Summary_Pre!E$4:E$303), 0))</f>
        <v>#N/A</v>
      </c>
      <c r="F18" s="2" t="str">
        <f>IF(Instructions!F25="Post-Retrofit","Completed","Recommended")</f>
        <v>Recommended</v>
      </c>
      <c r="G18" s="2"/>
      <c r="H18" s="2"/>
      <c r="I18" s="4">
        <f>SUMIF(Summary_Pre!E:E,"="&amp; E18,Summary_Pre!H:H)</f>
        <v>0</v>
      </c>
      <c r="J18" s="2">
        <f>SUMIF(Summary_Pre!E:E,"="&amp; E18,Summary_Pre!I:I)</f>
        <v>0</v>
      </c>
      <c r="K18" s="3">
        <f>SUMIF(Summary_Pre!E:E,"="&amp; E18,Summary_Pre!J:J)</f>
        <v>0</v>
      </c>
      <c r="L18" s="3">
        <f>SUMIF(Summary_Pre!E:E,"="&amp; E18,Summary_Pre!K:K)</f>
        <v>0</v>
      </c>
      <c r="M18" s="13">
        <f t="shared" si="0"/>
        <v>0</v>
      </c>
      <c r="N18" s="3"/>
      <c r="O18" s="3"/>
      <c r="P18" s="3"/>
      <c r="Q18" s="3"/>
      <c r="R18" s="3"/>
      <c r="S18" s="3"/>
      <c r="T18" s="3"/>
      <c r="U18" s="2"/>
      <c r="V18"/>
      <c r="W18"/>
      <c r="X18"/>
      <c r="Y18"/>
      <c r="Z18"/>
      <c r="AA18"/>
      <c r="AB18"/>
      <c r="AC18"/>
      <c r="AD18"/>
      <c r="AE18"/>
      <c r="AF18"/>
      <c r="AG18"/>
      <c r="AH18"/>
      <c r="AI18"/>
      <c r="AJ18"/>
      <c r="AK18"/>
      <c r="AL18"/>
      <c r="AM18"/>
      <c r="AN18"/>
      <c r="AO18"/>
    </row>
    <row r="19" spans="1:41">
      <c r="A19" s="2">
        <v>16</v>
      </c>
      <c r="B19" s="2">
        <f>IFERROR(_xlfn.IFNA(VLOOKUP(E19,Summary_Pre!E:F,2,FALSE),0),0)</f>
        <v>0</v>
      </c>
      <c r="C19" s="3">
        <f>SUMIF(Summary_Pre!E:E,"="&amp; E19,Summary_Pre!C:C)</f>
        <v>0</v>
      </c>
      <c r="D19" s="134">
        <f>SUMIF(Summary_Pre!E:E,"="&amp; E19,Summary_Pre!D:D)</f>
        <v>0</v>
      </c>
      <c r="E19" s="158" t="e">
        <f t="array" ref="E19">INDEX(Summary_Pre!E$4:E$303, MATCH(0, COUNTIF($E$3:E18,Summary_Pre!E$4:E$303), 0))</f>
        <v>#N/A</v>
      </c>
      <c r="F19" s="2" t="str">
        <f>IF(Instructions!F25="Post-Retrofit","Completed","Recommended")</f>
        <v>Recommended</v>
      </c>
      <c r="G19" s="2"/>
      <c r="H19" s="2"/>
      <c r="I19" s="4">
        <f>SUMIF(Summary_Pre!E:E,"="&amp; E19,Summary_Pre!H:H)</f>
        <v>0</v>
      </c>
      <c r="J19" s="2">
        <f>SUMIF(Summary_Pre!E:E,"="&amp; E19,Summary_Pre!I:I)</f>
        <v>0</v>
      </c>
      <c r="K19" s="3">
        <f>SUMIF(Summary_Pre!E:E,"="&amp; E19,Summary_Pre!J:J)</f>
        <v>0</v>
      </c>
      <c r="L19" s="3">
        <f>SUMIF(Summary_Pre!E:E,"="&amp; E19,Summary_Pre!K:K)</f>
        <v>0</v>
      </c>
      <c r="M19" s="13">
        <f t="shared" si="0"/>
        <v>0</v>
      </c>
      <c r="N19" s="3"/>
      <c r="O19" s="3"/>
      <c r="P19" s="3"/>
      <c r="Q19" s="3"/>
      <c r="R19" s="3"/>
      <c r="S19" s="3"/>
      <c r="T19" s="3"/>
      <c r="U19" s="2"/>
      <c r="V19"/>
      <c r="W19"/>
      <c r="X19"/>
      <c r="Y19"/>
      <c r="Z19"/>
      <c r="AA19"/>
      <c r="AB19"/>
      <c r="AC19"/>
      <c r="AD19"/>
      <c r="AE19"/>
      <c r="AF19"/>
      <c r="AG19"/>
      <c r="AH19"/>
      <c r="AI19"/>
      <c r="AJ19"/>
      <c r="AK19"/>
      <c r="AL19"/>
      <c r="AM19"/>
      <c r="AN19"/>
      <c r="AO19"/>
    </row>
    <row r="20" spans="1:41">
      <c r="A20" s="2">
        <v>17</v>
      </c>
      <c r="B20" s="2">
        <f>IFERROR(_xlfn.IFNA(VLOOKUP(E20,Summary_Pre!E:F,2,FALSE),0),0)</f>
        <v>0</v>
      </c>
      <c r="C20" s="3">
        <f>SUMIF(Summary_Pre!E:E,"="&amp; E20,Summary_Pre!C:C)</f>
        <v>0</v>
      </c>
      <c r="D20" s="134">
        <f>SUMIF(Summary_Pre!E:E,"="&amp; E20,Summary_Pre!D:D)</f>
        <v>0</v>
      </c>
      <c r="E20" s="158" t="e">
        <f t="array" ref="E20">INDEX(Summary_Pre!E$4:E$303, MATCH(0, COUNTIF($E$3:E19,Summary_Pre!E$4:E$303), 0))</f>
        <v>#N/A</v>
      </c>
      <c r="F20" s="2" t="str">
        <f>IF(Instructions!F25="Post-Retrofit","Completed","Recommended")</f>
        <v>Recommended</v>
      </c>
      <c r="G20" s="2"/>
      <c r="H20" s="2"/>
      <c r="I20" s="4">
        <f>SUMIF(Summary_Pre!E:E,"="&amp; E20,Summary_Pre!H:H)</f>
        <v>0</v>
      </c>
      <c r="J20" s="2">
        <f>SUMIF(Summary_Pre!E:E,"="&amp; E20,Summary_Pre!I:I)</f>
        <v>0</v>
      </c>
      <c r="K20" s="3">
        <f>SUMIF(Summary_Pre!E:E,"="&amp; E20,Summary_Pre!J:J)</f>
        <v>0</v>
      </c>
      <c r="L20" s="3">
        <f>SUMIF(Summary_Pre!E:E,"="&amp; E20,Summary_Pre!K:K)</f>
        <v>0</v>
      </c>
      <c r="M20" s="13">
        <f t="shared" si="0"/>
        <v>0</v>
      </c>
      <c r="N20" s="3"/>
      <c r="O20" s="3"/>
      <c r="P20" s="3"/>
      <c r="Q20" s="3"/>
      <c r="R20" s="3"/>
      <c r="S20" s="3"/>
      <c r="T20" s="3"/>
      <c r="U20" s="2"/>
      <c r="V20"/>
      <c r="W20"/>
      <c r="X20"/>
      <c r="Y20"/>
      <c r="Z20"/>
      <c r="AA20"/>
      <c r="AB20"/>
      <c r="AC20"/>
      <c r="AD20"/>
      <c r="AE20"/>
      <c r="AF20"/>
      <c r="AG20"/>
      <c r="AH20"/>
      <c r="AI20"/>
      <c r="AJ20"/>
      <c r="AK20"/>
      <c r="AL20"/>
      <c r="AM20"/>
      <c r="AN20"/>
      <c r="AO20"/>
    </row>
    <row r="21" spans="1:41">
      <c r="A21" s="2">
        <v>18</v>
      </c>
      <c r="B21" s="2">
        <f>IFERROR(_xlfn.IFNA(VLOOKUP(E21,Summary_Pre!E:F,2,FALSE),0),0)</f>
        <v>0</v>
      </c>
      <c r="C21" s="3">
        <f>SUMIF(Summary_Pre!E:E,"="&amp; E21,Summary_Pre!C:C)</f>
        <v>0</v>
      </c>
      <c r="D21" s="134">
        <f>SUMIF(Summary_Pre!E:E,"="&amp; E21,Summary_Pre!D:D)</f>
        <v>0</v>
      </c>
      <c r="E21" s="158" t="e">
        <f t="array" ref="E21">INDEX(Summary_Pre!E$4:E$303, MATCH(0, COUNTIF($E$3:E20,Summary_Pre!E$4:E$303), 0))</f>
        <v>#N/A</v>
      </c>
      <c r="F21" s="2" t="str">
        <f>IF(Instructions!F25="Post-Retrofit","Completed","Recommended")</f>
        <v>Recommended</v>
      </c>
      <c r="G21" s="2"/>
      <c r="H21" s="2"/>
      <c r="I21" s="4">
        <f>SUMIF(Summary_Pre!E:E,"="&amp; E21,Summary_Pre!H:H)</f>
        <v>0</v>
      </c>
      <c r="J21" s="2">
        <f>SUMIF(Summary_Pre!E:E,"="&amp; E21,Summary_Pre!I:I)</f>
        <v>0</v>
      </c>
      <c r="K21" s="3">
        <f>SUMIF(Summary_Pre!E:E,"="&amp; E21,Summary_Pre!J:J)</f>
        <v>0</v>
      </c>
      <c r="L21" s="3">
        <f>SUMIF(Summary_Pre!E:E,"="&amp; E21,Summary_Pre!K:K)</f>
        <v>0</v>
      </c>
      <c r="M21" s="13">
        <f t="shared" si="0"/>
        <v>0</v>
      </c>
      <c r="N21" s="3"/>
      <c r="O21" s="3"/>
      <c r="P21" s="3"/>
      <c r="Q21" s="3"/>
      <c r="R21" s="3"/>
      <c r="S21" s="3"/>
      <c r="T21" s="3"/>
      <c r="U21" s="2"/>
      <c r="V21"/>
      <c r="W21"/>
      <c r="X21"/>
      <c r="Y21"/>
      <c r="Z21"/>
      <c r="AA21"/>
      <c r="AB21"/>
      <c r="AC21"/>
      <c r="AD21"/>
      <c r="AE21"/>
      <c r="AF21"/>
      <c r="AG21"/>
      <c r="AH21"/>
      <c r="AI21"/>
      <c r="AJ21"/>
      <c r="AK21"/>
      <c r="AL21"/>
      <c r="AM21"/>
      <c r="AN21"/>
      <c r="AO21"/>
    </row>
    <row r="22" spans="1:41">
      <c r="A22" s="2">
        <v>19</v>
      </c>
      <c r="B22" s="2">
        <f>IFERROR(_xlfn.IFNA(VLOOKUP(E22,Summary_Pre!E:F,2,FALSE),0),0)</f>
        <v>0</v>
      </c>
      <c r="C22" s="3">
        <f>SUMIF(Summary_Pre!E:E,"="&amp; E22,Summary_Pre!C:C)</f>
        <v>0</v>
      </c>
      <c r="D22" s="134">
        <f>SUMIF(Summary_Pre!E:E,"="&amp; E22,Summary_Pre!D:D)</f>
        <v>0</v>
      </c>
      <c r="E22" s="158" t="e">
        <f t="array" ref="E22">INDEX(Summary_Pre!E$4:E$303, MATCH(0, COUNTIF($E$3:E21,Summary_Pre!E$4:E$303), 0))</f>
        <v>#N/A</v>
      </c>
      <c r="F22" s="2" t="str">
        <f>IF(Instructions!F25="Post-Retrofit","Completed","Recommended")</f>
        <v>Recommended</v>
      </c>
      <c r="G22" s="2"/>
      <c r="H22" s="2"/>
      <c r="I22" s="4">
        <f>SUMIF(Summary_Pre!E:E,"="&amp; E22,Summary_Pre!H:H)</f>
        <v>0</v>
      </c>
      <c r="J22" s="2">
        <f>SUMIF(Summary_Pre!E:E,"="&amp; E22,Summary_Pre!I:I)</f>
        <v>0</v>
      </c>
      <c r="K22" s="3">
        <f>SUMIF(Summary_Pre!E:E,"="&amp; E22,Summary_Pre!J:J)</f>
        <v>0</v>
      </c>
      <c r="L22" s="3">
        <f>SUMIF(Summary_Pre!E:E,"="&amp; E22,Summary_Pre!K:K)</f>
        <v>0</v>
      </c>
      <c r="M22" s="13">
        <f t="shared" si="0"/>
        <v>0</v>
      </c>
      <c r="N22" s="3"/>
      <c r="O22" s="3"/>
      <c r="P22" s="3"/>
      <c r="Q22" s="3"/>
      <c r="R22" s="3"/>
      <c r="S22" s="3"/>
      <c r="T22" s="3"/>
      <c r="U22" s="2"/>
      <c r="V22"/>
      <c r="W22"/>
      <c r="X22"/>
      <c r="Y22"/>
      <c r="Z22"/>
      <c r="AA22"/>
      <c r="AB22"/>
      <c r="AC22"/>
      <c r="AD22"/>
      <c r="AE22"/>
      <c r="AF22"/>
      <c r="AG22"/>
      <c r="AH22"/>
      <c r="AI22"/>
      <c r="AJ22"/>
      <c r="AK22"/>
      <c r="AL22"/>
      <c r="AM22"/>
      <c r="AN22"/>
      <c r="AO22"/>
    </row>
    <row r="23" spans="1:41">
      <c r="A23" s="2">
        <v>20</v>
      </c>
      <c r="B23" s="2">
        <f>IFERROR(_xlfn.IFNA(VLOOKUP(E23,Summary_Pre!E:F,2,FALSE),0),0)</f>
        <v>0</v>
      </c>
      <c r="C23" s="3">
        <f>SUMIF(Summary_Pre!E:E,"="&amp; E23,Summary_Pre!C:C)</f>
        <v>0</v>
      </c>
      <c r="D23" s="134">
        <f>SUMIF(Summary_Pre!E:E,"="&amp; E23,Summary_Pre!D:D)</f>
        <v>0</v>
      </c>
      <c r="E23" s="158" t="e">
        <f t="array" ref="E23">INDEX(Summary_Pre!E$4:E$303, MATCH(0, COUNTIF($E$3:E22,Summary_Pre!E$4:E$303), 0))</f>
        <v>#N/A</v>
      </c>
      <c r="F23" s="2" t="str">
        <f>IF(Instructions!F25="Post-Retrofit","Completed","Recommended")</f>
        <v>Recommended</v>
      </c>
      <c r="G23" s="2"/>
      <c r="H23" s="2"/>
      <c r="I23" s="4">
        <f>SUMIF(Summary_Pre!E:E,"="&amp; E23,Summary_Pre!H:H)</f>
        <v>0</v>
      </c>
      <c r="J23" s="2">
        <f>SUMIF(Summary_Pre!E:E,"="&amp; E23,Summary_Pre!I:I)</f>
        <v>0</v>
      </c>
      <c r="K23" s="3">
        <f>SUMIF(Summary_Pre!E:E,"="&amp; E23,Summary_Pre!J:J)</f>
        <v>0</v>
      </c>
      <c r="L23" s="3">
        <f>SUMIF(Summary_Pre!E:E,"="&amp; E23,Summary_Pre!K:K)</f>
        <v>0</v>
      </c>
      <c r="M23" s="13">
        <f>IF(K23&lt;&gt;0,(C23-L23)/K23,0)</f>
        <v>0</v>
      </c>
      <c r="N23" s="3"/>
      <c r="O23" s="3"/>
      <c r="P23" s="3"/>
      <c r="Q23" s="3"/>
      <c r="R23" s="3"/>
      <c r="S23" s="3"/>
      <c r="T23" s="3"/>
      <c r="U23" s="2"/>
    </row>
    <row r="24" spans="1:41">
      <c r="A24" s="2">
        <v>21</v>
      </c>
      <c r="B24" s="2">
        <f>IFERROR(_xlfn.IFNA(VLOOKUP(E24,Summary_Pre!E:F,2,FALSE),0),0)</f>
        <v>0</v>
      </c>
      <c r="C24" s="3">
        <f>SUMIF(Summary_Pre!E:E,"="&amp; E24,Summary_Pre!C:C)</f>
        <v>0</v>
      </c>
      <c r="D24" s="134">
        <f>SUMIF(Summary_Pre!E:E,"="&amp; E24,Summary_Pre!D:D)</f>
        <v>0</v>
      </c>
      <c r="E24" s="158" t="e">
        <f t="array" ref="E24">INDEX(Summary_Pre!E$4:E$303, MATCH(0, COUNTIF($E$3:E23,Summary_Pre!E$4:E$303), 0))</f>
        <v>#N/A</v>
      </c>
      <c r="F24" s="2" t="str">
        <f>IF(Instructions!F25="Post-Retrofit","Completed","Recommended")</f>
        <v>Recommended</v>
      </c>
      <c r="G24" s="2"/>
      <c r="H24" s="2"/>
      <c r="I24" s="4">
        <f>SUMIF(Summary_Pre!E:E,"="&amp; E24,Summary_Pre!H:H)</f>
        <v>0</v>
      </c>
      <c r="J24" s="2">
        <f>SUMIF(Summary_Pre!E:E,"="&amp; E24,Summary_Pre!I:I)</f>
        <v>0</v>
      </c>
      <c r="K24" s="3">
        <f>SUMIF(Summary_Pre!E:E,"="&amp; E24,Summary_Pre!J:J)</f>
        <v>0</v>
      </c>
      <c r="L24" s="3">
        <f>SUMIF(Summary_Pre!E:E,"="&amp; E24,Summary_Pre!K:K)</f>
        <v>0</v>
      </c>
      <c r="M24" s="13">
        <f t="shared" si="0"/>
        <v>0</v>
      </c>
      <c r="N24" s="3"/>
      <c r="O24" s="3"/>
      <c r="P24" s="3"/>
      <c r="Q24" s="3"/>
      <c r="R24" s="3"/>
      <c r="S24" s="3"/>
      <c r="T24" s="3"/>
      <c r="U24" s="2"/>
      <c r="V24"/>
      <c r="W24"/>
      <c r="X24"/>
      <c r="Y24"/>
      <c r="Z24"/>
      <c r="AA24"/>
      <c r="AB24"/>
      <c r="AC24"/>
      <c r="AD24"/>
      <c r="AE24"/>
      <c r="AF24"/>
      <c r="AG24"/>
      <c r="AH24"/>
      <c r="AI24"/>
      <c r="AJ24"/>
      <c r="AK24"/>
      <c r="AL24"/>
      <c r="AM24"/>
      <c r="AN24"/>
      <c r="AO24"/>
    </row>
    <row r="25" spans="1:41">
      <c r="A25" s="2">
        <v>22</v>
      </c>
      <c r="B25" s="2">
        <f>IFERROR(_xlfn.IFNA(VLOOKUP(E25,Summary_Pre!E:F,2,FALSE),0),0)</f>
        <v>0</v>
      </c>
      <c r="C25" s="3">
        <f>SUMIF(Summary_Pre!E:E,"="&amp; E25,Summary_Pre!C:C)</f>
        <v>0</v>
      </c>
      <c r="D25" s="134">
        <f>SUMIF(Summary_Pre!E:E,"="&amp; E25,Summary_Pre!D:D)</f>
        <v>0</v>
      </c>
      <c r="E25" s="158" t="e">
        <f t="array" ref="E25">INDEX(Summary_Pre!E$4:E$303, MATCH(0, COUNTIF($E$3:E24,Summary_Pre!E$4:E$303), 0))</f>
        <v>#N/A</v>
      </c>
      <c r="F25" s="2" t="str">
        <f>IF(Instructions!F25="Post-Retrofit","Completed","Recommended")</f>
        <v>Recommended</v>
      </c>
      <c r="G25" s="2"/>
      <c r="H25" s="2"/>
      <c r="I25" s="4">
        <f>SUMIF(Summary_Pre!E:E,"="&amp; E25,Summary_Pre!H:H)</f>
        <v>0</v>
      </c>
      <c r="J25" s="2">
        <f>SUMIF(Summary_Pre!E:E,"="&amp; E25,Summary_Pre!I:I)</f>
        <v>0</v>
      </c>
      <c r="K25" s="3">
        <f>SUMIF(Summary_Pre!E:E,"="&amp; E25,Summary_Pre!J:J)</f>
        <v>0</v>
      </c>
      <c r="L25" s="3">
        <f>SUMIF(Summary_Pre!E:E,"="&amp; E25,Summary_Pre!K:K)</f>
        <v>0</v>
      </c>
      <c r="M25" s="13">
        <f t="shared" si="0"/>
        <v>0</v>
      </c>
      <c r="N25" s="3"/>
      <c r="O25" s="3"/>
      <c r="P25" s="3"/>
      <c r="Q25" s="3"/>
      <c r="R25" s="3"/>
      <c r="S25" s="3"/>
      <c r="T25" s="3"/>
      <c r="U25" s="2"/>
      <c r="V25"/>
      <c r="W25"/>
      <c r="X25"/>
      <c r="Y25"/>
      <c r="Z25"/>
      <c r="AA25"/>
      <c r="AB25"/>
      <c r="AC25"/>
      <c r="AD25"/>
      <c r="AE25"/>
      <c r="AF25"/>
      <c r="AG25"/>
      <c r="AH25"/>
      <c r="AI25"/>
      <c r="AJ25"/>
      <c r="AK25"/>
      <c r="AL25"/>
      <c r="AM25"/>
      <c r="AN25"/>
      <c r="AO25"/>
    </row>
    <row r="26" spans="1:41">
      <c r="A26" s="2">
        <v>23</v>
      </c>
      <c r="B26" s="2">
        <f>IFERROR(_xlfn.IFNA(VLOOKUP(E26,Summary_Pre!E:F,2,FALSE),0),0)</f>
        <v>0</v>
      </c>
      <c r="C26" s="3">
        <f>SUMIF(Summary_Pre!E:E,"="&amp; E26,Summary_Pre!C:C)</f>
        <v>0</v>
      </c>
      <c r="D26" s="134">
        <f>SUMIF(Summary_Pre!E:E,"="&amp; E26,Summary_Pre!D:D)</f>
        <v>0</v>
      </c>
      <c r="E26" s="158" t="e">
        <f t="array" ref="E26">INDEX(Summary_Pre!E$4:E$303, MATCH(0, COUNTIF($E$3:E25,Summary_Pre!E$4:E$303), 0))</f>
        <v>#N/A</v>
      </c>
      <c r="F26" s="2" t="str">
        <f>IF(Instructions!F25="Post-Retrofit","Completed","Recommended")</f>
        <v>Recommended</v>
      </c>
      <c r="G26" s="2"/>
      <c r="H26" s="2"/>
      <c r="I26" s="4">
        <f>SUMIF(Summary_Pre!E:E,"="&amp; E26,Summary_Pre!H:H)</f>
        <v>0</v>
      </c>
      <c r="J26" s="2">
        <f>SUMIF(Summary_Pre!E:E,"="&amp; E26,Summary_Pre!I:I)</f>
        <v>0</v>
      </c>
      <c r="K26" s="3">
        <f>SUMIF(Summary_Pre!E:E,"="&amp; E26,Summary_Pre!J:J)</f>
        <v>0</v>
      </c>
      <c r="L26" s="3">
        <f>SUMIF(Summary_Pre!E:E,"="&amp; E26,Summary_Pre!K:K)</f>
        <v>0</v>
      </c>
      <c r="M26" s="13">
        <f t="shared" si="0"/>
        <v>0</v>
      </c>
      <c r="N26" s="3"/>
      <c r="O26" s="3"/>
      <c r="P26" s="3"/>
      <c r="Q26" s="3"/>
      <c r="R26" s="3"/>
      <c r="S26" s="3"/>
      <c r="T26" s="3"/>
      <c r="U26" s="2"/>
      <c r="V26"/>
      <c r="W26"/>
      <c r="X26"/>
      <c r="Y26"/>
      <c r="Z26"/>
      <c r="AA26"/>
      <c r="AB26"/>
      <c r="AC26"/>
      <c r="AD26"/>
      <c r="AE26"/>
      <c r="AF26"/>
      <c r="AG26"/>
      <c r="AH26"/>
      <c r="AI26"/>
      <c r="AJ26"/>
      <c r="AK26"/>
      <c r="AL26"/>
      <c r="AM26"/>
      <c r="AN26"/>
      <c r="AO26"/>
    </row>
    <row r="27" spans="1:41">
      <c r="A27" s="2">
        <v>24</v>
      </c>
      <c r="B27" s="2">
        <f>IFERROR(_xlfn.IFNA(VLOOKUP(E27,Summary_Pre!E:F,2,FALSE),0),0)</f>
        <v>0</v>
      </c>
      <c r="C27" s="3">
        <f>SUMIF(Summary_Pre!E:E,"="&amp; E27,Summary_Pre!C:C)</f>
        <v>0</v>
      </c>
      <c r="D27" s="134">
        <f>SUMIF(Summary_Pre!E:E,"="&amp; E27,Summary_Pre!D:D)</f>
        <v>0</v>
      </c>
      <c r="E27" s="158" t="e">
        <f t="array" ref="E27">INDEX(Summary_Pre!E$4:E$303, MATCH(0, COUNTIF($E$3:E26,Summary_Pre!E$4:E$303), 0))</f>
        <v>#N/A</v>
      </c>
      <c r="F27" s="2" t="str">
        <f>IF(Instructions!F25="Post-Retrofit","Completed","Recommended")</f>
        <v>Recommended</v>
      </c>
      <c r="G27" s="2"/>
      <c r="H27" s="2"/>
      <c r="I27" s="4">
        <f>SUMIF(Summary_Pre!E:E,"="&amp; E27,Summary_Pre!H:H)</f>
        <v>0</v>
      </c>
      <c r="J27" s="2">
        <f>SUMIF(Summary_Pre!E:E,"="&amp; E27,Summary_Pre!I:I)</f>
        <v>0</v>
      </c>
      <c r="K27" s="3">
        <f>SUMIF(Summary_Pre!E:E,"="&amp; E27,Summary_Pre!J:J)</f>
        <v>0</v>
      </c>
      <c r="L27" s="3">
        <f>SUMIF(Summary_Pre!E:E,"="&amp; E27,Summary_Pre!K:K)</f>
        <v>0</v>
      </c>
      <c r="M27" s="13">
        <f t="shared" si="0"/>
        <v>0</v>
      </c>
      <c r="N27" s="3"/>
      <c r="O27" s="3"/>
      <c r="P27" s="3"/>
      <c r="Q27" s="3"/>
      <c r="R27" s="3"/>
      <c r="S27" s="3"/>
      <c r="T27" s="3"/>
      <c r="U27" s="2"/>
      <c r="V27"/>
      <c r="W27"/>
      <c r="X27"/>
      <c r="Y27"/>
      <c r="Z27"/>
      <c r="AA27"/>
      <c r="AB27"/>
      <c r="AC27"/>
      <c r="AD27"/>
      <c r="AE27"/>
      <c r="AF27"/>
      <c r="AG27"/>
      <c r="AH27"/>
      <c r="AI27"/>
      <c r="AJ27"/>
      <c r="AK27"/>
      <c r="AL27"/>
      <c r="AM27"/>
      <c r="AN27"/>
      <c r="AO27"/>
    </row>
    <row r="28" spans="1:41">
      <c r="A28" s="2">
        <v>25</v>
      </c>
      <c r="B28" s="2">
        <f>IFERROR(_xlfn.IFNA(VLOOKUP(E28,Summary_Pre!E:F,2,FALSE),0),0)</f>
        <v>0</v>
      </c>
      <c r="C28" s="3">
        <f>SUMIF(Summary_Pre!E:E,"="&amp; E28,Summary_Pre!C:C)</f>
        <v>0</v>
      </c>
      <c r="D28" s="134">
        <f>SUMIF(Summary_Pre!E:E,"="&amp; E28,Summary_Pre!D:D)</f>
        <v>0</v>
      </c>
      <c r="E28" s="158" t="e">
        <f t="array" ref="E28">INDEX(Summary_Pre!E$4:E$303, MATCH(0, COUNTIF($E$3:E27,Summary_Pre!E$4:E$303), 0))</f>
        <v>#N/A</v>
      </c>
      <c r="F28" s="2" t="str">
        <f>IF(Instructions!F25="Post-Retrofit","Completed","Recommended")</f>
        <v>Recommended</v>
      </c>
      <c r="G28" s="2"/>
      <c r="H28" s="2"/>
      <c r="I28" s="4">
        <f>SUMIF(Summary_Pre!E:E,"="&amp; E28,Summary_Pre!H:H)</f>
        <v>0</v>
      </c>
      <c r="J28" s="2">
        <f>SUMIF(Summary_Pre!E:E,"="&amp; E28,Summary_Pre!I:I)</f>
        <v>0</v>
      </c>
      <c r="K28" s="3">
        <f>SUMIF(Summary_Pre!E:E,"="&amp; E28,Summary_Pre!J:J)</f>
        <v>0</v>
      </c>
      <c r="L28" s="3">
        <f>SUMIF(Summary_Pre!E:E,"="&amp; E28,Summary_Pre!K:K)</f>
        <v>0</v>
      </c>
      <c r="M28" s="13">
        <f t="shared" si="0"/>
        <v>0</v>
      </c>
      <c r="N28" s="3"/>
      <c r="O28" s="3"/>
      <c r="P28" s="3"/>
      <c r="Q28" s="3"/>
      <c r="R28" s="3"/>
      <c r="S28" s="3"/>
      <c r="T28" s="3"/>
      <c r="U28" s="2"/>
      <c r="V28"/>
      <c r="W28"/>
      <c r="X28"/>
      <c r="Y28"/>
      <c r="Z28"/>
      <c r="AA28"/>
      <c r="AB28"/>
      <c r="AC28"/>
      <c r="AD28"/>
      <c r="AE28"/>
      <c r="AF28"/>
      <c r="AG28"/>
      <c r="AH28"/>
      <c r="AI28"/>
      <c r="AJ28"/>
      <c r="AK28"/>
      <c r="AL28"/>
      <c r="AM28"/>
      <c r="AN28"/>
      <c r="AO28"/>
    </row>
    <row r="29" spans="1:41">
      <c r="A29" s="2">
        <v>26</v>
      </c>
      <c r="B29" s="2">
        <f>IFERROR(_xlfn.IFNA(VLOOKUP(E29,Summary_Pre!E:F,2,FALSE),0),0)</f>
        <v>0</v>
      </c>
      <c r="C29" s="3">
        <f>SUMIF(Summary_Pre!E:E,"="&amp; E29,Summary_Pre!C:C)</f>
        <v>0</v>
      </c>
      <c r="D29" s="134">
        <f>SUMIF(Summary_Pre!E:E,"="&amp; E29,Summary_Pre!D:D)</f>
        <v>0</v>
      </c>
      <c r="E29" s="158" t="e">
        <f t="array" ref="E29">INDEX(Summary_Pre!E$4:E$303, MATCH(0, COUNTIF($E$3:E28,Summary_Pre!E$4:E$303), 0))</f>
        <v>#N/A</v>
      </c>
      <c r="F29" s="2" t="str">
        <f>IF(Instructions!F25="Post-Retrofit","Completed","Recommended")</f>
        <v>Recommended</v>
      </c>
      <c r="G29" s="2"/>
      <c r="H29" s="2"/>
      <c r="I29" s="4">
        <f>SUMIF(Summary_Pre!E:E,"="&amp; E29,Summary_Pre!H:H)</f>
        <v>0</v>
      </c>
      <c r="J29" s="2">
        <f>SUMIF(Summary_Pre!E:E,"="&amp; E29,Summary_Pre!I:I)</f>
        <v>0</v>
      </c>
      <c r="K29" s="3">
        <f>SUMIF(Summary_Pre!E:E,"="&amp; E29,Summary_Pre!J:J)</f>
        <v>0</v>
      </c>
      <c r="L29" s="3">
        <f>SUMIF(Summary_Pre!E:E,"="&amp; E29,Summary_Pre!K:K)</f>
        <v>0</v>
      </c>
      <c r="M29" s="13">
        <f t="shared" si="0"/>
        <v>0</v>
      </c>
      <c r="N29" s="3"/>
      <c r="O29" s="3"/>
      <c r="P29" s="3"/>
      <c r="Q29" s="3"/>
      <c r="R29" s="3"/>
      <c r="S29" s="3"/>
      <c r="T29" s="3"/>
      <c r="U29" s="2"/>
      <c r="V29"/>
      <c r="W29"/>
      <c r="X29"/>
      <c r="Y29"/>
      <c r="Z29"/>
      <c r="AA29"/>
      <c r="AB29"/>
      <c r="AC29"/>
      <c r="AD29"/>
      <c r="AE29"/>
      <c r="AF29"/>
      <c r="AG29"/>
      <c r="AH29"/>
      <c r="AI29"/>
      <c r="AJ29"/>
      <c r="AK29"/>
      <c r="AL29"/>
      <c r="AM29"/>
      <c r="AN29"/>
      <c r="AO29"/>
    </row>
    <row r="30" spans="1:41">
      <c r="A30" s="2">
        <v>27</v>
      </c>
      <c r="B30" s="2">
        <f>IFERROR(_xlfn.IFNA(VLOOKUP(E30,Summary_Pre!E:F,2,FALSE),0),0)</f>
        <v>0</v>
      </c>
      <c r="C30" s="3">
        <f>SUMIF(Summary_Pre!E:E,"="&amp; E30,Summary_Pre!C:C)</f>
        <v>0</v>
      </c>
      <c r="D30" s="134">
        <f>SUMIF(Summary_Pre!E:E,"="&amp; E30,Summary_Pre!D:D)</f>
        <v>0</v>
      </c>
      <c r="E30" s="158" t="e">
        <f t="array" ref="E30">INDEX(Summary_Pre!E$4:E$303, MATCH(0, COUNTIF($E$3:E29,Summary_Pre!E$4:E$303), 0))</f>
        <v>#N/A</v>
      </c>
      <c r="F30" s="2" t="str">
        <f>IF(Instructions!F25="Post-Retrofit","Completed","Recommended")</f>
        <v>Recommended</v>
      </c>
      <c r="G30" s="2"/>
      <c r="H30" s="2"/>
      <c r="I30" s="4">
        <f>SUMIF(Summary_Pre!E:E,"="&amp; E30,Summary_Pre!H:H)</f>
        <v>0</v>
      </c>
      <c r="J30" s="2">
        <f>SUMIF(Summary_Pre!E:E,"="&amp; E30,Summary_Pre!I:I)</f>
        <v>0</v>
      </c>
      <c r="K30" s="3">
        <f>SUMIF(Summary_Pre!E:E,"="&amp; E30,Summary_Pre!J:J)</f>
        <v>0</v>
      </c>
      <c r="L30" s="3">
        <f>SUMIF(Summary_Pre!E:E,"="&amp; E30,Summary_Pre!K:K)</f>
        <v>0</v>
      </c>
      <c r="M30" s="13">
        <f t="shared" si="0"/>
        <v>0</v>
      </c>
      <c r="N30" s="3"/>
      <c r="O30" s="3"/>
      <c r="P30" s="3"/>
      <c r="Q30" s="3"/>
      <c r="R30" s="3"/>
      <c r="S30" s="3"/>
      <c r="T30" s="3"/>
      <c r="U30" s="2"/>
      <c r="V30"/>
      <c r="W30"/>
      <c r="X30"/>
      <c r="Y30"/>
      <c r="Z30"/>
      <c r="AA30"/>
      <c r="AB30"/>
      <c r="AC30"/>
      <c r="AD30"/>
      <c r="AE30"/>
      <c r="AF30"/>
      <c r="AG30"/>
      <c r="AH30"/>
      <c r="AI30"/>
      <c r="AJ30"/>
      <c r="AK30"/>
      <c r="AL30"/>
      <c r="AM30"/>
      <c r="AN30"/>
      <c r="AO30"/>
    </row>
    <row r="31" spans="1:41">
      <c r="A31" s="2">
        <v>28</v>
      </c>
      <c r="B31" s="2">
        <f>IFERROR(_xlfn.IFNA(VLOOKUP(E31,Summary_Pre!E:F,2,FALSE),0),0)</f>
        <v>0</v>
      </c>
      <c r="C31" s="3">
        <f>SUMIF(Summary_Pre!E:E,"="&amp; E31,Summary_Pre!C:C)</f>
        <v>0</v>
      </c>
      <c r="D31" s="134">
        <f>SUMIF(Summary_Pre!E:E,"="&amp; E31,Summary_Pre!D:D)</f>
        <v>0</v>
      </c>
      <c r="E31" s="158" t="e">
        <f t="array" ref="E31">INDEX(Summary_Pre!E$4:E$303, MATCH(0, COUNTIF($E$3:E30,Summary_Pre!E$4:E$303), 0))</f>
        <v>#N/A</v>
      </c>
      <c r="F31" s="2" t="str">
        <f>IF(Instructions!F25="Post-Retrofit","Completed","Recommended")</f>
        <v>Recommended</v>
      </c>
      <c r="G31" s="2"/>
      <c r="H31" s="2"/>
      <c r="I31" s="4">
        <f>SUMIF(Summary_Pre!E:E,"="&amp; E31,Summary_Pre!H:H)</f>
        <v>0</v>
      </c>
      <c r="J31" s="2">
        <f>SUMIF(Summary_Pre!E:E,"="&amp; E31,Summary_Pre!I:I)</f>
        <v>0</v>
      </c>
      <c r="K31" s="3">
        <f>SUMIF(Summary_Pre!E:E,"="&amp; E31,Summary_Pre!J:J)</f>
        <v>0</v>
      </c>
      <c r="L31" s="3">
        <f>SUMIF(Summary_Pre!E:E,"="&amp; E31,Summary_Pre!K:K)</f>
        <v>0</v>
      </c>
      <c r="M31" s="13">
        <f t="shared" si="0"/>
        <v>0</v>
      </c>
      <c r="N31" s="3"/>
      <c r="O31" s="3"/>
      <c r="P31" s="3"/>
      <c r="Q31" s="3"/>
      <c r="R31" s="3"/>
      <c r="S31" s="3"/>
      <c r="T31" s="3"/>
      <c r="U31" s="2"/>
      <c r="V31"/>
      <c r="W31"/>
      <c r="X31"/>
      <c r="Y31"/>
      <c r="Z31"/>
      <c r="AA31"/>
      <c r="AB31"/>
      <c r="AC31"/>
      <c r="AD31"/>
      <c r="AE31"/>
      <c r="AF31"/>
      <c r="AG31"/>
      <c r="AH31"/>
      <c r="AI31"/>
      <c r="AJ31"/>
      <c r="AK31"/>
      <c r="AL31"/>
      <c r="AM31"/>
      <c r="AN31"/>
      <c r="AO31"/>
    </row>
    <row r="32" spans="1:41">
      <c r="A32" s="2">
        <v>29</v>
      </c>
      <c r="B32" s="2">
        <f>IFERROR(_xlfn.IFNA(VLOOKUP(E32,Summary_Pre!E:F,2,FALSE),0),0)</f>
        <v>0</v>
      </c>
      <c r="C32" s="3">
        <f>SUMIF(Summary_Pre!E:E,"="&amp; E32,Summary_Pre!C:C)</f>
        <v>0</v>
      </c>
      <c r="D32" s="134">
        <f>SUMIF(Summary_Pre!E:E,"="&amp; E32,Summary_Pre!D:D)</f>
        <v>0</v>
      </c>
      <c r="E32" s="158" t="e">
        <f t="array" ref="E32">INDEX(Summary_Pre!E$4:E$303, MATCH(0, COUNTIF($E$3:E31,Summary_Pre!E$4:E$303), 0))</f>
        <v>#N/A</v>
      </c>
      <c r="F32" s="2" t="str">
        <f>IF(Instructions!F25="Post-Retrofit","Completed","Recommended")</f>
        <v>Recommended</v>
      </c>
      <c r="G32" s="2"/>
      <c r="H32" s="2"/>
      <c r="I32" s="4">
        <f>SUMIF(Summary_Pre!E:E,"="&amp; E32,Summary_Pre!H:H)</f>
        <v>0</v>
      </c>
      <c r="J32" s="2">
        <f>SUMIF(Summary_Pre!E:E,"="&amp; E32,Summary_Pre!I:I)</f>
        <v>0</v>
      </c>
      <c r="K32" s="3">
        <f>SUMIF(Summary_Pre!E:E,"="&amp; E32,Summary_Pre!J:J)</f>
        <v>0</v>
      </c>
      <c r="L32" s="3">
        <f>SUMIF(Summary_Pre!E:E,"="&amp; E32,Summary_Pre!K:K)</f>
        <v>0</v>
      </c>
      <c r="M32" s="13">
        <f t="shared" si="0"/>
        <v>0</v>
      </c>
      <c r="N32" s="3"/>
      <c r="O32" s="3"/>
      <c r="P32" s="3"/>
      <c r="Q32" s="3"/>
      <c r="R32" s="3"/>
      <c r="S32" s="3"/>
      <c r="T32" s="3"/>
      <c r="U32" s="2"/>
      <c r="V32"/>
      <c r="W32"/>
      <c r="X32"/>
      <c r="Y32"/>
      <c r="Z32"/>
      <c r="AA32"/>
      <c r="AB32"/>
      <c r="AC32"/>
      <c r="AD32"/>
      <c r="AE32"/>
      <c r="AF32"/>
      <c r="AG32"/>
      <c r="AH32"/>
      <c r="AI32"/>
      <c r="AJ32"/>
      <c r="AK32"/>
      <c r="AL32"/>
      <c r="AM32"/>
      <c r="AN32"/>
      <c r="AO32"/>
    </row>
    <row r="33" spans="1:41">
      <c r="A33" s="2">
        <v>30</v>
      </c>
      <c r="B33" s="2">
        <f>IFERROR(_xlfn.IFNA(VLOOKUP(E33,Summary_Pre!E:F,2,FALSE),0),0)</f>
        <v>0</v>
      </c>
      <c r="C33" s="3">
        <f>SUMIF(Summary_Pre!E:E,"="&amp; E33,Summary_Pre!C:C)</f>
        <v>0</v>
      </c>
      <c r="D33" s="134">
        <f>SUMIF(Summary_Pre!E:E,"="&amp; E33,Summary_Pre!D:D)</f>
        <v>0</v>
      </c>
      <c r="E33" s="158" t="e">
        <f t="array" ref="E33">INDEX(Summary_Pre!E$4:E$303, MATCH(0, COUNTIF($E$3:E32,Summary_Pre!E$4:E$303), 0))</f>
        <v>#N/A</v>
      </c>
      <c r="F33" s="2" t="str">
        <f>IF(Instructions!F25="Post-Retrofit","Completed","Recommended")</f>
        <v>Recommended</v>
      </c>
      <c r="G33" s="2"/>
      <c r="H33" s="2"/>
      <c r="I33" s="4">
        <f>SUMIF(Summary_Pre!E:E,"="&amp; E33,Summary_Pre!H:H)</f>
        <v>0</v>
      </c>
      <c r="J33" s="2">
        <f>SUMIF(Summary_Pre!E:E,"="&amp; E33,Summary_Pre!I:I)</f>
        <v>0</v>
      </c>
      <c r="K33" s="3">
        <f>SUMIF(Summary_Pre!E:E,"="&amp; E33,Summary_Pre!J:J)</f>
        <v>0</v>
      </c>
      <c r="L33" s="3">
        <f>SUMIF(Summary_Pre!E:E,"="&amp; E33,Summary_Pre!K:K)</f>
        <v>0</v>
      </c>
      <c r="M33" s="13">
        <f t="shared" si="0"/>
        <v>0</v>
      </c>
      <c r="N33" s="3"/>
      <c r="O33" s="3"/>
      <c r="P33" s="3"/>
      <c r="Q33" s="3"/>
      <c r="R33" s="3"/>
      <c r="S33" s="3"/>
      <c r="T33" s="3"/>
      <c r="U33" s="2"/>
      <c r="V33"/>
      <c r="W33"/>
      <c r="X33"/>
      <c r="Y33"/>
      <c r="Z33"/>
      <c r="AA33"/>
      <c r="AB33"/>
      <c r="AC33"/>
      <c r="AD33"/>
      <c r="AE33"/>
      <c r="AF33"/>
      <c r="AG33"/>
      <c r="AH33"/>
      <c r="AI33"/>
      <c r="AJ33"/>
      <c r="AK33"/>
      <c r="AL33"/>
      <c r="AM33"/>
      <c r="AN33"/>
      <c r="AO33"/>
    </row>
    <row r="34" spans="1:41">
      <c r="A34" s="2">
        <v>31</v>
      </c>
      <c r="B34" s="2">
        <f>IFERROR(_xlfn.IFNA(VLOOKUP(E34,Summary_Pre!E:F,2,FALSE),0),0)</f>
        <v>0</v>
      </c>
      <c r="C34" s="3">
        <f>SUMIF(Summary_Pre!E:E,"="&amp; E34,Summary_Pre!C:C)</f>
        <v>0</v>
      </c>
      <c r="D34" s="134">
        <f>SUMIF(Summary_Pre!E:E,"="&amp; E34,Summary_Pre!D:D)</f>
        <v>0</v>
      </c>
      <c r="E34" s="158" t="e">
        <f t="array" ref="E34">INDEX(Summary_Pre!E$4:E$303, MATCH(0, COUNTIF($E$3:E33,Summary_Pre!E$4:E$303), 0))</f>
        <v>#N/A</v>
      </c>
      <c r="F34" s="2" t="str">
        <f>IF(Instructions!F25="Post-Retrofit","Completed","Recommended")</f>
        <v>Recommended</v>
      </c>
      <c r="G34" s="2"/>
      <c r="H34" s="2"/>
      <c r="I34" s="4">
        <f>SUMIF(Summary_Pre!E:E,"="&amp; E34,Summary_Pre!H:H)</f>
        <v>0</v>
      </c>
      <c r="J34" s="2">
        <f>SUMIF(Summary_Pre!E:E,"="&amp; E34,Summary_Pre!I:I)</f>
        <v>0</v>
      </c>
      <c r="K34" s="3">
        <f>SUMIF(Summary_Pre!E:E,"="&amp; E34,Summary_Pre!J:J)</f>
        <v>0</v>
      </c>
      <c r="L34" s="3">
        <f>SUMIF(Summary_Pre!E:E,"="&amp; E34,Summary_Pre!K:K)</f>
        <v>0</v>
      </c>
      <c r="M34" s="13">
        <f t="shared" si="0"/>
        <v>0</v>
      </c>
      <c r="N34" s="3"/>
      <c r="O34" s="3"/>
      <c r="P34" s="3"/>
      <c r="Q34" s="3"/>
      <c r="R34" s="3"/>
      <c r="S34" s="3"/>
      <c r="T34" s="3"/>
      <c r="U34" s="2"/>
      <c r="V34"/>
      <c r="W34"/>
      <c r="X34"/>
      <c r="Y34"/>
      <c r="Z34"/>
      <c r="AA34"/>
      <c r="AB34"/>
      <c r="AC34"/>
      <c r="AD34"/>
      <c r="AE34"/>
      <c r="AF34"/>
      <c r="AG34"/>
      <c r="AH34"/>
      <c r="AI34"/>
      <c r="AJ34"/>
      <c r="AK34"/>
      <c r="AL34"/>
      <c r="AM34"/>
      <c r="AN34"/>
      <c r="AO34"/>
    </row>
    <row r="35" spans="1:41">
      <c r="A35" s="2">
        <v>32</v>
      </c>
      <c r="B35" s="2">
        <f>IFERROR(_xlfn.IFNA(VLOOKUP(E35,Summary_Pre!E:F,2,FALSE),0),0)</f>
        <v>0</v>
      </c>
      <c r="C35" s="3">
        <f>SUMIF(Summary_Pre!E:E,"="&amp; E35,Summary_Pre!C:C)</f>
        <v>0</v>
      </c>
      <c r="D35" s="134">
        <f>SUMIF(Summary_Pre!E:E,"="&amp; E35,Summary_Pre!D:D)</f>
        <v>0</v>
      </c>
      <c r="E35" s="158" t="e">
        <f t="array" ref="E35">INDEX(Summary_Pre!E$4:E$303, MATCH(0, COUNTIF($E$3:E34,Summary_Pre!E$4:E$303), 0))</f>
        <v>#N/A</v>
      </c>
      <c r="F35" s="2" t="str">
        <f>IF(Instructions!F25="Post-Retrofit","Completed","Recommended")</f>
        <v>Recommended</v>
      </c>
      <c r="G35" s="2"/>
      <c r="H35" s="2"/>
      <c r="I35" s="4">
        <f>SUMIF(Summary_Pre!E:E,"="&amp; E35,Summary_Pre!H:H)</f>
        <v>0</v>
      </c>
      <c r="J35" s="2">
        <f>SUMIF(Summary_Pre!E:E,"="&amp; E35,Summary_Pre!I:I)</f>
        <v>0</v>
      </c>
      <c r="K35" s="3">
        <f>SUMIF(Summary_Pre!E:E,"="&amp; E35,Summary_Pre!J:J)</f>
        <v>0</v>
      </c>
      <c r="L35" s="3">
        <f>SUMIF(Summary_Pre!E:E,"="&amp; E35,Summary_Pre!K:K)</f>
        <v>0</v>
      </c>
      <c r="M35" s="13">
        <f t="shared" si="0"/>
        <v>0</v>
      </c>
      <c r="N35" s="3"/>
      <c r="O35" s="3"/>
      <c r="P35" s="3"/>
      <c r="Q35" s="3"/>
      <c r="R35" s="3"/>
      <c r="S35" s="3"/>
      <c r="T35" s="3"/>
      <c r="U35" s="2"/>
      <c r="V35"/>
      <c r="W35"/>
      <c r="X35"/>
      <c r="Y35"/>
      <c r="Z35"/>
      <c r="AA35"/>
      <c r="AB35"/>
      <c r="AC35"/>
      <c r="AD35"/>
      <c r="AE35"/>
      <c r="AF35"/>
      <c r="AG35"/>
      <c r="AH35"/>
      <c r="AI35"/>
      <c r="AJ35"/>
      <c r="AK35"/>
      <c r="AL35"/>
      <c r="AM35"/>
      <c r="AN35"/>
      <c r="AO35"/>
    </row>
    <row r="36" spans="1:41">
      <c r="A36" s="2">
        <v>33</v>
      </c>
      <c r="B36" s="2">
        <f>IFERROR(_xlfn.IFNA(VLOOKUP(E36,Summary_Pre!E:F,2,FALSE),0),0)</f>
        <v>0</v>
      </c>
      <c r="C36" s="3">
        <f>SUMIF(Summary_Pre!E:E,"="&amp; E36,Summary_Pre!C:C)</f>
        <v>0</v>
      </c>
      <c r="D36" s="134">
        <f>SUMIF(Summary_Pre!E:E,"="&amp; E36,Summary_Pre!D:D)</f>
        <v>0</v>
      </c>
      <c r="E36" s="158" t="e">
        <f t="array" ref="E36">INDEX(Summary_Pre!E$4:E$303, MATCH(0, COUNTIF($E$3:E35,Summary_Pre!E$4:E$303), 0))</f>
        <v>#N/A</v>
      </c>
      <c r="F36" s="2" t="str">
        <f>IF(Instructions!F25="Post-Retrofit","Completed","Recommended")</f>
        <v>Recommended</v>
      </c>
      <c r="G36" s="2"/>
      <c r="H36" s="2"/>
      <c r="I36" s="4">
        <f>SUMIF(Summary_Pre!E:E,"="&amp; E36,Summary_Pre!H:H)</f>
        <v>0</v>
      </c>
      <c r="J36" s="2">
        <f>SUMIF(Summary_Pre!E:E,"="&amp; E36,Summary_Pre!I:I)</f>
        <v>0</v>
      </c>
      <c r="K36" s="3">
        <f>SUMIF(Summary_Pre!E:E,"="&amp; E36,Summary_Pre!J:J)</f>
        <v>0</v>
      </c>
      <c r="L36" s="3">
        <f>SUMIF(Summary_Pre!E:E,"="&amp; E36,Summary_Pre!K:K)</f>
        <v>0</v>
      </c>
      <c r="M36" s="13">
        <f t="shared" si="0"/>
        <v>0</v>
      </c>
      <c r="N36" s="3"/>
      <c r="O36" s="3"/>
      <c r="P36" s="3"/>
      <c r="Q36" s="3"/>
      <c r="R36" s="3"/>
      <c r="S36" s="3"/>
      <c r="T36" s="3"/>
      <c r="U36" s="2"/>
      <c r="V36"/>
      <c r="W36"/>
      <c r="X36"/>
      <c r="Y36"/>
      <c r="Z36"/>
      <c r="AA36"/>
      <c r="AB36"/>
      <c r="AC36"/>
      <c r="AD36"/>
      <c r="AE36"/>
      <c r="AF36"/>
      <c r="AG36"/>
      <c r="AH36"/>
      <c r="AI36"/>
      <c r="AJ36"/>
      <c r="AK36"/>
      <c r="AL36"/>
      <c r="AM36"/>
      <c r="AN36"/>
      <c r="AO36"/>
    </row>
    <row r="37" spans="1:41">
      <c r="A37" s="2">
        <v>34</v>
      </c>
      <c r="B37" s="2">
        <f>IFERROR(_xlfn.IFNA(VLOOKUP(E37,Summary_Pre!E:F,2,FALSE),0),0)</f>
        <v>0</v>
      </c>
      <c r="C37" s="3">
        <f>SUMIF(Summary_Pre!E:E,"="&amp; E37,Summary_Pre!C:C)</f>
        <v>0</v>
      </c>
      <c r="D37" s="134">
        <f>SUMIF(Summary_Pre!E:E,"="&amp; E37,Summary_Pre!D:D)</f>
        <v>0</v>
      </c>
      <c r="E37" s="158" t="e">
        <f t="array" ref="E37">INDEX(Summary_Pre!E$4:E$303, MATCH(0, COUNTIF($E$3:E36,Summary_Pre!E$4:E$303), 0))</f>
        <v>#N/A</v>
      </c>
      <c r="F37" s="2" t="str">
        <f>IF(Instructions!F25="Post-Retrofit","Completed","Recommended")</f>
        <v>Recommended</v>
      </c>
      <c r="G37" s="2"/>
      <c r="H37" s="2"/>
      <c r="I37" s="4">
        <f>SUMIF(Summary_Pre!E:E,"="&amp; E37,Summary_Pre!H:H)</f>
        <v>0</v>
      </c>
      <c r="J37" s="2">
        <f>SUMIF(Summary_Pre!E:E,"="&amp; E37,Summary_Pre!I:I)</f>
        <v>0</v>
      </c>
      <c r="K37" s="3">
        <f>SUMIF(Summary_Pre!E:E,"="&amp; E37,Summary_Pre!J:J)</f>
        <v>0</v>
      </c>
      <c r="L37" s="3">
        <f>SUMIF(Summary_Pre!E:E,"="&amp; E37,Summary_Pre!K:K)</f>
        <v>0</v>
      </c>
      <c r="M37" s="13">
        <f t="shared" si="0"/>
        <v>0</v>
      </c>
      <c r="N37" s="3"/>
      <c r="O37" s="3"/>
      <c r="P37" s="3"/>
      <c r="Q37" s="3"/>
      <c r="R37" s="3"/>
      <c r="S37" s="3"/>
      <c r="T37" s="3"/>
      <c r="U37" s="2"/>
      <c r="V37"/>
      <c r="W37"/>
      <c r="X37"/>
      <c r="Y37"/>
      <c r="Z37"/>
      <c r="AA37"/>
      <c r="AB37"/>
      <c r="AC37"/>
      <c r="AD37"/>
      <c r="AE37"/>
      <c r="AF37"/>
      <c r="AG37"/>
      <c r="AH37"/>
      <c r="AI37"/>
      <c r="AJ37"/>
      <c r="AK37"/>
      <c r="AL37"/>
      <c r="AM37"/>
      <c r="AN37"/>
      <c r="AO37"/>
    </row>
    <row r="38" spans="1:41">
      <c r="A38" s="2">
        <v>35</v>
      </c>
      <c r="B38" s="2">
        <f>IFERROR(_xlfn.IFNA(VLOOKUP(E38,Summary_Pre!E:F,2,FALSE),0),0)</f>
        <v>0</v>
      </c>
      <c r="C38" s="3">
        <f>SUMIF(Summary_Pre!E:E,"="&amp; E38,Summary_Pre!C:C)</f>
        <v>0</v>
      </c>
      <c r="D38" s="134">
        <f>SUMIF(Summary_Pre!E:E,"="&amp; E38,Summary_Pre!D:D)</f>
        <v>0</v>
      </c>
      <c r="E38" s="158" t="e">
        <f t="array" ref="E38">INDEX(Summary_Pre!E$4:E$303, MATCH(0, COUNTIF($E$3:E37,Summary_Pre!E$4:E$303), 0))</f>
        <v>#N/A</v>
      </c>
      <c r="F38" s="2" t="str">
        <f>IF(Instructions!F25="Post-Retrofit","Completed","Recommended")</f>
        <v>Recommended</v>
      </c>
      <c r="G38" s="2"/>
      <c r="H38" s="2"/>
      <c r="I38" s="4">
        <f>SUMIF(Summary_Pre!E:E,"="&amp; E38,Summary_Pre!H:H)</f>
        <v>0</v>
      </c>
      <c r="J38" s="2">
        <f>SUMIF(Summary_Pre!E:E,"="&amp; E38,Summary_Pre!I:I)</f>
        <v>0</v>
      </c>
      <c r="K38" s="3">
        <f>SUMIF(Summary_Pre!E:E,"="&amp; E38,Summary_Pre!J:J)</f>
        <v>0</v>
      </c>
      <c r="L38" s="3">
        <f>SUMIF(Summary_Pre!E:E,"="&amp; E38,Summary_Pre!K:K)</f>
        <v>0</v>
      </c>
      <c r="M38" s="13">
        <f t="shared" si="0"/>
        <v>0</v>
      </c>
      <c r="N38" s="3"/>
      <c r="O38" s="3"/>
      <c r="P38" s="3"/>
      <c r="Q38" s="3"/>
      <c r="R38" s="3"/>
      <c r="S38" s="3"/>
      <c r="T38" s="3"/>
      <c r="U38" s="2"/>
      <c r="V38"/>
      <c r="W38"/>
      <c r="X38"/>
      <c r="Y38"/>
      <c r="Z38"/>
      <c r="AA38"/>
      <c r="AB38"/>
      <c r="AC38"/>
      <c r="AD38"/>
      <c r="AE38"/>
      <c r="AF38"/>
      <c r="AG38"/>
      <c r="AH38"/>
      <c r="AI38"/>
      <c r="AJ38"/>
      <c r="AK38"/>
      <c r="AL38"/>
      <c r="AM38"/>
      <c r="AN38"/>
      <c r="AO38"/>
    </row>
    <row r="39" spans="1:41">
      <c r="A39" s="2">
        <v>36</v>
      </c>
      <c r="B39" s="2">
        <f>IFERROR(_xlfn.IFNA(VLOOKUP(E39,Summary_Pre!E:F,2,FALSE),0),0)</f>
        <v>0</v>
      </c>
      <c r="C39" s="3">
        <f>SUMIF(Summary_Pre!E:E,"="&amp; E39,Summary_Pre!C:C)</f>
        <v>0</v>
      </c>
      <c r="D39" s="134">
        <f>SUMIF(Summary_Pre!E:E,"="&amp; E39,Summary_Pre!D:D)</f>
        <v>0</v>
      </c>
      <c r="E39" s="158" t="e">
        <f t="array" ref="E39">INDEX(Summary_Pre!E$4:E$303, MATCH(0, COUNTIF($E$3:E38,Summary_Pre!E$4:E$303), 0))</f>
        <v>#N/A</v>
      </c>
      <c r="F39" s="2" t="str">
        <f>IF(Instructions!F25="Post-Retrofit","Completed","Recommended")</f>
        <v>Recommended</v>
      </c>
      <c r="G39" s="2"/>
      <c r="H39" s="2"/>
      <c r="I39" s="4">
        <f>SUMIF(Summary_Pre!E:E,"="&amp; E39,Summary_Pre!H:H)</f>
        <v>0</v>
      </c>
      <c r="J39" s="2">
        <f>SUMIF(Summary_Pre!E:E,"="&amp; E39,Summary_Pre!I:I)</f>
        <v>0</v>
      </c>
      <c r="K39" s="3">
        <f>SUMIF(Summary_Pre!E:E,"="&amp; E39,Summary_Pre!J:J)</f>
        <v>0</v>
      </c>
      <c r="L39" s="3">
        <f>SUMIF(Summary_Pre!E:E,"="&amp; E39,Summary_Pre!K:K)</f>
        <v>0</v>
      </c>
      <c r="M39" s="13">
        <f t="shared" si="0"/>
        <v>0</v>
      </c>
      <c r="N39" s="3"/>
      <c r="O39" s="3"/>
      <c r="P39" s="3"/>
      <c r="Q39" s="3"/>
      <c r="R39" s="3"/>
      <c r="S39" s="3"/>
      <c r="T39" s="3"/>
      <c r="U39" s="2"/>
      <c r="V39"/>
      <c r="W39"/>
      <c r="X39"/>
      <c r="Y39"/>
      <c r="Z39"/>
      <c r="AA39"/>
      <c r="AB39"/>
      <c r="AC39"/>
      <c r="AD39"/>
      <c r="AE39"/>
      <c r="AF39"/>
      <c r="AG39"/>
      <c r="AH39"/>
      <c r="AI39"/>
      <c r="AJ39"/>
      <c r="AK39"/>
      <c r="AL39"/>
      <c r="AM39"/>
      <c r="AN39"/>
      <c r="AO39"/>
    </row>
    <row r="40" spans="1:41">
      <c r="A40" s="2">
        <v>37</v>
      </c>
      <c r="B40" s="2">
        <f>IFERROR(_xlfn.IFNA(VLOOKUP(E40,Summary_Pre!E:F,2,FALSE),0),0)</f>
        <v>0</v>
      </c>
      <c r="C40" s="3">
        <f>SUMIF(Summary_Pre!E:E,"="&amp; E40,Summary_Pre!C:C)</f>
        <v>0</v>
      </c>
      <c r="D40" s="134">
        <f>SUMIF(Summary_Pre!E:E,"="&amp; E40,Summary_Pre!D:D)</f>
        <v>0</v>
      </c>
      <c r="E40" s="158" t="e">
        <f t="array" ref="E40">INDEX(Summary_Pre!E$4:E$303, MATCH(0, COUNTIF($E$3:E39,Summary_Pre!E$4:E$303), 0))</f>
        <v>#N/A</v>
      </c>
      <c r="F40" s="2" t="str">
        <f>IF(Instructions!F25="Post-Retrofit","Completed","Recommended")</f>
        <v>Recommended</v>
      </c>
      <c r="G40" s="2"/>
      <c r="H40" s="2"/>
      <c r="I40" s="4">
        <f>SUMIF(Summary_Pre!E:E,"="&amp; E40,Summary_Pre!H:H)</f>
        <v>0</v>
      </c>
      <c r="J40" s="2">
        <f>SUMIF(Summary_Pre!E:E,"="&amp; E40,Summary_Pre!I:I)</f>
        <v>0</v>
      </c>
      <c r="K40" s="3">
        <f>SUMIF(Summary_Pre!E:E,"="&amp; E40,Summary_Pre!J:J)</f>
        <v>0</v>
      </c>
      <c r="L40" s="3">
        <f>SUMIF(Summary_Pre!E:E,"="&amp; E40,Summary_Pre!K:K)</f>
        <v>0</v>
      </c>
      <c r="M40" s="13">
        <f t="shared" si="0"/>
        <v>0</v>
      </c>
      <c r="N40" s="3"/>
      <c r="O40" s="3"/>
      <c r="P40" s="3"/>
      <c r="Q40" s="3"/>
      <c r="R40" s="3"/>
      <c r="S40" s="3"/>
      <c r="T40" s="3"/>
      <c r="U40" s="2"/>
      <c r="V40"/>
      <c r="W40"/>
      <c r="X40"/>
      <c r="Y40"/>
      <c r="Z40"/>
      <c r="AA40"/>
      <c r="AB40"/>
      <c r="AC40"/>
      <c r="AD40"/>
      <c r="AE40"/>
      <c r="AF40"/>
      <c r="AG40"/>
      <c r="AH40"/>
      <c r="AI40"/>
      <c r="AJ40"/>
      <c r="AK40"/>
      <c r="AL40"/>
      <c r="AM40"/>
      <c r="AN40"/>
      <c r="AO40"/>
    </row>
    <row r="41" spans="1:41">
      <c r="A41" s="2">
        <v>38</v>
      </c>
      <c r="B41" s="2">
        <f>IFERROR(_xlfn.IFNA(VLOOKUP(E41,Summary_Pre!E:F,2,FALSE),0),0)</f>
        <v>0</v>
      </c>
      <c r="C41" s="3">
        <f>SUMIF(Summary_Pre!E:E,"="&amp; E41,Summary_Pre!C:C)</f>
        <v>0</v>
      </c>
      <c r="D41" s="134">
        <f>SUMIF(Summary_Pre!E:E,"="&amp; E41,Summary_Pre!D:D)</f>
        <v>0</v>
      </c>
      <c r="E41" s="158" t="e">
        <f t="array" ref="E41">INDEX(Summary_Pre!E$4:E$303, MATCH(0, COUNTIF($E$3:E40,Summary_Pre!E$4:E$303), 0))</f>
        <v>#N/A</v>
      </c>
      <c r="F41" s="2" t="str">
        <f>IF(Instructions!F25="Post-Retrofit","Completed","Recommended")</f>
        <v>Recommended</v>
      </c>
      <c r="G41" s="2"/>
      <c r="H41" s="2"/>
      <c r="I41" s="4">
        <f>SUMIF(Summary_Pre!E:E,"="&amp; E41,Summary_Pre!H:H)</f>
        <v>0</v>
      </c>
      <c r="J41" s="2">
        <f>SUMIF(Summary_Pre!E:E,"="&amp; E41,Summary_Pre!I:I)</f>
        <v>0</v>
      </c>
      <c r="K41" s="3">
        <f>SUMIF(Summary_Pre!E:E,"="&amp; E41,Summary_Pre!J:J)</f>
        <v>0</v>
      </c>
      <c r="L41" s="3">
        <f>SUMIF(Summary_Pre!E:E,"="&amp; E41,Summary_Pre!K:K)</f>
        <v>0</v>
      </c>
      <c r="M41" s="13">
        <f t="shared" si="0"/>
        <v>0</v>
      </c>
      <c r="N41" s="3"/>
      <c r="O41" s="3"/>
      <c r="P41" s="3"/>
      <c r="Q41" s="3"/>
      <c r="R41" s="3"/>
      <c r="S41" s="3"/>
      <c r="T41" s="3"/>
      <c r="U41" s="2"/>
      <c r="V41"/>
      <c r="W41"/>
      <c r="X41"/>
      <c r="Y41"/>
      <c r="Z41"/>
      <c r="AA41"/>
      <c r="AB41"/>
      <c r="AC41"/>
      <c r="AD41"/>
      <c r="AE41"/>
      <c r="AF41"/>
      <c r="AG41"/>
      <c r="AH41"/>
      <c r="AI41"/>
      <c r="AJ41"/>
      <c r="AK41"/>
      <c r="AL41"/>
      <c r="AM41"/>
      <c r="AN41"/>
      <c r="AO41"/>
    </row>
    <row r="42" spans="1:41">
      <c r="A42" s="2">
        <v>39</v>
      </c>
      <c r="B42" s="2">
        <f>IFERROR(_xlfn.IFNA(VLOOKUP(E42,Summary_Pre!E:F,2,FALSE),0),0)</f>
        <v>0</v>
      </c>
      <c r="C42" s="3">
        <f>SUMIF(Summary_Pre!E:E,"="&amp; E42,Summary_Pre!C:C)</f>
        <v>0</v>
      </c>
      <c r="D42" s="134">
        <f>SUMIF(Summary_Pre!E:E,"="&amp; E42,Summary_Pre!D:D)</f>
        <v>0</v>
      </c>
      <c r="E42" s="158" t="e">
        <f t="array" ref="E42">INDEX(Summary_Pre!E$4:E$303, MATCH(0, COUNTIF($E$3:E41,Summary_Pre!E$4:E$303), 0))</f>
        <v>#N/A</v>
      </c>
      <c r="F42" s="2" t="str">
        <f>IF(Instructions!F25="Post-Retrofit","Completed","Recommended")</f>
        <v>Recommended</v>
      </c>
      <c r="G42" s="2"/>
      <c r="H42" s="2"/>
      <c r="I42" s="4">
        <f>SUMIF(Summary_Pre!E:E,"="&amp; E42,Summary_Pre!H:H)</f>
        <v>0</v>
      </c>
      <c r="J42" s="2">
        <f>SUMIF(Summary_Pre!E:E,"="&amp; E42,Summary_Pre!I:I)</f>
        <v>0</v>
      </c>
      <c r="K42" s="3">
        <f>SUMIF(Summary_Pre!E:E,"="&amp; E42,Summary_Pre!J:J)</f>
        <v>0</v>
      </c>
      <c r="L42" s="3">
        <f>SUMIF(Summary_Pre!E:E,"="&amp; E42,Summary_Pre!K:K)</f>
        <v>0</v>
      </c>
      <c r="M42" s="13">
        <f t="shared" si="0"/>
        <v>0</v>
      </c>
      <c r="N42" s="3"/>
      <c r="O42" s="3"/>
      <c r="P42" s="3"/>
      <c r="Q42" s="3"/>
      <c r="R42" s="3"/>
      <c r="S42" s="3"/>
      <c r="T42" s="3"/>
      <c r="U42" s="2"/>
      <c r="V42"/>
      <c r="W42"/>
      <c r="X42"/>
      <c r="Y42"/>
      <c r="Z42"/>
      <c r="AA42"/>
      <c r="AB42"/>
      <c r="AC42"/>
      <c r="AD42"/>
      <c r="AE42"/>
      <c r="AF42"/>
      <c r="AG42"/>
      <c r="AH42"/>
      <c r="AI42"/>
      <c r="AJ42"/>
      <c r="AK42"/>
      <c r="AL42"/>
      <c r="AM42"/>
      <c r="AN42"/>
      <c r="AO42"/>
    </row>
    <row r="43" spans="1:41">
      <c r="A43" s="2">
        <v>40</v>
      </c>
      <c r="B43" s="2">
        <f>IFERROR(_xlfn.IFNA(VLOOKUP(E43,Summary_Pre!E:F,2,FALSE),0),0)</f>
        <v>0</v>
      </c>
      <c r="C43" s="3">
        <f>SUMIF(Summary_Pre!E:E,"="&amp; E43,Summary_Pre!C:C)</f>
        <v>0</v>
      </c>
      <c r="D43" s="134">
        <f>SUMIF(Summary_Pre!E:E,"="&amp; E43,Summary_Pre!D:D)</f>
        <v>0</v>
      </c>
      <c r="E43" s="158" t="e">
        <f t="array" ref="E43">INDEX(Summary_Pre!E$4:E$303, MATCH(0, COUNTIF($E$3:E42,Summary_Pre!E$4:E$303), 0))</f>
        <v>#N/A</v>
      </c>
      <c r="F43" s="2" t="str">
        <f>IF(Instructions!F25="Post-Retrofit","Completed","Recommended")</f>
        <v>Recommended</v>
      </c>
      <c r="G43" s="2"/>
      <c r="H43" s="2"/>
      <c r="I43" s="4">
        <f>SUMIF(Summary_Pre!E:E,"="&amp; E43,Summary_Pre!H:H)</f>
        <v>0</v>
      </c>
      <c r="J43" s="2">
        <f>SUMIF(Summary_Pre!E:E,"="&amp; E43,Summary_Pre!I:I)</f>
        <v>0</v>
      </c>
      <c r="K43" s="3">
        <f>SUMIF(Summary_Pre!E:E,"="&amp; E43,Summary_Pre!J:J)</f>
        <v>0</v>
      </c>
      <c r="L43" s="3">
        <f>SUMIF(Summary_Pre!E:E,"="&amp; E43,Summary_Pre!K:K)</f>
        <v>0</v>
      </c>
      <c r="M43" s="13">
        <f t="shared" si="0"/>
        <v>0</v>
      </c>
      <c r="N43" s="3"/>
      <c r="O43" s="3"/>
      <c r="P43" s="3"/>
      <c r="Q43" s="3"/>
      <c r="R43" s="3"/>
      <c r="S43" s="3"/>
      <c r="T43" s="3"/>
      <c r="U43" s="2"/>
      <c r="V43"/>
      <c r="W43"/>
      <c r="X43"/>
      <c r="Y43"/>
      <c r="Z43"/>
      <c r="AA43"/>
      <c r="AB43"/>
      <c r="AC43"/>
      <c r="AD43"/>
      <c r="AE43"/>
      <c r="AF43"/>
      <c r="AG43"/>
      <c r="AH43"/>
      <c r="AI43"/>
      <c r="AJ43"/>
      <c r="AK43"/>
      <c r="AL43"/>
      <c r="AM43"/>
      <c r="AN43"/>
      <c r="AO43"/>
    </row>
    <row r="44" spans="1:41">
      <c r="A44" s="2">
        <v>41</v>
      </c>
      <c r="B44" s="2">
        <f>IFERROR(_xlfn.IFNA(VLOOKUP(E44,Summary_Pre!E:F,2,FALSE),0),0)</f>
        <v>0</v>
      </c>
      <c r="C44" s="3">
        <f>SUMIF(Summary_Pre!E:E,"="&amp; E44,Summary_Pre!C:C)</f>
        <v>0</v>
      </c>
      <c r="D44" s="134">
        <f>SUMIF(Summary_Pre!E:E,"="&amp; E44,Summary_Pre!D:D)</f>
        <v>0</v>
      </c>
      <c r="E44" s="158" t="e">
        <f t="array" ref="E44">INDEX(Summary_Pre!E$4:E$303, MATCH(0, COUNTIF($E$3:E43,Summary_Pre!E$4:E$303), 0))</f>
        <v>#N/A</v>
      </c>
      <c r="F44" s="2" t="str">
        <f>IF(Instructions!F25="Post-Retrofit","Completed","Recommended")</f>
        <v>Recommended</v>
      </c>
      <c r="G44" s="2"/>
      <c r="H44" s="2"/>
      <c r="I44" s="4">
        <f>SUMIF(Summary_Pre!E:E,"="&amp; E44,Summary_Pre!H:H)</f>
        <v>0</v>
      </c>
      <c r="J44" s="2">
        <f>SUMIF(Summary_Pre!E:E,"="&amp; E44,Summary_Pre!I:I)</f>
        <v>0</v>
      </c>
      <c r="K44" s="3">
        <f>SUMIF(Summary_Pre!E:E,"="&amp; E44,Summary_Pre!J:J)</f>
        <v>0</v>
      </c>
      <c r="L44" s="3">
        <f>SUMIF(Summary_Pre!E:E,"="&amp; E44,Summary_Pre!K:K)</f>
        <v>0</v>
      </c>
      <c r="M44" s="13">
        <f t="shared" si="0"/>
        <v>0</v>
      </c>
      <c r="N44" s="3"/>
      <c r="O44" s="3"/>
      <c r="P44" s="3"/>
      <c r="Q44" s="3"/>
      <c r="R44" s="3"/>
      <c r="S44" s="3"/>
      <c r="T44" s="3"/>
      <c r="U44" s="2"/>
      <c r="V44"/>
      <c r="W44"/>
      <c r="X44"/>
      <c r="Y44"/>
      <c r="Z44"/>
      <c r="AA44"/>
      <c r="AB44"/>
      <c r="AC44"/>
      <c r="AD44"/>
      <c r="AE44"/>
      <c r="AF44"/>
      <c r="AG44"/>
      <c r="AH44"/>
      <c r="AI44"/>
      <c r="AJ44"/>
      <c r="AK44"/>
      <c r="AL44"/>
      <c r="AM44"/>
      <c r="AN44"/>
      <c r="AO44"/>
    </row>
    <row r="45" spans="1:41">
      <c r="A45" s="2">
        <v>42</v>
      </c>
      <c r="B45" s="2">
        <f>IFERROR(_xlfn.IFNA(VLOOKUP(E45,Summary_Pre!E:F,2,FALSE),0),0)</f>
        <v>0</v>
      </c>
      <c r="C45" s="3">
        <f>SUMIF(Summary_Pre!E:E,"="&amp; E45,Summary_Pre!C:C)</f>
        <v>0</v>
      </c>
      <c r="D45" s="134">
        <f>SUMIF(Summary_Pre!E:E,"="&amp; E45,Summary_Pre!D:D)</f>
        <v>0</v>
      </c>
      <c r="E45" s="158" t="e">
        <f t="array" ref="E45">INDEX(Summary_Pre!E$4:E$303, MATCH(0, COUNTIF($E$3:E44,Summary_Pre!E$4:E$303), 0))</f>
        <v>#N/A</v>
      </c>
      <c r="F45" s="2" t="str">
        <f>IF(Instructions!F25="Post-Retrofit","Completed","Recommended")</f>
        <v>Recommended</v>
      </c>
      <c r="G45" s="2"/>
      <c r="H45" s="2"/>
      <c r="I45" s="4">
        <f>SUMIF(Summary_Pre!E:E,"="&amp; E45,Summary_Pre!H:H)</f>
        <v>0</v>
      </c>
      <c r="J45" s="2">
        <f>SUMIF(Summary_Pre!E:E,"="&amp; E45,Summary_Pre!I:I)</f>
        <v>0</v>
      </c>
      <c r="K45" s="3">
        <f>SUMIF(Summary_Pre!E:E,"="&amp; E45,Summary_Pre!J:J)</f>
        <v>0</v>
      </c>
      <c r="L45" s="3">
        <f>SUMIF(Summary_Pre!E:E,"="&amp; E45,Summary_Pre!K:K)</f>
        <v>0</v>
      </c>
      <c r="M45" s="13">
        <f t="shared" si="0"/>
        <v>0</v>
      </c>
      <c r="N45" s="3"/>
      <c r="O45" s="3"/>
      <c r="P45" s="3"/>
      <c r="Q45" s="3"/>
      <c r="R45" s="3"/>
      <c r="S45" s="3"/>
      <c r="T45" s="3"/>
      <c r="U45" s="2"/>
      <c r="V45"/>
      <c r="W45"/>
      <c r="X45"/>
      <c r="Y45"/>
      <c r="Z45"/>
      <c r="AA45"/>
      <c r="AB45"/>
      <c r="AC45"/>
      <c r="AD45"/>
      <c r="AE45"/>
      <c r="AF45"/>
      <c r="AG45"/>
      <c r="AH45"/>
      <c r="AI45"/>
      <c r="AJ45"/>
      <c r="AK45"/>
      <c r="AL45"/>
      <c r="AM45"/>
      <c r="AN45"/>
      <c r="AO45"/>
    </row>
    <row r="46" spans="1:41">
      <c r="A46" s="2">
        <v>43</v>
      </c>
      <c r="B46" s="2">
        <f>IFERROR(_xlfn.IFNA(VLOOKUP(E46,Summary_Pre!E:F,2,FALSE),0),0)</f>
        <v>0</v>
      </c>
      <c r="C46" s="3">
        <f>SUMIF(Summary_Pre!E:E,"="&amp; E46,Summary_Pre!C:C)</f>
        <v>0</v>
      </c>
      <c r="D46" s="134">
        <f>SUMIF(Summary_Pre!E:E,"="&amp; E46,Summary_Pre!D:D)</f>
        <v>0</v>
      </c>
      <c r="E46" s="158" t="e">
        <f t="array" ref="E46">INDEX(Summary_Pre!E$4:E$303, MATCH(0, COUNTIF($E$3:E45,Summary_Pre!E$4:E$303), 0))</f>
        <v>#N/A</v>
      </c>
      <c r="F46" s="2" t="str">
        <f>IF(Instructions!F25="Post-Retrofit","Completed","Recommended")</f>
        <v>Recommended</v>
      </c>
      <c r="G46" s="2"/>
      <c r="H46" s="2"/>
      <c r="I46" s="4">
        <f>SUMIF(Summary_Pre!E:E,"="&amp; E46,Summary_Pre!H:H)</f>
        <v>0</v>
      </c>
      <c r="J46" s="2">
        <f>SUMIF(Summary_Pre!E:E,"="&amp; E46,Summary_Pre!I:I)</f>
        <v>0</v>
      </c>
      <c r="K46" s="3">
        <f>SUMIF(Summary_Pre!E:E,"="&amp; E46,Summary_Pre!J:J)</f>
        <v>0</v>
      </c>
      <c r="L46" s="3">
        <f>SUMIF(Summary_Pre!E:E,"="&amp; E46,Summary_Pre!K:K)</f>
        <v>0</v>
      </c>
      <c r="M46" s="13">
        <f t="shared" si="0"/>
        <v>0</v>
      </c>
      <c r="N46" s="3"/>
      <c r="O46" s="3"/>
      <c r="P46" s="3"/>
      <c r="Q46" s="3"/>
      <c r="R46" s="3"/>
      <c r="S46" s="3"/>
      <c r="T46" s="3"/>
      <c r="U46" s="2"/>
      <c r="V46"/>
      <c r="W46"/>
      <c r="X46"/>
      <c r="Y46"/>
      <c r="Z46"/>
      <c r="AA46"/>
      <c r="AB46"/>
      <c r="AC46"/>
      <c r="AD46"/>
      <c r="AE46"/>
      <c r="AF46"/>
      <c r="AG46"/>
      <c r="AH46"/>
      <c r="AI46"/>
      <c r="AJ46"/>
      <c r="AK46"/>
      <c r="AL46"/>
      <c r="AM46"/>
      <c r="AN46"/>
      <c r="AO46"/>
    </row>
    <row r="47" spans="1:41">
      <c r="A47" s="2">
        <v>44</v>
      </c>
      <c r="B47" s="2">
        <f>IFERROR(_xlfn.IFNA(VLOOKUP(E47,Summary_Pre!E:F,2,FALSE),0),0)</f>
        <v>0</v>
      </c>
      <c r="C47" s="3">
        <f>SUMIF(Summary_Pre!E:E,"="&amp; E47,Summary_Pre!C:C)</f>
        <v>0</v>
      </c>
      <c r="D47" s="134">
        <f>SUMIF(Summary_Pre!E:E,"="&amp; E47,Summary_Pre!D:D)</f>
        <v>0</v>
      </c>
      <c r="E47" s="158" t="e">
        <f t="array" ref="E47">INDEX(Summary_Pre!E$4:E$303, MATCH(0, COUNTIF($E$3:E46,Summary_Pre!E$4:E$303), 0))</f>
        <v>#N/A</v>
      </c>
      <c r="F47" s="2" t="str">
        <f>IF(Instructions!F25="Post-Retrofit","Completed","Recommended")</f>
        <v>Recommended</v>
      </c>
      <c r="G47" s="2"/>
      <c r="H47" s="2"/>
      <c r="I47" s="4">
        <f>SUMIF(Summary_Pre!E:E,"="&amp; E47,Summary_Pre!H:H)</f>
        <v>0</v>
      </c>
      <c r="J47" s="2">
        <f>SUMIF(Summary_Pre!E:E,"="&amp; E47,Summary_Pre!I:I)</f>
        <v>0</v>
      </c>
      <c r="K47" s="3">
        <f>SUMIF(Summary_Pre!E:E,"="&amp; E47,Summary_Pre!J:J)</f>
        <v>0</v>
      </c>
      <c r="L47" s="3">
        <f>SUMIF(Summary_Pre!E:E,"="&amp; E47,Summary_Pre!K:K)</f>
        <v>0</v>
      </c>
      <c r="M47" s="13">
        <f t="shared" si="0"/>
        <v>0</v>
      </c>
      <c r="N47" s="3"/>
      <c r="O47" s="3"/>
      <c r="P47" s="3"/>
      <c r="Q47" s="3"/>
      <c r="R47" s="3"/>
      <c r="S47" s="3"/>
      <c r="T47" s="3"/>
      <c r="U47" s="2"/>
      <c r="V47"/>
      <c r="W47"/>
      <c r="X47"/>
      <c r="Y47"/>
      <c r="Z47"/>
      <c r="AA47"/>
      <c r="AB47"/>
      <c r="AC47"/>
      <c r="AD47"/>
      <c r="AE47"/>
      <c r="AF47"/>
      <c r="AG47"/>
      <c r="AH47"/>
      <c r="AI47"/>
      <c r="AJ47"/>
      <c r="AK47"/>
      <c r="AL47"/>
      <c r="AM47"/>
      <c r="AN47"/>
      <c r="AO47"/>
    </row>
    <row r="48" spans="1:41">
      <c r="A48" s="2">
        <v>45</v>
      </c>
      <c r="B48" s="2">
        <f>IFERROR(_xlfn.IFNA(VLOOKUP(E48,Summary_Pre!E:F,2,FALSE),0),0)</f>
        <v>0</v>
      </c>
      <c r="C48" s="3">
        <f>SUMIF(Summary_Pre!E:E,"="&amp; E48,Summary_Pre!C:C)</f>
        <v>0</v>
      </c>
      <c r="D48" s="134">
        <f>SUMIF(Summary_Pre!E:E,"="&amp; E48,Summary_Pre!D:D)</f>
        <v>0</v>
      </c>
      <c r="E48" s="158" t="e">
        <f t="array" ref="E48">INDEX(Summary_Pre!E$4:E$303, MATCH(0, COUNTIF($E$3:E47,Summary_Pre!E$4:E$303), 0))</f>
        <v>#N/A</v>
      </c>
      <c r="F48" s="2" t="str">
        <f>IF(Instructions!F25="Post-Retrofit","Completed","Recommended")</f>
        <v>Recommended</v>
      </c>
      <c r="G48" s="2"/>
      <c r="H48" s="2"/>
      <c r="I48" s="4">
        <f>SUMIF(Summary_Pre!E:E,"="&amp; E48,Summary_Pre!H:H)</f>
        <v>0</v>
      </c>
      <c r="J48" s="2">
        <f>SUMIF(Summary_Pre!E:E,"="&amp; E48,Summary_Pre!I:I)</f>
        <v>0</v>
      </c>
      <c r="K48" s="3">
        <f>SUMIF(Summary_Pre!E:E,"="&amp; E48,Summary_Pre!J:J)</f>
        <v>0</v>
      </c>
      <c r="L48" s="3">
        <f>SUMIF(Summary_Pre!E:E,"="&amp; E48,Summary_Pre!K:K)</f>
        <v>0</v>
      </c>
      <c r="M48" s="13">
        <f t="shared" si="0"/>
        <v>0</v>
      </c>
      <c r="N48" s="3"/>
      <c r="O48" s="3"/>
      <c r="P48" s="3"/>
      <c r="Q48" s="3"/>
      <c r="R48" s="3"/>
      <c r="S48" s="3"/>
      <c r="T48" s="3"/>
      <c r="U48" s="2"/>
      <c r="V48"/>
      <c r="W48"/>
      <c r="X48"/>
      <c r="Y48"/>
      <c r="Z48"/>
      <c r="AA48"/>
      <c r="AB48"/>
      <c r="AC48"/>
      <c r="AD48"/>
      <c r="AE48"/>
      <c r="AF48"/>
      <c r="AG48"/>
      <c r="AH48"/>
      <c r="AI48"/>
      <c r="AJ48"/>
      <c r="AK48"/>
      <c r="AL48"/>
      <c r="AM48"/>
      <c r="AN48"/>
      <c r="AO48"/>
    </row>
    <row r="49" spans="1:41">
      <c r="A49" s="2">
        <v>46</v>
      </c>
      <c r="B49" s="2">
        <f>IFERROR(_xlfn.IFNA(VLOOKUP(E49,Summary_Pre!E:F,2,FALSE),0),0)</f>
        <v>0</v>
      </c>
      <c r="C49" s="3">
        <f>SUMIF(Summary_Pre!E:E,"="&amp; E49,Summary_Pre!C:C)</f>
        <v>0</v>
      </c>
      <c r="D49" s="134">
        <f>SUMIF(Summary_Pre!E:E,"="&amp; E49,Summary_Pre!D:D)</f>
        <v>0</v>
      </c>
      <c r="E49" s="158" t="e">
        <f t="array" ref="E49">INDEX(Summary_Pre!E$4:E$303, MATCH(0, COUNTIF($E$3:E48,Summary_Pre!E$4:E$303), 0))</f>
        <v>#N/A</v>
      </c>
      <c r="F49" s="2" t="str">
        <f>IF(Instructions!F25="Post-Retrofit","Completed","Recommended")</f>
        <v>Recommended</v>
      </c>
      <c r="G49" s="2"/>
      <c r="H49" s="2"/>
      <c r="I49" s="4">
        <f>SUMIF(Summary_Pre!E:E,"="&amp; E49,Summary_Pre!H:H)</f>
        <v>0</v>
      </c>
      <c r="J49" s="2">
        <f>SUMIF(Summary_Pre!E:E,"="&amp; E49,Summary_Pre!I:I)</f>
        <v>0</v>
      </c>
      <c r="K49" s="3">
        <f>SUMIF(Summary_Pre!E:E,"="&amp; E49,Summary_Pre!J:J)</f>
        <v>0</v>
      </c>
      <c r="L49" s="3">
        <f>SUMIF(Summary_Pre!E:E,"="&amp; E49,Summary_Pre!K:K)</f>
        <v>0</v>
      </c>
      <c r="M49" s="13">
        <f t="shared" si="0"/>
        <v>0</v>
      </c>
      <c r="N49" s="3"/>
      <c r="O49" s="3"/>
      <c r="P49" s="3"/>
      <c r="Q49" s="3"/>
      <c r="R49" s="3"/>
      <c r="S49" s="3"/>
      <c r="T49" s="3"/>
      <c r="U49" s="2"/>
      <c r="V49"/>
      <c r="W49"/>
      <c r="X49"/>
      <c r="Y49"/>
      <c r="Z49"/>
      <c r="AA49"/>
      <c r="AB49"/>
      <c r="AC49"/>
      <c r="AD49"/>
      <c r="AE49"/>
      <c r="AF49"/>
      <c r="AG49"/>
      <c r="AH49"/>
      <c r="AI49"/>
      <c r="AJ49"/>
      <c r="AK49"/>
      <c r="AL49"/>
      <c r="AM49"/>
      <c r="AN49"/>
      <c r="AO49"/>
    </row>
    <row r="50" spans="1:41">
      <c r="A50" s="2">
        <v>47</v>
      </c>
      <c r="B50" s="2">
        <f>IFERROR(_xlfn.IFNA(VLOOKUP(E50,Summary_Pre!E:F,2,FALSE),0),0)</f>
        <v>0</v>
      </c>
      <c r="C50" s="3">
        <f>SUMIF(Summary_Pre!E:E,"="&amp; E50,Summary_Pre!C:C)</f>
        <v>0</v>
      </c>
      <c r="D50" s="134">
        <f>SUMIF(Summary_Pre!E:E,"="&amp; E50,Summary_Pre!D:D)</f>
        <v>0</v>
      </c>
      <c r="E50" s="158" t="e">
        <f t="array" ref="E50">INDEX(Summary_Pre!E$4:E$303, MATCH(0, COUNTIF($E$3:E49,Summary_Pre!E$4:E$303), 0))</f>
        <v>#N/A</v>
      </c>
      <c r="F50" s="2" t="str">
        <f>IF(Instructions!F25="Post-Retrofit","Completed","Recommended")</f>
        <v>Recommended</v>
      </c>
      <c r="G50" s="2"/>
      <c r="H50" s="2"/>
      <c r="I50" s="4">
        <f>SUMIF(Summary_Pre!E:E,"="&amp; E50,Summary_Pre!H:H)</f>
        <v>0</v>
      </c>
      <c r="J50" s="2">
        <f>SUMIF(Summary_Pre!E:E,"="&amp; E50,Summary_Pre!I:I)</f>
        <v>0</v>
      </c>
      <c r="K50" s="3">
        <f>SUMIF(Summary_Pre!E:E,"="&amp; E50,Summary_Pre!J:J)</f>
        <v>0</v>
      </c>
      <c r="L50" s="3">
        <f>SUMIF(Summary_Pre!E:E,"="&amp; E50,Summary_Pre!K:K)</f>
        <v>0</v>
      </c>
      <c r="M50" s="13">
        <f t="shared" si="0"/>
        <v>0</v>
      </c>
      <c r="N50" s="3"/>
      <c r="O50" s="3"/>
      <c r="P50" s="3"/>
      <c r="Q50" s="3"/>
      <c r="R50" s="3"/>
      <c r="S50" s="3"/>
      <c r="T50" s="3"/>
      <c r="U50" s="2"/>
      <c r="V50"/>
      <c r="W50"/>
      <c r="X50"/>
      <c r="Y50"/>
      <c r="Z50"/>
      <c r="AA50"/>
      <c r="AB50"/>
      <c r="AC50"/>
      <c r="AD50"/>
      <c r="AE50"/>
      <c r="AF50"/>
      <c r="AG50"/>
      <c r="AH50"/>
      <c r="AI50"/>
      <c r="AJ50"/>
      <c r="AK50"/>
      <c r="AL50"/>
      <c r="AM50"/>
      <c r="AN50"/>
      <c r="AO50"/>
    </row>
    <row r="51" spans="1:41">
      <c r="A51" s="2">
        <v>48</v>
      </c>
      <c r="B51" s="2">
        <f>IFERROR(_xlfn.IFNA(VLOOKUP(E51,Summary_Pre!E:F,2,FALSE),0),0)</f>
        <v>0</v>
      </c>
      <c r="C51" s="3">
        <f>SUMIF(Summary_Pre!E:E,"="&amp; E51,Summary_Pre!C:C)</f>
        <v>0</v>
      </c>
      <c r="D51" s="134">
        <f>SUMIF(Summary_Pre!E:E,"="&amp; E51,Summary_Pre!D:D)</f>
        <v>0</v>
      </c>
      <c r="E51" s="158" t="e">
        <f t="array" ref="E51">INDEX(Summary_Pre!E$4:E$303, MATCH(0, COUNTIF($E$3:E50,Summary_Pre!E$4:E$303), 0))</f>
        <v>#N/A</v>
      </c>
      <c r="F51" s="2" t="str">
        <f>IF(Instructions!F25="Post-Retrofit","Completed","Recommended")</f>
        <v>Recommended</v>
      </c>
      <c r="G51" s="2"/>
      <c r="H51" s="2"/>
      <c r="I51" s="4">
        <f>SUMIF(Summary_Pre!E:E,"="&amp; E51,Summary_Pre!H:H)</f>
        <v>0</v>
      </c>
      <c r="J51" s="2">
        <f>SUMIF(Summary_Pre!E:E,"="&amp; E51,Summary_Pre!I:I)</f>
        <v>0</v>
      </c>
      <c r="K51" s="3">
        <f>SUMIF(Summary_Pre!E:E,"="&amp; E51,Summary_Pre!J:J)</f>
        <v>0</v>
      </c>
      <c r="L51" s="3">
        <f>SUMIF(Summary_Pre!E:E,"="&amp; E51,Summary_Pre!K:K)</f>
        <v>0</v>
      </c>
      <c r="M51" s="13">
        <f t="shared" si="0"/>
        <v>0</v>
      </c>
      <c r="N51" s="3"/>
      <c r="O51" s="3"/>
      <c r="P51" s="3"/>
      <c r="Q51" s="3"/>
      <c r="R51" s="3"/>
      <c r="S51" s="3"/>
      <c r="T51" s="3"/>
      <c r="U51" s="2"/>
      <c r="V51"/>
      <c r="W51"/>
      <c r="X51"/>
      <c r="Y51"/>
      <c r="Z51"/>
      <c r="AA51"/>
      <c r="AB51"/>
      <c r="AC51"/>
      <c r="AD51"/>
      <c r="AE51"/>
      <c r="AF51"/>
      <c r="AG51"/>
      <c r="AH51"/>
      <c r="AI51"/>
      <c r="AJ51"/>
      <c r="AK51"/>
      <c r="AL51"/>
      <c r="AM51"/>
      <c r="AN51"/>
      <c r="AO51"/>
    </row>
    <row r="52" spans="1:41">
      <c r="A52" s="2">
        <v>49</v>
      </c>
      <c r="B52" s="2">
        <f>IFERROR(_xlfn.IFNA(VLOOKUP(E52,Summary_Pre!E:F,2,FALSE),0),0)</f>
        <v>0</v>
      </c>
      <c r="C52" s="3">
        <f>SUMIF(Summary_Pre!E:E,"="&amp; E52,Summary_Pre!C:C)</f>
        <v>0</v>
      </c>
      <c r="D52" s="134">
        <f>SUMIF(Summary_Pre!E:E,"="&amp; E52,Summary_Pre!D:D)</f>
        <v>0</v>
      </c>
      <c r="E52" s="158" t="e">
        <f t="array" ref="E52">INDEX(Summary_Pre!E$4:E$303, MATCH(0, COUNTIF($E$3:E51,Summary_Pre!E$4:E$303), 0))</f>
        <v>#N/A</v>
      </c>
      <c r="F52" s="2" t="str">
        <f>IF(Instructions!F25="Post-Retrofit","Completed","Recommended")</f>
        <v>Recommended</v>
      </c>
      <c r="G52" s="2"/>
      <c r="H52" s="2"/>
      <c r="I52" s="4">
        <f>SUMIF(Summary_Pre!E:E,"="&amp; E52,Summary_Pre!H:H)</f>
        <v>0</v>
      </c>
      <c r="J52" s="2">
        <f>SUMIF(Summary_Pre!E:E,"="&amp; E52,Summary_Pre!I:I)</f>
        <v>0</v>
      </c>
      <c r="K52" s="3">
        <f>SUMIF(Summary_Pre!E:E,"="&amp; E52,Summary_Pre!J:J)</f>
        <v>0</v>
      </c>
      <c r="L52" s="3">
        <f>SUMIF(Summary_Pre!E:E,"="&amp; E52,Summary_Pre!K:K)</f>
        <v>0</v>
      </c>
      <c r="M52" s="13">
        <f t="shared" si="0"/>
        <v>0</v>
      </c>
      <c r="N52" s="3"/>
      <c r="O52" s="3"/>
      <c r="P52" s="3"/>
      <c r="Q52" s="3"/>
      <c r="R52" s="3"/>
      <c r="S52" s="3"/>
      <c r="T52" s="3"/>
      <c r="U52" s="2"/>
      <c r="V52"/>
      <c r="W52"/>
      <c r="X52"/>
      <c r="Y52"/>
      <c r="Z52"/>
      <c r="AA52"/>
      <c r="AB52"/>
      <c r="AC52"/>
      <c r="AD52"/>
      <c r="AE52"/>
      <c r="AF52"/>
      <c r="AG52"/>
      <c r="AH52"/>
      <c r="AI52"/>
      <c r="AJ52"/>
      <c r="AK52"/>
      <c r="AL52"/>
      <c r="AM52"/>
      <c r="AN52"/>
      <c r="AO52"/>
    </row>
    <row r="53" spans="1:41">
      <c r="A53" s="2">
        <v>50</v>
      </c>
      <c r="B53" s="2">
        <f>IFERROR(_xlfn.IFNA(VLOOKUP(E53,Summary_Pre!E:F,2,FALSE),0),0)</f>
        <v>0</v>
      </c>
      <c r="C53" s="3">
        <f>SUMIF(Summary_Pre!E:E,"="&amp; E53,Summary_Pre!C:C)</f>
        <v>0</v>
      </c>
      <c r="D53" s="134">
        <f>SUMIF(Summary_Pre!E:E,"="&amp; E53,Summary_Pre!D:D)</f>
        <v>0</v>
      </c>
      <c r="E53" s="158" t="e">
        <f t="array" ref="E53">INDEX(Summary_Pre!E$4:E$303, MATCH(0, COUNTIF($E$3:E52,Summary_Pre!E$4:E$303), 0))</f>
        <v>#N/A</v>
      </c>
      <c r="F53" s="2" t="str">
        <f>IF(Instructions!F25="Post-Retrofit","Completed","Recommended")</f>
        <v>Recommended</v>
      </c>
      <c r="G53" s="2"/>
      <c r="H53" s="2"/>
      <c r="I53" s="4">
        <f>SUMIF(Summary_Pre!E:E,"="&amp; E53,Summary_Pre!H:H)</f>
        <v>0</v>
      </c>
      <c r="J53" s="2">
        <f>SUMIF(Summary_Pre!E:E,"="&amp; E53,Summary_Pre!I:I)</f>
        <v>0</v>
      </c>
      <c r="K53" s="3">
        <f>SUMIF(Summary_Pre!E:E,"="&amp; E53,Summary_Pre!J:J)</f>
        <v>0</v>
      </c>
      <c r="L53" s="3">
        <f>SUMIF(Summary_Pre!E:E,"="&amp; E53,Summary_Pre!K:K)</f>
        <v>0</v>
      </c>
      <c r="M53" s="13">
        <f t="shared" si="0"/>
        <v>0</v>
      </c>
      <c r="N53" s="3"/>
      <c r="O53" s="3"/>
      <c r="P53" s="3"/>
      <c r="Q53" s="3"/>
      <c r="R53" s="3"/>
      <c r="S53" s="3"/>
      <c r="T53" s="3"/>
      <c r="U53" s="2"/>
      <c r="V53"/>
      <c r="W53"/>
      <c r="X53"/>
      <c r="Y53"/>
      <c r="Z53"/>
      <c r="AA53"/>
      <c r="AB53"/>
      <c r="AC53"/>
      <c r="AD53"/>
      <c r="AE53"/>
      <c r="AF53"/>
      <c r="AG53"/>
      <c r="AH53"/>
      <c r="AI53"/>
      <c r="AJ53"/>
      <c r="AK53"/>
      <c r="AL53"/>
      <c r="AM53"/>
      <c r="AN53"/>
      <c r="AO53"/>
    </row>
    <row r="54" spans="1:41" s="150" customFormat="1">
      <c r="E54" s="7"/>
      <c r="F54" s="7"/>
      <c r="G54" s="7"/>
      <c r="H54" s="7"/>
      <c r="I54" s="195">
        <f>SUM(I4:I53)</f>
        <v>0</v>
      </c>
      <c r="J54" s="195">
        <f>SUM(J4:J53)</f>
        <v>0</v>
      </c>
      <c r="K54" s="195">
        <f>SUM(K4:K53)</f>
        <v>0</v>
      </c>
      <c r="L54" s="161">
        <f>SUM(L4:L53)</f>
        <v>0</v>
      </c>
      <c r="M54" s="162"/>
      <c r="N54" s="8"/>
      <c r="O54" s="8"/>
      <c r="P54" s="8"/>
      <c r="Q54" s="8"/>
      <c r="R54" s="8"/>
      <c r="S54" s="8"/>
      <c r="T54" s="8"/>
      <c r="U54" s="7"/>
    </row>
    <row r="55" spans="1:41">
      <c r="E55" s="1"/>
      <c r="F55" s="1"/>
      <c r="G55" s="1"/>
      <c r="H55" s="1"/>
      <c r="N55" s="159"/>
      <c r="O55" s="159"/>
      <c r="P55" s="159"/>
      <c r="Q55" s="159"/>
      <c r="R55" s="159"/>
      <c r="S55" s="159"/>
      <c r="T55" s="159"/>
      <c r="U55" s="1"/>
      <c r="V55"/>
      <c r="W55"/>
      <c r="X55"/>
      <c r="Y55"/>
      <c r="Z55"/>
      <c r="AA55"/>
      <c r="AB55"/>
      <c r="AC55"/>
      <c r="AD55"/>
      <c r="AE55"/>
      <c r="AF55"/>
      <c r="AG55"/>
      <c r="AH55"/>
      <c r="AI55"/>
      <c r="AJ55"/>
      <c r="AK55"/>
      <c r="AL55"/>
      <c r="AM55"/>
      <c r="AN55"/>
      <c r="AO55"/>
    </row>
    <row r="56" spans="1:41">
      <c r="E56" s="1"/>
      <c r="F56" s="1"/>
      <c r="G56" s="1"/>
      <c r="H56" s="1"/>
      <c r="N56" s="159"/>
      <c r="O56" s="159"/>
      <c r="P56" s="159"/>
      <c r="Q56" s="159"/>
      <c r="R56" s="159"/>
      <c r="S56" s="159"/>
      <c r="T56" s="159"/>
      <c r="U56" s="1"/>
      <c r="V56"/>
      <c r="W56"/>
      <c r="X56"/>
      <c r="Y56"/>
      <c r="Z56"/>
      <c r="AA56"/>
      <c r="AB56"/>
      <c r="AC56"/>
      <c r="AD56"/>
      <c r="AE56"/>
      <c r="AF56"/>
      <c r="AG56"/>
      <c r="AH56"/>
      <c r="AI56"/>
      <c r="AJ56"/>
      <c r="AK56"/>
      <c r="AL56"/>
      <c r="AM56"/>
      <c r="AN56"/>
      <c r="AO56"/>
    </row>
    <row r="57" spans="1:41">
      <c r="E57" s="1"/>
      <c r="F57" s="1"/>
      <c r="G57" s="1"/>
      <c r="H57" s="1"/>
      <c r="N57" s="159"/>
      <c r="O57" s="159"/>
      <c r="P57" s="159"/>
      <c r="Q57" s="159"/>
      <c r="R57" s="159"/>
      <c r="S57" s="159"/>
      <c r="T57" s="159"/>
      <c r="U57" s="1"/>
      <c r="V57"/>
      <c r="W57"/>
      <c r="X57"/>
      <c r="Y57"/>
      <c r="Z57"/>
      <c r="AA57"/>
      <c r="AB57"/>
      <c r="AC57"/>
      <c r="AD57"/>
      <c r="AE57"/>
      <c r="AF57"/>
      <c r="AG57"/>
      <c r="AH57"/>
      <c r="AI57"/>
      <c r="AJ57"/>
      <c r="AK57"/>
      <c r="AL57"/>
      <c r="AM57"/>
      <c r="AN57"/>
      <c r="AO57"/>
    </row>
    <row r="58" spans="1:41">
      <c r="E58" s="1"/>
      <c r="F58" s="1"/>
      <c r="G58" s="1"/>
      <c r="H58" s="1"/>
      <c r="N58" s="159"/>
      <c r="O58" s="159"/>
      <c r="P58" s="159"/>
      <c r="Q58" s="159"/>
      <c r="R58" s="159"/>
      <c r="S58" s="159"/>
      <c r="T58" s="159"/>
      <c r="U58" s="1"/>
      <c r="V58"/>
      <c r="W58"/>
      <c r="X58"/>
      <c r="Y58"/>
      <c r="Z58"/>
      <c r="AA58"/>
      <c r="AB58"/>
      <c r="AC58"/>
      <c r="AD58"/>
      <c r="AE58"/>
      <c r="AF58"/>
      <c r="AG58"/>
      <c r="AH58"/>
      <c r="AI58"/>
      <c r="AJ58"/>
      <c r="AK58"/>
      <c r="AL58"/>
      <c r="AM58"/>
      <c r="AN58"/>
      <c r="AO58"/>
    </row>
    <row r="59" spans="1:41">
      <c r="E59" s="1"/>
      <c r="F59" s="1"/>
      <c r="G59" s="1"/>
      <c r="H59" s="1"/>
      <c r="N59" s="159"/>
      <c r="O59" s="159"/>
      <c r="P59" s="159"/>
      <c r="Q59" s="159"/>
      <c r="R59" s="159"/>
      <c r="S59" s="159"/>
      <c r="T59" s="159"/>
      <c r="U59" s="1"/>
      <c r="V59"/>
      <c r="W59"/>
      <c r="X59"/>
      <c r="Y59"/>
      <c r="Z59"/>
      <c r="AA59"/>
      <c r="AB59"/>
      <c r="AC59"/>
      <c r="AD59"/>
      <c r="AE59"/>
      <c r="AF59"/>
      <c r="AG59"/>
      <c r="AH59"/>
      <c r="AI59"/>
      <c r="AJ59"/>
      <c r="AK59"/>
      <c r="AL59"/>
      <c r="AM59"/>
      <c r="AN59"/>
      <c r="AO59"/>
    </row>
    <row r="60" spans="1:41">
      <c r="E60" s="1"/>
      <c r="F60" s="1"/>
      <c r="G60" s="1"/>
      <c r="H60" s="1"/>
      <c r="N60" s="159"/>
      <c r="O60" s="159"/>
      <c r="P60" s="159"/>
      <c r="Q60" s="159"/>
      <c r="R60" s="159"/>
      <c r="S60" s="159"/>
      <c r="T60" s="159"/>
      <c r="U60" s="1"/>
      <c r="V60"/>
      <c r="W60"/>
      <c r="X60"/>
      <c r="Y60"/>
      <c r="Z60"/>
      <c r="AA60"/>
      <c r="AB60"/>
      <c r="AC60"/>
      <c r="AD60"/>
      <c r="AE60"/>
      <c r="AF60"/>
      <c r="AG60"/>
      <c r="AH60"/>
      <c r="AI60"/>
      <c r="AJ60"/>
      <c r="AK60"/>
      <c r="AL60"/>
      <c r="AM60"/>
      <c r="AN60"/>
      <c r="AO60"/>
    </row>
    <row r="61" spans="1:41">
      <c r="E61" s="1"/>
      <c r="F61" s="1"/>
      <c r="G61" s="1"/>
      <c r="H61" s="1"/>
      <c r="N61" s="159"/>
      <c r="O61" s="159"/>
      <c r="P61" s="159"/>
      <c r="Q61" s="159"/>
      <c r="R61" s="159"/>
      <c r="S61" s="159"/>
      <c r="T61" s="159"/>
      <c r="U61" s="1"/>
      <c r="V61"/>
      <c r="W61"/>
      <c r="X61"/>
      <c r="Y61"/>
      <c r="Z61"/>
      <c r="AA61"/>
      <c r="AB61"/>
      <c r="AC61"/>
      <c r="AD61"/>
      <c r="AE61"/>
      <c r="AF61"/>
      <c r="AG61"/>
      <c r="AH61"/>
      <c r="AI61"/>
      <c r="AJ61"/>
      <c r="AK61"/>
      <c r="AL61"/>
      <c r="AM61"/>
      <c r="AN61"/>
      <c r="AO61"/>
    </row>
    <row r="62" spans="1:41">
      <c r="E62" s="1"/>
      <c r="F62" s="1"/>
      <c r="G62" s="1"/>
      <c r="H62" s="1"/>
      <c r="N62" s="159"/>
      <c r="O62" s="159"/>
      <c r="P62" s="159"/>
      <c r="Q62" s="159"/>
      <c r="R62" s="159"/>
      <c r="S62" s="159"/>
      <c r="T62" s="159"/>
      <c r="U62" s="1"/>
      <c r="V62"/>
      <c r="W62"/>
      <c r="X62"/>
      <c r="Y62"/>
      <c r="Z62"/>
      <c r="AA62"/>
      <c r="AB62"/>
      <c r="AC62"/>
      <c r="AD62"/>
      <c r="AE62"/>
      <c r="AF62"/>
      <c r="AG62"/>
      <c r="AH62"/>
      <c r="AI62"/>
      <c r="AJ62"/>
      <c r="AK62"/>
      <c r="AL62"/>
      <c r="AM62"/>
      <c r="AN62"/>
      <c r="AO62"/>
    </row>
    <row r="63" spans="1:41">
      <c r="E63" s="1"/>
      <c r="F63" s="1"/>
      <c r="G63" s="1"/>
      <c r="H63" s="1"/>
      <c r="N63" s="159"/>
      <c r="O63" s="159"/>
      <c r="P63" s="159"/>
      <c r="Q63" s="159"/>
      <c r="R63" s="159"/>
      <c r="S63" s="159"/>
      <c r="T63" s="159"/>
      <c r="U63" s="1"/>
      <c r="V63"/>
      <c r="W63"/>
      <c r="X63"/>
      <c r="Y63"/>
      <c r="Z63"/>
      <c r="AA63"/>
      <c r="AB63"/>
      <c r="AC63"/>
      <c r="AD63"/>
      <c r="AE63"/>
      <c r="AF63"/>
      <c r="AG63"/>
      <c r="AH63"/>
      <c r="AI63"/>
      <c r="AJ63"/>
      <c r="AK63"/>
      <c r="AL63"/>
      <c r="AM63"/>
      <c r="AN63"/>
      <c r="AO63"/>
    </row>
    <row r="64" spans="1:41">
      <c r="E64" s="1"/>
      <c r="F64" s="1"/>
      <c r="G64" s="1"/>
      <c r="H64" s="1"/>
      <c r="N64" s="159"/>
      <c r="O64" s="159"/>
      <c r="P64" s="159"/>
      <c r="Q64" s="159"/>
      <c r="R64" s="159"/>
      <c r="S64" s="159"/>
      <c r="T64" s="159"/>
      <c r="U64" s="1"/>
      <c r="V64"/>
      <c r="W64"/>
      <c r="X64"/>
      <c r="Y64"/>
      <c r="Z64"/>
      <c r="AA64"/>
      <c r="AB64"/>
      <c r="AC64"/>
      <c r="AD64"/>
      <c r="AE64"/>
      <c r="AF64"/>
      <c r="AG64"/>
      <c r="AH64"/>
      <c r="AI64"/>
      <c r="AJ64"/>
      <c r="AK64"/>
      <c r="AL64"/>
      <c r="AM64"/>
      <c r="AN64"/>
      <c r="AO64"/>
    </row>
    <row r="65" spans="5:41">
      <c r="E65" s="1"/>
      <c r="F65" s="1"/>
      <c r="G65" s="1"/>
      <c r="H65" s="1"/>
      <c r="N65" s="159"/>
      <c r="O65" s="159"/>
      <c r="P65" s="159"/>
      <c r="Q65" s="159"/>
      <c r="R65" s="159"/>
      <c r="S65" s="159"/>
      <c r="T65" s="159"/>
      <c r="U65" s="1"/>
      <c r="V65"/>
      <c r="W65"/>
      <c r="X65"/>
      <c r="Y65"/>
      <c r="Z65"/>
      <c r="AA65"/>
      <c r="AB65"/>
      <c r="AC65"/>
      <c r="AD65"/>
      <c r="AE65"/>
      <c r="AF65"/>
      <c r="AG65"/>
      <c r="AH65"/>
      <c r="AI65"/>
      <c r="AJ65"/>
      <c r="AK65"/>
      <c r="AL65"/>
      <c r="AM65"/>
      <c r="AN65"/>
      <c r="AO65"/>
    </row>
    <row r="66" spans="5:41">
      <c r="E66" s="1"/>
      <c r="F66" s="1"/>
      <c r="G66" s="1"/>
      <c r="H66" s="1"/>
      <c r="N66" s="159"/>
      <c r="O66" s="159"/>
      <c r="P66" s="159"/>
      <c r="Q66" s="159"/>
      <c r="R66" s="159"/>
      <c r="S66" s="159"/>
      <c r="T66" s="159"/>
      <c r="U66" s="1"/>
      <c r="V66"/>
      <c r="W66"/>
      <c r="X66"/>
      <c r="Y66"/>
      <c r="Z66"/>
      <c r="AA66"/>
      <c r="AB66"/>
      <c r="AC66"/>
      <c r="AD66"/>
      <c r="AE66"/>
      <c r="AF66"/>
      <c r="AG66"/>
      <c r="AH66"/>
      <c r="AI66"/>
      <c r="AJ66"/>
      <c r="AK66"/>
      <c r="AL66"/>
      <c r="AM66"/>
      <c r="AN66"/>
      <c r="AO66"/>
    </row>
    <row r="67" spans="5:41">
      <c r="E67" s="1"/>
      <c r="F67" s="1"/>
      <c r="G67" s="1"/>
      <c r="H67" s="1"/>
      <c r="N67" s="159"/>
      <c r="O67" s="159"/>
      <c r="P67" s="159"/>
      <c r="Q67" s="159"/>
      <c r="R67" s="159"/>
      <c r="S67" s="159"/>
      <c r="T67" s="159"/>
      <c r="U67" s="1"/>
      <c r="V67"/>
      <c r="W67"/>
      <c r="X67"/>
      <c r="Y67"/>
      <c r="Z67"/>
      <c r="AA67"/>
      <c r="AB67"/>
      <c r="AC67"/>
      <c r="AD67"/>
      <c r="AE67"/>
      <c r="AF67"/>
      <c r="AG67"/>
      <c r="AH67"/>
      <c r="AI67"/>
      <c r="AJ67"/>
      <c r="AK67"/>
      <c r="AL67"/>
      <c r="AM67"/>
      <c r="AN67"/>
      <c r="AO67"/>
    </row>
    <row r="68" spans="5:41">
      <c r="E68" s="1"/>
      <c r="F68" s="1"/>
      <c r="G68" s="1"/>
      <c r="H68" s="1"/>
      <c r="N68" s="159"/>
      <c r="O68" s="159"/>
      <c r="P68" s="159"/>
      <c r="Q68" s="159"/>
      <c r="R68" s="159"/>
      <c r="S68" s="159"/>
      <c r="T68" s="159"/>
      <c r="U68" s="1"/>
      <c r="V68"/>
      <c r="W68"/>
      <c r="X68"/>
      <c r="Y68"/>
      <c r="Z68"/>
      <c r="AA68"/>
      <c r="AB68"/>
      <c r="AC68"/>
      <c r="AD68"/>
      <c r="AE68"/>
      <c r="AF68"/>
      <c r="AG68"/>
      <c r="AH68"/>
      <c r="AI68"/>
      <c r="AJ68"/>
      <c r="AK68"/>
      <c r="AL68"/>
      <c r="AM68"/>
      <c r="AN68"/>
      <c r="AO68"/>
    </row>
    <row r="69" spans="5:41">
      <c r="E69" s="1"/>
      <c r="F69" s="1"/>
      <c r="G69" s="1"/>
      <c r="H69" s="1"/>
      <c r="N69" s="159"/>
      <c r="O69" s="159"/>
      <c r="P69" s="159"/>
      <c r="Q69" s="159"/>
      <c r="R69" s="159"/>
      <c r="S69" s="159"/>
      <c r="T69" s="159"/>
      <c r="U69" s="1"/>
      <c r="V69"/>
      <c r="W69"/>
      <c r="X69"/>
      <c r="Y69"/>
      <c r="Z69"/>
      <c r="AA69"/>
      <c r="AB69"/>
      <c r="AC69"/>
      <c r="AD69"/>
      <c r="AE69"/>
      <c r="AF69"/>
      <c r="AG69"/>
      <c r="AH69"/>
      <c r="AI69"/>
      <c r="AJ69"/>
      <c r="AK69"/>
      <c r="AL69"/>
      <c r="AM69"/>
      <c r="AN69"/>
      <c r="AO69"/>
    </row>
    <row r="70" spans="5:41">
      <c r="E70" s="1"/>
      <c r="F70" s="1"/>
      <c r="G70" s="1"/>
      <c r="H70" s="1"/>
      <c r="N70" s="159"/>
      <c r="O70" s="159"/>
      <c r="P70" s="159"/>
      <c r="Q70" s="159"/>
      <c r="R70" s="159"/>
      <c r="S70" s="159"/>
      <c r="T70" s="159"/>
      <c r="U70" s="1"/>
      <c r="V70"/>
      <c r="W70"/>
      <c r="X70"/>
      <c r="Y70"/>
      <c r="Z70"/>
      <c r="AA70"/>
      <c r="AB70"/>
      <c r="AC70"/>
      <c r="AD70"/>
      <c r="AE70"/>
      <c r="AF70"/>
      <c r="AG70"/>
      <c r="AH70"/>
      <c r="AI70"/>
      <c r="AJ70"/>
      <c r="AK70"/>
      <c r="AL70"/>
      <c r="AM70"/>
      <c r="AN70"/>
      <c r="AO70"/>
    </row>
    <row r="71" spans="5:41">
      <c r="N71" s="159"/>
      <c r="O71" s="159"/>
      <c r="P71" s="159"/>
      <c r="Q71" s="159"/>
      <c r="R71" s="159"/>
      <c r="S71" s="159"/>
      <c r="T71" s="159"/>
      <c r="U71" s="1"/>
      <c r="V71"/>
      <c r="W71"/>
      <c r="X71"/>
      <c r="Y71"/>
      <c r="Z71"/>
      <c r="AA71"/>
      <c r="AB71"/>
      <c r="AC71"/>
      <c r="AD71"/>
      <c r="AE71"/>
      <c r="AF71"/>
      <c r="AG71"/>
      <c r="AH71"/>
      <c r="AI71"/>
      <c r="AJ71"/>
      <c r="AK71"/>
      <c r="AL71"/>
      <c r="AM71"/>
      <c r="AN71"/>
      <c r="AO71"/>
    </row>
    <row r="72" spans="5:41">
      <c r="N72" s="159"/>
      <c r="O72" s="159"/>
      <c r="P72" s="159"/>
      <c r="Q72" s="159"/>
      <c r="R72" s="159"/>
      <c r="S72" s="159"/>
      <c r="T72" s="159"/>
      <c r="U72" s="1"/>
      <c r="V72"/>
      <c r="W72"/>
      <c r="X72"/>
      <c r="Y72"/>
      <c r="Z72"/>
      <c r="AA72"/>
      <c r="AB72"/>
      <c r="AC72"/>
      <c r="AD72"/>
      <c r="AE72"/>
      <c r="AF72"/>
      <c r="AG72"/>
      <c r="AH72"/>
      <c r="AI72"/>
      <c r="AJ72"/>
      <c r="AK72"/>
      <c r="AL72"/>
      <c r="AM72"/>
      <c r="AN72"/>
      <c r="AO72"/>
    </row>
    <row r="73" spans="5:41">
      <c r="N73" s="159"/>
      <c r="O73" s="159"/>
      <c r="P73" s="159"/>
      <c r="Q73" s="159"/>
      <c r="R73" s="159"/>
      <c r="S73" s="159"/>
      <c r="T73" s="159"/>
      <c r="U73" s="1"/>
      <c r="V73"/>
      <c r="W73"/>
      <c r="X73"/>
      <c r="Y73"/>
      <c r="Z73"/>
      <c r="AA73"/>
      <c r="AB73"/>
      <c r="AC73"/>
      <c r="AD73"/>
      <c r="AE73"/>
      <c r="AF73"/>
      <c r="AG73"/>
      <c r="AH73"/>
      <c r="AI73"/>
      <c r="AJ73"/>
      <c r="AK73"/>
      <c r="AL73"/>
      <c r="AM73"/>
      <c r="AN73"/>
      <c r="AO73"/>
    </row>
    <row r="74" spans="5:41">
      <c r="N74" s="159"/>
      <c r="O74" s="159"/>
      <c r="P74" s="159"/>
      <c r="Q74" s="159"/>
      <c r="R74" s="159"/>
      <c r="S74" s="159"/>
      <c r="T74" s="159"/>
      <c r="U74" s="1"/>
      <c r="V74"/>
      <c r="W74"/>
      <c r="X74"/>
      <c r="Y74"/>
      <c r="Z74"/>
      <c r="AA74"/>
      <c r="AB74"/>
      <c r="AC74"/>
      <c r="AD74"/>
      <c r="AE74"/>
      <c r="AF74"/>
      <c r="AG74"/>
      <c r="AH74"/>
      <c r="AI74"/>
      <c r="AJ74"/>
      <c r="AK74"/>
      <c r="AL74"/>
      <c r="AM74"/>
      <c r="AN74"/>
      <c r="AO74"/>
    </row>
    <row r="75" spans="5:41">
      <c r="N75" s="159"/>
      <c r="O75" s="159"/>
      <c r="P75" s="159"/>
      <c r="Q75" s="159"/>
      <c r="R75" s="159"/>
      <c r="S75" s="159"/>
      <c r="T75" s="159"/>
      <c r="U75" s="1"/>
      <c r="V75"/>
      <c r="W75"/>
      <c r="X75"/>
      <c r="Y75"/>
      <c r="Z75"/>
      <c r="AA75"/>
      <c r="AB75"/>
      <c r="AC75"/>
      <c r="AD75"/>
      <c r="AE75"/>
      <c r="AF75"/>
      <c r="AG75"/>
      <c r="AH75"/>
      <c r="AI75"/>
      <c r="AJ75"/>
      <c r="AK75"/>
      <c r="AL75"/>
      <c r="AM75"/>
      <c r="AN75"/>
      <c r="AO75"/>
    </row>
    <row r="76" spans="5:41">
      <c r="N76" s="159"/>
      <c r="O76" s="159"/>
      <c r="P76" s="159"/>
      <c r="Q76" s="159"/>
      <c r="R76" s="159"/>
      <c r="S76" s="159"/>
      <c r="T76" s="159"/>
      <c r="U76" s="1"/>
      <c r="V76"/>
      <c r="W76"/>
      <c r="X76"/>
      <c r="Y76"/>
      <c r="Z76"/>
      <c r="AA76"/>
      <c r="AB76"/>
      <c r="AC76"/>
      <c r="AD76"/>
      <c r="AE76"/>
      <c r="AF76"/>
      <c r="AG76"/>
      <c r="AH76"/>
      <c r="AI76"/>
      <c r="AJ76"/>
      <c r="AK76"/>
      <c r="AL76"/>
      <c r="AM76"/>
      <c r="AN76"/>
      <c r="AO76"/>
    </row>
    <row r="77" spans="5:41">
      <c r="N77" s="159"/>
      <c r="O77" s="159"/>
      <c r="P77" s="159"/>
      <c r="Q77" s="159"/>
      <c r="R77" s="159"/>
      <c r="S77" s="159"/>
      <c r="T77" s="159"/>
      <c r="U77" s="1"/>
      <c r="V77"/>
      <c r="W77"/>
      <c r="X77"/>
      <c r="Y77"/>
      <c r="Z77"/>
      <c r="AA77"/>
      <c r="AB77"/>
      <c r="AC77"/>
      <c r="AD77"/>
      <c r="AE77"/>
      <c r="AF77"/>
      <c r="AG77"/>
      <c r="AH77"/>
      <c r="AI77"/>
      <c r="AJ77"/>
      <c r="AK77"/>
      <c r="AL77"/>
      <c r="AM77"/>
      <c r="AN77"/>
      <c r="AO77"/>
    </row>
    <row r="78" spans="5:41">
      <c r="N78" s="159"/>
      <c r="O78" s="159"/>
      <c r="P78" s="159"/>
      <c r="Q78" s="159"/>
      <c r="R78" s="159"/>
      <c r="S78" s="159"/>
      <c r="T78" s="159"/>
      <c r="U78" s="1"/>
      <c r="V78"/>
      <c r="W78"/>
      <c r="X78"/>
      <c r="Y78"/>
      <c r="Z78"/>
      <c r="AA78"/>
      <c r="AB78"/>
      <c r="AC78"/>
      <c r="AD78"/>
      <c r="AE78"/>
      <c r="AF78"/>
      <c r="AG78"/>
      <c r="AH78"/>
      <c r="AI78"/>
      <c r="AJ78"/>
      <c r="AK78"/>
      <c r="AL78"/>
      <c r="AM78"/>
      <c r="AN78"/>
      <c r="AO78"/>
    </row>
    <row r="79" spans="5:41">
      <c r="N79" s="159"/>
      <c r="O79" s="159"/>
      <c r="P79" s="159"/>
      <c r="Q79" s="159"/>
      <c r="R79" s="159"/>
      <c r="S79" s="159"/>
      <c r="T79" s="159"/>
      <c r="U79" s="1"/>
      <c r="V79"/>
      <c r="W79"/>
      <c r="X79"/>
      <c r="Y79"/>
      <c r="Z79"/>
      <c r="AA79"/>
      <c r="AB79"/>
      <c r="AC79"/>
      <c r="AD79"/>
      <c r="AE79"/>
      <c r="AF79"/>
      <c r="AG79"/>
      <c r="AH79"/>
      <c r="AI79"/>
      <c r="AJ79"/>
      <c r="AK79"/>
      <c r="AL79"/>
      <c r="AM79"/>
      <c r="AN79"/>
      <c r="AO79"/>
    </row>
    <row r="80" spans="5:41">
      <c r="N80" s="159"/>
      <c r="O80" s="159"/>
      <c r="P80" s="159"/>
      <c r="Q80" s="159"/>
      <c r="R80" s="159"/>
      <c r="S80" s="159"/>
      <c r="T80" s="159"/>
      <c r="U80" s="1"/>
      <c r="V80"/>
      <c r="W80"/>
      <c r="X80"/>
      <c r="Y80"/>
      <c r="Z80"/>
      <c r="AA80"/>
      <c r="AB80"/>
      <c r="AC80"/>
      <c r="AD80"/>
      <c r="AE80"/>
      <c r="AF80"/>
      <c r="AG80"/>
      <c r="AH80"/>
      <c r="AI80"/>
      <c r="AJ80"/>
      <c r="AK80"/>
      <c r="AL80"/>
      <c r="AM80"/>
      <c r="AN80"/>
      <c r="AO80"/>
    </row>
    <row r="81" spans="14:41">
      <c r="N81" s="159"/>
      <c r="O81" s="159"/>
      <c r="P81" s="159"/>
      <c r="Q81" s="159"/>
      <c r="R81" s="159"/>
      <c r="S81" s="159"/>
      <c r="T81" s="159"/>
      <c r="U81" s="1"/>
      <c r="V81"/>
      <c r="W81"/>
      <c r="X81"/>
      <c r="Y81"/>
      <c r="Z81"/>
      <c r="AA81"/>
      <c r="AB81"/>
      <c r="AC81"/>
      <c r="AD81"/>
      <c r="AE81"/>
      <c r="AF81"/>
      <c r="AG81"/>
      <c r="AH81"/>
      <c r="AI81"/>
      <c r="AJ81"/>
      <c r="AK81"/>
      <c r="AL81"/>
      <c r="AM81"/>
      <c r="AN81"/>
      <c r="AO81"/>
    </row>
    <row r="82" spans="14:41">
      <c r="N82" s="159"/>
      <c r="O82" s="159"/>
      <c r="P82" s="159"/>
      <c r="Q82" s="159"/>
      <c r="R82" s="159"/>
      <c r="S82" s="159"/>
      <c r="T82" s="159"/>
      <c r="U82" s="1"/>
      <c r="V82"/>
      <c r="W82"/>
      <c r="X82"/>
      <c r="Y82"/>
      <c r="Z82"/>
      <c r="AA82"/>
      <c r="AB82"/>
      <c r="AC82"/>
      <c r="AD82"/>
      <c r="AE82"/>
      <c r="AF82"/>
      <c r="AG82"/>
      <c r="AH82"/>
      <c r="AI82"/>
      <c r="AJ82"/>
      <c r="AK82"/>
      <c r="AL82"/>
      <c r="AM82"/>
      <c r="AN82"/>
      <c r="AO82"/>
    </row>
    <row r="83" spans="14:41">
      <c r="N83" s="159"/>
      <c r="O83" s="159"/>
      <c r="P83" s="159"/>
      <c r="Q83" s="159"/>
      <c r="R83" s="159"/>
      <c r="S83" s="159"/>
      <c r="T83" s="159"/>
      <c r="U83" s="1"/>
      <c r="V83"/>
      <c r="W83"/>
      <c r="X83"/>
      <c r="Y83"/>
      <c r="Z83"/>
      <c r="AA83"/>
      <c r="AB83"/>
      <c r="AC83"/>
      <c r="AD83"/>
      <c r="AE83"/>
      <c r="AF83"/>
      <c r="AG83"/>
      <c r="AH83"/>
      <c r="AI83"/>
      <c r="AJ83"/>
      <c r="AK83"/>
      <c r="AL83"/>
      <c r="AM83"/>
      <c r="AN83"/>
      <c r="AO83"/>
    </row>
    <row r="84" spans="14:41">
      <c r="N84" s="159"/>
      <c r="O84" s="159"/>
      <c r="P84" s="159"/>
      <c r="Q84" s="159"/>
      <c r="R84" s="159"/>
      <c r="S84" s="159"/>
      <c r="T84" s="159"/>
      <c r="U84" s="1"/>
      <c r="V84"/>
      <c r="W84"/>
      <c r="X84"/>
      <c r="Y84"/>
      <c r="Z84"/>
      <c r="AA84"/>
      <c r="AB84"/>
      <c r="AC84"/>
      <c r="AD84"/>
      <c r="AE84"/>
      <c r="AF84"/>
      <c r="AG84"/>
      <c r="AH84"/>
      <c r="AI84"/>
      <c r="AJ84"/>
      <c r="AK84"/>
      <c r="AL84"/>
      <c r="AM84"/>
      <c r="AN84"/>
      <c r="AO84"/>
    </row>
    <row r="85" spans="14:41">
      <c r="N85" s="159"/>
      <c r="O85" s="159"/>
      <c r="P85" s="159"/>
      <c r="Q85" s="159"/>
      <c r="R85" s="159"/>
      <c r="S85" s="159"/>
      <c r="T85" s="159"/>
      <c r="U85" s="1"/>
      <c r="V85"/>
      <c r="W85"/>
      <c r="X85"/>
      <c r="Y85"/>
      <c r="Z85"/>
      <c r="AA85"/>
      <c r="AB85"/>
      <c r="AC85"/>
      <c r="AD85"/>
      <c r="AE85"/>
      <c r="AF85"/>
      <c r="AG85"/>
      <c r="AH85"/>
      <c r="AI85"/>
      <c r="AJ85"/>
      <c r="AK85"/>
      <c r="AL85"/>
      <c r="AM85"/>
      <c r="AN85"/>
      <c r="AO85"/>
    </row>
    <row r="86" spans="14:41">
      <c r="N86" s="159"/>
      <c r="O86" s="159"/>
      <c r="P86" s="159"/>
      <c r="Q86" s="159"/>
      <c r="R86" s="159"/>
      <c r="S86" s="159"/>
      <c r="T86" s="159"/>
      <c r="U86" s="1"/>
      <c r="V86"/>
      <c r="W86"/>
      <c r="X86"/>
      <c r="Y86"/>
      <c r="Z86"/>
      <c r="AA86"/>
      <c r="AB86"/>
      <c r="AC86"/>
      <c r="AD86"/>
      <c r="AE86"/>
      <c r="AF86"/>
      <c r="AG86"/>
      <c r="AH86"/>
      <c r="AI86"/>
      <c r="AJ86"/>
      <c r="AK86"/>
      <c r="AL86"/>
      <c r="AM86"/>
      <c r="AN86"/>
      <c r="AO86"/>
    </row>
    <row r="87" spans="14:41">
      <c r="N87" s="159"/>
      <c r="O87" s="159"/>
      <c r="P87" s="159"/>
      <c r="Q87" s="159"/>
      <c r="R87" s="159"/>
      <c r="S87" s="159"/>
      <c r="T87" s="159"/>
      <c r="U87" s="1"/>
      <c r="V87"/>
      <c r="W87"/>
      <c r="X87"/>
      <c r="Y87"/>
      <c r="Z87"/>
      <c r="AA87"/>
      <c r="AB87"/>
      <c r="AC87"/>
      <c r="AD87"/>
      <c r="AE87"/>
      <c r="AF87"/>
      <c r="AG87"/>
      <c r="AH87"/>
      <c r="AI87"/>
      <c r="AJ87"/>
      <c r="AK87"/>
      <c r="AL87"/>
      <c r="AM87"/>
      <c r="AN87"/>
      <c r="AO87"/>
    </row>
    <row r="88" spans="14:41">
      <c r="N88" s="159"/>
      <c r="O88" s="159"/>
      <c r="P88" s="159"/>
      <c r="Q88" s="159"/>
      <c r="R88" s="159"/>
      <c r="S88" s="159"/>
      <c r="T88" s="159"/>
      <c r="U88" s="1"/>
      <c r="V88"/>
      <c r="W88"/>
      <c r="X88"/>
      <c r="Y88"/>
      <c r="Z88"/>
      <c r="AA88"/>
      <c r="AB88"/>
      <c r="AC88"/>
      <c r="AD88"/>
      <c r="AE88"/>
      <c r="AF88"/>
      <c r="AG88"/>
      <c r="AH88"/>
      <c r="AI88"/>
      <c r="AJ88"/>
      <c r="AK88"/>
      <c r="AL88"/>
      <c r="AM88"/>
      <c r="AN88"/>
      <c r="AO88"/>
    </row>
    <row r="89" spans="14:41">
      <c r="N89" s="159"/>
      <c r="O89" s="159"/>
      <c r="P89" s="159"/>
      <c r="Q89" s="159"/>
      <c r="R89" s="159"/>
      <c r="S89" s="159"/>
      <c r="T89" s="159"/>
      <c r="U89" s="1"/>
      <c r="V89"/>
      <c r="W89"/>
      <c r="X89"/>
      <c r="Y89"/>
      <c r="Z89"/>
      <c r="AA89"/>
      <c r="AB89"/>
      <c r="AC89"/>
      <c r="AD89"/>
      <c r="AE89"/>
      <c r="AF89"/>
      <c r="AG89"/>
      <c r="AH89"/>
      <c r="AI89"/>
      <c r="AJ89"/>
      <c r="AK89"/>
      <c r="AL89"/>
      <c r="AM89"/>
      <c r="AN89"/>
      <c r="AO89"/>
    </row>
    <row r="90" spans="14:41">
      <c r="N90" s="159"/>
      <c r="O90" s="159"/>
      <c r="P90" s="159"/>
      <c r="Q90" s="159"/>
      <c r="R90" s="159"/>
      <c r="S90" s="159"/>
      <c r="T90" s="159"/>
      <c r="U90" s="1"/>
      <c r="V90"/>
      <c r="W90"/>
      <c r="X90"/>
      <c r="Y90"/>
      <c r="Z90"/>
      <c r="AA90"/>
      <c r="AB90"/>
      <c r="AC90"/>
      <c r="AD90"/>
      <c r="AE90"/>
      <c r="AF90"/>
      <c r="AG90"/>
      <c r="AH90"/>
      <c r="AI90"/>
      <c r="AJ90"/>
      <c r="AK90"/>
      <c r="AL90"/>
      <c r="AM90"/>
      <c r="AN90"/>
      <c r="AO90"/>
    </row>
    <row r="91" spans="14:41">
      <c r="N91" s="159"/>
      <c r="O91" s="159"/>
      <c r="P91" s="159"/>
      <c r="Q91" s="159"/>
      <c r="R91" s="159"/>
      <c r="S91" s="159"/>
      <c r="T91" s="159"/>
      <c r="U91" s="1"/>
      <c r="V91"/>
      <c r="W91"/>
      <c r="X91"/>
      <c r="Y91"/>
      <c r="Z91"/>
      <c r="AA91"/>
      <c r="AB91"/>
      <c r="AC91"/>
      <c r="AD91"/>
      <c r="AE91"/>
      <c r="AF91"/>
      <c r="AG91"/>
      <c r="AH91"/>
      <c r="AI91"/>
      <c r="AJ91"/>
      <c r="AK91"/>
      <c r="AL91"/>
      <c r="AM91"/>
      <c r="AN91"/>
      <c r="AO91"/>
    </row>
    <row r="92" spans="14:41">
      <c r="N92" s="159"/>
      <c r="O92" s="159"/>
      <c r="P92" s="159"/>
      <c r="Q92" s="159"/>
      <c r="R92" s="159"/>
      <c r="S92" s="159"/>
      <c r="T92" s="159"/>
      <c r="U92" s="1"/>
      <c r="V92"/>
      <c r="W92"/>
      <c r="X92"/>
      <c r="Y92"/>
      <c r="Z92"/>
      <c r="AA92"/>
      <c r="AB92"/>
      <c r="AC92"/>
      <c r="AD92"/>
      <c r="AE92"/>
      <c r="AF92"/>
      <c r="AG92"/>
      <c r="AH92"/>
      <c r="AI92"/>
      <c r="AJ92"/>
      <c r="AK92"/>
      <c r="AL92"/>
      <c r="AM92"/>
      <c r="AN92"/>
      <c r="AO92"/>
    </row>
    <row r="93" spans="14:41">
      <c r="N93" s="159"/>
      <c r="O93" s="159"/>
      <c r="P93" s="159"/>
      <c r="Q93" s="159"/>
      <c r="R93" s="159"/>
      <c r="S93" s="159"/>
      <c r="T93" s="159"/>
      <c r="U93" s="1"/>
      <c r="V93"/>
      <c r="W93"/>
      <c r="X93"/>
      <c r="Y93"/>
      <c r="Z93"/>
      <c r="AA93"/>
      <c r="AB93"/>
      <c r="AC93"/>
      <c r="AD93"/>
      <c r="AE93"/>
      <c r="AF93"/>
      <c r="AG93"/>
      <c r="AH93"/>
      <c r="AI93"/>
      <c r="AJ93"/>
      <c r="AK93"/>
      <c r="AL93"/>
      <c r="AM93"/>
      <c r="AN93"/>
      <c r="AO93"/>
    </row>
    <row r="94" spans="14:41">
      <c r="N94" s="159"/>
      <c r="O94" s="159"/>
      <c r="P94" s="159"/>
      <c r="Q94" s="159"/>
      <c r="R94" s="159"/>
      <c r="S94" s="159"/>
      <c r="T94" s="159"/>
      <c r="U94" s="1"/>
      <c r="V94"/>
      <c r="W94"/>
      <c r="X94"/>
      <c r="Y94"/>
      <c r="Z94"/>
      <c r="AA94"/>
      <c r="AB94"/>
      <c r="AC94"/>
      <c r="AD94"/>
      <c r="AE94"/>
      <c r="AF94"/>
      <c r="AG94"/>
      <c r="AH94"/>
      <c r="AI94"/>
      <c r="AJ94"/>
      <c r="AK94"/>
      <c r="AL94"/>
      <c r="AM94"/>
      <c r="AN94"/>
      <c r="AO94"/>
    </row>
    <row r="95" spans="14:41">
      <c r="N95" s="159"/>
      <c r="O95" s="159"/>
      <c r="P95" s="159"/>
      <c r="Q95" s="159"/>
      <c r="R95" s="159"/>
      <c r="S95" s="159"/>
      <c r="T95" s="159"/>
      <c r="U95" s="1"/>
      <c r="V95"/>
      <c r="W95"/>
      <c r="X95"/>
      <c r="Y95"/>
      <c r="Z95"/>
      <c r="AA95"/>
      <c r="AB95"/>
      <c r="AC95"/>
      <c r="AD95"/>
      <c r="AE95"/>
      <c r="AF95"/>
      <c r="AG95"/>
      <c r="AH95"/>
      <c r="AI95"/>
      <c r="AJ95"/>
      <c r="AK95"/>
      <c r="AL95"/>
      <c r="AM95"/>
      <c r="AN95"/>
      <c r="AO95"/>
    </row>
    <row r="96" spans="14:41">
      <c r="N96" s="159"/>
      <c r="O96" s="159"/>
      <c r="P96" s="159"/>
      <c r="Q96" s="159"/>
      <c r="R96" s="159"/>
      <c r="S96" s="159"/>
      <c r="T96" s="159"/>
      <c r="U96" s="1"/>
      <c r="V96"/>
      <c r="W96"/>
      <c r="X96"/>
      <c r="Y96"/>
      <c r="Z96"/>
      <c r="AA96"/>
      <c r="AB96"/>
      <c r="AC96"/>
      <c r="AD96"/>
      <c r="AE96"/>
      <c r="AF96"/>
      <c r="AG96"/>
      <c r="AH96"/>
      <c r="AI96"/>
      <c r="AJ96"/>
      <c r="AK96"/>
      <c r="AL96"/>
      <c r="AM96"/>
      <c r="AN96"/>
      <c r="AO96"/>
    </row>
    <row r="97" spans="14:41">
      <c r="N97" s="159"/>
      <c r="O97" s="159"/>
      <c r="P97" s="159"/>
      <c r="Q97" s="159"/>
      <c r="R97" s="159"/>
      <c r="S97" s="159"/>
      <c r="T97" s="159"/>
      <c r="U97" s="1"/>
      <c r="V97"/>
      <c r="W97"/>
      <c r="X97"/>
      <c r="Y97"/>
      <c r="Z97"/>
      <c r="AA97"/>
      <c r="AB97"/>
      <c r="AC97"/>
      <c r="AD97"/>
      <c r="AE97"/>
      <c r="AF97"/>
      <c r="AG97"/>
      <c r="AH97"/>
      <c r="AI97"/>
      <c r="AJ97"/>
      <c r="AK97"/>
      <c r="AL97"/>
      <c r="AM97"/>
      <c r="AN97"/>
      <c r="AO97"/>
    </row>
    <row r="98" spans="14:41">
      <c r="N98" s="159"/>
      <c r="O98" s="159"/>
      <c r="P98" s="159"/>
      <c r="Q98" s="159"/>
      <c r="R98" s="159"/>
      <c r="S98" s="159"/>
      <c r="T98" s="159"/>
      <c r="U98" s="1"/>
      <c r="V98"/>
      <c r="W98"/>
      <c r="X98"/>
      <c r="Y98"/>
      <c r="Z98"/>
      <c r="AA98"/>
      <c r="AB98"/>
      <c r="AC98"/>
      <c r="AD98"/>
      <c r="AE98"/>
      <c r="AF98"/>
      <c r="AG98"/>
      <c r="AH98"/>
      <c r="AI98"/>
      <c r="AJ98"/>
      <c r="AK98"/>
      <c r="AL98"/>
      <c r="AM98"/>
      <c r="AN98"/>
      <c r="AO98"/>
    </row>
    <row r="99" spans="14:41">
      <c r="N99" s="159"/>
      <c r="O99" s="159"/>
      <c r="P99" s="159"/>
      <c r="Q99" s="159"/>
      <c r="R99" s="159"/>
      <c r="S99" s="159"/>
      <c r="T99" s="159"/>
      <c r="U99" s="1"/>
      <c r="V99"/>
      <c r="W99"/>
      <c r="X99"/>
      <c r="Y99"/>
      <c r="Z99"/>
      <c r="AA99"/>
      <c r="AB99"/>
      <c r="AC99"/>
      <c r="AD99"/>
      <c r="AE99"/>
      <c r="AF99"/>
      <c r="AG99"/>
      <c r="AH99"/>
      <c r="AI99"/>
      <c r="AJ99"/>
      <c r="AK99"/>
      <c r="AL99"/>
      <c r="AM99"/>
      <c r="AN99"/>
      <c r="AO99"/>
    </row>
    <row r="100" spans="14:41">
      <c r="N100" s="159"/>
      <c r="O100" s="159"/>
      <c r="P100" s="159"/>
      <c r="Q100" s="159"/>
      <c r="R100" s="159"/>
      <c r="S100" s="159"/>
      <c r="T100" s="159"/>
      <c r="U100" s="1"/>
      <c r="V100"/>
      <c r="W100"/>
      <c r="X100"/>
      <c r="Y100"/>
      <c r="Z100"/>
      <c r="AA100"/>
      <c r="AB100"/>
      <c r="AC100"/>
      <c r="AD100"/>
      <c r="AE100"/>
      <c r="AF100"/>
      <c r="AG100"/>
      <c r="AH100"/>
      <c r="AI100"/>
      <c r="AJ100"/>
      <c r="AK100"/>
      <c r="AL100"/>
      <c r="AM100"/>
      <c r="AN100"/>
      <c r="AO100"/>
    </row>
    <row r="101" spans="14:41">
      <c r="N101" s="159"/>
      <c r="O101" s="159"/>
      <c r="P101" s="159"/>
      <c r="Q101" s="159"/>
      <c r="R101" s="159"/>
      <c r="S101" s="159"/>
      <c r="T101" s="159"/>
      <c r="U101" s="1"/>
      <c r="V101"/>
      <c r="W101"/>
      <c r="X101"/>
      <c r="Y101"/>
      <c r="Z101"/>
      <c r="AA101"/>
      <c r="AB101"/>
      <c r="AC101"/>
      <c r="AD101"/>
      <c r="AE101"/>
      <c r="AF101"/>
      <c r="AG101"/>
      <c r="AH101"/>
      <c r="AI101"/>
      <c r="AJ101"/>
      <c r="AK101"/>
      <c r="AL101"/>
      <c r="AM101"/>
      <c r="AN101"/>
      <c r="AO101"/>
    </row>
    <row r="102" spans="14:41">
      <c r="N102" s="159"/>
      <c r="O102" s="159"/>
      <c r="P102" s="159"/>
      <c r="Q102" s="159"/>
      <c r="R102" s="159"/>
      <c r="S102" s="159"/>
      <c r="T102" s="159"/>
      <c r="U102" s="1"/>
      <c r="V102"/>
      <c r="W102"/>
      <c r="X102"/>
      <c r="Y102"/>
      <c r="Z102"/>
      <c r="AA102"/>
      <c r="AB102"/>
      <c r="AC102"/>
      <c r="AD102"/>
      <c r="AE102"/>
      <c r="AF102"/>
      <c r="AG102"/>
      <c r="AH102"/>
      <c r="AI102"/>
      <c r="AJ102"/>
      <c r="AK102"/>
      <c r="AL102"/>
      <c r="AM102"/>
      <c r="AN102"/>
      <c r="AO102"/>
    </row>
    <row r="103" spans="14:41">
      <c r="N103" s="159"/>
      <c r="O103" s="159"/>
      <c r="P103" s="159"/>
      <c r="Q103" s="159"/>
      <c r="R103" s="159"/>
      <c r="S103" s="159"/>
      <c r="T103" s="159"/>
      <c r="U103" s="1"/>
      <c r="V103"/>
      <c r="W103"/>
      <c r="X103"/>
      <c r="Y103"/>
      <c r="Z103"/>
      <c r="AA103"/>
      <c r="AB103"/>
      <c r="AC103"/>
      <c r="AD103"/>
      <c r="AE103"/>
      <c r="AF103"/>
      <c r="AG103"/>
      <c r="AH103"/>
      <c r="AI103"/>
      <c r="AJ103"/>
      <c r="AK103"/>
      <c r="AL103"/>
      <c r="AM103"/>
      <c r="AN103"/>
      <c r="AO103"/>
    </row>
    <row r="104" spans="14:41">
      <c r="N104" s="159"/>
      <c r="O104" s="159"/>
      <c r="P104" s="159"/>
      <c r="Q104" s="159"/>
      <c r="R104" s="159"/>
      <c r="S104" s="159"/>
      <c r="T104" s="159"/>
      <c r="U104" s="1"/>
      <c r="V104"/>
      <c r="W104"/>
      <c r="X104"/>
      <c r="Y104"/>
      <c r="Z104"/>
      <c r="AA104"/>
      <c r="AB104"/>
      <c r="AC104"/>
      <c r="AD104"/>
      <c r="AE104"/>
      <c r="AF104"/>
      <c r="AG104"/>
      <c r="AH104"/>
      <c r="AI104"/>
      <c r="AJ104"/>
      <c r="AK104"/>
      <c r="AL104"/>
      <c r="AM104"/>
      <c r="AN104"/>
      <c r="AO104"/>
    </row>
    <row r="105" spans="14:41">
      <c r="N105" s="159"/>
      <c r="O105" s="159"/>
      <c r="P105" s="159"/>
      <c r="Q105" s="159"/>
      <c r="R105" s="159"/>
      <c r="S105" s="159"/>
      <c r="T105" s="159"/>
      <c r="U105" s="1"/>
      <c r="V105"/>
      <c r="W105"/>
      <c r="X105"/>
      <c r="Y105"/>
      <c r="Z105"/>
      <c r="AA105"/>
      <c r="AB105"/>
      <c r="AC105"/>
      <c r="AD105"/>
      <c r="AE105"/>
      <c r="AF105"/>
      <c r="AG105"/>
      <c r="AH105"/>
      <c r="AI105"/>
      <c r="AJ105"/>
      <c r="AK105"/>
      <c r="AL105"/>
      <c r="AM105"/>
      <c r="AN105"/>
      <c r="AO105"/>
    </row>
    <row r="106" spans="14:41">
      <c r="N106" s="159"/>
      <c r="O106" s="159"/>
      <c r="P106" s="159"/>
      <c r="Q106" s="159"/>
      <c r="R106" s="159"/>
      <c r="S106" s="159"/>
      <c r="T106" s="159"/>
      <c r="U106" s="1"/>
      <c r="V106"/>
      <c r="W106"/>
      <c r="X106"/>
      <c r="Y106"/>
      <c r="Z106"/>
      <c r="AA106"/>
      <c r="AB106"/>
      <c r="AC106"/>
      <c r="AD106"/>
      <c r="AE106"/>
      <c r="AF106"/>
      <c r="AG106"/>
      <c r="AH106"/>
      <c r="AI106"/>
      <c r="AJ106"/>
      <c r="AK106"/>
      <c r="AL106"/>
      <c r="AM106"/>
      <c r="AN106"/>
      <c r="AO106"/>
    </row>
    <row r="107" spans="14:41">
      <c r="N107" s="159"/>
      <c r="O107" s="159"/>
      <c r="P107" s="159"/>
      <c r="Q107" s="159"/>
      <c r="R107" s="159"/>
      <c r="S107" s="159"/>
      <c r="T107" s="159"/>
      <c r="U107" s="1"/>
      <c r="V107"/>
      <c r="W107"/>
      <c r="X107"/>
      <c r="Y107"/>
      <c r="Z107"/>
      <c r="AA107"/>
      <c r="AB107"/>
      <c r="AC107"/>
      <c r="AD107"/>
      <c r="AE107"/>
      <c r="AF107"/>
      <c r="AG107"/>
      <c r="AH107"/>
      <c r="AI107"/>
      <c r="AJ107"/>
      <c r="AK107"/>
      <c r="AL107"/>
      <c r="AM107"/>
      <c r="AN107"/>
      <c r="AO107"/>
    </row>
    <row r="108" spans="14:41">
      <c r="N108" s="159"/>
      <c r="O108" s="159"/>
      <c r="P108" s="159"/>
      <c r="Q108" s="159"/>
      <c r="R108" s="159"/>
      <c r="S108" s="159"/>
      <c r="T108" s="159"/>
      <c r="U108" s="1"/>
      <c r="V108"/>
      <c r="W108"/>
      <c r="X108"/>
      <c r="Y108"/>
      <c r="Z108"/>
      <c r="AA108"/>
      <c r="AB108"/>
      <c r="AC108"/>
      <c r="AD108"/>
      <c r="AE108"/>
      <c r="AF108"/>
      <c r="AG108"/>
      <c r="AH108"/>
      <c r="AI108"/>
      <c r="AJ108"/>
      <c r="AK108"/>
      <c r="AL108"/>
      <c r="AM108"/>
      <c r="AN108"/>
      <c r="AO108"/>
    </row>
    <row r="109" spans="14:41">
      <c r="N109" s="159"/>
      <c r="O109" s="159"/>
      <c r="P109" s="159"/>
      <c r="Q109" s="159"/>
      <c r="R109" s="159"/>
      <c r="S109" s="159"/>
      <c r="T109" s="159"/>
      <c r="U109" s="1"/>
      <c r="V109"/>
      <c r="W109"/>
      <c r="X109"/>
      <c r="Y109"/>
      <c r="Z109"/>
      <c r="AA109"/>
      <c r="AB109"/>
      <c r="AC109"/>
      <c r="AD109"/>
      <c r="AE109"/>
      <c r="AF109"/>
      <c r="AG109"/>
      <c r="AH109"/>
      <c r="AI109"/>
      <c r="AJ109"/>
      <c r="AK109"/>
      <c r="AL109"/>
      <c r="AM109"/>
      <c r="AN109"/>
      <c r="AO109"/>
    </row>
    <row r="110" spans="14:41">
      <c r="N110" s="159"/>
      <c r="O110" s="159"/>
      <c r="P110" s="159"/>
      <c r="Q110" s="159"/>
      <c r="R110" s="159"/>
      <c r="S110" s="159"/>
      <c r="T110" s="159"/>
      <c r="U110" s="1"/>
      <c r="V110"/>
      <c r="W110"/>
      <c r="X110"/>
      <c r="Y110"/>
      <c r="Z110"/>
      <c r="AA110"/>
      <c r="AB110"/>
      <c r="AC110"/>
      <c r="AD110"/>
      <c r="AE110"/>
      <c r="AF110"/>
      <c r="AG110"/>
      <c r="AH110"/>
      <c r="AI110"/>
      <c r="AJ110"/>
      <c r="AK110"/>
      <c r="AL110"/>
      <c r="AM110"/>
      <c r="AN110"/>
      <c r="AO110"/>
    </row>
    <row r="111" spans="14:41">
      <c r="N111" s="159"/>
      <c r="O111" s="159"/>
      <c r="P111" s="159"/>
      <c r="Q111" s="159"/>
      <c r="R111" s="159"/>
      <c r="S111" s="159"/>
      <c r="T111" s="159"/>
      <c r="U111" s="1"/>
      <c r="V111"/>
      <c r="W111"/>
      <c r="X111"/>
      <c r="Y111"/>
      <c r="Z111"/>
      <c r="AA111"/>
      <c r="AB111"/>
      <c r="AC111"/>
      <c r="AD111"/>
      <c r="AE111"/>
      <c r="AF111"/>
      <c r="AG111"/>
      <c r="AH111"/>
      <c r="AI111"/>
      <c r="AJ111"/>
      <c r="AK111"/>
      <c r="AL111"/>
      <c r="AM111"/>
      <c r="AN111"/>
      <c r="AO111"/>
    </row>
    <row r="112" spans="14:41">
      <c r="N112" s="159"/>
      <c r="O112" s="159"/>
      <c r="P112" s="159"/>
      <c r="Q112" s="159"/>
      <c r="R112" s="159"/>
      <c r="S112" s="159"/>
      <c r="T112" s="159"/>
      <c r="U112" s="1"/>
      <c r="V112"/>
      <c r="W112"/>
      <c r="X112"/>
      <c r="Y112"/>
      <c r="Z112"/>
      <c r="AA112"/>
      <c r="AB112"/>
      <c r="AC112"/>
      <c r="AD112"/>
      <c r="AE112"/>
      <c r="AF112"/>
      <c r="AG112"/>
      <c r="AH112"/>
      <c r="AI112"/>
      <c r="AJ112"/>
      <c r="AK112"/>
      <c r="AL112"/>
      <c r="AM112"/>
      <c r="AN112"/>
      <c r="AO112"/>
    </row>
    <row r="113" spans="14:41">
      <c r="N113" s="159"/>
      <c r="O113" s="159"/>
      <c r="P113" s="159"/>
      <c r="Q113" s="159"/>
      <c r="R113" s="159"/>
      <c r="S113" s="159"/>
      <c r="T113" s="159"/>
      <c r="U113" s="1"/>
      <c r="V113"/>
      <c r="W113"/>
      <c r="X113"/>
      <c r="Y113"/>
      <c r="Z113"/>
      <c r="AA113"/>
      <c r="AB113"/>
      <c r="AC113"/>
      <c r="AD113"/>
      <c r="AE113"/>
      <c r="AF113"/>
      <c r="AG113"/>
      <c r="AH113"/>
      <c r="AI113"/>
      <c r="AJ113"/>
      <c r="AK113"/>
      <c r="AL113"/>
      <c r="AM113"/>
      <c r="AN113"/>
      <c r="AO113"/>
    </row>
    <row r="114" spans="14:41">
      <c r="N114" s="159"/>
      <c r="O114" s="159"/>
      <c r="P114" s="159"/>
      <c r="Q114" s="159"/>
      <c r="R114" s="159"/>
      <c r="S114" s="159"/>
      <c r="T114" s="159"/>
      <c r="U114" s="1"/>
      <c r="V114"/>
      <c r="W114"/>
      <c r="X114"/>
      <c r="Y114"/>
      <c r="Z114"/>
      <c r="AA114"/>
      <c r="AB114"/>
      <c r="AC114"/>
      <c r="AD114"/>
      <c r="AE114"/>
      <c r="AF114"/>
      <c r="AG114"/>
      <c r="AH114"/>
      <c r="AI114"/>
      <c r="AJ114"/>
      <c r="AK114"/>
      <c r="AL114"/>
      <c r="AM114"/>
      <c r="AN114"/>
      <c r="AO114"/>
    </row>
    <row r="115" spans="14:41">
      <c r="N115" s="159"/>
      <c r="O115" s="159"/>
      <c r="P115" s="159"/>
      <c r="Q115" s="159"/>
      <c r="R115" s="159"/>
      <c r="S115" s="159"/>
      <c r="T115" s="159"/>
      <c r="U115" s="1"/>
      <c r="V115"/>
      <c r="W115"/>
      <c r="X115"/>
      <c r="Y115"/>
      <c r="Z115"/>
      <c r="AA115"/>
      <c r="AB115"/>
      <c r="AC115"/>
      <c r="AD115"/>
      <c r="AE115"/>
      <c r="AF115"/>
      <c r="AG115"/>
      <c r="AH115"/>
      <c r="AI115"/>
      <c r="AJ115"/>
      <c r="AK115"/>
      <c r="AL115"/>
      <c r="AM115"/>
      <c r="AN115"/>
      <c r="AO115"/>
    </row>
    <row r="116" spans="14:41">
      <c r="N116" s="159"/>
      <c r="O116" s="159"/>
      <c r="P116" s="159"/>
      <c r="Q116" s="159"/>
      <c r="R116" s="159"/>
      <c r="S116" s="159"/>
      <c r="T116" s="159"/>
      <c r="U116" s="1"/>
      <c r="V116"/>
      <c r="W116"/>
      <c r="X116"/>
      <c r="Y116"/>
      <c r="Z116"/>
      <c r="AA116"/>
      <c r="AB116"/>
      <c r="AC116"/>
      <c r="AD116"/>
      <c r="AE116"/>
      <c r="AF116"/>
      <c r="AG116"/>
      <c r="AH116"/>
      <c r="AI116"/>
      <c r="AJ116"/>
      <c r="AK116"/>
      <c r="AL116"/>
      <c r="AM116"/>
      <c r="AN116"/>
      <c r="AO116"/>
    </row>
    <row r="117" spans="14:41">
      <c r="N117" s="159"/>
      <c r="O117" s="159"/>
      <c r="P117" s="159"/>
      <c r="Q117" s="159"/>
      <c r="R117" s="159"/>
      <c r="S117" s="159"/>
      <c r="T117" s="159"/>
      <c r="U117" s="1"/>
      <c r="V117"/>
      <c r="W117"/>
      <c r="X117"/>
      <c r="Y117"/>
      <c r="Z117"/>
      <c r="AA117"/>
      <c r="AB117"/>
      <c r="AC117"/>
      <c r="AD117"/>
      <c r="AE117"/>
      <c r="AF117"/>
      <c r="AG117"/>
      <c r="AH117"/>
      <c r="AI117"/>
      <c r="AJ117"/>
      <c r="AK117"/>
      <c r="AL117"/>
      <c r="AM117"/>
      <c r="AN117"/>
      <c r="AO117"/>
    </row>
    <row r="118" spans="14:41">
      <c r="N118" s="159"/>
      <c r="O118" s="159"/>
      <c r="P118" s="159"/>
      <c r="Q118" s="159"/>
      <c r="R118" s="159"/>
      <c r="S118" s="159"/>
      <c r="T118" s="159"/>
      <c r="U118" s="1"/>
      <c r="V118"/>
      <c r="W118"/>
      <c r="X118"/>
      <c r="Y118"/>
      <c r="Z118"/>
      <c r="AA118"/>
      <c r="AB118"/>
      <c r="AC118"/>
      <c r="AD118"/>
      <c r="AE118"/>
      <c r="AF118"/>
      <c r="AG118"/>
      <c r="AH118"/>
      <c r="AI118"/>
      <c r="AJ118"/>
      <c r="AK118"/>
      <c r="AL118"/>
      <c r="AM118"/>
      <c r="AN118"/>
      <c r="AO118"/>
    </row>
    <row r="119" spans="14:41">
      <c r="N119" s="159"/>
      <c r="O119" s="159"/>
      <c r="P119" s="159"/>
      <c r="Q119" s="159"/>
      <c r="R119" s="159"/>
      <c r="S119" s="159"/>
      <c r="T119" s="159"/>
      <c r="U119" s="1"/>
      <c r="V119"/>
      <c r="W119"/>
      <c r="X119"/>
      <c r="Y119"/>
      <c r="Z119"/>
      <c r="AA119"/>
      <c r="AB119"/>
      <c r="AC119"/>
      <c r="AD119"/>
      <c r="AE119"/>
      <c r="AF119"/>
      <c r="AG119"/>
      <c r="AH119"/>
      <c r="AI119"/>
      <c r="AJ119"/>
      <c r="AK119"/>
      <c r="AL119"/>
      <c r="AM119"/>
      <c r="AN119"/>
      <c r="AO119"/>
    </row>
    <row r="120" spans="14:41">
      <c r="N120" s="159"/>
      <c r="O120" s="159"/>
      <c r="P120" s="159"/>
      <c r="Q120" s="159"/>
      <c r="R120" s="159"/>
      <c r="S120" s="159"/>
      <c r="T120" s="159"/>
      <c r="U120" s="1"/>
      <c r="V120"/>
      <c r="W120"/>
      <c r="X120"/>
      <c r="Y120"/>
      <c r="Z120"/>
      <c r="AA120"/>
      <c r="AB120"/>
      <c r="AC120"/>
      <c r="AD120"/>
      <c r="AE120"/>
      <c r="AF120"/>
      <c r="AG120"/>
      <c r="AH120"/>
      <c r="AI120"/>
      <c r="AJ120"/>
      <c r="AK120"/>
      <c r="AL120"/>
      <c r="AM120"/>
      <c r="AN120"/>
      <c r="AO120"/>
    </row>
    <row r="121" spans="14:41">
      <c r="N121" s="159"/>
      <c r="O121" s="159"/>
      <c r="P121" s="159"/>
      <c r="Q121" s="159"/>
      <c r="R121" s="159"/>
      <c r="S121" s="159"/>
      <c r="T121" s="159"/>
      <c r="U121" s="1"/>
      <c r="V121"/>
      <c r="W121"/>
      <c r="X121"/>
      <c r="Y121"/>
      <c r="Z121"/>
      <c r="AA121"/>
      <c r="AB121"/>
      <c r="AC121"/>
      <c r="AD121"/>
      <c r="AE121"/>
      <c r="AF121"/>
      <c r="AG121"/>
      <c r="AH121"/>
      <c r="AI121"/>
      <c r="AJ121"/>
      <c r="AK121"/>
      <c r="AL121"/>
      <c r="AM121"/>
      <c r="AN121"/>
      <c r="AO121"/>
    </row>
    <row r="122" spans="14:41">
      <c r="N122" s="159"/>
      <c r="O122" s="159"/>
      <c r="P122" s="159"/>
      <c r="Q122" s="159"/>
      <c r="R122" s="159"/>
      <c r="S122" s="159"/>
      <c r="T122" s="159"/>
      <c r="U122" s="1"/>
      <c r="V122"/>
      <c r="W122"/>
      <c r="X122"/>
      <c r="Y122"/>
      <c r="Z122"/>
      <c r="AA122"/>
      <c r="AB122"/>
      <c r="AC122"/>
      <c r="AD122"/>
      <c r="AE122"/>
      <c r="AF122"/>
      <c r="AG122"/>
      <c r="AH122"/>
      <c r="AI122"/>
      <c r="AJ122"/>
      <c r="AK122"/>
      <c r="AL122"/>
      <c r="AM122"/>
      <c r="AN122"/>
      <c r="AO122"/>
    </row>
    <row r="123" spans="14:41">
      <c r="N123" s="159"/>
      <c r="O123" s="159"/>
      <c r="P123" s="159"/>
      <c r="Q123" s="159"/>
      <c r="R123" s="159"/>
      <c r="S123" s="159"/>
      <c r="T123" s="159"/>
      <c r="U123" s="1"/>
      <c r="V123"/>
      <c r="W123"/>
      <c r="X123"/>
      <c r="Y123"/>
      <c r="Z123"/>
      <c r="AA123"/>
      <c r="AB123"/>
      <c r="AC123"/>
      <c r="AD123"/>
      <c r="AE123"/>
      <c r="AF123"/>
      <c r="AG123"/>
      <c r="AH123"/>
      <c r="AI123"/>
      <c r="AJ123"/>
      <c r="AK123"/>
      <c r="AL123"/>
      <c r="AM123"/>
      <c r="AN123"/>
      <c r="AO123"/>
    </row>
    <row r="124" spans="14:41">
      <c r="N124" s="159"/>
      <c r="O124" s="159"/>
      <c r="P124" s="159"/>
      <c r="Q124" s="159"/>
      <c r="R124" s="159"/>
      <c r="S124" s="159"/>
      <c r="T124" s="159"/>
      <c r="U124" s="1"/>
      <c r="V124"/>
      <c r="W124"/>
      <c r="X124"/>
      <c r="Y124"/>
      <c r="Z124"/>
      <c r="AA124"/>
      <c r="AB124"/>
      <c r="AC124"/>
      <c r="AD124"/>
      <c r="AE124"/>
      <c r="AF124"/>
      <c r="AG124"/>
      <c r="AH124"/>
      <c r="AI124"/>
      <c r="AJ124"/>
      <c r="AK124"/>
      <c r="AL124"/>
      <c r="AM124"/>
      <c r="AN124"/>
      <c r="AO124"/>
    </row>
    <row r="125" spans="14:41">
      <c r="N125" s="159"/>
      <c r="O125" s="159"/>
      <c r="P125" s="159"/>
      <c r="Q125" s="159"/>
      <c r="R125" s="159"/>
      <c r="S125" s="159"/>
      <c r="T125" s="159"/>
      <c r="U125" s="1"/>
      <c r="V125"/>
      <c r="W125"/>
      <c r="X125"/>
      <c r="Y125"/>
      <c r="Z125"/>
      <c r="AA125"/>
      <c r="AB125"/>
      <c r="AC125"/>
      <c r="AD125"/>
      <c r="AE125"/>
      <c r="AF125"/>
      <c r="AG125"/>
      <c r="AH125"/>
      <c r="AI125"/>
      <c r="AJ125"/>
      <c r="AK125"/>
      <c r="AL125"/>
      <c r="AM125"/>
      <c r="AN125"/>
      <c r="AO125"/>
    </row>
    <row r="126" spans="14:41">
      <c r="N126" s="159"/>
      <c r="O126" s="159"/>
      <c r="P126" s="159"/>
      <c r="Q126" s="159"/>
      <c r="R126" s="159"/>
      <c r="S126" s="159"/>
      <c r="T126" s="159"/>
      <c r="U126" s="1"/>
      <c r="V126"/>
      <c r="W126"/>
      <c r="X126"/>
      <c r="Y126"/>
      <c r="Z126"/>
      <c r="AA126"/>
      <c r="AB126"/>
      <c r="AC126"/>
      <c r="AD126"/>
      <c r="AE126"/>
      <c r="AF126"/>
      <c r="AG126"/>
      <c r="AH126"/>
      <c r="AI126"/>
      <c r="AJ126"/>
      <c r="AK126"/>
      <c r="AL126"/>
      <c r="AM126"/>
      <c r="AN126"/>
      <c r="AO126"/>
    </row>
    <row r="127" spans="14:41">
      <c r="N127" s="159"/>
      <c r="O127" s="159"/>
      <c r="P127" s="159"/>
      <c r="Q127" s="159"/>
      <c r="R127" s="159"/>
      <c r="S127" s="159"/>
      <c r="T127" s="159"/>
      <c r="U127" s="1"/>
      <c r="V127"/>
      <c r="W127"/>
      <c r="X127"/>
      <c r="Y127"/>
      <c r="Z127"/>
      <c r="AA127"/>
      <c r="AB127"/>
      <c r="AC127"/>
      <c r="AD127"/>
      <c r="AE127"/>
      <c r="AF127"/>
      <c r="AG127"/>
      <c r="AH127"/>
      <c r="AI127"/>
      <c r="AJ127"/>
      <c r="AK127"/>
      <c r="AL127"/>
      <c r="AM127"/>
      <c r="AN127"/>
      <c r="AO127"/>
    </row>
    <row r="128" spans="14:41">
      <c r="N128" s="159"/>
      <c r="O128" s="159"/>
      <c r="P128" s="159"/>
      <c r="Q128" s="159"/>
      <c r="R128" s="159"/>
      <c r="S128" s="159"/>
      <c r="T128" s="159"/>
      <c r="U128" s="1"/>
      <c r="V128"/>
      <c r="W128"/>
      <c r="X128"/>
      <c r="Y128"/>
      <c r="Z128"/>
      <c r="AA128"/>
      <c r="AB128"/>
      <c r="AC128"/>
      <c r="AD128"/>
      <c r="AE128"/>
      <c r="AF128"/>
      <c r="AG128"/>
      <c r="AH128"/>
      <c r="AI128"/>
      <c r="AJ128"/>
      <c r="AK128"/>
      <c r="AL128"/>
      <c r="AM128"/>
      <c r="AN128"/>
      <c r="AO128"/>
    </row>
    <row r="129" spans="14:41">
      <c r="N129" s="159"/>
      <c r="O129" s="159"/>
      <c r="P129" s="159"/>
      <c r="Q129" s="159"/>
      <c r="R129" s="159"/>
      <c r="S129" s="159"/>
      <c r="T129" s="159"/>
      <c r="U129" s="1"/>
      <c r="V129"/>
      <c r="W129"/>
      <c r="X129"/>
      <c r="Y129"/>
      <c r="Z129"/>
      <c r="AA129"/>
      <c r="AB129"/>
      <c r="AC129"/>
      <c r="AD129"/>
      <c r="AE129"/>
      <c r="AF129"/>
      <c r="AG129"/>
      <c r="AH129"/>
      <c r="AI129"/>
      <c r="AJ129"/>
      <c r="AK129"/>
      <c r="AL129"/>
      <c r="AM129"/>
      <c r="AN129"/>
      <c r="AO129"/>
    </row>
    <row r="130" spans="14:41">
      <c r="N130" s="159"/>
      <c r="O130" s="159"/>
      <c r="P130" s="159"/>
      <c r="Q130" s="159"/>
      <c r="R130" s="159"/>
      <c r="S130" s="159"/>
      <c r="T130" s="159"/>
      <c r="U130" s="1"/>
      <c r="V130"/>
      <c r="W130"/>
      <c r="X130"/>
      <c r="Y130"/>
      <c r="Z130"/>
      <c r="AA130"/>
      <c r="AB130"/>
      <c r="AC130"/>
      <c r="AD130"/>
      <c r="AE130"/>
      <c r="AF130"/>
      <c r="AG130"/>
      <c r="AH130"/>
      <c r="AI130"/>
      <c r="AJ130"/>
      <c r="AK130"/>
      <c r="AL130"/>
      <c r="AM130"/>
      <c r="AN130"/>
      <c r="AO130"/>
    </row>
    <row r="131" spans="14:41">
      <c r="N131" s="159"/>
      <c r="O131" s="159"/>
      <c r="P131" s="159"/>
      <c r="Q131" s="159"/>
      <c r="R131" s="159"/>
      <c r="S131" s="159"/>
      <c r="T131" s="159"/>
      <c r="U131" s="1"/>
      <c r="V131"/>
      <c r="W131"/>
      <c r="X131"/>
      <c r="Y131"/>
      <c r="Z131"/>
      <c r="AA131"/>
      <c r="AB131"/>
      <c r="AC131"/>
      <c r="AD131"/>
      <c r="AE131"/>
      <c r="AF131"/>
      <c r="AG131"/>
      <c r="AH131"/>
      <c r="AI131"/>
      <c r="AJ131"/>
      <c r="AK131"/>
      <c r="AL131"/>
      <c r="AM131"/>
      <c r="AN131"/>
      <c r="AO131"/>
    </row>
    <row r="132" spans="14:41">
      <c r="N132" s="159"/>
      <c r="O132" s="159"/>
      <c r="P132" s="159"/>
      <c r="Q132" s="159"/>
      <c r="R132" s="159"/>
      <c r="S132" s="159"/>
      <c r="T132" s="159"/>
      <c r="U132" s="1"/>
      <c r="V132"/>
      <c r="W132"/>
      <c r="X132"/>
      <c r="Y132"/>
      <c r="Z132"/>
      <c r="AA132"/>
      <c r="AB132"/>
      <c r="AC132"/>
      <c r="AD132"/>
      <c r="AE132"/>
      <c r="AF132"/>
      <c r="AG132"/>
      <c r="AH132"/>
      <c r="AI132"/>
      <c r="AJ132"/>
      <c r="AK132"/>
      <c r="AL132"/>
      <c r="AM132"/>
      <c r="AN132"/>
      <c r="AO132"/>
    </row>
    <row r="133" spans="14:41">
      <c r="N133" s="159"/>
      <c r="O133" s="159"/>
      <c r="P133" s="159"/>
      <c r="Q133" s="159"/>
      <c r="R133" s="159"/>
      <c r="S133" s="159"/>
      <c r="T133" s="159"/>
      <c r="U133" s="1"/>
      <c r="V133"/>
      <c r="W133"/>
      <c r="X133"/>
      <c r="Y133"/>
      <c r="Z133"/>
      <c r="AA133"/>
      <c r="AB133"/>
      <c r="AC133"/>
      <c r="AD133"/>
      <c r="AE133"/>
      <c r="AF133"/>
      <c r="AG133"/>
      <c r="AH133"/>
      <c r="AI133"/>
      <c r="AJ133"/>
      <c r="AK133"/>
      <c r="AL133"/>
      <c r="AM133"/>
      <c r="AN133"/>
      <c r="AO133"/>
    </row>
    <row r="134" spans="14:41">
      <c r="N134" s="159"/>
      <c r="O134" s="159"/>
      <c r="P134" s="159"/>
      <c r="Q134" s="159"/>
      <c r="R134" s="159"/>
      <c r="S134" s="159"/>
      <c r="T134" s="159"/>
      <c r="U134" s="1"/>
      <c r="V134"/>
      <c r="W134"/>
      <c r="X134"/>
      <c r="Y134"/>
      <c r="Z134"/>
      <c r="AA134"/>
      <c r="AB134"/>
      <c r="AC134"/>
      <c r="AD134"/>
      <c r="AE134"/>
      <c r="AF134"/>
      <c r="AG134"/>
      <c r="AH134"/>
      <c r="AI134"/>
      <c r="AJ134"/>
      <c r="AK134"/>
      <c r="AL134"/>
      <c r="AM134"/>
      <c r="AN134"/>
      <c r="AO134"/>
    </row>
    <row r="135" spans="14:41">
      <c r="N135" s="159"/>
      <c r="O135" s="159"/>
      <c r="P135" s="159"/>
      <c r="Q135" s="159"/>
      <c r="R135" s="159"/>
      <c r="S135" s="159"/>
      <c r="T135" s="159"/>
      <c r="U135" s="1"/>
      <c r="V135"/>
      <c r="W135"/>
      <c r="X135"/>
      <c r="Y135"/>
      <c r="Z135"/>
      <c r="AA135"/>
      <c r="AB135"/>
      <c r="AC135"/>
      <c r="AD135"/>
      <c r="AE135"/>
      <c r="AF135"/>
      <c r="AG135"/>
      <c r="AH135"/>
      <c r="AI135"/>
      <c r="AJ135"/>
      <c r="AK135"/>
      <c r="AL135"/>
      <c r="AM135"/>
      <c r="AN135"/>
      <c r="AO135"/>
    </row>
    <row r="136" spans="14:41">
      <c r="N136" s="159"/>
      <c r="O136" s="159"/>
      <c r="P136" s="159"/>
      <c r="Q136" s="159"/>
      <c r="R136" s="159"/>
      <c r="S136" s="159"/>
      <c r="T136" s="159"/>
      <c r="U136" s="1"/>
      <c r="V136"/>
      <c r="W136"/>
      <c r="X136"/>
      <c r="Y136"/>
      <c r="Z136"/>
      <c r="AA136"/>
      <c r="AB136"/>
      <c r="AC136"/>
      <c r="AD136"/>
      <c r="AE136"/>
      <c r="AF136"/>
      <c r="AG136"/>
      <c r="AH136"/>
      <c r="AI136"/>
      <c r="AJ136"/>
      <c r="AK136"/>
      <c r="AL136"/>
      <c r="AM136"/>
      <c r="AN136"/>
      <c r="AO136"/>
    </row>
    <row r="137" spans="14:41">
      <c r="N137" s="159"/>
      <c r="O137" s="159"/>
      <c r="P137" s="159"/>
      <c r="Q137" s="159"/>
      <c r="R137" s="159"/>
      <c r="S137" s="159"/>
      <c r="T137" s="159"/>
      <c r="U137" s="1"/>
      <c r="V137"/>
      <c r="W137"/>
      <c r="X137"/>
      <c r="Y137"/>
      <c r="Z137"/>
      <c r="AA137"/>
      <c r="AB137"/>
      <c r="AC137"/>
      <c r="AD137"/>
      <c r="AE137"/>
      <c r="AF137"/>
      <c r="AG137"/>
      <c r="AH137"/>
      <c r="AI137"/>
      <c r="AJ137"/>
      <c r="AK137"/>
      <c r="AL137"/>
      <c r="AM137"/>
      <c r="AN137"/>
      <c r="AO137"/>
    </row>
    <row r="138" spans="14:41">
      <c r="N138" s="159"/>
      <c r="O138" s="159"/>
      <c r="P138" s="159"/>
      <c r="Q138" s="159"/>
      <c r="R138" s="159"/>
      <c r="S138" s="159"/>
      <c r="T138" s="159"/>
      <c r="U138" s="1"/>
      <c r="V138"/>
      <c r="W138"/>
      <c r="X138"/>
      <c r="Y138"/>
      <c r="Z138"/>
      <c r="AA138"/>
      <c r="AB138"/>
      <c r="AC138"/>
      <c r="AD138"/>
      <c r="AE138"/>
      <c r="AF138"/>
      <c r="AG138"/>
      <c r="AH138"/>
      <c r="AI138"/>
      <c r="AJ138"/>
      <c r="AK138"/>
      <c r="AL138"/>
      <c r="AM138"/>
      <c r="AN138"/>
      <c r="AO138"/>
    </row>
    <row r="139" spans="14:41">
      <c r="N139" s="159"/>
      <c r="O139" s="159"/>
      <c r="P139" s="159"/>
      <c r="Q139" s="159"/>
      <c r="R139" s="159"/>
      <c r="S139" s="159"/>
      <c r="T139" s="159"/>
      <c r="U139" s="1"/>
      <c r="V139"/>
      <c r="W139"/>
      <c r="X139"/>
      <c r="Y139"/>
      <c r="Z139"/>
      <c r="AA139"/>
      <c r="AB139"/>
      <c r="AC139"/>
      <c r="AD139"/>
      <c r="AE139"/>
      <c r="AF139"/>
      <c r="AG139"/>
      <c r="AH139"/>
      <c r="AI139"/>
      <c r="AJ139"/>
      <c r="AK139"/>
      <c r="AL139"/>
      <c r="AM139"/>
      <c r="AN139"/>
      <c r="AO139"/>
    </row>
    <row r="140" spans="14:41">
      <c r="N140" s="159"/>
      <c r="O140" s="159"/>
      <c r="P140" s="159"/>
      <c r="Q140" s="159"/>
      <c r="R140" s="159"/>
      <c r="S140" s="159"/>
      <c r="T140" s="159"/>
      <c r="U140" s="1"/>
      <c r="V140"/>
      <c r="W140"/>
      <c r="X140"/>
      <c r="Y140"/>
      <c r="Z140"/>
      <c r="AA140"/>
      <c r="AB140"/>
      <c r="AC140"/>
      <c r="AD140"/>
      <c r="AE140"/>
      <c r="AF140"/>
      <c r="AG140"/>
      <c r="AH140"/>
      <c r="AI140"/>
      <c r="AJ140"/>
      <c r="AK140"/>
      <c r="AL140"/>
      <c r="AM140"/>
      <c r="AN140"/>
      <c r="AO140"/>
    </row>
    <row r="141" spans="14:41">
      <c r="N141" s="159"/>
      <c r="O141" s="159"/>
      <c r="P141" s="159"/>
      <c r="Q141" s="159"/>
      <c r="R141" s="159"/>
      <c r="S141" s="159"/>
      <c r="T141" s="159"/>
      <c r="U141" s="1"/>
      <c r="V141"/>
      <c r="W141"/>
      <c r="X141"/>
      <c r="Y141"/>
      <c r="Z141"/>
      <c r="AA141"/>
      <c r="AB141"/>
      <c r="AC141"/>
      <c r="AD141"/>
      <c r="AE141"/>
      <c r="AF141"/>
      <c r="AG141"/>
      <c r="AH141"/>
      <c r="AI141"/>
      <c r="AJ141"/>
      <c r="AK141"/>
      <c r="AL141"/>
      <c r="AM141"/>
      <c r="AN141"/>
      <c r="AO141"/>
    </row>
    <row r="142" spans="14:41">
      <c r="N142" s="159"/>
      <c r="O142" s="159"/>
      <c r="P142" s="159"/>
      <c r="Q142" s="159"/>
      <c r="R142" s="159"/>
      <c r="S142" s="159"/>
      <c r="T142" s="159"/>
      <c r="U142" s="1"/>
      <c r="V142"/>
      <c r="W142"/>
      <c r="X142"/>
      <c r="Y142"/>
      <c r="Z142"/>
      <c r="AA142"/>
      <c r="AB142"/>
      <c r="AC142"/>
      <c r="AD142"/>
      <c r="AE142"/>
      <c r="AF142"/>
      <c r="AG142"/>
      <c r="AH142"/>
      <c r="AI142"/>
      <c r="AJ142"/>
      <c r="AK142"/>
      <c r="AL142"/>
      <c r="AM142"/>
      <c r="AN142"/>
      <c r="AO142"/>
    </row>
    <row r="143" spans="14:41">
      <c r="N143" s="159"/>
      <c r="O143" s="159"/>
      <c r="P143" s="159"/>
      <c r="Q143" s="159"/>
      <c r="R143" s="159"/>
      <c r="S143" s="159"/>
      <c r="T143" s="159"/>
      <c r="U143" s="1"/>
      <c r="V143"/>
      <c r="W143"/>
      <c r="X143"/>
      <c r="Y143"/>
      <c r="Z143"/>
      <c r="AA143"/>
      <c r="AB143"/>
      <c r="AC143"/>
      <c r="AD143"/>
      <c r="AE143"/>
      <c r="AF143"/>
      <c r="AG143"/>
      <c r="AH143"/>
      <c r="AI143"/>
      <c r="AJ143"/>
      <c r="AK143"/>
      <c r="AL143"/>
      <c r="AM143"/>
      <c r="AN143"/>
      <c r="AO143"/>
    </row>
    <row r="144" spans="14:41">
      <c r="N144" s="159"/>
      <c r="O144" s="159"/>
      <c r="P144" s="159"/>
      <c r="Q144" s="159"/>
      <c r="R144" s="159"/>
      <c r="S144" s="159"/>
      <c r="T144" s="159"/>
      <c r="U144" s="1"/>
      <c r="V144"/>
      <c r="W144"/>
      <c r="X144"/>
      <c r="Y144"/>
      <c r="Z144"/>
      <c r="AA144"/>
      <c r="AB144"/>
      <c r="AC144"/>
      <c r="AD144"/>
      <c r="AE144"/>
      <c r="AF144"/>
      <c r="AG144"/>
      <c r="AH144"/>
      <c r="AI144"/>
      <c r="AJ144"/>
      <c r="AK144"/>
      <c r="AL144"/>
      <c r="AM144"/>
      <c r="AN144"/>
      <c r="AO144"/>
    </row>
    <row r="145" spans="14:41">
      <c r="N145" s="159"/>
      <c r="O145" s="159"/>
      <c r="P145" s="159"/>
      <c r="Q145" s="159"/>
      <c r="R145" s="159"/>
      <c r="S145" s="159"/>
      <c r="T145" s="159"/>
      <c r="U145" s="1"/>
      <c r="V145"/>
      <c r="W145"/>
      <c r="X145"/>
      <c r="Y145"/>
      <c r="Z145"/>
      <c r="AA145"/>
      <c r="AB145"/>
      <c r="AC145"/>
      <c r="AD145"/>
      <c r="AE145"/>
      <c r="AF145"/>
      <c r="AG145"/>
      <c r="AH145"/>
      <c r="AI145"/>
      <c r="AJ145"/>
      <c r="AK145"/>
      <c r="AL145"/>
      <c r="AM145"/>
      <c r="AN145"/>
      <c r="AO145"/>
    </row>
    <row r="146" spans="14:41">
      <c r="N146" s="159"/>
      <c r="O146" s="159"/>
      <c r="P146" s="159"/>
      <c r="Q146" s="159"/>
      <c r="R146" s="159"/>
      <c r="S146" s="159"/>
      <c r="T146" s="159"/>
      <c r="U146" s="1"/>
      <c r="V146"/>
      <c r="W146"/>
      <c r="X146"/>
      <c r="Y146"/>
      <c r="Z146"/>
      <c r="AA146"/>
      <c r="AB146"/>
      <c r="AC146"/>
      <c r="AD146"/>
      <c r="AE146"/>
      <c r="AF146"/>
      <c r="AG146"/>
      <c r="AH146"/>
      <c r="AI146"/>
      <c r="AJ146"/>
      <c r="AK146"/>
      <c r="AL146"/>
      <c r="AM146"/>
      <c r="AN146"/>
      <c r="AO146"/>
    </row>
    <row r="147" spans="14:41">
      <c r="N147" s="159"/>
      <c r="O147" s="159"/>
      <c r="P147" s="159"/>
      <c r="Q147" s="159"/>
      <c r="R147" s="159"/>
      <c r="S147" s="159"/>
      <c r="T147" s="159"/>
      <c r="U147" s="1"/>
      <c r="V147"/>
      <c r="W147"/>
      <c r="X147"/>
      <c r="Y147"/>
      <c r="Z147"/>
      <c r="AA147"/>
      <c r="AB147"/>
      <c r="AC147"/>
      <c r="AD147"/>
      <c r="AE147"/>
      <c r="AF147"/>
      <c r="AG147"/>
      <c r="AH147"/>
      <c r="AI147"/>
      <c r="AJ147"/>
      <c r="AK147"/>
      <c r="AL147"/>
      <c r="AM147"/>
      <c r="AN147"/>
      <c r="AO147"/>
    </row>
    <row r="148" spans="14:41">
      <c r="N148" s="159"/>
      <c r="O148" s="159"/>
      <c r="P148" s="159"/>
      <c r="Q148" s="159"/>
      <c r="R148" s="159"/>
      <c r="S148" s="159"/>
      <c r="T148" s="159"/>
      <c r="U148" s="1"/>
      <c r="V148"/>
      <c r="W148"/>
      <c r="X148"/>
      <c r="Y148"/>
      <c r="Z148"/>
      <c r="AA148"/>
      <c r="AB148"/>
      <c r="AC148"/>
      <c r="AD148"/>
      <c r="AE148"/>
      <c r="AF148"/>
      <c r="AG148"/>
      <c r="AH148"/>
      <c r="AI148"/>
      <c r="AJ148"/>
      <c r="AK148"/>
      <c r="AL148"/>
      <c r="AM148"/>
      <c r="AN148"/>
      <c r="AO148"/>
    </row>
    <row r="149" spans="14:41">
      <c r="N149" s="159"/>
      <c r="O149" s="159"/>
      <c r="P149" s="159"/>
      <c r="Q149" s="159"/>
      <c r="R149" s="159"/>
      <c r="S149" s="159"/>
      <c r="T149" s="159"/>
      <c r="U149" s="1"/>
      <c r="V149"/>
      <c r="W149"/>
      <c r="X149"/>
      <c r="Y149"/>
      <c r="Z149"/>
      <c r="AA149"/>
      <c r="AB149"/>
      <c r="AC149"/>
      <c r="AD149"/>
      <c r="AE149"/>
      <c r="AF149"/>
      <c r="AG149"/>
      <c r="AH149"/>
      <c r="AI149"/>
      <c r="AJ149"/>
      <c r="AK149"/>
      <c r="AL149"/>
      <c r="AM149"/>
      <c r="AN149"/>
      <c r="AO149"/>
    </row>
    <row r="150" spans="14:41">
      <c r="N150" s="159"/>
      <c r="O150" s="159"/>
      <c r="P150" s="159"/>
      <c r="Q150" s="159"/>
      <c r="R150" s="159"/>
      <c r="S150" s="159"/>
      <c r="T150" s="159"/>
      <c r="U150" s="1"/>
      <c r="V150"/>
      <c r="W150"/>
      <c r="X150"/>
      <c r="Y150"/>
      <c r="Z150"/>
      <c r="AA150"/>
      <c r="AB150"/>
      <c r="AC150"/>
      <c r="AD150"/>
      <c r="AE150"/>
      <c r="AF150"/>
      <c r="AG150"/>
      <c r="AH150"/>
      <c r="AI150"/>
      <c r="AJ150"/>
      <c r="AK150"/>
      <c r="AL150"/>
      <c r="AM150"/>
      <c r="AN150"/>
      <c r="AO150"/>
    </row>
    <row r="151" spans="14:41">
      <c r="N151" s="159"/>
      <c r="O151" s="159"/>
      <c r="P151" s="159"/>
      <c r="Q151" s="159"/>
      <c r="R151" s="159"/>
      <c r="S151" s="159"/>
      <c r="T151" s="159"/>
      <c r="U151" s="1"/>
      <c r="V151"/>
      <c r="W151"/>
      <c r="X151"/>
      <c r="Y151"/>
      <c r="Z151"/>
      <c r="AA151"/>
      <c r="AB151"/>
      <c r="AC151"/>
      <c r="AD151"/>
      <c r="AE151"/>
      <c r="AF151"/>
      <c r="AG151"/>
      <c r="AH151"/>
      <c r="AI151"/>
      <c r="AJ151"/>
      <c r="AK151"/>
      <c r="AL151"/>
      <c r="AM151"/>
      <c r="AN151"/>
      <c r="AO151"/>
    </row>
    <row r="152" spans="14:41">
      <c r="N152" s="159"/>
      <c r="O152" s="159"/>
      <c r="P152" s="159"/>
      <c r="Q152" s="159"/>
      <c r="R152" s="159"/>
      <c r="S152" s="159"/>
      <c r="T152" s="159"/>
      <c r="U152" s="1"/>
      <c r="V152"/>
      <c r="W152"/>
      <c r="X152"/>
      <c r="Y152"/>
      <c r="Z152"/>
      <c r="AA152"/>
      <c r="AB152"/>
      <c r="AC152"/>
      <c r="AD152"/>
      <c r="AE152"/>
      <c r="AF152"/>
      <c r="AG152"/>
      <c r="AH152"/>
      <c r="AI152"/>
      <c r="AJ152"/>
      <c r="AK152"/>
      <c r="AL152"/>
      <c r="AM152"/>
      <c r="AN152"/>
      <c r="AO152"/>
    </row>
    <row r="153" spans="14:41">
      <c r="N153" s="159"/>
      <c r="O153" s="159"/>
      <c r="P153" s="159"/>
      <c r="Q153" s="159"/>
      <c r="R153" s="159"/>
      <c r="S153" s="159"/>
      <c r="T153" s="159"/>
      <c r="U153" s="1"/>
      <c r="V153"/>
      <c r="W153"/>
      <c r="X153"/>
      <c r="Y153"/>
      <c r="Z153"/>
      <c r="AA153"/>
      <c r="AB153"/>
      <c r="AC153"/>
      <c r="AD153"/>
      <c r="AE153"/>
      <c r="AF153"/>
      <c r="AG153"/>
      <c r="AH153"/>
      <c r="AI153"/>
      <c r="AJ153"/>
      <c r="AK153"/>
      <c r="AL153"/>
      <c r="AM153"/>
      <c r="AN153"/>
      <c r="AO153"/>
    </row>
    <row r="154" spans="14:41">
      <c r="N154" s="159"/>
      <c r="O154" s="159"/>
      <c r="P154" s="159"/>
      <c r="Q154" s="159"/>
      <c r="R154" s="159"/>
      <c r="S154" s="159"/>
      <c r="T154" s="159"/>
      <c r="U154" s="1"/>
      <c r="V154"/>
      <c r="W154"/>
      <c r="X154"/>
      <c r="Y154"/>
      <c r="Z154"/>
      <c r="AA154"/>
      <c r="AB154"/>
      <c r="AC154"/>
      <c r="AD154"/>
      <c r="AE154"/>
      <c r="AF154"/>
      <c r="AG154"/>
      <c r="AH154"/>
      <c r="AI154"/>
      <c r="AJ154"/>
      <c r="AK154"/>
      <c r="AL154"/>
      <c r="AM154"/>
      <c r="AN154"/>
      <c r="AO154"/>
    </row>
    <row r="155" spans="14:41">
      <c r="N155" s="159"/>
      <c r="O155" s="159"/>
      <c r="P155" s="159"/>
      <c r="Q155" s="159"/>
      <c r="R155" s="159"/>
      <c r="S155" s="159"/>
      <c r="T155" s="159"/>
      <c r="U155" s="1"/>
      <c r="V155"/>
      <c r="W155"/>
      <c r="X155"/>
      <c r="Y155"/>
      <c r="Z155"/>
      <c r="AA155"/>
      <c r="AB155"/>
      <c r="AC155"/>
      <c r="AD155"/>
      <c r="AE155"/>
      <c r="AF155"/>
      <c r="AG155"/>
      <c r="AH155"/>
      <c r="AI155"/>
      <c r="AJ155"/>
      <c r="AK155"/>
      <c r="AL155"/>
      <c r="AM155"/>
      <c r="AN155"/>
      <c r="AO155"/>
    </row>
    <row r="156" spans="14:41">
      <c r="N156" s="159"/>
      <c r="O156" s="159"/>
      <c r="P156" s="159"/>
      <c r="Q156" s="159"/>
      <c r="R156" s="159"/>
      <c r="S156" s="159"/>
      <c r="T156" s="159"/>
      <c r="U156" s="1"/>
      <c r="V156"/>
      <c r="W156"/>
      <c r="X156"/>
      <c r="Y156"/>
      <c r="Z156"/>
      <c r="AA156"/>
      <c r="AB156"/>
      <c r="AC156"/>
      <c r="AD156"/>
      <c r="AE156"/>
      <c r="AF156"/>
      <c r="AG156"/>
      <c r="AH156"/>
      <c r="AI156"/>
      <c r="AJ156"/>
      <c r="AK156"/>
      <c r="AL156"/>
      <c r="AM156"/>
      <c r="AN156"/>
      <c r="AO156"/>
    </row>
    <row r="157" spans="14:41">
      <c r="N157" s="159"/>
      <c r="O157" s="159"/>
      <c r="P157" s="159"/>
      <c r="Q157" s="159"/>
      <c r="R157" s="159"/>
      <c r="S157" s="159"/>
      <c r="T157" s="159"/>
      <c r="U157" s="1"/>
      <c r="V157"/>
      <c r="W157"/>
      <c r="X157"/>
      <c r="Y157"/>
      <c r="Z157"/>
      <c r="AA157"/>
      <c r="AB157"/>
      <c r="AC157"/>
      <c r="AD157"/>
      <c r="AE157"/>
      <c r="AF157"/>
      <c r="AG157"/>
      <c r="AH157"/>
      <c r="AI157"/>
      <c r="AJ157"/>
      <c r="AK157"/>
      <c r="AL157"/>
      <c r="AM157"/>
      <c r="AN157"/>
      <c r="AO157"/>
    </row>
    <row r="158" spans="14:41">
      <c r="N158" s="159"/>
      <c r="O158" s="159"/>
      <c r="P158" s="159"/>
      <c r="Q158" s="159"/>
      <c r="R158" s="159"/>
      <c r="S158" s="159"/>
      <c r="T158" s="159"/>
      <c r="U158" s="1"/>
      <c r="V158"/>
      <c r="W158"/>
      <c r="X158"/>
      <c r="Y158"/>
      <c r="Z158"/>
      <c r="AA158"/>
      <c r="AB158"/>
      <c r="AC158"/>
      <c r="AD158"/>
      <c r="AE158"/>
      <c r="AF158"/>
      <c r="AG158"/>
      <c r="AH158"/>
      <c r="AI158"/>
      <c r="AJ158"/>
      <c r="AK158"/>
      <c r="AL158"/>
      <c r="AM158"/>
      <c r="AN158"/>
      <c r="AO158"/>
    </row>
    <row r="159" spans="14:41">
      <c r="N159" s="159"/>
      <c r="O159" s="159"/>
      <c r="P159" s="159"/>
      <c r="Q159" s="159"/>
      <c r="R159" s="159"/>
      <c r="S159" s="159"/>
      <c r="T159" s="159"/>
      <c r="U159" s="1"/>
      <c r="V159"/>
      <c r="W159"/>
      <c r="X159"/>
      <c r="Y159"/>
      <c r="Z159"/>
      <c r="AA159"/>
      <c r="AB159"/>
      <c r="AC159"/>
      <c r="AD159"/>
      <c r="AE159"/>
      <c r="AF159"/>
      <c r="AG159"/>
      <c r="AH159"/>
      <c r="AI159"/>
      <c r="AJ159"/>
      <c r="AK159"/>
      <c r="AL159"/>
      <c r="AM159"/>
      <c r="AN159"/>
      <c r="AO159"/>
    </row>
    <row r="160" spans="14:41">
      <c r="N160" s="159"/>
      <c r="O160" s="159"/>
      <c r="P160" s="159"/>
      <c r="Q160" s="159"/>
      <c r="R160" s="159"/>
      <c r="S160" s="159"/>
      <c r="T160" s="159"/>
      <c r="U160" s="1"/>
      <c r="V160"/>
      <c r="W160"/>
      <c r="X160"/>
      <c r="Y160"/>
      <c r="Z160"/>
      <c r="AA160"/>
      <c r="AB160"/>
      <c r="AC160"/>
      <c r="AD160"/>
      <c r="AE160"/>
      <c r="AF160"/>
      <c r="AG160"/>
      <c r="AH160"/>
      <c r="AI160"/>
      <c r="AJ160"/>
      <c r="AK160"/>
      <c r="AL160"/>
      <c r="AM160"/>
      <c r="AN160"/>
      <c r="AO160"/>
    </row>
    <row r="161" spans="14:41">
      <c r="N161" s="159"/>
      <c r="O161" s="159"/>
      <c r="P161" s="159"/>
      <c r="Q161" s="159"/>
      <c r="R161" s="159"/>
      <c r="S161" s="159"/>
      <c r="T161" s="159"/>
      <c r="U161" s="1"/>
      <c r="V161"/>
      <c r="W161"/>
      <c r="X161"/>
      <c r="Y161"/>
      <c r="Z161"/>
      <c r="AA161"/>
      <c r="AB161"/>
      <c r="AC161"/>
      <c r="AD161"/>
      <c r="AE161"/>
      <c r="AF161"/>
      <c r="AG161"/>
      <c r="AH161"/>
      <c r="AI161"/>
      <c r="AJ161"/>
      <c r="AK161"/>
      <c r="AL161"/>
      <c r="AM161"/>
      <c r="AN161"/>
      <c r="AO161"/>
    </row>
    <row r="162" spans="14:41">
      <c r="N162" s="159"/>
      <c r="O162" s="159"/>
      <c r="P162" s="159"/>
      <c r="Q162" s="159"/>
      <c r="R162" s="159"/>
      <c r="S162" s="159"/>
      <c r="T162" s="159"/>
      <c r="U162" s="1"/>
      <c r="V162"/>
      <c r="W162"/>
      <c r="X162"/>
      <c r="Y162"/>
      <c r="Z162"/>
      <c r="AA162"/>
      <c r="AB162"/>
      <c r="AC162"/>
      <c r="AD162"/>
      <c r="AE162"/>
      <c r="AF162"/>
      <c r="AG162"/>
      <c r="AH162"/>
      <c r="AI162"/>
      <c r="AJ162"/>
      <c r="AK162"/>
      <c r="AL162"/>
      <c r="AM162"/>
      <c r="AN162"/>
      <c r="AO162"/>
    </row>
    <row r="163" spans="14:41">
      <c r="N163" s="159"/>
      <c r="O163" s="159"/>
      <c r="P163" s="159"/>
      <c r="Q163" s="159"/>
      <c r="R163" s="159"/>
      <c r="S163" s="159"/>
      <c r="T163" s="159"/>
      <c r="U163" s="1"/>
      <c r="V163"/>
      <c r="W163"/>
      <c r="X163"/>
      <c r="Y163"/>
      <c r="Z163"/>
      <c r="AA163"/>
      <c r="AB163"/>
      <c r="AC163"/>
      <c r="AD163"/>
      <c r="AE163"/>
      <c r="AF163"/>
      <c r="AG163"/>
      <c r="AH163"/>
      <c r="AI163"/>
      <c r="AJ163"/>
      <c r="AK163"/>
      <c r="AL163"/>
      <c r="AM163"/>
      <c r="AN163"/>
      <c r="AO163"/>
    </row>
    <row r="164" spans="14:41">
      <c r="N164" s="159"/>
      <c r="O164" s="159"/>
      <c r="P164" s="159"/>
      <c r="Q164" s="159"/>
      <c r="R164" s="159"/>
      <c r="S164" s="159"/>
      <c r="T164" s="159"/>
      <c r="U164" s="1"/>
      <c r="V164"/>
      <c r="W164"/>
      <c r="X164"/>
      <c r="Y164"/>
      <c r="Z164"/>
      <c r="AA164"/>
      <c r="AB164"/>
      <c r="AC164"/>
      <c r="AD164"/>
      <c r="AE164"/>
      <c r="AF164"/>
      <c r="AG164"/>
      <c r="AH164"/>
      <c r="AI164"/>
      <c r="AJ164"/>
      <c r="AK164"/>
      <c r="AL164"/>
      <c r="AM164"/>
      <c r="AN164"/>
      <c r="AO164"/>
    </row>
    <row r="165" spans="14:41">
      <c r="N165" s="159"/>
      <c r="O165" s="159"/>
      <c r="P165" s="159"/>
      <c r="Q165" s="159"/>
      <c r="R165" s="159"/>
      <c r="S165" s="159"/>
      <c r="T165" s="159"/>
      <c r="U165" s="1"/>
      <c r="V165"/>
      <c r="W165"/>
      <c r="X165"/>
      <c r="Y165"/>
      <c r="Z165"/>
      <c r="AA165"/>
      <c r="AB165"/>
      <c r="AC165"/>
      <c r="AD165"/>
      <c r="AE165"/>
      <c r="AF165"/>
      <c r="AG165"/>
      <c r="AH165"/>
      <c r="AI165"/>
      <c r="AJ165"/>
      <c r="AK165"/>
      <c r="AL165"/>
      <c r="AM165"/>
      <c r="AN165"/>
      <c r="AO165"/>
    </row>
    <row r="166" spans="14:41">
      <c r="N166" s="159"/>
      <c r="O166" s="159"/>
      <c r="P166" s="159"/>
      <c r="Q166" s="159"/>
      <c r="R166" s="159"/>
      <c r="S166" s="159"/>
      <c r="T166" s="159"/>
      <c r="U166" s="1"/>
      <c r="V166"/>
      <c r="W166"/>
      <c r="X166"/>
      <c r="Y166"/>
      <c r="Z166"/>
      <c r="AA166"/>
      <c r="AB166"/>
      <c r="AC166"/>
      <c r="AD166"/>
      <c r="AE166"/>
      <c r="AF166"/>
      <c r="AG166"/>
      <c r="AH166"/>
      <c r="AI166"/>
      <c r="AJ166"/>
      <c r="AK166"/>
      <c r="AL166"/>
      <c r="AM166"/>
      <c r="AN166"/>
      <c r="AO166"/>
    </row>
    <row r="167" spans="14:41">
      <c r="N167" s="159"/>
      <c r="O167" s="159"/>
      <c r="P167" s="159"/>
      <c r="Q167" s="159"/>
      <c r="R167" s="159"/>
      <c r="S167" s="159"/>
      <c r="T167" s="159"/>
      <c r="U167" s="1"/>
      <c r="V167"/>
      <c r="W167"/>
      <c r="X167"/>
      <c r="Y167"/>
      <c r="Z167"/>
      <c r="AA167"/>
      <c r="AB167"/>
      <c r="AC167"/>
      <c r="AD167"/>
      <c r="AE167"/>
      <c r="AF167"/>
      <c r="AG167"/>
      <c r="AH167"/>
      <c r="AI167"/>
      <c r="AJ167"/>
      <c r="AK167"/>
      <c r="AL167"/>
      <c r="AM167"/>
      <c r="AN167"/>
      <c r="AO167"/>
    </row>
    <row r="168" spans="14:41">
      <c r="N168" s="159"/>
      <c r="O168" s="159"/>
      <c r="P168" s="159"/>
      <c r="Q168" s="159"/>
      <c r="R168" s="159"/>
      <c r="S168" s="159"/>
      <c r="T168" s="159"/>
      <c r="U168" s="1"/>
      <c r="V168"/>
      <c r="W168"/>
      <c r="X168"/>
      <c r="Y168"/>
      <c r="Z168"/>
      <c r="AA168"/>
      <c r="AB168"/>
      <c r="AC168"/>
      <c r="AD168"/>
      <c r="AE168"/>
      <c r="AF168"/>
      <c r="AG168"/>
      <c r="AH168"/>
      <c r="AI168"/>
      <c r="AJ168"/>
      <c r="AK168"/>
      <c r="AL168"/>
      <c r="AM168"/>
      <c r="AN168"/>
      <c r="AO168"/>
    </row>
    <row r="169" spans="14:41">
      <c r="N169" s="159"/>
      <c r="O169" s="159"/>
      <c r="P169" s="159"/>
      <c r="Q169" s="159"/>
      <c r="R169" s="159"/>
      <c r="S169" s="159"/>
      <c r="T169" s="159"/>
      <c r="U169" s="1"/>
      <c r="V169"/>
      <c r="W169"/>
      <c r="X169"/>
      <c r="Y169"/>
      <c r="Z169"/>
      <c r="AA169"/>
      <c r="AB169"/>
      <c r="AC169"/>
      <c r="AD169"/>
      <c r="AE169"/>
      <c r="AF169"/>
      <c r="AG169"/>
      <c r="AH169"/>
      <c r="AI169"/>
      <c r="AJ169"/>
      <c r="AK169"/>
      <c r="AL169"/>
      <c r="AM169"/>
      <c r="AN169"/>
      <c r="AO169"/>
    </row>
    <row r="170" spans="14:41">
      <c r="N170" s="159"/>
      <c r="O170" s="159"/>
      <c r="P170" s="159"/>
      <c r="Q170" s="159"/>
      <c r="R170" s="159"/>
      <c r="S170" s="159"/>
      <c r="T170" s="159"/>
      <c r="U170" s="1"/>
      <c r="V170"/>
      <c r="W170"/>
      <c r="X170"/>
      <c r="Y170"/>
      <c r="Z170"/>
      <c r="AA170"/>
      <c r="AB170"/>
      <c r="AC170"/>
      <c r="AD170"/>
      <c r="AE170"/>
      <c r="AF170"/>
      <c r="AG170"/>
      <c r="AH170"/>
      <c r="AI170"/>
      <c r="AJ170"/>
      <c r="AK170"/>
      <c r="AL170"/>
      <c r="AM170"/>
      <c r="AN170"/>
      <c r="AO170"/>
    </row>
    <row r="171" spans="14:41">
      <c r="N171" s="159"/>
      <c r="O171" s="159"/>
      <c r="P171" s="159"/>
      <c r="Q171" s="159"/>
      <c r="R171" s="159"/>
      <c r="S171" s="159"/>
      <c r="T171" s="159"/>
      <c r="U171" s="1"/>
      <c r="V171"/>
      <c r="W171"/>
      <c r="X171"/>
      <c r="Y171"/>
      <c r="Z171"/>
      <c r="AA171"/>
      <c r="AB171"/>
      <c r="AC171"/>
      <c r="AD171"/>
      <c r="AE171"/>
      <c r="AF171"/>
      <c r="AG171"/>
      <c r="AH171"/>
      <c r="AI171"/>
      <c r="AJ171"/>
      <c r="AK171"/>
      <c r="AL171"/>
      <c r="AM171"/>
      <c r="AN171"/>
      <c r="AO171"/>
    </row>
    <row r="172" spans="14:41">
      <c r="N172" s="159"/>
      <c r="O172" s="159"/>
      <c r="P172" s="159"/>
      <c r="Q172" s="159"/>
      <c r="R172" s="159"/>
      <c r="S172" s="159"/>
      <c r="T172" s="159"/>
      <c r="U172" s="1"/>
      <c r="V172"/>
      <c r="W172"/>
      <c r="X172"/>
      <c r="Y172"/>
      <c r="Z172"/>
      <c r="AA172"/>
      <c r="AB172"/>
      <c r="AC172"/>
      <c r="AD172"/>
      <c r="AE172"/>
      <c r="AF172"/>
      <c r="AG172"/>
      <c r="AH172"/>
      <c r="AI172"/>
      <c r="AJ172"/>
      <c r="AK172"/>
      <c r="AL172"/>
      <c r="AM172"/>
      <c r="AN172"/>
      <c r="AO172"/>
    </row>
    <row r="173" spans="14:41">
      <c r="N173" s="159"/>
      <c r="O173" s="159"/>
      <c r="P173" s="159"/>
      <c r="Q173" s="159"/>
      <c r="R173" s="159"/>
      <c r="S173" s="159"/>
      <c r="T173" s="159"/>
      <c r="U173" s="1"/>
      <c r="V173"/>
      <c r="W173"/>
      <c r="X173"/>
      <c r="Y173"/>
      <c r="Z173"/>
      <c r="AA173"/>
      <c r="AB173"/>
      <c r="AC173"/>
      <c r="AD173"/>
      <c r="AE173"/>
      <c r="AF173"/>
      <c r="AG173"/>
      <c r="AH173"/>
      <c r="AI173"/>
      <c r="AJ173"/>
      <c r="AK173"/>
      <c r="AL173"/>
      <c r="AM173"/>
      <c r="AN173"/>
      <c r="AO173"/>
    </row>
    <row r="174" spans="14:41">
      <c r="N174" s="159"/>
      <c r="O174" s="159"/>
      <c r="P174" s="159"/>
      <c r="Q174" s="159"/>
      <c r="R174" s="159"/>
      <c r="S174" s="159"/>
      <c r="T174" s="159"/>
      <c r="U174" s="1"/>
      <c r="V174"/>
      <c r="W174"/>
      <c r="X174"/>
      <c r="Y174"/>
      <c r="Z174"/>
      <c r="AA174"/>
      <c r="AB174"/>
      <c r="AC174"/>
      <c r="AD174"/>
      <c r="AE174"/>
      <c r="AF174"/>
      <c r="AG174"/>
      <c r="AH174"/>
      <c r="AI174"/>
      <c r="AJ174"/>
      <c r="AK174"/>
      <c r="AL174"/>
      <c r="AM174"/>
      <c r="AN174"/>
      <c r="AO174"/>
    </row>
    <row r="175" spans="14:41">
      <c r="N175" s="159"/>
      <c r="O175" s="159"/>
      <c r="P175" s="159"/>
      <c r="Q175" s="159"/>
      <c r="R175" s="159"/>
      <c r="S175" s="159"/>
      <c r="T175" s="159"/>
      <c r="U175" s="1"/>
      <c r="V175"/>
      <c r="W175"/>
      <c r="X175"/>
      <c r="Y175"/>
      <c r="Z175"/>
      <c r="AA175"/>
      <c r="AB175"/>
      <c r="AC175"/>
      <c r="AD175"/>
      <c r="AE175"/>
      <c r="AF175"/>
      <c r="AG175"/>
      <c r="AH175"/>
      <c r="AI175"/>
      <c r="AJ175"/>
      <c r="AK175"/>
      <c r="AL175"/>
      <c r="AM175"/>
      <c r="AN175"/>
      <c r="AO175"/>
    </row>
    <row r="176" spans="14:41">
      <c r="N176" s="159"/>
      <c r="O176" s="159"/>
      <c r="P176" s="159"/>
      <c r="Q176" s="159"/>
      <c r="R176" s="159"/>
      <c r="S176" s="159"/>
      <c r="T176" s="159"/>
      <c r="U176" s="1"/>
      <c r="V176"/>
      <c r="W176"/>
      <c r="X176"/>
      <c r="Y176"/>
      <c r="Z176"/>
      <c r="AA176"/>
      <c r="AB176"/>
      <c r="AC176"/>
      <c r="AD176"/>
      <c r="AE176"/>
      <c r="AF176"/>
      <c r="AG176"/>
      <c r="AH176"/>
      <c r="AI176"/>
      <c r="AJ176"/>
      <c r="AK176"/>
      <c r="AL176"/>
      <c r="AM176"/>
      <c r="AN176"/>
      <c r="AO176"/>
    </row>
    <row r="177" spans="14:41">
      <c r="N177" s="159"/>
      <c r="O177" s="159"/>
      <c r="P177" s="159"/>
      <c r="Q177" s="159"/>
      <c r="R177" s="159"/>
      <c r="S177" s="159"/>
      <c r="T177" s="159"/>
      <c r="U177" s="1"/>
      <c r="V177"/>
      <c r="W177"/>
      <c r="X177"/>
      <c r="Y177"/>
      <c r="Z177"/>
      <c r="AA177"/>
      <c r="AB177"/>
      <c r="AC177"/>
      <c r="AD177"/>
      <c r="AE177"/>
      <c r="AF177"/>
      <c r="AG177"/>
      <c r="AH177"/>
      <c r="AI177"/>
      <c r="AJ177"/>
      <c r="AK177"/>
      <c r="AL177"/>
      <c r="AM177"/>
      <c r="AN177"/>
      <c r="AO177"/>
    </row>
    <row r="178" spans="14:41">
      <c r="N178" s="159"/>
      <c r="O178" s="159"/>
      <c r="P178" s="159"/>
      <c r="Q178" s="159"/>
      <c r="R178" s="159"/>
      <c r="S178" s="159"/>
      <c r="T178" s="159"/>
      <c r="U178" s="1"/>
      <c r="V178"/>
      <c r="W178"/>
      <c r="X178"/>
      <c r="Y178"/>
      <c r="Z178"/>
      <c r="AA178"/>
      <c r="AB178"/>
      <c r="AC178"/>
      <c r="AD178"/>
      <c r="AE178"/>
      <c r="AF178"/>
      <c r="AG178"/>
      <c r="AH178"/>
      <c r="AI178"/>
      <c r="AJ178"/>
      <c r="AK178"/>
      <c r="AL178"/>
      <c r="AM178"/>
      <c r="AN178"/>
      <c r="AO178"/>
    </row>
    <row r="179" spans="14:41">
      <c r="N179" s="159"/>
      <c r="O179" s="159"/>
      <c r="P179" s="159"/>
      <c r="Q179" s="159"/>
      <c r="R179" s="159"/>
      <c r="S179" s="159"/>
      <c r="T179" s="159"/>
      <c r="U179" s="1"/>
      <c r="V179"/>
      <c r="W179"/>
      <c r="X179"/>
      <c r="Y179"/>
      <c r="Z179"/>
      <c r="AA179"/>
      <c r="AB179"/>
      <c r="AC179"/>
      <c r="AD179"/>
      <c r="AE179"/>
      <c r="AF179"/>
      <c r="AG179"/>
      <c r="AH179"/>
      <c r="AI179"/>
      <c r="AJ179"/>
      <c r="AK179"/>
      <c r="AL179"/>
      <c r="AM179"/>
      <c r="AN179"/>
      <c r="AO179"/>
    </row>
    <row r="180" spans="14:41">
      <c r="N180" s="159"/>
      <c r="O180" s="159"/>
      <c r="P180" s="159"/>
      <c r="Q180" s="159"/>
      <c r="R180" s="159"/>
      <c r="S180" s="159"/>
      <c r="T180" s="159"/>
      <c r="U180" s="1"/>
      <c r="V180"/>
      <c r="W180"/>
      <c r="X180"/>
      <c r="Y180"/>
      <c r="Z180"/>
      <c r="AA180"/>
      <c r="AB180"/>
      <c r="AC180"/>
      <c r="AD180"/>
      <c r="AE180"/>
      <c r="AF180"/>
      <c r="AG180"/>
      <c r="AH180"/>
      <c r="AI180"/>
      <c r="AJ180"/>
      <c r="AK180"/>
      <c r="AL180"/>
      <c r="AM180"/>
      <c r="AN180"/>
      <c r="AO180"/>
    </row>
    <row r="181" spans="14:41">
      <c r="N181" s="159"/>
      <c r="O181" s="159"/>
      <c r="P181" s="159"/>
      <c r="Q181" s="159"/>
      <c r="R181" s="159"/>
      <c r="S181" s="159"/>
      <c r="T181" s="159"/>
      <c r="U181" s="1"/>
      <c r="V181"/>
      <c r="W181"/>
      <c r="X181"/>
      <c r="Y181"/>
      <c r="Z181"/>
      <c r="AA181"/>
      <c r="AB181"/>
      <c r="AC181"/>
      <c r="AD181"/>
      <c r="AE181"/>
      <c r="AF181"/>
      <c r="AG181"/>
      <c r="AH181"/>
      <c r="AI181"/>
      <c r="AJ181"/>
      <c r="AK181"/>
      <c r="AL181"/>
      <c r="AM181"/>
      <c r="AN181"/>
      <c r="AO181"/>
    </row>
    <row r="182" spans="14:41">
      <c r="N182" s="159"/>
      <c r="O182" s="159"/>
      <c r="P182" s="159"/>
      <c r="Q182" s="159"/>
      <c r="R182" s="159"/>
      <c r="S182" s="159"/>
      <c r="T182" s="159"/>
      <c r="U182" s="1"/>
      <c r="V182"/>
      <c r="W182"/>
      <c r="X182"/>
      <c r="Y182"/>
      <c r="Z182"/>
      <c r="AA182"/>
      <c r="AB182"/>
      <c r="AC182"/>
      <c r="AD182"/>
      <c r="AE182"/>
      <c r="AF182"/>
      <c r="AG182"/>
      <c r="AH182"/>
      <c r="AI182"/>
      <c r="AJ182"/>
      <c r="AK182"/>
      <c r="AL182"/>
      <c r="AM182"/>
      <c r="AN182"/>
      <c r="AO182"/>
    </row>
    <row r="183" spans="14:41">
      <c r="N183" s="159"/>
      <c r="O183" s="159"/>
      <c r="P183" s="159"/>
      <c r="Q183" s="159"/>
      <c r="R183" s="159"/>
      <c r="S183" s="159"/>
      <c r="T183" s="159"/>
      <c r="U183" s="1"/>
      <c r="V183"/>
      <c r="W183"/>
      <c r="X183"/>
      <c r="Y183"/>
      <c r="Z183"/>
      <c r="AA183"/>
      <c r="AB183"/>
      <c r="AC183"/>
      <c r="AD183"/>
      <c r="AE183"/>
      <c r="AF183"/>
      <c r="AG183"/>
      <c r="AH183"/>
      <c r="AI183"/>
      <c r="AJ183"/>
      <c r="AK183"/>
      <c r="AL183"/>
      <c r="AM183"/>
      <c r="AN183"/>
      <c r="AO183"/>
    </row>
    <row r="184" spans="14:41">
      <c r="N184" s="159"/>
      <c r="O184" s="159"/>
      <c r="P184" s="159"/>
      <c r="Q184" s="159"/>
      <c r="R184" s="159"/>
      <c r="S184" s="159"/>
      <c r="T184" s="159"/>
      <c r="U184" s="1"/>
      <c r="V184"/>
      <c r="W184"/>
      <c r="X184"/>
      <c r="Y184"/>
      <c r="Z184"/>
      <c r="AA184"/>
      <c r="AB184"/>
      <c r="AC184"/>
      <c r="AD184"/>
      <c r="AE184"/>
      <c r="AF184"/>
      <c r="AG184"/>
      <c r="AH184"/>
      <c r="AI184"/>
      <c r="AJ184"/>
      <c r="AK184"/>
      <c r="AL184"/>
      <c r="AM184"/>
      <c r="AN184"/>
      <c r="AO184"/>
    </row>
    <row r="185" spans="14:41">
      <c r="N185" s="159"/>
      <c r="O185" s="159"/>
      <c r="P185" s="159"/>
      <c r="Q185" s="159"/>
      <c r="R185" s="159"/>
      <c r="S185" s="159"/>
      <c r="T185" s="159"/>
      <c r="U185" s="1"/>
      <c r="V185"/>
      <c r="W185"/>
      <c r="X185"/>
      <c r="Y185"/>
      <c r="Z185"/>
      <c r="AA185"/>
      <c r="AB185"/>
      <c r="AC185"/>
      <c r="AD185"/>
      <c r="AE185"/>
      <c r="AF185"/>
      <c r="AG185"/>
      <c r="AH185"/>
      <c r="AI185"/>
      <c r="AJ185"/>
      <c r="AK185"/>
      <c r="AL185"/>
      <c r="AM185"/>
      <c r="AN185"/>
      <c r="AO185"/>
    </row>
    <row r="186" spans="14:41">
      <c r="N186" s="159"/>
      <c r="O186" s="159"/>
      <c r="P186" s="159"/>
      <c r="Q186" s="159"/>
      <c r="R186" s="159"/>
      <c r="S186" s="159"/>
      <c r="T186" s="159"/>
      <c r="U186" s="1"/>
      <c r="V186"/>
      <c r="W186"/>
      <c r="X186"/>
      <c r="Y186"/>
      <c r="Z186"/>
      <c r="AA186"/>
      <c r="AB186"/>
      <c r="AC186"/>
      <c r="AD186"/>
      <c r="AE186"/>
      <c r="AF186"/>
      <c r="AG186"/>
      <c r="AH186"/>
      <c r="AI186"/>
      <c r="AJ186"/>
      <c r="AK186"/>
      <c r="AL186"/>
      <c r="AM186"/>
      <c r="AN186"/>
      <c r="AO186"/>
    </row>
    <row r="187" spans="14:41">
      <c r="N187" s="159"/>
      <c r="O187" s="159"/>
      <c r="P187" s="159"/>
      <c r="Q187" s="159"/>
      <c r="R187" s="159"/>
      <c r="S187" s="159"/>
      <c r="T187" s="159"/>
      <c r="U187" s="1"/>
      <c r="V187"/>
      <c r="W187"/>
      <c r="X187"/>
      <c r="Y187"/>
      <c r="Z187"/>
      <c r="AA187"/>
      <c r="AB187"/>
      <c r="AC187"/>
      <c r="AD187"/>
      <c r="AE187"/>
      <c r="AF187"/>
      <c r="AG187"/>
      <c r="AH187"/>
      <c r="AI187"/>
      <c r="AJ187"/>
      <c r="AK187"/>
      <c r="AL187"/>
      <c r="AM187"/>
      <c r="AN187"/>
      <c r="AO187"/>
    </row>
    <row r="188" spans="14:41">
      <c r="N188" s="159"/>
      <c r="O188" s="159"/>
      <c r="P188" s="159"/>
      <c r="Q188" s="159"/>
      <c r="R188" s="159"/>
      <c r="S188" s="159"/>
      <c r="T188" s="159"/>
      <c r="U188" s="1"/>
      <c r="V188"/>
      <c r="W188"/>
      <c r="X188"/>
      <c r="Y188"/>
      <c r="Z188"/>
      <c r="AA188"/>
      <c r="AB188"/>
      <c r="AC188"/>
      <c r="AD188"/>
      <c r="AE188"/>
      <c r="AF188"/>
      <c r="AG188"/>
      <c r="AH188"/>
      <c r="AI188"/>
      <c r="AJ188"/>
      <c r="AK188"/>
      <c r="AL188"/>
      <c r="AM188"/>
      <c r="AN188"/>
      <c r="AO188"/>
    </row>
    <row r="189" spans="14:41">
      <c r="N189" s="159"/>
      <c r="O189" s="159"/>
      <c r="P189" s="159"/>
      <c r="Q189" s="159"/>
      <c r="R189" s="159"/>
      <c r="S189" s="159"/>
      <c r="T189" s="159"/>
      <c r="U189" s="1"/>
      <c r="V189"/>
      <c r="W189"/>
      <c r="X189"/>
      <c r="Y189"/>
      <c r="Z189"/>
      <c r="AA189"/>
      <c r="AB189"/>
      <c r="AC189"/>
      <c r="AD189"/>
      <c r="AE189"/>
      <c r="AF189"/>
      <c r="AG189"/>
      <c r="AH189"/>
      <c r="AI189"/>
      <c r="AJ189"/>
      <c r="AK189"/>
      <c r="AL189"/>
      <c r="AM189"/>
      <c r="AN189"/>
      <c r="AO189"/>
    </row>
    <row r="190" spans="14:41">
      <c r="N190" s="159"/>
      <c r="O190" s="159"/>
      <c r="P190" s="159"/>
      <c r="Q190" s="159"/>
      <c r="R190" s="159"/>
      <c r="S190" s="159"/>
      <c r="T190" s="159"/>
      <c r="U190" s="1"/>
      <c r="V190"/>
      <c r="W190"/>
      <c r="X190"/>
      <c r="Y190"/>
      <c r="Z190"/>
      <c r="AA190"/>
      <c r="AB190"/>
      <c r="AC190"/>
      <c r="AD190"/>
      <c r="AE190"/>
      <c r="AF190"/>
      <c r="AG190"/>
      <c r="AH190"/>
      <c r="AI190"/>
      <c r="AJ190"/>
      <c r="AK190"/>
      <c r="AL190"/>
      <c r="AM190"/>
      <c r="AN190"/>
      <c r="AO190"/>
    </row>
    <row r="191" spans="14:41">
      <c r="N191" s="159"/>
      <c r="O191" s="159"/>
      <c r="P191" s="159"/>
      <c r="Q191" s="159"/>
      <c r="R191" s="159"/>
      <c r="S191" s="159"/>
      <c r="T191" s="159"/>
      <c r="U191" s="1"/>
      <c r="V191"/>
      <c r="W191"/>
      <c r="X191"/>
      <c r="Y191"/>
      <c r="Z191"/>
      <c r="AA191"/>
      <c r="AB191"/>
      <c r="AC191"/>
      <c r="AD191"/>
      <c r="AE191"/>
      <c r="AF191"/>
      <c r="AG191"/>
      <c r="AH191"/>
      <c r="AI191"/>
      <c r="AJ191"/>
      <c r="AK191"/>
      <c r="AL191"/>
      <c r="AM191"/>
      <c r="AN191"/>
      <c r="AO191"/>
    </row>
    <row r="192" spans="14:41">
      <c r="N192" s="159"/>
      <c r="O192" s="159"/>
      <c r="P192" s="159"/>
      <c r="Q192" s="159"/>
      <c r="R192" s="159"/>
      <c r="S192" s="159"/>
      <c r="T192" s="159"/>
      <c r="U192" s="1"/>
      <c r="V192"/>
      <c r="W192"/>
      <c r="X192"/>
      <c r="Y192"/>
      <c r="Z192"/>
      <c r="AA192"/>
      <c r="AB192"/>
      <c r="AC192"/>
      <c r="AD192"/>
      <c r="AE192"/>
      <c r="AF192"/>
      <c r="AG192"/>
      <c r="AH192"/>
      <c r="AI192"/>
      <c r="AJ192"/>
      <c r="AK192"/>
      <c r="AL192"/>
      <c r="AM192"/>
      <c r="AN192"/>
      <c r="AO192"/>
    </row>
    <row r="193" spans="14:41">
      <c r="N193" s="159"/>
      <c r="O193" s="159"/>
      <c r="P193" s="159"/>
      <c r="Q193" s="159"/>
      <c r="R193" s="159"/>
      <c r="S193" s="159"/>
      <c r="T193" s="159"/>
      <c r="U193" s="1"/>
      <c r="V193"/>
      <c r="W193"/>
      <c r="X193"/>
      <c r="Y193"/>
      <c r="Z193"/>
      <c r="AA193"/>
      <c r="AB193"/>
      <c r="AC193"/>
      <c r="AD193"/>
      <c r="AE193"/>
      <c r="AF193"/>
      <c r="AG193"/>
      <c r="AH193"/>
      <c r="AI193"/>
      <c r="AJ193"/>
      <c r="AK193"/>
      <c r="AL193"/>
      <c r="AM193"/>
      <c r="AN193"/>
      <c r="AO193"/>
    </row>
    <row r="194" spans="14:41">
      <c r="N194" s="159"/>
      <c r="O194" s="159"/>
      <c r="P194" s="159"/>
      <c r="Q194" s="159"/>
      <c r="R194" s="159"/>
      <c r="S194" s="159"/>
      <c r="T194" s="159"/>
      <c r="U194" s="1"/>
      <c r="V194"/>
      <c r="W194"/>
      <c r="X194"/>
      <c r="Y194"/>
      <c r="Z194"/>
      <c r="AA194"/>
      <c r="AB194"/>
      <c r="AC194"/>
      <c r="AD194"/>
      <c r="AE194"/>
      <c r="AF194"/>
      <c r="AG194"/>
      <c r="AH194"/>
      <c r="AI194"/>
      <c r="AJ194"/>
      <c r="AK194"/>
      <c r="AL194"/>
      <c r="AM194"/>
      <c r="AN194"/>
      <c r="AO194"/>
    </row>
    <row r="195" spans="14:41">
      <c r="N195" s="159"/>
      <c r="O195" s="159"/>
      <c r="P195" s="159"/>
      <c r="Q195" s="159"/>
      <c r="R195" s="159"/>
      <c r="S195" s="159"/>
      <c r="T195" s="159"/>
      <c r="U195" s="1"/>
      <c r="V195"/>
      <c r="W195"/>
      <c r="X195"/>
      <c r="Y195"/>
      <c r="Z195"/>
      <c r="AA195"/>
      <c r="AB195"/>
      <c r="AC195"/>
      <c r="AD195"/>
      <c r="AE195"/>
      <c r="AF195"/>
      <c r="AG195"/>
      <c r="AH195"/>
      <c r="AI195"/>
      <c r="AJ195"/>
      <c r="AK195"/>
      <c r="AL195"/>
      <c r="AM195"/>
      <c r="AN195"/>
      <c r="AO195"/>
    </row>
    <row r="196" spans="14:41">
      <c r="N196" s="159"/>
      <c r="O196" s="159"/>
      <c r="P196" s="159"/>
      <c r="Q196" s="159"/>
      <c r="R196" s="159"/>
      <c r="S196" s="159"/>
      <c r="T196" s="159"/>
      <c r="U196" s="1"/>
      <c r="V196"/>
      <c r="W196"/>
      <c r="X196"/>
      <c r="Y196"/>
      <c r="Z196"/>
      <c r="AA196"/>
      <c r="AB196"/>
      <c r="AC196"/>
      <c r="AD196"/>
      <c r="AE196"/>
      <c r="AF196"/>
      <c r="AG196"/>
      <c r="AH196"/>
      <c r="AI196"/>
      <c r="AJ196"/>
      <c r="AK196"/>
      <c r="AL196"/>
      <c r="AM196"/>
      <c r="AN196"/>
      <c r="AO196"/>
    </row>
    <row r="197" spans="14:41">
      <c r="N197" s="159"/>
      <c r="O197" s="159"/>
      <c r="P197" s="159"/>
      <c r="Q197" s="159"/>
      <c r="R197" s="159"/>
      <c r="S197" s="159"/>
      <c r="T197" s="159"/>
      <c r="U197" s="1"/>
      <c r="V197"/>
      <c r="W197"/>
      <c r="X197"/>
      <c r="Y197"/>
      <c r="Z197"/>
      <c r="AA197"/>
      <c r="AB197"/>
      <c r="AC197"/>
      <c r="AD197"/>
      <c r="AE197"/>
      <c r="AF197"/>
      <c r="AG197"/>
      <c r="AH197"/>
      <c r="AI197"/>
      <c r="AJ197"/>
      <c r="AK197"/>
      <c r="AL197"/>
      <c r="AM197"/>
      <c r="AN197"/>
      <c r="AO197"/>
    </row>
    <row r="198" spans="14:41">
      <c r="N198" s="159"/>
      <c r="O198" s="159"/>
      <c r="P198" s="159"/>
      <c r="Q198" s="159"/>
      <c r="R198" s="159"/>
      <c r="S198" s="159"/>
      <c r="T198" s="159"/>
      <c r="U198" s="1"/>
      <c r="V198"/>
      <c r="W198"/>
      <c r="X198"/>
      <c r="Y198"/>
      <c r="Z198"/>
      <c r="AA198"/>
      <c r="AB198"/>
      <c r="AC198"/>
      <c r="AD198"/>
      <c r="AE198"/>
      <c r="AF198"/>
      <c r="AG198"/>
      <c r="AH198"/>
      <c r="AI198"/>
      <c r="AJ198"/>
      <c r="AK198"/>
      <c r="AL198"/>
      <c r="AM198"/>
      <c r="AN198"/>
      <c r="AO198"/>
    </row>
    <row r="199" spans="14:41">
      <c r="N199" s="159"/>
      <c r="O199" s="159"/>
      <c r="P199" s="159"/>
      <c r="Q199" s="159"/>
      <c r="R199" s="159"/>
      <c r="S199" s="159"/>
      <c r="T199" s="159"/>
      <c r="U199" s="1"/>
      <c r="V199"/>
      <c r="W199"/>
      <c r="X199"/>
      <c r="Y199"/>
      <c r="Z199"/>
      <c r="AA199"/>
      <c r="AB199"/>
      <c r="AC199"/>
      <c r="AD199"/>
      <c r="AE199"/>
      <c r="AF199"/>
      <c r="AG199"/>
      <c r="AH199"/>
      <c r="AI199"/>
      <c r="AJ199"/>
      <c r="AK199"/>
      <c r="AL199"/>
      <c r="AM199"/>
      <c r="AN199"/>
      <c r="AO199"/>
    </row>
    <row r="200" spans="14:41">
      <c r="N200" s="159"/>
      <c r="O200" s="159"/>
      <c r="P200" s="159"/>
      <c r="Q200" s="159"/>
      <c r="R200" s="159"/>
      <c r="S200" s="159"/>
      <c r="T200" s="159"/>
      <c r="U200" s="1"/>
      <c r="V200"/>
      <c r="W200"/>
      <c r="X200"/>
      <c r="Y200"/>
      <c r="Z200"/>
      <c r="AA200"/>
      <c r="AB200"/>
      <c r="AC200"/>
      <c r="AD200"/>
      <c r="AE200"/>
      <c r="AF200"/>
      <c r="AG200"/>
      <c r="AH200"/>
      <c r="AI200"/>
      <c r="AJ200"/>
      <c r="AK200"/>
      <c r="AL200"/>
      <c r="AM200"/>
      <c r="AN200"/>
      <c r="AO200"/>
    </row>
    <row r="201" spans="14:41">
      <c r="N201" s="159"/>
      <c r="O201" s="159"/>
      <c r="P201" s="159"/>
      <c r="Q201" s="159"/>
      <c r="R201" s="159"/>
      <c r="S201" s="159"/>
      <c r="T201" s="159"/>
      <c r="U201" s="1"/>
      <c r="V201"/>
      <c r="W201"/>
      <c r="X201"/>
      <c r="Y201"/>
      <c r="Z201"/>
      <c r="AA201"/>
      <c r="AB201"/>
      <c r="AC201"/>
      <c r="AD201"/>
      <c r="AE201"/>
      <c r="AF201"/>
      <c r="AG201"/>
      <c r="AH201"/>
      <c r="AI201"/>
      <c r="AJ201"/>
      <c r="AK201"/>
      <c r="AL201"/>
      <c r="AM201"/>
      <c r="AN201"/>
      <c r="AO201"/>
    </row>
    <row r="202" spans="14:41">
      <c r="N202" s="159"/>
      <c r="O202" s="159"/>
      <c r="P202" s="159"/>
      <c r="Q202" s="159"/>
      <c r="R202" s="159"/>
      <c r="S202" s="159"/>
      <c r="T202" s="159"/>
      <c r="U202" s="1"/>
      <c r="V202"/>
      <c r="W202"/>
      <c r="X202"/>
      <c r="Y202"/>
      <c r="Z202"/>
      <c r="AA202"/>
      <c r="AB202"/>
      <c r="AC202"/>
      <c r="AD202"/>
      <c r="AE202"/>
      <c r="AF202"/>
      <c r="AG202"/>
      <c r="AH202"/>
      <c r="AI202"/>
      <c r="AJ202"/>
      <c r="AK202"/>
      <c r="AL202"/>
      <c r="AM202"/>
      <c r="AN202"/>
      <c r="AO202"/>
    </row>
    <row r="203" spans="14:41">
      <c r="N203" s="159"/>
      <c r="O203" s="159"/>
      <c r="P203" s="159"/>
      <c r="Q203" s="159"/>
      <c r="R203" s="159"/>
      <c r="S203" s="159"/>
      <c r="T203" s="159"/>
      <c r="U203" s="1"/>
      <c r="V203"/>
      <c r="W203"/>
      <c r="X203"/>
      <c r="Y203"/>
      <c r="Z203"/>
      <c r="AA203"/>
      <c r="AB203"/>
      <c r="AC203"/>
      <c r="AD203"/>
      <c r="AE203"/>
      <c r="AF203"/>
      <c r="AG203"/>
      <c r="AH203"/>
      <c r="AI203"/>
      <c r="AJ203"/>
      <c r="AK203"/>
      <c r="AL203"/>
      <c r="AM203"/>
      <c r="AN203"/>
      <c r="AO203"/>
    </row>
    <row r="204" spans="14:41">
      <c r="N204" s="159"/>
      <c r="O204" s="159"/>
      <c r="P204" s="159"/>
      <c r="Q204" s="159"/>
      <c r="R204" s="159"/>
      <c r="S204" s="159"/>
      <c r="T204" s="159"/>
      <c r="U204" s="1"/>
      <c r="V204"/>
      <c r="W204"/>
      <c r="X204"/>
      <c r="Y204"/>
      <c r="Z204"/>
      <c r="AA204"/>
      <c r="AB204"/>
      <c r="AC204"/>
      <c r="AD204"/>
      <c r="AE204"/>
      <c r="AF204"/>
      <c r="AG204"/>
      <c r="AH204"/>
      <c r="AI204"/>
      <c r="AJ204"/>
      <c r="AK204"/>
      <c r="AL204"/>
      <c r="AM204"/>
      <c r="AN204"/>
      <c r="AO204"/>
    </row>
    <row r="205" spans="14:41">
      <c r="N205" s="159"/>
      <c r="O205" s="159"/>
      <c r="P205" s="159"/>
      <c r="Q205" s="159"/>
      <c r="R205" s="159"/>
      <c r="S205" s="159"/>
      <c r="T205" s="159"/>
      <c r="U205" s="1"/>
      <c r="V205"/>
      <c r="W205"/>
      <c r="X205"/>
      <c r="Y205"/>
      <c r="Z205"/>
      <c r="AA205"/>
      <c r="AB205"/>
      <c r="AC205"/>
      <c r="AD205"/>
      <c r="AE205"/>
      <c r="AF205"/>
      <c r="AG205"/>
      <c r="AH205"/>
      <c r="AI205"/>
      <c r="AJ205"/>
      <c r="AK205"/>
      <c r="AL205"/>
      <c r="AM205"/>
      <c r="AN205"/>
      <c r="AO205"/>
    </row>
    <row r="206" spans="14:41">
      <c r="N206" s="159"/>
      <c r="O206" s="159"/>
      <c r="P206" s="159"/>
      <c r="Q206" s="159"/>
      <c r="R206" s="159"/>
      <c r="S206" s="159"/>
      <c r="T206" s="159"/>
      <c r="U206" s="1"/>
      <c r="V206"/>
      <c r="W206"/>
      <c r="X206"/>
      <c r="Y206"/>
      <c r="Z206"/>
      <c r="AA206"/>
      <c r="AB206"/>
      <c r="AC206"/>
      <c r="AD206"/>
      <c r="AE206"/>
      <c r="AF206"/>
      <c r="AG206"/>
      <c r="AH206"/>
      <c r="AI206"/>
      <c r="AJ206"/>
      <c r="AK206"/>
      <c r="AL206"/>
      <c r="AM206"/>
      <c r="AN206"/>
      <c r="AO206"/>
    </row>
    <row r="207" spans="14:41">
      <c r="N207" s="159"/>
      <c r="O207" s="159"/>
      <c r="P207" s="159"/>
      <c r="Q207" s="159"/>
      <c r="R207" s="159"/>
      <c r="S207" s="159"/>
      <c r="T207" s="159"/>
      <c r="U207" s="1"/>
      <c r="V207"/>
      <c r="W207"/>
      <c r="X207"/>
      <c r="Y207"/>
      <c r="Z207"/>
      <c r="AA207"/>
      <c r="AB207"/>
      <c r="AC207"/>
      <c r="AD207"/>
      <c r="AE207"/>
      <c r="AF207"/>
      <c r="AG207"/>
      <c r="AH207"/>
      <c r="AI207"/>
      <c r="AJ207"/>
      <c r="AK207"/>
      <c r="AL207"/>
      <c r="AM207"/>
      <c r="AN207"/>
      <c r="AO207"/>
    </row>
    <row r="208" spans="14:41">
      <c r="N208" s="159"/>
      <c r="O208" s="159"/>
      <c r="P208" s="159"/>
      <c r="Q208" s="159"/>
      <c r="R208" s="159"/>
      <c r="S208" s="159"/>
      <c r="T208" s="159"/>
      <c r="U208" s="1"/>
      <c r="V208"/>
      <c r="W208"/>
      <c r="X208"/>
      <c r="Y208"/>
      <c r="Z208"/>
      <c r="AA208"/>
      <c r="AB208"/>
      <c r="AC208"/>
      <c r="AD208"/>
      <c r="AE208"/>
      <c r="AF208"/>
      <c r="AG208"/>
      <c r="AH208"/>
      <c r="AI208"/>
      <c r="AJ208"/>
      <c r="AK208"/>
      <c r="AL208"/>
      <c r="AM208"/>
      <c r="AN208"/>
      <c r="AO208"/>
    </row>
    <row r="209" spans="14:41">
      <c r="N209" s="159"/>
      <c r="O209" s="159"/>
      <c r="P209" s="159"/>
      <c r="Q209" s="159"/>
      <c r="R209" s="159"/>
      <c r="S209" s="159"/>
      <c r="T209" s="159"/>
      <c r="U209" s="1"/>
      <c r="V209"/>
      <c r="W209"/>
      <c r="X209"/>
      <c r="Y209"/>
      <c r="Z209"/>
      <c r="AA209"/>
      <c r="AB209"/>
      <c r="AC209"/>
      <c r="AD209"/>
      <c r="AE209"/>
      <c r="AF209"/>
      <c r="AG209"/>
      <c r="AH209"/>
      <c r="AI209"/>
      <c r="AJ209"/>
      <c r="AK209"/>
      <c r="AL209"/>
      <c r="AM209"/>
      <c r="AN209"/>
      <c r="AO209"/>
    </row>
    <row r="210" spans="14:41">
      <c r="N210" s="159"/>
      <c r="O210" s="159"/>
      <c r="P210" s="159"/>
      <c r="Q210" s="159"/>
      <c r="R210" s="159"/>
      <c r="S210" s="159"/>
      <c r="T210" s="159"/>
      <c r="U210" s="1"/>
      <c r="V210"/>
      <c r="W210"/>
      <c r="X210"/>
      <c r="Y210"/>
      <c r="Z210"/>
      <c r="AA210"/>
      <c r="AB210"/>
      <c r="AC210"/>
      <c r="AD210"/>
      <c r="AE210"/>
      <c r="AF210"/>
      <c r="AG210"/>
      <c r="AH210"/>
      <c r="AI210"/>
      <c r="AJ210"/>
      <c r="AK210"/>
      <c r="AL210"/>
      <c r="AM210"/>
      <c r="AN210"/>
      <c r="AO210"/>
    </row>
    <row r="211" spans="14:41">
      <c r="N211" s="159"/>
      <c r="O211" s="159"/>
      <c r="P211" s="159"/>
      <c r="Q211" s="159"/>
      <c r="R211" s="159"/>
      <c r="S211" s="159"/>
      <c r="T211" s="159"/>
      <c r="U211" s="1"/>
      <c r="V211"/>
      <c r="W211"/>
      <c r="X211"/>
      <c r="Y211"/>
      <c r="Z211"/>
      <c r="AA211"/>
      <c r="AB211"/>
      <c r="AC211"/>
      <c r="AD211"/>
      <c r="AE211"/>
      <c r="AF211"/>
      <c r="AG211"/>
      <c r="AH211"/>
      <c r="AI211"/>
      <c r="AJ211"/>
      <c r="AK211"/>
      <c r="AL211"/>
      <c r="AM211"/>
      <c r="AN211"/>
      <c r="AO211"/>
    </row>
    <row r="212" spans="14:41">
      <c r="N212" s="159"/>
      <c r="O212" s="159"/>
      <c r="P212" s="159"/>
      <c r="Q212" s="159"/>
      <c r="R212" s="159"/>
      <c r="S212" s="159"/>
      <c r="T212" s="159"/>
      <c r="U212" s="1"/>
      <c r="V212"/>
      <c r="W212"/>
      <c r="X212"/>
      <c r="Y212"/>
      <c r="Z212"/>
      <c r="AA212"/>
      <c r="AB212"/>
      <c r="AC212"/>
      <c r="AD212"/>
      <c r="AE212"/>
      <c r="AF212"/>
      <c r="AG212"/>
      <c r="AH212"/>
      <c r="AI212"/>
      <c r="AJ212"/>
      <c r="AK212"/>
      <c r="AL212"/>
      <c r="AM212"/>
      <c r="AN212"/>
      <c r="AO212"/>
    </row>
    <row r="213" spans="14:41">
      <c r="N213" s="159"/>
      <c r="O213" s="159"/>
      <c r="P213" s="159"/>
      <c r="Q213" s="159"/>
      <c r="R213" s="159"/>
      <c r="S213" s="159"/>
      <c r="T213" s="159"/>
      <c r="U213" s="1"/>
      <c r="V213"/>
      <c r="W213"/>
      <c r="X213"/>
      <c r="Y213"/>
      <c r="Z213"/>
      <c r="AA213"/>
      <c r="AB213"/>
      <c r="AC213"/>
      <c r="AD213"/>
      <c r="AE213"/>
      <c r="AF213"/>
      <c r="AG213"/>
      <c r="AH213"/>
      <c r="AI213"/>
      <c r="AJ213"/>
      <c r="AK213"/>
      <c r="AL213"/>
      <c r="AM213"/>
      <c r="AN213"/>
      <c r="AO213"/>
    </row>
    <row r="214" spans="14:41">
      <c r="N214" s="159"/>
      <c r="O214" s="159"/>
      <c r="P214" s="159"/>
      <c r="Q214" s="159"/>
      <c r="R214" s="159"/>
      <c r="S214" s="159"/>
      <c r="T214" s="159"/>
      <c r="U214" s="1"/>
      <c r="V214"/>
      <c r="W214"/>
      <c r="X214"/>
      <c r="Y214"/>
      <c r="Z214"/>
      <c r="AA214"/>
      <c r="AB214"/>
      <c r="AC214"/>
      <c r="AD214"/>
      <c r="AE214"/>
      <c r="AF214"/>
      <c r="AG214"/>
      <c r="AH214"/>
      <c r="AI214"/>
      <c r="AJ214"/>
      <c r="AK214"/>
      <c r="AL214"/>
      <c r="AM214"/>
      <c r="AN214"/>
      <c r="AO214"/>
    </row>
    <row r="215" spans="14:41">
      <c r="N215" s="159"/>
      <c r="O215" s="159"/>
      <c r="P215" s="159"/>
      <c r="Q215" s="159"/>
      <c r="R215" s="159"/>
      <c r="S215" s="159"/>
      <c r="T215" s="159"/>
      <c r="U215" s="1"/>
      <c r="V215"/>
      <c r="W215"/>
      <c r="X215"/>
      <c r="Y215"/>
      <c r="Z215"/>
      <c r="AA215"/>
      <c r="AB215"/>
      <c r="AC215"/>
      <c r="AD215"/>
      <c r="AE215"/>
      <c r="AF215"/>
      <c r="AG215"/>
      <c r="AH215"/>
      <c r="AI215"/>
      <c r="AJ215"/>
      <c r="AK215"/>
      <c r="AL215"/>
      <c r="AM215"/>
      <c r="AN215"/>
      <c r="AO215"/>
    </row>
    <row r="216" spans="14:41">
      <c r="N216" s="159"/>
      <c r="O216" s="159"/>
      <c r="P216" s="159"/>
      <c r="Q216" s="159"/>
      <c r="R216" s="159"/>
      <c r="S216" s="159"/>
      <c r="T216" s="159"/>
      <c r="U216" s="1"/>
      <c r="V216"/>
      <c r="W216"/>
      <c r="X216"/>
      <c r="Y216"/>
      <c r="Z216"/>
      <c r="AA216"/>
      <c r="AB216"/>
      <c r="AC216"/>
      <c r="AD216"/>
      <c r="AE216"/>
      <c r="AF216"/>
      <c r="AG216"/>
      <c r="AH216"/>
      <c r="AI216"/>
      <c r="AJ216"/>
      <c r="AK216"/>
      <c r="AL216"/>
      <c r="AM216"/>
      <c r="AN216"/>
      <c r="AO216"/>
    </row>
    <row r="217" spans="14:41">
      <c r="N217" s="159"/>
      <c r="O217" s="159"/>
      <c r="P217" s="159"/>
      <c r="Q217" s="159"/>
      <c r="R217" s="159"/>
      <c r="S217" s="159"/>
      <c r="T217" s="159"/>
      <c r="U217" s="1"/>
      <c r="V217"/>
      <c r="W217"/>
      <c r="X217"/>
      <c r="Y217"/>
      <c r="Z217"/>
      <c r="AA217"/>
      <c r="AB217"/>
      <c r="AC217"/>
      <c r="AD217"/>
      <c r="AE217"/>
      <c r="AF217"/>
      <c r="AG217"/>
      <c r="AH217"/>
      <c r="AI217"/>
      <c r="AJ217"/>
      <c r="AK217"/>
      <c r="AL217"/>
      <c r="AM217"/>
      <c r="AN217"/>
      <c r="AO217"/>
    </row>
    <row r="218" spans="14:41">
      <c r="N218" s="159"/>
      <c r="O218" s="159"/>
      <c r="P218" s="159"/>
      <c r="Q218" s="159"/>
      <c r="R218" s="159"/>
      <c r="S218" s="159"/>
      <c r="T218" s="159"/>
      <c r="U218" s="1"/>
      <c r="V218"/>
      <c r="W218"/>
      <c r="X218"/>
      <c r="Y218"/>
      <c r="Z218"/>
      <c r="AA218"/>
      <c r="AB218"/>
      <c r="AC218"/>
      <c r="AD218"/>
      <c r="AE218"/>
      <c r="AF218"/>
      <c r="AG218"/>
      <c r="AH218"/>
      <c r="AI218"/>
      <c r="AJ218"/>
      <c r="AK218"/>
      <c r="AL218"/>
      <c r="AM218"/>
      <c r="AN218"/>
      <c r="AO218"/>
    </row>
    <row r="219" spans="14:41">
      <c r="N219" s="159"/>
      <c r="O219" s="159"/>
      <c r="P219" s="159"/>
      <c r="Q219" s="159"/>
      <c r="R219" s="159"/>
      <c r="S219" s="159"/>
      <c r="T219" s="159"/>
      <c r="U219" s="1"/>
      <c r="V219"/>
      <c r="W219"/>
      <c r="X219"/>
      <c r="Y219"/>
      <c r="Z219"/>
      <c r="AA219"/>
      <c r="AB219"/>
      <c r="AC219"/>
      <c r="AD219"/>
      <c r="AE219"/>
      <c r="AF219"/>
      <c r="AG219"/>
      <c r="AH219"/>
      <c r="AI219"/>
      <c r="AJ219"/>
      <c r="AK219"/>
      <c r="AL219"/>
      <c r="AM219"/>
      <c r="AN219"/>
      <c r="AO219"/>
    </row>
    <row r="220" spans="14:41">
      <c r="N220" s="159"/>
      <c r="O220" s="159"/>
      <c r="P220" s="159"/>
      <c r="Q220" s="159"/>
      <c r="R220" s="159"/>
      <c r="S220" s="159"/>
      <c r="T220" s="159"/>
      <c r="U220" s="1"/>
      <c r="V220"/>
      <c r="W220"/>
      <c r="X220"/>
      <c r="Y220"/>
      <c r="Z220"/>
      <c r="AA220"/>
      <c r="AB220"/>
      <c r="AC220"/>
      <c r="AD220"/>
      <c r="AE220"/>
      <c r="AF220"/>
      <c r="AG220"/>
      <c r="AH220"/>
      <c r="AI220"/>
      <c r="AJ220"/>
      <c r="AK220"/>
      <c r="AL220"/>
      <c r="AM220"/>
      <c r="AN220"/>
      <c r="AO220"/>
    </row>
    <row r="221" spans="14:41">
      <c r="N221" s="159"/>
      <c r="O221" s="159"/>
      <c r="P221" s="159"/>
      <c r="Q221" s="159"/>
      <c r="R221" s="159"/>
      <c r="S221" s="159"/>
      <c r="T221" s="159"/>
      <c r="U221" s="1"/>
      <c r="V221"/>
      <c r="W221"/>
      <c r="X221"/>
      <c r="Y221"/>
      <c r="Z221"/>
      <c r="AA221"/>
      <c r="AB221"/>
      <c r="AC221"/>
      <c r="AD221"/>
      <c r="AE221"/>
      <c r="AF221"/>
      <c r="AG221"/>
      <c r="AH221"/>
      <c r="AI221"/>
      <c r="AJ221"/>
      <c r="AK221"/>
      <c r="AL221"/>
      <c r="AM221"/>
      <c r="AN221"/>
      <c r="AO221"/>
    </row>
    <row r="222" spans="14:41">
      <c r="N222" s="159"/>
      <c r="O222" s="159"/>
      <c r="P222" s="159"/>
      <c r="Q222" s="159"/>
      <c r="R222" s="159"/>
      <c r="S222" s="159"/>
      <c r="T222" s="159"/>
      <c r="U222" s="1"/>
      <c r="V222"/>
      <c r="W222"/>
      <c r="X222"/>
      <c r="Y222"/>
      <c r="Z222"/>
      <c r="AA222"/>
      <c r="AB222"/>
      <c r="AC222"/>
      <c r="AD222"/>
      <c r="AE222"/>
      <c r="AF222"/>
      <c r="AG222"/>
      <c r="AH222"/>
      <c r="AI222"/>
      <c r="AJ222"/>
      <c r="AK222"/>
      <c r="AL222"/>
      <c r="AM222"/>
      <c r="AN222"/>
      <c r="AO222"/>
    </row>
    <row r="223" spans="14:41">
      <c r="N223" s="159"/>
      <c r="O223" s="159"/>
      <c r="P223" s="159"/>
      <c r="Q223" s="159"/>
      <c r="R223" s="159"/>
      <c r="S223" s="159"/>
      <c r="T223" s="159"/>
      <c r="U223" s="1"/>
      <c r="V223"/>
      <c r="W223"/>
      <c r="X223"/>
      <c r="Y223"/>
      <c r="Z223"/>
      <c r="AA223"/>
      <c r="AB223"/>
      <c r="AC223"/>
      <c r="AD223"/>
      <c r="AE223"/>
      <c r="AF223"/>
      <c r="AG223"/>
      <c r="AH223"/>
      <c r="AI223"/>
      <c r="AJ223"/>
      <c r="AK223"/>
      <c r="AL223"/>
      <c r="AM223"/>
      <c r="AN223"/>
      <c r="AO223"/>
    </row>
    <row r="224" spans="14:41">
      <c r="N224" s="159"/>
      <c r="O224" s="159"/>
      <c r="P224" s="159"/>
      <c r="Q224" s="159"/>
      <c r="R224" s="159"/>
      <c r="S224" s="159"/>
      <c r="T224" s="159"/>
      <c r="U224" s="1"/>
      <c r="V224"/>
      <c r="W224"/>
      <c r="X224"/>
      <c r="Y224"/>
      <c r="Z224"/>
      <c r="AA224"/>
      <c r="AB224"/>
      <c r="AC224"/>
      <c r="AD224"/>
      <c r="AE224"/>
      <c r="AF224"/>
      <c r="AG224"/>
      <c r="AH224"/>
      <c r="AI224"/>
      <c r="AJ224"/>
      <c r="AK224"/>
      <c r="AL224"/>
      <c r="AM224"/>
      <c r="AN224"/>
      <c r="AO224"/>
    </row>
    <row r="225" spans="14:41">
      <c r="N225" s="159"/>
      <c r="O225" s="159"/>
      <c r="P225" s="159"/>
      <c r="Q225" s="159"/>
      <c r="R225" s="159"/>
      <c r="S225" s="159"/>
      <c r="T225" s="159"/>
      <c r="U225" s="1"/>
      <c r="V225"/>
      <c r="W225"/>
      <c r="X225"/>
      <c r="Y225"/>
      <c r="Z225"/>
      <c r="AA225"/>
      <c r="AB225"/>
      <c r="AC225"/>
      <c r="AD225"/>
      <c r="AE225"/>
      <c r="AF225"/>
      <c r="AG225"/>
      <c r="AH225"/>
      <c r="AI225"/>
      <c r="AJ225"/>
      <c r="AK225"/>
      <c r="AL225"/>
      <c r="AM225"/>
      <c r="AN225"/>
      <c r="AO225"/>
    </row>
    <row r="226" spans="14:41">
      <c r="N226" s="159"/>
      <c r="O226" s="159"/>
      <c r="P226" s="159"/>
      <c r="Q226" s="159"/>
      <c r="R226" s="159"/>
      <c r="S226" s="159"/>
      <c r="T226" s="159"/>
      <c r="U226" s="1"/>
      <c r="V226"/>
      <c r="W226"/>
      <c r="X226"/>
      <c r="Y226"/>
      <c r="Z226"/>
      <c r="AA226"/>
      <c r="AB226"/>
      <c r="AC226"/>
      <c r="AD226"/>
      <c r="AE226"/>
      <c r="AF226"/>
      <c r="AG226"/>
      <c r="AH226"/>
      <c r="AI226"/>
      <c r="AJ226"/>
      <c r="AK226"/>
      <c r="AL226"/>
      <c r="AM226"/>
      <c r="AN226"/>
      <c r="AO226"/>
    </row>
    <row r="227" spans="14:41">
      <c r="N227" s="159"/>
      <c r="O227" s="159"/>
      <c r="P227" s="159"/>
      <c r="Q227" s="159"/>
      <c r="R227" s="159"/>
      <c r="S227" s="159"/>
      <c r="T227" s="159"/>
      <c r="U227" s="1"/>
      <c r="V227"/>
      <c r="W227"/>
      <c r="X227"/>
      <c r="Y227"/>
      <c r="Z227"/>
      <c r="AA227"/>
      <c r="AB227"/>
      <c r="AC227"/>
      <c r="AD227"/>
      <c r="AE227"/>
      <c r="AF227"/>
      <c r="AG227"/>
      <c r="AH227"/>
      <c r="AI227"/>
      <c r="AJ227"/>
      <c r="AK227"/>
      <c r="AL227"/>
      <c r="AM227"/>
      <c r="AN227"/>
      <c r="AO227"/>
    </row>
    <row r="228" spans="14:41">
      <c r="N228" s="159"/>
      <c r="O228" s="159"/>
      <c r="P228" s="159"/>
      <c r="Q228" s="159"/>
      <c r="R228" s="159"/>
      <c r="S228" s="159"/>
      <c r="T228" s="159"/>
      <c r="U228" s="1"/>
      <c r="V228"/>
      <c r="W228"/>
      <c r="X228"/>
      <c r="Y228"/>
      <c r="Z228"/>
      <c r="AA228"/>
      <c r="AB228"/>
      <c r="AC228"/>
      <c r="AD228"/>
      <c r="AE228"/>
      <c r="AF228"/>
      <c r="AG228"/>
      <c r="AH228"/>
      <c r="AI228"/>
      <c r="AJ228"/>
      <c r="AK228"/>
      <c r="AL228"/>
      <c r="AM228"/>
      <c r="AN228"/>
      <c r="AO228"/>
    </row>
    <row r="229" spans="14:41">
      <c r="N229" s="159"/>
      <c r="O229" s="159"/>
      <c r="P229" s="159"/>
      <c r="Q229" s="159"/>
      <c r="R229" s="159"/>
      <c r="S229" s="159"/>
      <c r="T229" s="159"/>
      <c r="U229" s="1"/>
      <c r="V229"/>
      <c r="W229"/>
      <c r="X229"/>
      <c r="Y229"/>
      <c r="Z229"/>
      <c r="AA229"/>
      <c r="AB229"/>
      <c r="AC229"/>
      <c r="AD229"/>
      <c r="AE229"/>
      <c r="AF229"/>
      <c r="AG229"/>
      <c r="AH229"/>
      <c r="AI229"/>
      <c r="AJ229"/>
      <c r="AK229"/>
      <c r="AL229"/>
      <c r="AM229"/>
      <c r="AN229"/>
      <c r="AO229"/>
    </row>
    <row r="230" spans="14:41">
      <c r="N230" s="159"/>
      <c r="O230" s="159"/>
      <c r="P230" s="159"/>
      <c r="Q230" s="159"/>
      <c r="R230" s="159"/>
      <c r="S230" s="159"/>
      <c r="T230" s="159"/>
      <c r="U230" s="1"/>
      <c r="V230"/>
      <c r="W230"/>
      <c r="X230"/>
      <c r="Y230"/>
      <c r="Z230"/>
      <c r="AA230"/>
      <c r="AB230"/>
      <c r="AC230"/>
      <c r="AD230"/>
      <c r="AE230"/>
      <c r="AF230"/>
      <c r="AG230"/>
      <c r="AH230"/>
      <c r="AI230"/>
      <c r="AJ230"/>
      <c r="AK230"/>
      <c r="AL230"/>
      <c r="AM230"/>
      <c r="AN230"/>
      <c r="AO230"/>
    </row>
    <row r="231" spans="14:41">
      <c r="N231" s="159"/>
      <c r="O231" s="159"/>
      <c r="P231" s="159"/>
      <c r="Q231" s="159"/>
      <c r="R231" s="159"/>
      <c r="S231" s="159"/>
      <c r="T231" s="159"/>
      <c r="U231" s="1"/>
      <c r="V231"/>
      <c r="W231"/>
      <c r="X231"/>
      <c r="Y231"/>
      <c r="Z231"/>
      <c r="AA231"/>
      <c r="AB231"/>
      <c r="AC231"/>
      <c r="AD231"/>
      <c r="AE231"/>
      <c r="AF231"/>
      <c r="AG231"/>
      <c r="AH231"/>
      <c r="AI231"/>
      <c r="AJ231"/>
      <c r="AK231"/>
      <c r="AL231"/>
      <c r="AM231"/>
      <c r="AN231"/>
      <c r="AO231"/>
    </row>
    <row r="232" spans="14:41">
      <c r="N232" s="159"/>
      <c r="O232" s="159"/>
      <c r="P232" s="159"/>
      <c r="Q232" s="159"/>
      <c r="R232" s="159"/>
      <c r="S232" s="159"/>
      <c r="T232" s="159"/>
      <c r="U232" s="1"/>
      <c r="V232"/>
      <c r="W232"/>
      <c r="X232"/>
      <c r="Y232"/>
      <c r="Z232"/>
      <c r="AA232"/>
      <c r="AB232"/>
      <c r="AC232"/>
      <c r="AD232"/>
      <c r="AE232"/>
      <c r="AF232"/>
      <c r="AG232"/>
      <c r="AH232"/>
      <c r="AI232"/>
      <c r="AJ232"/>
      <c r="AK232"/>
      <c r="AL232"/>
      <c r="AM232"/>
      <c r="AN232"/>
      <c r="AO232"/>
    </row>
    <row r="233" spans="14:41">
      <c r="N233" s="159"/>
      <c r="O233" s="159"/>
      <c r="P233" s="159"/>
      <c r="Q233" s="159"/>
      <c r="R233" s="159"/>
      <c r="S233" s="159"/>
      <c r="T233" s="159"/>
      <c r="U233" s="1"/>
      <c r="V233"/>
      <c r="W233"/>
      <c r="X233"/>
      <c r="Y233"/>
      <c r="Z233"/>
      <c r="AA233"/>
      <c r="AB233"/>
      <c r="AC233"/>
      <c r="AD233"/>
      <c r="AE233"/>
      <c r="AF233"/>
      <c r="AG233"/>
      <c r="AH233"/>
      <c r="AI233"/>
      <c r="AJ233"/>
      <c r="AK233"/>
      <c r="AL233"/>
      <c r="AM233"/>
      <c r="AN233"/>
      <c r="AO233"/>
    </row>
    <row r="234" spans="14:41">
      <c r="N234" s="159"/>
      <c r="O234" s="159"/>
      <c r="P234" s="159"/>
      <c r="Q234" s="159"/>
      <c r="R234" s="159"/>
      <c r="S234" s="159"/>
      <c r="T234" s="159"/>
      <c r="U234" s="1"/>
      <c r="V234"/>
      <c r="W234"/>
      <c r="X234"/>
      <c r="Y234"/>
      <c r="Z234"/>
      <c r="AA234"/>
      <c r="AB234"/>
      <c r="AC234"/>
      <c r="AD234"/>
      <c r="AE234"/>
      <c r="AF234"/>
      <c r="AG234"/>
      <c r="AH234"/>
      <c r="AI234"/>
      <c r="AJ234"/>
      <c r="AK234"/>
      <c r="AL234"/>
      <c r="AM234"/>
      <c r="AN234"/>
      <c r="AO234"/>
    </row>
    <row r="235" spans="14:41">
      <c r="N235" s="159"/>
      <c r="O235" s="159"/>
      <c r="P235" s="159"/>
      <c r="Q235" s="159"/>
      <c r="R235" s="159"/>
      <c r="S235" s="159"/>
      <c r="T235" s="159"/>
      <c r="U235" s="1"/>
      <c r="V235"/>
      <c r="W235"/>
      <c r="X235"/>
      <c r="Y235"/>
      <c r="Z235"/>
      <c r="AA235"/>
      <c r="AB235"/>
      <c r="AC235"/>
      <c r="AD235"/>
      <c r="AE235"/>
      <c r="AF235"/>
      <c r="AG235"/>
      <c r="AH235"/>
      <c r="AI235"/>
      <c r="AJ235"/>
      <c r="AK235"/>
      <c r="AL235"/>
      <c r="AM235"/>
      <c r="AN235"/>
      <c r="AO235"/>
    </row>
    <row r="236" spans="14:41">
      <c r="N236" s="159"/>
      <c r="O236" s="159"/>
      <c r="P236" s="159"/>
      <c r="Q236" s="159"/>
      <c r="R236" s="159"/>
      <c r="S236" s="159"/>
      <c r="T236" s="159"/>
      <c r="U236" s="1"/>
      <c r="V236"/>
      <c r="W236"/>
      <c r="X236"/>
      <c r="Y236"/>
      <c r="Z236"/>
      <c r="AA236"/>
      <c r="AB236"/>
      <c r="AC236"/>
      <c r="AD236"/>
      <c r="AE236"/>
      <c r="AF236"/>
      <c r="AG236"/>
      <c r="AH236"/>
      <c r="AI236"/>
      <c r="AJ236"/>
      <c r="AK236"/>
      <c r="AL236"/>
      <c r="AM236"/>
      <c r="AN236"/>
      <c r="AO236"/>
    </row>
    <row r="237" spans="14:41">
      <c r="N237" s="159"/>
      <c r="O237" s="159"/>
      <c r="P237" s="159"/>
      <c r="Q237" s="159"/>
      <c r="R237" s="159"/>
      <c r="S237" s="159"/>
      <c r="T237" s="159"/>
      <c r="U237" s="1"/>
      <c r="V237"/>
      <c r="W237"/>
      <c r="X237"/>
      <c r="Y237"/>
      <c r="Z237"/>
      <c r="AA237"/>
      <c r="AB237"/>
      <c r="AC237"/>
      <c r="AD237"/>
      <c r="AE237"/>
      <c r="AF237"/>
      <c r="AG237"/>
      <c r="AH237"/>
      <c r="AI237"/>
      <c r="AJ237"/>
      <c r="AK237"/>
      <c r="AL237"/>
      <c r="AM237"/>
      <c r="AN237"/>
      <c r="AO237"/>
    </row>
    <row r="238" spans="14:41">
      <c r="N238" s="159"/>
      <c r="O238" s="159"/>
      <c r="P238" s="159"/>
      <c r="Q238" s="159"/>
      <c r="R238" s="159"/>
      <c r="S238" s="159"/>
      <c r="T238" s="159"/>
      <c r="U238" s="1"/>
      <c r="V238"/>
      <c r="W238"/>
      <c r="X238"/>
      <c r="Y238"/>
      <c r="Z238"/>
      <c r="AA238"/>
      <c r="AB238"/>
      <c r="AC238"/>
      <c r="AD238"/>
      <c r="AE238"/>
      <c r="AF238"/>
      <c r="AG238"/>
      <c r="AH238"/>
      <c r="AI238"/>
      <c r="AJ238"/>
      <c r="AK238"/>
      <c r="AL238"/>
      <c r="AM238"/>
      <c r="AN238"/>
      <c r="AO238"/>
    </row>
    <row r="239" spans="14:41">
      <c r="N239" s="159"/>
      <c r="O239" s="159"/>
      <c r="P239" s="159"/>
      <c r="Q239" s="159"/>
      <c r="R239" s="159"/>
      <c r="S239" s="159"/>
      <c r="T239" s="159"/>
      <c r="U239" s="1"/>
      <c r="V239"/>
      <c r="W239"/>
      <c r="X239"/>
      <c r="Y239"/>
      <c r="Z239"/>
      <c r="AA239"/>
      <c r="AB239"/>
      <c r="AC239"/>
      <c r="AD239"/>
      <c r="AE239"/>
      <c r="AF239"/>
      <c r="AG239"/>
      <c r="AH239"/>
      <c r="AI239"/>
      <c r="AJ239"/>
      <c r="AK239"/>
      <c r="AL239"/>
      <c r="AM239"/>
      <c r="AN239"/>
      <c r="AO239"/>
    </row>
    <row r="240" spans="14:41">
      <c r="N240" s="159"/>
      <c r="O240" s="159"/>
      <c r="P240" s="159"/>
      <c r="Q240" s="159"/>
      <c r="R240" s="159"/>
      <c r="S240" s="159"/>
      <c r="T240" s="159"/>
      <c r="U240" s="1"/>
      <c r="V240"/>
      <c r="W240"/>
      <c r="X240"/>
      <c r="Y240"/>
      <c r="Z240"/>
      <c r="AA240"/>
      <c r="AB240"/>
      <c r="AC240"/>
      <c r="AD240"/>
      <c r="AE240"/>
      <c r="AF240"/>
      <c r="AG240"/>
      <c r="AH240"/>
      <c r="AI240"/>
      <c r="AJ240"/>
      <c r="AK240"/>
      <c r="AL240"/>
      <c r="AM240"/>
      <c r="AN240"/>
      <c r="AO240"/>
    </row>
    <row r="241" spans="14:41">
      <c r="N241" s="159"/>
      <c r="O241" s="159"/>
      <c r="P241" s="159"/>
      <c r="Q241" s="159"/>
      <c r="R241" s="159"/>
      <c r="S241" s="159"/>
      <c r="T241" s="159"/>
      <c r="U241" s="1"/>
      <c r="V241"/>
      <c r="W241"/>
      <c r="X241"/>
      <c r="Y241"/>
      <c r="Z241"/>
      <c r="AA241"/>
      <c r="AB241"/>
      <c r="AC241"/>
      <c r="AD241"/>
      <c r="AE241"/>
      <c r="AF241"/>
      <c r="AG241"/>
      <c r="AH241"/>
      <c r="AI241"/>
      <c r="AJ241"/>
      <c r="AK241"/>
      <c r="AL241"/>
      <c r="AM241"/>
      <c r="AN241"/>
      <c r="AO241"/>
    </row>
    <row r="242" spans="14:41">
      <c r="N242" s="159"/>
      <c r="O242" s="159"/>
      <c r="P242" s="159"/>
      <c r="Q242" s="159"/>
      <c r="R242" s="159"/>
      <c r="S242" s="159"/>
      <c r="T242" s="159"/>
      <c r="U242" s="1"/>
      <c r="V242"/>
      <c r="W242"/>
      <c r="X242"/>
      <c r="Y242"/>
      <c r="Z242"/>
      <c r="AA242"/>
      <c r="AB242"/>
      <c r="AC242"/>
      <c r="AD242"/>
      <c r="AE242"/>
      <c r="AF242"/>
      <c r="AG242"/>
      <c r="AH242"/>
      <c r="AI242"/>
      <c r="AJ242"/>
      <c r="AK242"/>
      <c r="AL242"/>
      <c r="AM242"/>
      <c r="AN242"/>
      <c r="AO242"/>
    </row>
    <row r="243" spans="14:41">
      <c r="N243" s="159"/>
      <c r="O243" s="159"/>
      <c r="P243" s="159"/>
      <c r="Q243" s="159"/>
      <c r="R243" s="159"/>
      <c r="S243" s="159"/>
      <c r="T243" s="159"/>
      <c r="U243" s="1"/>
      <c r="V243"/>
      <c r="W243"/>
      <c r="X243"/>
      <c r="Y243"/>
      <c r="Z243"/>
      <c r="AA243"/>
      <c r="AB243"/>
      <c r="AC243"/>
      <c r="AD243"/>
      <c r="AE243"/>
      <c r="AF243"/>
      <c r="AG243"/>
      <c r="AH243"/>
      <c r="AI243"/>
      <c r="AJ243"/>
      <c r="AK243"/>
      <c r="AL243"/>
      <c r="AM243"/>
      <c r="AN243"/>
      <c r="AO243"/>
    </row>
    <row r="244" spans="14:41">
      <c r="N244" s="159"/>
      <c r="O244" s="159"/>
      <c r="P244" s="159"/>
      <c r="Q244" s="159"/>
      <c r="R244" s="159"/>
      <c r="S244" s="159"/>
      <c r="T244" s="159"/>
      <c r="U244" s="1"/>
      <c r="V244"/>
      <c r="W244"/>
      <c r="X244"/>
      <c r="Y244"/>
      <c r="Z244"/>
      <c r="AA244"/>
      <c r="AB244"/>
      <c r="AC244"/>
      <c r="AD244"/>
      <c r="AE244"/>
      <c r="AF244"/>
      <c r="AG244"/>
      <c r="AH244"/>
      <c r="AI244"/>
      <c r="AJ244"/>
      <c r="AK244"/>
      <c r="AL244"/>
      <c r="AM244"/>
      <c r="AN244"/>
      <c r="AO244"/>
    </row>
    <row r="245" spans="14:41">
      <c r="N245" s="159"/>
      <c r="O245" s="159"/>
      <c r="P245" s="159"/>
      <c r="Q245" s="159"/>
      <c r="R245" s="159"/>
      <c r="S245" s="159"/>
      <c r="T245" s="159"/>
      <c r="U245" s="1"/>
      <c r="V245"/>
      <c r="W245"/>
      <c r="X245"/>
      <c r="Y245"/>
      <c r="Z245"/>
      <c r="AA245"/>
      <c r="AB245"/>
      <c r="AC245"/>
      <c r="AD245"/>
      <c r="AE245"/>
      <c r="AF245"/>
      <c r="AG245"/>
      <c r="AH245"/>
      <c r="AI245"/>
      <c r="AJ245"/>
      <c r="AK245"/>
      <c r="AL245"/>
      <c r="AM245"/>
      <c r="AN245"/>
      <c r="AO245"/>
    </row>
    <row r="246" spans="14:41">
      <c r="N246" s="159"/>
      <c r="O246" s="159"/>
      <c r="P246" s="159"/>
      <c r="Q246" s="159"/>
      <c r="R246" s="159"/>
      <c r="S246" s="159"/>
      <c r="T246" s="159"/>
      <c r="U246" s="1"/>
      <c r="V246"/>
      <c r="W246"/>
      <c r="X246"/>
      <c r="Y246"/>
      <c r="Z246"/>
      <c r="AA246"/>
      <c r="AB246"/>
      <c r="AC246"/>
      <c r="AD246"/>
      <c r="AE246"/>
      <c r="AF246"/>
      <c r="AG246"/>
      <c r="AH246"/>
      <c r="AI246"/>
      <c r="AJ246"/>
      <c r="AK246"/>
      <c r="AL246"/>
      <c r="AM246"/>
      <c r="AN246"/>
      <c r="AO246"/>
    </row>
    <row r="247" spans="14:41">
      <c r="N247" s="159"/>
      <c r="O247" s="159"/>
      <c r="P247" s="159"/>
      <c r="Q247" s="159"/>
      <c r="R247" s="159"/>
      <c r="S247" s="159"/>
      <c r="T247" s="159"/>
      <c r="U247" s="1"/>
      <c r="V247"/>
      <c r="W247"/>
      <c r="X247"/>
      <c r="Y247"/>
      <c r="Z247"/>
      <c r="AA247"/>
      <c r="AB247"/>
      <c r="AC247"/>
      <c r="AD247"/>
      <c r="AE247"/>
      <c r="AF247"/>
      <c r="AG247"/>
      <c r="AH247"/>
      <c r="AI247"/>
      <c r="AJ247"/>
      <c r="AK247"/>
      <c r="AL247"/>
      <c r="AM247"/>
      <c r="AN247"/>
      <c r="AO247"/>
    </row>
    <row r="248" spans="14:41">
      <c r="N248" s="159"/>
      <c r="O248" s="159"/>
      <c r="P248" s="159"/>
      <c r="Q248" s="159"/>
      <c r="R248" s="159"/>
      <c r="S248" s="159"/>
      <c r="T248" s="159"/>
      <c r="U248" s="1"/>
      <c r="V248"/>
      <c r="W248"/>
      <c r="X248"/>
      <c r="Y248"/>
      <c r="Z248"/>
      <c r="AA248"/>
      <c r="AB248"/>
      <c r="AC248"/>
      <c r="AD248"/>
      <c r="AE248"/>
      <c r="AF248"/>
      <c r="AG248"/>
      <c r="AH248"/>
      <c r="AI248"/>
      <c r="AJ248"/>
      <c r="AK248"/>
      <c r="AL248"/>
      <c r="AM248"/>
      <c r="AN248"/>
      <c r="AO248"/>
    </row>
    <row r="249" spans="14:41">
      <c r="N249" s="159"/>
      <c r="O249" s="159"/>
      <c r="P249" s="159"/>
      <c r="Q249" s="159"/>
      <c r="R249" s="159"/>
      <c r="S249" s="159"/>
      <c r="T249" s="159"/>
      <c r="U249" s="1"/>
      <c r="V249"/>
      <c r="W249"/>
      <c r="X249"/>
      <c r="Y249"/>
      <c r="Z249"/>
      <c r="AA249"/>
      <c r="AB249"/>
      <c r="AC249"/>
      <c r="AD249"/>
      <c r="AE249"/>
      <c r="AF249"/>
      <c r="AG249"/>
      <c r="AH249"/>
      <c r="AI249"/>
      <c r="AJ249"/>
      <c r="AK249"/>
      <c r="AL249"/>
      <c r="AM249"/>
      <c r="AN249"/>
      <c r="AO249"/>
    </row>
    <row r="250" spans="14:41">
      <c r="N250" s="159"/>
      <c r="O250" s="159"/>
      <c r="P250" s="159"/>
      <c r="Q250" s="159"/>
      <c r="R250" s="159"/>
      <c r="S250" s="159"/>
      <c r="T250" s="159"/>
      <c r="U250" s="1"/>
      <c r="V250"/>
      <c r="W250"/>
      <c r="X250"/>
      <c r="Y250"/>
      <c r="Z250"/>
      <c r="AA250"/>
      <c r="AB250"/>
      <c r="AC250"/>
      <c r="AD250"/>
      <c r="AE250"/>
      <c r="AF250"/>
      <c r="AG250"/>
      <c r="AH250"/>
      <c r="AI250"/>
      <c r="AJ250"/>
      <c r="AK250"/>
      <c r="AL250"/>
      <c r="AM250"/>
      <c r="AN250"/>
      <c r="AO250"/>
    </row>
    <row r="251" spans="14:41">
      <c r="N251" s="159"/>
      <c r="O251" s="159"/>
      <c r="P251" s="159"/>
      <c r="Q251" s="159"/>
      <c r="R251" s="159"/>
      <c r="S251" s="159"/>
      <c r="T251" s="159"/>
      <c r="U251" s="1"/>
      <c r="V251"/>
      <c r="W251"/>
      <c r="X251"/>
      <c r="Y251"/>
      <c r="Z251"/>
      <c r="AA251"/>
      <c r="AB251"/>
      <c r="AC251"/>
      <c r="AD251"/>
      <c r="AE251"/>
      <c r="AF251"/>
      <c r="AG251"/>
      <c r="AH251"/>
      <c r="AI251"/>
      <c r="AJ251"/>
      <c r="AK251"/>
      <c r="AL251"/>
      <c r="AM251"/>
      <c r="AN251"/>
      <c r="AO251"/>
    </row>
    <row r="252" spans="14:41">
      <c r="N252" s="159"/>
      <c r="O252" s="159"/>
      <c r="P252" s="159"/>
      <c r="Q252" s="159"/>
      <c r="R252" s="159"/>
      <c r="S252" s="159"/>
      <c r="T252" s="159"/>
      <c r="U252" s="1"/>
      <c r="V252"/>
      <c r="W252"/>
      <c r="X252"/>
      <c r="Y252"/>
      <c r="Z252"/>
      <c r="AA252"/>
      <c r="AB252"/>
      <c r="AC252"/>
      <c r="AD252"/>
      <c r="AE252"/>
      <c r="AF252"/>
      <c r="AG252"/>
      <c r="AH252"/>
      <c r="AI252"/>
      <c r="AJ252"/>
      <c r="AK252"/>
      <c r="AL252"/>
      <c r="AM252"/>
      <c r="AN252"/>
      <c r="AO252"/>
    </row>
    <row r="253" spans="14:41">
      <c r="N253" s="159"/>
      <c r="O253" s="159"/>
      <c r="P253" s="159"/>
      <c r="Q253" s="159"/>
      <c r="R253" s="159"/>
      <c r="S253" s="159"/>
      <c r="T253" s="159"/>
      <c r="U253" s="1"/>
      <c r="V253"/>
      <c r="W253"/>
      <c r="X253"/>
      <c r="Y253"/>
      <c r="Z253"/>
      <c r="AA253"/>
      <c r="AB253"/>
      <c r="AC253"/>
      <c r="AD253"/>
      <c r="AE253"/>
      <c r="AF253"/>
      <c r="AG253"/>
      <c r="AH253"/>
      <c r="AI253"/>
      <c r="AJ253"/>
      <c r="AK253"/>
      <c r="AL253"/>
      <c r="AM253"/>
      <c r="AN253"/>
      <c r="AO253"/>
    </row>
    <row r="254" spans="14:41">
      <c r="N254" s="159"/>
      <c r="O254" s="159"/>
      <c r="P254" s="159"/>
      <c r="Q254" s="159"/>
      <c r="R254" s="159"/>
      <c r="S254" s="159"/>
      <c r="T254" s="159"/>
      <c r="U254" s="1"/>
      <c r="V254"/>
      <c r="W254"/>
      <c r="X254"/>
      <c r="Y254"/>
      <c r="Z254"/>
      <c r="AA254"/>
      <c r="AB254"/>
      <c r="AC254"/>
      <c r="AD254"/>
      <c r="AE254"/>
      <c r="AF254"/>
      <c r="AG254"/>
      <c r="AH254"/>
      <c r="AI254"/>
      <c r="AJ254"/>
      <c r="AK254"/>
      <c r="AL254"/>
      <c r="AM254"/>
      <c r="AN254"/>
      <c r="AO254"/>
    </row>
    <row r="255" spans="14:41">
      <c r="N255" s="159"/>
      <c r="O255" s="159"/>
      <c r="P255" s="159"/>
      <c r="Q255" s="159"/>
      <c r="R255" s="159"/>
      <c r="S255" s="159"/>
      <c r="T255" s="159"/>
      <c r="U255" s="1"/>
      <c r="V255"/>
      <c r="W255"/>
      <c r="X255"/>
      <c r="Y255"/>
      <c r="Z255"/>
      <c r="AA255"/>
      <c r="AB255"/>
      <c r="AC255"/>
      <c r="AD255"/>
      <c r="AE255"/>
      <c r="AF255"/>
      <c r="AG255"/>
      <c r="AH255"/>
      <c r="AI255"/>
      <c r="AJ255"/>
      <c r="AK255"/>
      <c r="AL255"/>
      <c r="AM255"/>
      <c r="AN255"/>
      <c r="AO255"/>
    </row>
    <row r="256" spans="14:41">
      <c r="N256" s="159"/>
      <c r="O256" s="159"/>
      <c r="P256" s="159"/>
      <c r="Q256" s="159"/>
      <c r="R256" s="159"/>
      <c r="S256" s="159"/>
      <c r="T256" s="159"/>
      <c r="U256" s="1"/>
      <c r="V256"/>
      <c r="W256"/>
      <c r="X256"/>
      <c r="Y256"/>
      <c r="Z256"/>
      <c r="AA256"/>
      <c r="AB256"/>
      <c r="AC256"/>
      <c r="AD256"/>
      <c r="AE256"/>
      <c r="AF256"/>
      <c r="AG256"/>
      <c r="AH256"/>
      <c r="AI256"/>
      <c r="AJ256"/>
      <c r="AK256"/>
      <c r="AL256"/>
      <c r="AM256"/>
      <c r="AN256"/>
      <c r="AO256"/>
    </row>
    <row r="257" spans="14:41">
      <c r="N257" s="159"/>
      <c r="O257" s="159"/>
      <c r="P257" s="159"/>
      <c r="Q257" s="159"/>
      <c r="R257" s="159"/>
      <c r="S257" s="159"/>
      <c r="T257" s="159"/>
      <c r="U257" s="1"/>
      <c r="V257"/>
      <c r="W257"/>
      <c r="X257"/>
      <c r="Y257"/>
      <c r="Z257"/>
      <c r="AA257"/>
      <c r="AB257"/>
      <c r="AC257"/>
      <c r="AD257"/>
      <c r="AE257"/>
      <c r="AF257"/>
      <c r="AG257"/>
      <c r="AH257"/>
      <c r="AI257"/>
      <c r="AJ257"/>
      <c r="AK257"/>
      <c r="AL257"/>
      <c r="AM257"/>
      <c r="AN257"/>
      <c r="AO257"/>
    </row>
    <row r="258" spans="14:41">
      <c r="N258" s="159"/>
      <c r="O258" s="159"/>
      <c r="P258" s="159"/>
      <c r="Q258" s="159"/>
      <c r="R258" s="159"/>
      <c r="S258" s="159"/>
      <c r="T258" s="159"/>
      <c r="U258" s="1"/>
      <c r="V258"/>
      <c r="W258"/>
      <c r="X258"/>
      <c r="Y258"/>
      <c r="Z258"/>
      <c r="AA258"/>
      <c r="AB258"/>
      <c r="AC258"/>
      <c r="AD258"/>
      <c r="AE258"/>
      <c r="AF258"/>
      <c r="AG258"/>
      <c r="AH258"/>
      <c r="AI258"/>
      <c r="AJ258"/>
      <c r="AK258"/>
      <c r="AL258"/>
      <c r="AM258"/>
      <c r="AN258"/>
      <c r="AO258"/>
    </row>
    <row r="259" spans="14:41">
      <c r="N259" s="159"/>
      <c r="O259" s="159"/>
      <c r="P259" s="159"/>
      <c r="Q259" s="159"/>
      <c r="R259" s="159"/>
      <c r="S259" s="159"/>
      <c r="T259" s="159"/>
      <c r="U259" s="1"/>
      <c r="V259"/>
      <c r="W259"/>
      <c r="X259"/>
      <c r="Y259"/>
      <c r="Z259"/>
      <c r="AA259"/>
      <c r="AB259"/>
      <c r="AC259"/>
      <c r="AD259"/>
      <c r="AE259"/>
      <c r="AF259"/>
      <c r="AG259"/>
      <c r="AH259"/>
      <c r="AI259"/>
      <c r="AJ259"/>
      <c r="AK259"/>
      <c r="AL259"/>
      <c r="AM259"/>
      <c r="AN259"/>
      <c r="AO259"/>
    </row>
    <row r="260" spans="14:41">
      <c r="N260" s="159"/>
      <c r="O260" s="159"/>
      <c r="P260" s="159"/>
      <c r="Q260" s="159"/>
      <c r="R260" s="159"/>
      <c r="S260" s="159"/>
      <c r="T260" s="159"/>
      <c r="U260" s="1"/>
      <c r="V260"/>
      <c r="W260"/>
      <c r="X260"/>
      <c r="Y260"/>
      <c r="Z260"/>
      <c r="AA260"/>
      <c r="AB260"/>
      <c r="AC260"/>
      <c r="AD260"/>
      <c r="AE260"/>
      <c r="AF260"/>
      <c r="AG260"/>
      <c r="AH260"/>
      <c r="AI260"/>
      <c r="AJ260"/>
      <c r="AK260"/>
      <c r="AL260"/>
      <c r="AM260"/>
      <c r="AN260"/>
      <c r="AO260"/>
    </row>
    <row r="261" spans="14:41">
      <c r="N261" s="159"/>
      <c r="O261" s="159"/>
      <c r="P261" s="159"/>
      <c r="Q261" s="159"/>
      <c r="R261" s="159"/>
      <c r="S261" s="159"/>
      <c r="T261" s="159"/>
      <c r="U261" s="1"/>
      <c r="V261"/>
      <c r="W261"/>
      <c r="X261"/>
      <c r="Y261"/>
      <c r="Z261"/>
      <c r="AA261"/>
      <c r="AB261"/>
      <c r="AC261"/>
      <c r="AD261"/>
      <c r="AE261"/>
      <c r="AF261"/>
      <c r="AG261"/>
      <c r="AH261"/>
      <c r="AI261"/>
      <c r="AJ261"/>
      <c r="AK261"/>
      <c r="AL261"/>
      <c r="AM261"/>
      <c r="AN261"/>
      <c r="AO261"/>
    </row>
    <row r="262" spans="14:41">
      <c r="N262" s="159"/>
      <c r="O262" s="159"/>
      <c r="P262" s="159"/>
      <c r="Q262" s="159"/>
      <c r="R262" s="159"/>
      <c r="S262" s="159"/>
      <c r="T262" s="159"/>
      <c r="U262" s="1"/>
      <c r="V262"/>
      <c r="W262"/>
      <c r="X262"/>
      <c r="Y262"/>
      <c r="Z262"/>
      <c r="AA262"/>
      <c r="AB262"/>
      <c r="AC262"/>
      <c r="AD262"/>
      <c r="AE262"/>
      <c r="AF262"/>
      <c r="AG262"/>
      <c r="AH262"/>
      <c r="AI262"/>
      <c r="AJ262"/>
      <c r="AK262"/>
      <c r="AL262"/>
      <c r="AM262"/>
      <c r="AN262"/>
      <c r="AO262"/>
    </row>
    <row r="263" spans="14:41">
      <c r="N263" s="159"/>
      <c r="O263" s="159"/>
      <c r="P263" s="159"/>
      <c r="Q263" s="159"/>
      <c r="R263" s="159"/>
      <c r="S263" s="159"/>
      <c r="T263" s="159"/>
      <c r="U263" s="1"/>
      <c r="V263"/>
      <c r="W263"/>
      <c r="X263"/>
      <c r="Y263"/>
      <c r="Z263"/>
      <c r="AA263"/>
      <c r="AB263"/>
      <c r="AC263"/>
      <c r="AD263"/>
      <c r="AE263"/>
      <c r="AF263"/>
      <c r="AG263"/>
      <c r="AH263"/>
      <c r="AI263"/>
      <c r="AJ263"/>
      <c r="AK263"/>
      <c r="AL263"/>
      <c r="AM263"/>
      <c r="AN263"/>
      <c r="AO263"/>
    </row>
    <row r="264" spans="14:41">
      <c r="N264" s="159"/>
      <c r="O264" s="159"/>
      <c r="P264" s="159"/>
      <c r="Q264" s="159"/>
      <c r="R264" s="159"/>
      <c r="S264" s="159"/>
      <c r="T264" s="159"/>
      <c r="U264" s="1"/>
      <c r="V264"/>
      <c r="W264"/>
      <c r="X264"/>
      <c r="Y264"/>
      <c r="Z264"/>
      <c r="AA264"/>
      <c r="AB264"/>
      <c r="AC264"/>
      <c r="AD264"/>
      <c r="AE264"/>
      <c r="AF264"/>
      <c r="AG264"/>
      <c r="AH264"/>
      <c r="AI264"/>
      <c r="AJ264"/>
      <c r="AK264"/>
      <c r="AL264"/>
      <c r="AM264"/>
      <c r="AN264"/>
      <c r="AO264"/>
    </row>
    <row r="265" spans="14:41">
      <c r="N265" s="159"/>
      <c r="O265" s="159"/>
      <c r="P265" s="159"/>
      <c r="Q265" s="159"/>
      <c r="R265" s="159"/>
      <c r="S265" s="159"/>
      <c r="T265" s="159"/>
      <c r="U265" s="1"/>
      <c r="V265"/>
      <c r="W265"/>
      <c r="X265"/>
      <c r="Y265"/>
      <c r="Z265"/>
      <c r="AA265"/>
      <c r="AB265"/>
      <c r="AC265"/>
      <c r="AD265"/>
      <c r="AE265"/>
      <c r="AF265"/>
      <c r="AG265"/>
      <c r="AH265"/>
      <c r="AI265"/>
      <c r="AJ265"/>
      <c r="AK265"/>
      <c r="AL265"/>
      <c r="AM265"/>
      <c r="AN265"/>
      <c r="AO265"/>
    </row>
    <row r="266" spans="14:41">
      <c r="N266" s="159"/>
      <c r="O266" s="159"/>
      <c r="P266" s="159"/>
      <c r="Q266" s="159"/>
      <c r="R266" s="159"/>
      <c r="S266" s="159"/>
      <c r="T266" s="159"/>
      <c r="U266" s="1"/>
      <c r="V266"/>
      <c r="W266"/>
      <c r="X266"/>
      <c r="Y266"/>
      <c r="Z266"/>
      <c r="AA266"/>
      <c r="AB266"/>
      <c r="AC266"/>
      <c r="AD266"/>
      <c r="AE266"/>
      <c r="AF266"/>
      <c r="AG266"/>
      <c r="AH266"/>
      <c r="AI266"/>
      <c r="AJ266"/>
      <c r="AK266"/>
      <c r="AL266"/>
      <c r="AM266"/>
      <c r="AN266"/>
      <c r="AO266"/>
    </row>
    <row r="267" spans="14:41">
      <c r="N267" s="159"/>
      <c r="O267" s="159"/>
      <c r="P267" s="159"/>
      <c r="Q267" s="159"/>
      <c r="R267" s="159"/>
      <c r="S267" s="159"/>
      <c r="T267" s="159"/>
      <c r="U267" s="1"/>
      <c r="V267"/>
      <c r="W267"/>
      <c r="X267"/>
      <c r="Y267"/>
      <c r="Z267"/>
      <c r="AA267"/>
      <c r="AB267"/>
      <c r="AC267"/>
      <c r="AD267"/>
      <c r="AE267"/>
      <c r="AF267"/>
      <c r="AG267"/>
      <c r="AH267"/>
      <c r="AI267"/>
      <c r="AJ267"/>
      <c r="AK267"/>
      <c r="AL267"/>
      <c r="AM267"/>
      <c r="AN267"/>
      <c r="AO267"/>
    </row>
    <row r="268" spans="14:41">
      <c r="N268" s="159"/>
      <c r="O268" s="159"/>
      <c r="P268" s="159"/>
      <c r="Q268" s="159"/>
      <c r="R268" s="159"/>
      <c r="S268" s="159"/>
      <c r="T268" s="159"/>
      <c r="U268" s="1"/>
      <c r="V268"/>
      <c r="W268"/>
      <c r="X268"/>
      <c r="Y268"/>
      <c r="Z268"/>
      <c r="AA268"/>
      <c r="AB268"/>
      <c r="AC268"/>
      <c r="AD268"/>
      <c r="AE268"/>
      <c r="AF268"/>
      <c r="AG268"/>
      <c r="AH268"/>
      <c r="AI268"/>
      <c r="AJ268"/>
      <c r="AK268"/>
      <c r="AL268"/>
      <c r="AM268"/>
      <c r="AN268"/>
      <c r="AO268"/>
    </row>
    <row r="269" spans="14:41">
      <c r="N269" s="159"/>
      <c r="O269" s="159"/>
      <c r="P269" s="159"/>
      <c r="Q269" s="159"/>
      <c r="R269" s="159"/>
      <c r="S269" s="159"/>
      <c r="T269" s="159"/>
      <c r="U269" s="1"/>
      <c r="V269"/>
      <c r="W269"/>
      <c r="X269"/>
      <c r="Y269"/>
      <c r="Z269"/>
      <c r="AA269"/>
      <c r="AB269"/>
      <c r="AC269"/>
      <c r="AD269"/>
      <c r="AE269"/>
      <c r="AF269"/>
      <c r="AG269"/>
      <c r="AH269"/>
      <c r="AI269"/>
      <c r="AJ269"/>
      <c r="AK269"/>
      <c r="AL269"/>
      <c r="AM269"/>
      <c r="AN269"/>
      <c r="AO269"/>
    </row>
    <row r="270" spans="14:41">
      <c r="N270" s="159"/>
      <c r="O270" s="159"/>
      <c r="P270" s="159"/>
      <c r="Q270" s="159"/>
      <c r="R270" s="159"/>
      <c r="S270" s="159"/>
      <c r="T270" s="159"/>
      <c r="U270" s="1"/>
      <c r="V270"/>
      <c r="W270"/>
      <c r="X270"/>
      <c r="Y270"/>
      <c r="Z270"/>
      <c r="AA270"/>
      <c r="AB270"/>
      <c r="AC270"/>
      <c r="AD270"/>
      <c r="AE270"/>
      <c r="AF270"/>
      <c r="AG270"/>
      <c r="AH270"/>
      <c r="AI270"/>
      <c r="AJ270"/>
      <c r="AK270"/>
      <c r="AL270"/>
      <c r="AM270"/>
      <c r="AN270"/>
      <c r="AO270"/>
    </row>
    <row r="271" spans="14:41">
      <c r="N271" s="159"/>
      <c r="O271" s="159"/>
      <c r="P271" s="159"/>
      <c r="Q271" s="159"/>
      <c r="R271" s="159"/>
      <c r="S271" s="159"/>
      <c r="T271" s="159"/>
      <c r="U271" s="1"/>
      <c r="V271"/>
      <c r="W271"/>
      <c r="X271"/>
      <c r="Y271"/>
      <c r="Z271"/>
      <c r="AA271"/>
      <c r="AB271"/>
      <c r="AC271"/>
      <c r="AD271"/>
      <c r="AE271"/>
      <c r="AF271"/>
      <c r="AG271"/>
      <c r="AH271"/>
      <c r="AI271"/>
      <c r="AJ271"/>
      <c r="AK271"/>
      <c r="AL271"/>
      <c r="AM271"/>
      <c r="AN271"/>
      <c r="AO271"/>
    </row>
    <row r="272" spans="14:41">
      <c r="N272" s="159"/>
      <c r="O272" s="159"/>
      <c r="P272" s="159"/>
      <c r="Q272" s="159"/>
      <c r="R272" s="159"/>
      <c r="S272" s="159"/>
      <c r="T272" s="159"/>
      <c r="U272" s="1"/>
      <c r="V272"/>
      <c r="W272"/>
      <c r="X272"/>
      <c r="Y272"/>
      <c r="Z272"/>
      <c r="AA272"/>
      <c r="AB272"/>
      <c r="AC272"/>
      <c r="AD272"/>
      <c r="AE272"/>
      <c r="AF272"/>
      <c r="AG272"/>
      <c r="AH272"/>
      <c r="AI272"/>
      <c r="AJ272"/>
      <c r="AK272"/>
      <c r="AL272"/>
      <c r="AM272"/>
      <c r="AN272"/>
      <c r="AO272"/>
    </row>
    <row r="273" spans="14:41">
      <c r="N273" s="159"/>
      <c r="O273" s="159"/>
      <c r="P273" s="159"/>
      <c r="Q273" s="159"/>
      <c r="R273" s="159"/>
      <c r="S273" s="159"/>
      <c r="T273" s="159"/>
      <c r="U273" s="1"/>
      <c r="V273"/>
      <c r="W273"/>
      <c r="X273"/>
      <c r="Y273"/>
      <c r="Z273"/>
      <c r="AA273"/>
      <c r="AB273"/>
      <c r="AC273"/>
      <c r="AD273"/>
      <c r="AE273"/>
      <c r="AF273"/>
      <c r="AG273"/>
      <c r="AH273"/>
      <c r="AI273"/>
      <c r="AJ273"/>
      <c r="AK273"/>
      <c r="AL273"/>
      <c r="AM273"/>
      <c r="AN273"/>
      <c r="AO273"/>
    </row>
    <row r="274" spans="14:41">
      <c r="N274" s="159"/>
      <c r="O274" s="159"/>
      <c r="P274" s="159"/>
      <c r="Q274" s="159"/>
      <c r="R274" s="159"/>
      <c r="S274" s="159"/>
      <c r="T274" s="159"/>
      <c r="U274" s="1"/>
      <c r="V274"/>
      <c r="W274"/>
      <c r="X274"/>
      <c r="Y274"/>
      <c r="Z274"/>
      <c r="AA274"/>
      <c r="AB274"/>
      <c r="AC274"/>
      <c r="AD274"/>
      <c r="AE274"/>
      <c r="AF274"/>
      <c r="AG274"/>
      <c r="AH274"/>
      <c r="AI274"/>
      <c r="AJ274"/>
      <c r="AK274"/>
      <c r="AL274"/>
      <c r="AM274"/>
      <c r="AN274"/>
      <c r="AO274"/>
    </row>
    <row r="275" spans="14:41">
      <c r="N275" s="159"/>
      <c r="O275" s="159"/>
      <c r="P275" s="159"/>
      <c r="Q275" s="159"/>
      <c r="R275" s="159"/>
      <c r="S275" s="159"/>
      <c r="T275" s="159"/>
      <c r="U275" s="1"/>
      <c r="V275"/>
      <c r="W275"/>
      <c r="X275"/>
      <c r="Y275"/>
      <c r="Z275"/>
      <c r="AA275"/>
      <c r="AB275"/>
      <c r="AC275"/>
      <c r="AD275"/>
      <c r="AE275"/>
      <c r="AF275"/>
      <c r="AG275"/>
      <c r="AH275"/>
      <c r="AI275"/>
      <c r="AJ275"/>
      <c r="AK275"/>
      <c r="AL275"/>
      <c r="AM275"/>
      <c r="AN275"/>
      <c r="AO275"/>
    </row>
    <row r="276" spans="14:41">
      <c r="N276" s="159"/>
      <c r="O276" s="159"/>
      <c r="P276" s="159"/>
      <c r="Q276" s="159"/>
      <c r="R276" s="159"/>
      <c r="S276" s="159"/>
      <c r="T276" s="159"/>
      <c r="U276" s="1"/>
      <c r="V276"/>
      <c r="W276"/>
      <c r="X276"/>
      <c r="Y276"/>
      <c r="Z276"/>
      <c r="AA276"/>
      <c r="AB276"/>
      <c r="AC276"/>
      <c r="AD276"/>
      <c r="AE276"/>
      <c r="AF276"/>
      <c r="AG276"/>
      <c r="AH276"/>
      <c r="AI276"/>
      <c r="AJ276"/>
      <c r="AK276"/>
      <c r="AL276"/>
      <c r="AM276"/>
      <c r="AN276"/>
      <c r="AO276"/>
    </row>
    <row r="277" spans="14:41">
      <c r="N277" s="159"/>
      <c r="O277" s="159"/>
      <c r="P277" s="159"/>
      <c r="Q277" s="159"/>
      <c r="R277" s="159"/>
      <c r="S277" s="159"/>
      <c r="T277" s="159"/>
      <c r="U277" s="1"/>
      <c r="V277"/>
      <c r="W277"/>
      <c r="X277"/>
      <c r="Y277"/>
      <c r="Z277"/>
      <c r="AA277"/>
      <c r="AB277"/>
      <c r="AC277"/>
      <c r="AD277"/>
      <c r="AE277"/>
      <c r="AF277"/>
      <c r="AG277"/>
      <c r="AH277"/>
      <c r="AI277"/>
      <c r="AJ277"/>
      <c r="AK277"/>
      <c r="AL277"/>
      <c r="AM277"/>
      <c r="AN277"/>
      <c r="AO277"/>
    </row>
    <row r="278" spans="14:41">
      <c r="N278" s="159"/>
      <c r="O278" s="159"/>
      <c r="P278" s="159"/>
      <c r="Q278" s="159"/>
      <c r="R278" s="159"/>
      <c r="S278" s="159"/>
      <c r="T278" s="159"/>
      <c r="U278" s="1"/>
      <c r="V278"/>
      <c r="W278"/>
      <c r="X278"/>
      <c r="Y278"/>
      <c r="Z278"/>
      <c r="AA278"/>
      <c r="AB278"/>
      <c r="AC278"/>
      <c r="AD278"/>
      <c r="AE278"/>
      <c r="AF278"/>
      <c r="AG278"/>
      <c r="AH278"/>
      <c r="AI278"/>
      <c r="AJ278"/>
      <c r="AK278"/>
      <c r="AL278"/>
      <c r="AM278"/>
      <c r="AN278"/>
      <c r="AO278"/>
    </row>
    <row r="279" spans="14:41">
      <c r="N279" s="159"/>
      <c r="O279" s="159"/>
      <c r="P279" s="159"/>
      <c r="Q279" s="159"/>
      <c r="R279" s="159"/>
      <c r="S279" s="159"/>
      <c r="T279" s="159"/>
      <c r="U279" s="1"/>
      <c r="V279"/>
      <c r="W279"/>
      <c r="X279"/>
      <c r="Y279"/>
      <c r="Z279"/>
      <c r="AA279"/>
      <c r="AB279"/>
      <c r="AC279"/>
      <c r="AD279"/>
      <c r="AE279"/>
      <c r="AF279"/>
      <c r="AG279"/>
      <c r="AH279"/>
      <c r="AI279"/>
      <c r="AJ279"/>
      <c r="AK279"/>
      <c r="AL279"/>
      <c r="AM279"/>
      <c r="AN279"/>
      <c r="AO279"/>
    </row>
    <row r="280" spans="14:41">
      <c r="N280" s="159"/>
      <c r="O280" s="159"/>
      <c r="P280" s="159"/>
      <c r="Q280" s="159"/>
      <c r="R280" s="159"/>
      <c r="S280" s="159"/>
      <c r="T280" s="159"/>
      <c r="U280" s="1"/>
      <c r="V280"/>
      <c r="W280"/>
      <c r="X280"/>
      <c r="Y280"/>
      <c r="Z280"/>
      <c r="AA280"/>
      <c r="AB280"/>
      <c r="AC280"/>
      <c r="AD280"/>
      <c r="AE280"/>
      <c r="AF280"/>
      <c r="AG280"/>
      <c r="AH280"/>
      <c r="AI280"/>
      <c r="AJ280"/>
      <c r="AK280"/>
      <c r="AL280"/>
      <c r="AM280"/>
      <c r="AN280"/>
      <c r="AO280"/>
    </row>
    <row r="281" spans="14:41">
      <c r="N281" s="159"/>
      <c r="O281" s="159"/>
      <c r="P281" s="159"/>
      <c r="Q281" s="159"/>
      <c r="R281" s="159"/>
      <c r="S281" s="159"/>
      <c r="T281" s="159"/>
      <c r="U281" s="1"/>
      <c r="V281"/>
      <c r="W281"/>
      <c r="X281"/>
      <c r="Y281"/>
      <c r="Z281"/>
      <c r="AA281"/>
      <c r="AB281"/>
      <c r="AC281"/>
      <c r="AD281"/>
      <c r="AE281"/>
      <c r="AF281"/>
      <c r="AG281"/>
      <c r="AH281"/>
      <c r="AI281"/>
      <c r="AJ281"/>
      <c r="AK281"/>
      <c r="AL281"/>
      <c r="AM281"/>
      <c r="AN281"/>
      <c r="AO281"/>
    </row>
    <row r="282" spans="14:41">
      <c r="N282" s="159"/>
      <c r="O282" s="159"/>
      <c r="P282" s="159"/>
      <c r="Q282" s="159"/>
      <c r="R282" s="159"/>
      <c r="S282" s="159"/>
      <c r="T282" s="159"/>
      <c r="U282" s="1"/>
      <c r="V282"/>
      <c r="W282"/>
      <c r="X282"/>
      <c r="Y282"/>
      <c r="Z282"/>
      <c r="AA282"/>
      <c r="AB282"/>
      <c r="AC282"/>
      <c r="AD282"/>
      <c r="AE282"/>
      <c r="AF282"/>
      <c r="AG282"/>
      <c r="AH282"/>
      <c r="AI282"/>
      <c r="AJ282"/>
      <c r="AK282"/>
      <c r="AL282"/>
      <c r="AM282"/>
      <c r="AN282"/>
      <c r="AO282"/>
    </row>
    <row r="283" spans="14:41">
      <c r="N283" s="159"/>
      <c r="O283" s="159"/>
      <c r="P283" s="159"/>
      <c r="Q283" s="159"/>
      <c r="R283" s="159"/>
      <c r="S283" s="159"/>
      <c r="T283" s="159"/>
      <c r="U283" s="1"/>
      <c r="V283"/>
      <c r="W283"/>
      <c r="X283"/>
      <c r="Y283"/>
      <c r="Z283"/>
      <c r="AA283"/>
      <c r="AB283"/>
      <c r="AC283"/>
      <c r="AD283"/>
      <c r="AE283"/>
      <c r="AF283"/>
      <c r="AG283"/>
      <c r="AH283"/>
      <c r="AI283"/>
      <c r="AJ283"/>
      <c r="AK283"/>
      <c r="AL283"/>
      <c r="AM283"/>
      <c r="AN283"/>
      <c r="AO283"/>
    </row>
    <row r="284" spans="14:41">
      <c r="N284" s="159"/>
      <c r="O284" s="159"/>
      <c r="P284" s="159"/>
      <c r="Q284" s="159"/>
      <c r="R284" s="159"/>
      <c r="S284" s="159"/>
      <c r="T284" s="159"/>
      <c r="U284" s="1"/>
      <c r="V284"/>
      <c r="W284"/>
      <c r="X284"/>
      <c r="Y284"/>
      <c r="Z284"/>
      <c r="AA284"/>
      <c r="AB284"/>
      <c r="AC284"/>
      <c r="AD284"/>
      <c r="AE284"/>
      <c r="AF284"/>
      <c r="AG284"/>
      <c r="AH284"/>
      <c r="AI284"/>
      <c r="AJ284"/>
      <c r="AK284"/>
      <c r="AL284"/>
      <c r="AM284"/>
      <c r="AN284"/>
      <c r="AO284"/>
    </row>
    <row r="285" spans="14:41">
      <c r="N285" s="159"/>
      <c r="O285" s="159"/>
      <c r="P285" s="159"/>
      <c r="Q285" s="159"/>
      <c r="R285" s="159"/>
      <c r="S285" s="159"/>
      <c r="T285" s="159"/>
      <c r="U285" s="1"/>
      <c r="V285"/>
      <c r="W285"/>
      <c r="X285"/>
      <c r="Y285"/>
      <c r="Z285"/>
      <c r="AA285"/>
      <c r="AB285"/>
      <c r="AC285"/>
      <c r="AD285"/>
      <c r="AE285"/>
      <c r="AF285"/>
      <c r="AG285"/>
      <c r="AH285"/>
      <c r="AI285"/>
      <c r="AJ285"/>
      <c r="AK285"/>
      <c r="AL285"/>
      <c r="AM285"/>
      <c r="AN285"/>
      <c r="AO285"/>
    </row>
    <row r="286" spans="14:41">
      <c r="N286" s="159"/>
      <c r="O286" s="159"/>
      <c r="P286" s="159"/>
      <c r="Q286" s="159"/>
      <c r="R286" s="159"/>
      <c r="S286" s="159"/>
      <c r="T286" s="159"/>
      <c r="U286" s="1"/>
      <c r="V286"/>
      <c r="W286"/>
      <c r="X286"/>
      <c r="Y286"/>
      <c r="Z286"/>
      <c r="AA286"/>
      <c r="AB286"/>
      <c r="AC286"/>
      <c r="AD286"/>
      <c r="AE286"/>
      <c r="AF286"/>
      <c r="AG286"/>
      <c r="AH286"/>
      <c r="AI286"/>
      <c r="AJ286"/>
      <c r="AK286"/>
      <c r="AL286"/>
      <c r="AM286"/>
      <c r="AN286"/>
      <c r="AO286"/>
    </row>
    <row r="287" spans="14:41">
      <c r="N287" s="159"/>
      <c r="O287" s="159"/>
      <c r="P287" s="159"/>
      <c r="Q287" s="159"/>
      <c r="R287" s="159"/>
      <c r="S287" s="159"/>
      <c r="T287" s="159"/>
      <c r="U287" s="1"/>
      <c r="V287"/>
      <c r="W287"/>
      <c r="X287"/>
      <c r="Y287"/>
      <c r="Z287"/>
      <c r="AA287"/>
      <c r="AB287"/>
      <c r="AC287"/>
      <c r="AD287"/>
      <c r="AE287"/>
      <c r="AF287"/>
      <c r="AG287"/>
      <c r="AH287"/>
      <c r="AI287"/>
      <c r="AJ287"/>
      <c r="AK287"/>
      <c r="AL287"/>
      <c r="AM287"/>
      <c r="AN287"/>
      <c r="AO287"/>
    </row>
    <row r="288" spans="14:41">
      <c r="N288" s="159"/>
      <c r="O288" s="159"/>
      <c r="P288" s="159"/>
      <c r="Q288" s="159"/>
      <c r="R288" s="159"/>
      <c r="S288" s="159"/>
      <c r="T288" s="159"/>
      <c r="U288" s="1"/>
      <c r="V288"/>
      <c r="W288"/>
      <c r="X288"/>
      <c r="Y288"/>
      <c r="Z288"/>
      <c r="AA288"/>
      <c r="AB288"/>
      <c r="AC288"/>
      <c r="AD288"/>
      <c r="AE288"/>
      <c r="AF288"/>
      <c r="AG288"/>
      <c r="AH288"/>
      <c r="AI288"/>
      <c r="AJ288"/>
      <c r="AK288"/>
      <c r="AL288"/>
      <c r="AM288"/>
      <c r="AN288"/>
      <c r="AO288"/>
    </row>
    <row r="289" spans="1:41">
      <c r="N289" s="159"/>
      <c r="O289" s="159"/>
      <c r="P289" s="159"/>
      <c r="Q289" s="159"/>
      <c r="R289" s="159"/>
      <c r="S289" s="159"/>
      <c r="T289" s="159"/>
      <c r="U289" s="1"/>
      <c r="V289"/>
      <c r="W289"/>
      <c r="X289"/>
      <c r="Y289"/>
      <c r="Z289"/>
      <c r="AA289"/>
      <c r="AB289"/>
      <c r="AC289"/>
      <c r="AD289"/>
      <c r="AE289"/>
      <c r="AF289"/>
      <c r="AG289"/>
      <c r="AH289"/>
      <c r="AI289"/>
      <c r="AJ289"/>
      <c r="AK289"/>
      <c r="AL289"/>
      <c r="AM289"/>
      <c r="AN289"/>
      <c r="AO289"/>
    </row>
    <row r="290" spans="1:41">
      <c r="N290" s="159"/>
      <c r="O290" s="159"/>
      <c r="P290" s="159"/>
      <c r="Q290" s="159"/>
      <c r="R290" s="159"/>
      <c r="S290" s="159"/>
      <c r="T290" s="159"/>
      <c r="U290" s="1"/>
      <c r="V290"/>
      <c r="W290"/>
      <c r="X290"/>
      <c r="Y290"/>
      <c r="Z290"/>
      <c r="AA290"/>
      <c r="AB290"/>
      <c r="AC290"/>
      <c r="AD290"/>
      <c r="AE290"/>
      <c r="AF290"/>
      <c r="AG290"/>
      <c r="AH290"/>
      <c r="AI290"/>
      <c r="AJ290"/>
      <c r="AK290"/>
      <c r="AL290"/>
      <c r="AM290"/>
      <c r="AN290"/>
      <c r="AO290"/>
    </row>
    <row r="291" spans="1:41">
      <c r="N291" s="159"/>
      <c r="O291" s="159"/>
      <c r="P291" s="159"/>
      <c r="Q291" s="159"/>
      <c r="R291" s="159"/>
      <c r="S291" s="159"/>
      <c r="T291" s="159"/>
      <c r="U291" s="1"/>
      <c r="V291"/>
      <c r="W291"/>
      <c r="X291"/>
      <c r="Y291"/>
      <c r="Z291"/>
      <c r="AA291"/>
      <c r="AB291"/>
      <c r="AC291"/>
      <c r="AD291"/>
      <c r="AE291"/>
      <c r="AF291"/>
      <c r="AG291"/>
      <c r="AH291"/>
      <c r="AI291"/>
      <c r="AJ291"/>
      <c r="AK291"/>
      <c r="AL291"/>
      <c r="AM291"/>
      <c r="AN291"/>
      <c r="AO291"/>
    </row>
    <row r="292" spans="1:41">
      <c r="N292" s="159"/>
      <c r="O292" s="159"/>
      <c r="P292" s="159"/>
      <c r="Q292" s="159"/>
      <c r="R292" s="159"/>
      <c r="S292" s="159"/>
      <c r="T292" s="159"/>
      <c r="U292" s="1"/>
      <c r="V292"/>
      <c r="W292"/>
      <c r="X292"/>
      <c r="Y292"/>
      <c r="Z292"/>
      <c r="AA292"/>
      <c r="AB292"/>
      <c r="AC292"/>
      <c r="AD292"/>
      <c r="AE292"/>
      <c r="AF292"/>
      <c r="AG292"/>
      <c r="AH292"/>
      <c r="AI292"/>
      <c r="AJ292"/>
      <c r="AK292"/>
      <c r="AL292"/>
      <c r="AM292"/>
      <c r="AN292"/>
      <c r="AO292"/>
    </row>
    <row r="293" spans="1:41">
      <c r="N293" s="159"/>
      <c r="O293" s="159"/>
      <c r="P293" s="159"/>
      <c r="Q293" s="159"/>
      <c r="R293" s="159"/>
      <c r="S293" s="159"/>
      <c r="T293" s="159"/>
      <c r="U293" s="1"/>
      <c r="V293"/>
      <c r="W293"/>
      <c r="X293"/>
      <c r="Y293"/>
      <c r="Z293"/>
      <c r="AA293"/>
      <c r="AB293"/>
      <c r="AC293"/>
      <c r="AD293"/>
      <c r="AE293"/>
      <c r="AF293"/>
      <c r="AG293"/>
      <c r="AH293"/>
      <c r="AI293"/>
      <c r="AJ293"/>
      <c r="AK293"/>
      <c r="AL293"/>
      <c r="AM293"/>
      <c r="AN293"/>
      <c r="AO293"/>
    </row>
    <row r="294" spans="1:41">
      <c r="N294" s="159"/>
      <c r="O294" s="159"/>
      <c r="P294" s="159"/>
      <c r="Q294" s="159"/>
      <c r="R294" s="159"/>
      <c r="S294" s="159"/>
      <c r="T294" s="159"/>
      <c r="U294" s="1"/>
      <c r="V294"/>
      <c r="W294"/>
      <c r="X294"/>
      <c r="Y294"/>
      <c r="Z294"/>
      <c r="AA294"/>
      <c r="AB294"/>
      <c r="AC294"/>
      <c r="AD294"/>
      <c r="AE294"/>
      <c r="AF294"/>
      <c r="AG294"/>
      <c r="AH294"/>
      <c r="AI294"/>
      <c r="AJ294"/>
      <c r="AK294"/>
      <c r="AL294"/>
      <c r="AM294"/>
      <c r="AN294"/>
      <c r="AO294"/>
    </row>
    <row r="295" spans="1:41">
      <c r="N295" s="159"/>
      <c r="O295" s="159"/>
      <c r="P295" s="159"/>
      <c r="Q295" s="159"/>
      <c r="R295" s="159"/>
      <c r="S295" s="159"/>
      <c r="T295" s="159"/>
      <c r="U295" s="1"/>
      <c r="V295"/>
      <c r="W295"/>
      <c r="X295"/>
      <c r="Y295"/>
      <c r="Z295"/>
      <c r="AA295"/>
      <c r="AB295"/>
      <c r="AC295"/>
      <c r="AD295"/>
      <c r="AE295"/>
      <c r="AF295"/>
      <c r="AG295"/>
      <c r="AH295"/>
      <c r="AI295"/>
      <c r="AJ295"/>
      <c r="AK295"/>
      <c r="AL295"/>
      <c r="AM295"/>
      <c r="AN295"/>
      <c r="AO295"/>
    </row>
    <row r="296" spans="1:41">
      <c r="N296" s="159"/>
      <c r="O296" s="159"/>
      <c r="P296" s="159"/>
      <c r="Q296" s="159"/>
      <c r="R296" s="159"/>
      <c r="S296" s="159"/>
      <c r="T296" s="159"/>
      <c r="U296" s="1"/>
      <c r="V296"/>
      <c r="W296"/>
      <c r="X296"/>
      <c r="Y296"/>
      <c r="Z296"/>
      <c r="AA296"/>
      <c r="AB296"/>
      <c r="AC296"/>
      <c r="AD296"/>
      <c r="AE296"/>
      <c r="AF296"/>
      <c r="AG296"/>
      <c r="AH296"/>
      <c r="AI296"/>
      <c r="AJ296"/>
      <c r="AK296"/>
      <c r="AL296"/>
      <c r="AM296"/>
      <c r="AN296"/>
      <c r="AO296"/>
    </row>
    <row r="297" spans="1:41">
      <c r="N297" s="159"/>
      <c r="O297" s="159"/>
      <c r="P297" s="159"/>
      <c r="Q297" s="159"/>
      <c r="R297" s="159"/>
      <c r="S297" s="159"/>
      <c r="T297" s="159"/>
      <c r="U297" s="1"/>
      <c r="V297"/>
      <c r="W297"/>
      <c r="X297"/>
      <c r="Y297"/>
      <c r="Z297"/>
      <c r="AA297"/>
      <c r="AB297"/>
      <c r="AC297"/>
      <c r="AD297"/>
      <c r="AE297"/>
      <c r="AF297"/>
      <c r="AG297"/>
      <c r="AH297"/>
      <c r="AI297"/>
      <c r="AJ297"/>
      <c r="AK297"/>
      <c r="AL297"/>
      <c r="AM297"/>
      <c r="AN297"/>
      <c r="AO297"/>
    </row>
    <row r="298" spans="1:41">
      <c r="N298" s="159"/>
      <c r="O298" s="159"/>
      <c r="P298" s="159"/>
      <c r="Q298" s="159"/>
      <c r="R298" s="159"/>
      <c r="S298" s="159"/>
      <c r="T298" s="159"/>
      <c r="U298" s="1"/>
      <c r="V298"/>
      <c r="W298"/>
      <c r="X298"/>
      <c r="Y298"/>
      <c r="Z298"/>
      <c r="AA298"/>
      <c r="AB298"/>
      <c r="AC298"/>
      <c r="AD298"/>
      <c r="AE298"/>
      <c r="AF298"/>
      <c r="AG298"/>
      <c r="AH298"/>
      <c r="AI298"/>
      <c r="AJ298"/>
      <c r="AK298"/>
      <c r="AL298"/>
      <c r="AM298"/>
      <c r="AN298"/>
      <c r="AO298"/>
    </row>
    <row r="299" spans="1:41">
      <c r="N299" s="159"/>
      <c r="O299" s="159"/>
      <c r="P299" s="159"/>
      <c r="Q299" s="159"/>
      <c r="R299" s="159"/>
      <c r="S299" s="159"/>
      <c r="T299" s="159"/>
      <c r="U299" s="1"/>
      <c r="V299"/>
      <c r="W299"/>
      <c r="X299"/>
      <c r="Y299"/>
      <c r="Z299"/>
      <c r="AA299"/>
      <c r="AB299"/>
      <c r="AC299"/>
      <c r="AD299"/>
      <c r="AE299"/>
      <c r="AF299"/>
      <c r="AG299"/>
      <c r="AH299"/>
      <c r="AI299"/>
      <c r="AJ299"/>
      <c r="AK299"/>
      <c r="AL299"/>
      <c r="AM299"/>
      <c r="AN299"/>
      <c r="AO299"/>
    </row>
    <row r="300" spans="1:41">
      <c r="N300" s="159"/>
      <c r="O300" s="159"/>
      <c r="P300" s="159"/>
      <c r="Q300" s="159"/>
      <c r="R300" s="159"/>
      <c r="S300" s="159"/>
      <c r="T300" s="159"/>
      <c r="U300" s="1"/>
      <c r="V300"/>
      <c r="W300"/>
      <c r="X300"/>
      <c r="Y300"/>
      <c r="Z300"/>
      <c r="AA300"/>
      <c r="AB300"/>
      <c r="AC300"/>
      <c r="AD300"/>
      <c r="AE300"/>
      <c r="AF300"/>
      <c r="AG300"/>
      <c r="AH300"/>
      <c r="AI300"/>
      <c r="AJ300"/>
      <c r="AK300"/>
      <c r="AL300"/>
      <c r="AM300"/>
      <c r="AN300"/>
      <c r="AO300"/>
    </row>
    <row r="301" spans="1:41">
      <c r="N301" s="159"/>
      <c r="O301" s="159"/>
      <c r="P301" s="159"/>
      <c r="Q301" s="159"/>
      <c r="R301" s="159"/>
      <c r="S301" s="159"/>
      <c r="T301" s="159"/>
      <c r="U301" s="1"/>
      <c r="V301"/>
      <c r="W301"/>
      <c r="X301"/>
      <c r="Y301"/>
      <c r="Z301"/>
      <c r="AA301"/>
      <c r="AB301"/>
      <c r="AC301"/>
      <c r="AD301"/>
      <c r="AE301"/>
      <c r="AF301"/>
      <c r="AG301"/>
      <c r="AH301"/>
      <c r="AI301"/>
      <c r="AJ301"/>
      <c r="AK301"/>
      <c r="AL301"/>
      <c r="AM301"/>
      <c r="AN301"/>
      <c r="AO301"/>
    </row>
    <row r="302" spans="1:41">
      <c r="N302" s="159"/>
      <c r="O302" s="159"/>
      <c r="P302" s="159"/>
      <c r="Q302" s="159"/>
      <c r="R302" s="159"/>
      <c r="S302" s="159"/>
      <c r="T302" s="159"/>
      <c r="U302" s="1"/>
      <c r="V302"/>
      <c r="W302"/>
      <c r="X302"/>
      <c r="Y302"/>
      <c r="Z302"/>
      <c r="AA302"/>
      <c r="AB302"/>
      <c r="AC302"/>
      <c r="AD302"/>
      <c r="AE302"/>
      <c r="AF302"/>
      <c r="AG302"/>
      <c r="AH302"/>
      <c r="AI302"/>
      <c r="AJ302"/>
      <c r="AK302"/>
      <c r="AL302"/>
      <c r="AM302"/>
      <c r="AN302"/>
      <c r="AO302"/>
    </row>
    <row r="303" spans="1:41">
      <c r="N303" s="159"/>
      <c r="O303" s="159"/>
      <c r="P303" s="159"/>
      <c r="Q303" s="159"/>
      <c r="R303" s="159"/>
      <c r="S303" s="159"/>
      <c r="T303" s="159"/>
      <c r="U303" s="1"/>
      <c r="V303"/>
      <c r="W303"/>
      <c r="X303"/>
      <c r="Y303"/>
      <c r="Z303"/>
      <c r="AA303"/>
      <c r="AB303"/>
      <c r="AC303"/>
      <c r="AD303"/>
      <c r="AE303"/>
      <c r="AF303"/>
      <c r="AG303"/>
      <c r="AH303"/>
      <c r="AI303"/>
      <c r="AJ303"/>
      <c r="AK303"/>
      <c r="AL303"/>
      <c r="AM303"/>
      <c r="AN303"/>
      <c r="AO303"/>
    </row>
    <row r="304" spans="1:41" s="160" customFormat="1">
      <c r="A304"/>
      <c r="B304"/>
      <c r="C304"/>
      <c r="D304"/>
      <c r="E304"/>
      <c r="F304"/>
      <c r="G304"/>
      <c r="H304"/>
      <c r="I304"/>
      <c r="J304"/>
      <c r="K304"/>
      <c r="L304"/>
      <c r="M304"/>
    </row>
    <row r="305" spans="22:41">
      <c r="V305"/>
      <c r="W305"/>
      <c r="X305"/>
      <c r="Y305"/>
      <c r="Z305"/>
      <c r="AA305"/>
      <c r="AB305"/>
      <c r="AC305"/>
      <c r="AD305"/>
      <c r="AE305"/>
      <c r="AF305"/>
      <c r="AG305"/>
      <c r="AH305"/>
      <c r="AI305"/>
      <c r="AJ305"/>
      <c r="AK305"/>
      <c r="AL305"/>
      <c r="AM305"/>
      <c r="AN305"/>
      <c r="AO305"/>
    </row>
    <row r="306" spans="22:41">
      <c r="V306"/>
      <c r="W306"/>
      <c r="X306"/>
      <c r="Y306"/>
      <c r="Z306"/>
      <c r="AA306"/>
      <c r="AB306"/>
      <c r="AC306"/>
      <c r="AD306"/>
      <c r="AE306"/>
      <c r="AF306"/>
      <c r="AG306"/>
      <c r="AH306"/>
      <c r="AI306"/>
      <c r="AJ306"/>
      <c r="AK306"/>
      <c r="AL306"/>
      <c r="AM306"/>
      <c r="AN306"/>
      <c r="AO306"/>
    </row>
    <row r="307" spans="22:41">
      <c r="V307"/>
      <c r="W307"/>
      <c r="X307"/>
      <c r="Y307"/>
      <c r="Z307"/>
      <c r="AA307"/>
      <c r="AB307"/>
      <c r="AC307"/>
      <c r="AD307"/>
      <c r="AE307"/>
      <c r="AF307"/>
      <c r="AG307"/>
      <c r="AH307"/>
      <c r="AI307"/>
      <c r="AJ307"/>
      <c r="AK307"/>
      <c r="AL307"/>
      <c r="AM307"/>
      <c r="AN307"/>
      <c r="AO307"/>
    </row>
    <row r="308" spans="22:41">
      <c r="V308"/>
      <c r="W308"/>
      <c r="X308"/>
      <c r="Y308"/>
      <c r="Z308"/>
      <c r="AA308"/>
      <c r="AB308"/>
      <c r="AC308"/>
      <c r="AD308"/>
      <c r="AE308"/>
      <c r="AF308"/>
      <c r="AG308"/>
      <c r="AH308"/>
      <c r="AI308"/>
      <c r="AJ308"/>
      <c r="AK308"/>
      <c r="AL308"/>
      <c r="AM308"/>
      <c r="AN308"/>
      <c r="AO308"/>
    </row>
    <row r="309" spans="22:41">
      <c r="V309"/>
      <c r="W309"/>
      <c r="X309"/>
      <c r="Y309"/>
      <c r="Z309"/>
      <c r="AA309"/>
      <c r="AB309"/>
      <c r="AC309"/>
      <c r="AD309"/>
      <c r="AE309"/>
      <c r="AF309"/>
      <c r="AG309"/>
      <c r="AH309"/>
      <c r="AI309"/>
      <c r="AJ309"/>
      <c r="AK309"/>
      <c r="AL309"/>
      <c r="AM309"/>
      <c r="AN309"/>
      <c r="AO309"/>
    </row>
    <row r="310" spans="22:41">
      <c r="V310"/>
      <c r="W310"/>
      <c r="X310"/>
      <c r="Y310"/>
      <c r="Z310"/>
      <c r="AA310"/>
      <c r="AB310"/>
      <c r="AC310"/>
      <c r="AD310"/>
      <c r="AE310"/>
      <c r="AF310"/>
      <c r="AG310"/>
      <c r="AH310"/>
      <c r="AI310"/>
      <c r="AJ310"/>
      <c r="AK310"/>
      <c r="AL310"/>
      <c r="AM310"/>
      <c r="AN310"/>
      <c r="AO310"/>
    </row>
    <row r="311" spans="22:41">
      <c r="V311"/>
      <c r="W311"/>
      <c r="X311"/>
      <c r="Y311"/>
      <c r="Z311"/>
      <c r="AA311"/>
      <c r="AB311"/>
      <c r="AC311"/>
      <c r="AD311"/>
      <c r="AE311"/>
      <c r="AF311"/>
      <c r="AG311"/>
      <c r="AH311"/>
      <c r="AI311"/>
      <c r="AJ311"/>
      <c r="AK311"/>
      <c r="AL311"/>
      <c r="AM311"/>
      <c r="AN311"/>
      <c r="AO311"/>
    </row>
    <row r="312" spans="22:41">
      <c r="V312"/>
      <c r="W312"/>
      <c r="X312"/>
      <c r="Y312"/>
      <c r="Z312"/>
      <c r="AA312"/>
      <c r="AB312"/>
      <c r="AC312"/>
      <c r="AD312"/>
      <c r="AE312"/>
      <c r="AF312"/>
      <c r="AG312"/>
      <c r="AH312"/>
      <c r="AI312"/>
      <c r="AJ312"/>
      <c r="AK312"/>
      <c r="AL312"/>
      <c r="AM312"/>
      <c r="AN312"/>
      <c r="AO312"/>
    </row>
    <row r="313" spans="22:41">
      <c r="V313"/>
      <c r="W313"/>
      <c r="X313"/>
      <c r="Y313"/>
      <c r="Z313"/>
      <c r="AA313"/>
      <c r="AB313"/>
      <c r="AC313"/>
      <c r="AD313"/>
      <c r="AE313"/>
      <c r="AF313"/>
      <c r="AG313"/>
      <c r="AH313"/>
      <c r="AI313"/>
      <c r="AJ313"/>
      <c r="AK313"/>
      <c r="AL313"/>
      <c r="AM313"/>
      <c r="AN313"/>
      <c r="AO313"/>
    </row>
    <row r="314" spans="22:41">
      <c r="V314"/>
      <c r="W314"/>
      <c r="X314"/>
      <c r="Y314"/>
      <c r="Z314"/>
      <c r="AA314"/>
      <c r="AB314"/>
      <c r="AC314"/>
      <c r="AD314"/>
      <c r="AE314"/>
      <c r="AF314"/>
      <c r="AG314"/>
      <c r="AH314"/>
      <c r="AI314"/>
      <c r="AJ314"/>
      <c r="AK314"/>
      <c r="AL314"/>
      <c r="AM314"/>
      <c r="AN314"/>
      <c r="AO314"/>
    </row>
    <row r="315" spans="22:41">
      <c r="V315"/>
      <c r="W315"/>
      <c r="X315"/>
      <c r="Y315"/>
      <c r="Z315"/>
      <c r="AA315"/>
      <c r="AB315"/>
      <c r="AC315"/>
      <c r="AD315"/>
      <c r="AE315"/>
      <c r="AF315"/>
      <c r="AG315"/>
      <c r="AH315"/>
      <c r="AI315"/>
      <c r="AJ315"/>
      <c r="AK315"/>
      <c r="AL315"/>
      <c r="AM315"/>
      <c r="AN315"/>
      <c r="AO315"/>
    </row>
    <row r="316" spans="22:41">
      <c r="V316"/>
      <c r="W316"/>
      <c r="X316"/>
      <c r="Y316"/>
      <c r="Z316"/>
      <c r="AA316"/>
      <c r="AB316"/>
      <c r="AC316"/>
      <c r="AD316"/>
      <c r="AE316"/>
      <c r="AF316"/>
      <c r="AG316"/>
      <c r="AH316"/>
      <c r="AI316"/>
      <c r="AJ316"/>
      <c r="AK316"/>
      <c r="AL316"/>
      <c r="AM316"/>
      <c r="AN316"/>
      <c r="AO316"/>
    </row>
    <row r="317" spans="22:41">
      <c r="V317"/>
      <c r="W317"/>
      <c r="X317"/>
      <c r="Y317"/>
      <c r="Z317"/>
      <c r="AA317"/>
      <c r="AB317"/>
      <c r="AC317"/>
      <c r="AD317"/>
      <c r="AE317"/>
      <c r="AF317"/>
      <c r="AG317"/>
      <c r="AH317"/>
      <c r="AI317"/>
      <c r="AJ317"/>
      <c r="AK317"/>
      <c r="AL317"/>
      <c r="AM317"/>
      <c r="AN317"/>
      <c r="AO317"/>
    </row>
    <row r="318" spans="22:41">
      <c r="V318"/>
      <c r="W318"/>
      <c r="X318"/>
      <c r="Y318"/>
      <c r="Z318"/>
      <c r="AA318"/>
      <c r="AB318"/>
      <c r="AC318"/>
      <c r="AD318"/>
      <c r="AE318"/>
      <c r="AF318"/>
      <c r="AG318"/>
      <c r="AH318"/>
      <c r="AI318"/>
      <c r="AJ318"/>
      <c r="AK318"/>
      <c r="AL318"/>
      <c r="AM318"/>
      <c r="AN318"/>
      <c r="AO318"/>
    </row>
    <row r="319" spans="22:41">
      <c r="V319"/>
      <c r="W319"/>
      <c r="X319"/>
      <c r="Y319"/>
      <c r="Z319"/>
      <c r="AA319"/>
      <c r="AB319"/>
      <c r="AC319"/>
      <c r="AD319"/>
      <c r="AE319"/>
      <c r="AF319"/>
      <c r="AG319"/>
      <c r="AH319"/>
      <c r="AI319"/>
      <c r="AJ319"/>
      <c r="AK319"/>
      <c r="AL319"/>
      <c r="AM319"/>
      <c r="AN319"/>
      <c r="AO319"/>
    </row>
    <row r="320" spans="22:41">
      <c r="V320"/>
      <c r="W320"/>
      <c r="X320"/>
      <c r="Y320"/>
      <c r="Z320"/>
      <c r="AA320"/>
      <c r="AB320"/>
      <c r="AC320"/>
      <c r="AD320"/>
      <c r="AE320"/>
      <c r="AF320"/>
      <c r="AG320"/>
      <c r="AH320"/>
      <c r="AI320"/>
      <c r="AJ320"/>
      <c r="AK320"/>
      <c r="AL320"/>
      <c r="AM320"/>
      <c r="AN320"/>
      <c r="AO320"/>
    </row>
  </sheetData>
  <mergeCells count="2">
    <mergeCell ref="I2:K2"/>
    <mergeCell ref="N2:S2"/>
  </mergeCells>
  <dataValidations count="1">
    <dataValidation type="list" allowBlank="1" showInputMessage="1" showErrorMessage="1" sqref="AB4 F4:F23 F59:H60 F34:F53" xr:uid="{00000000-0002-0000-0800-000000000000}">
      <formula1>"Recommended, Completed, Not Completed"</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F7DFD4F981FE4DA208DFDD3EEA3498" ma:contentTypeVersion="8" ma:contentTypeDescription="Create a new document." ma:contentTypeScope="" ma:versionID="00d02ecb4707053965fea081f3b6c933">
  <xsd:schema xmlns:xsd="http://www.w3.org/2001/XMLSchema" xmlns:xs="http://www.w3.org/2001/XMLSchema" xmlns:p="http://schemas.microsoft.com/office/2006/metadata/properties" xmlns:ns2="4af00708-ea93-45c0-8bc9-484580222292" xmlns:ns3="e2ca8578-af05-43e6-81ae-8fea2e094a91" targetNamespace="http://schemas.microsoft.com/office/2006/metadata/properties" ma:root="true" ma:fieldsID="9936b5a842cff5c463fed517d07c1127" ns2:_="" ns3:_="">
    <xsd:import namespace="4af00708-ea93-45c0-8bc9-484580222292"/>
    <xsd:import namespace="e2ca8578-af05-43e6-81ae-8fea2e094a9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00708-ea93-45c0-8bc9-4845802222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ca8578-af05-43e6-81ae-8fea2e094a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af5a3b8-19fe-4aaf-8551-0b725c993cda" ContentTypeId="0x0101" PreviousValue="false"/>
</file>

<file path=customXml/itemProps1.xml><?xml version="1.0" encoding="utf-8"?>
<ds:datastoreItem xmlns:ds="http://schemas.openxmlformats.org/officeDocument/2006/customXml" ds:itemID="{98303C96-FB6A-470A-972F-FF2756863878}">
  <ds:schemaRefs>
    <ds:schemaRef ds:uri="http://schemas.microsoft.com/sharepoint/v3/contenttype/forms"/>
  </ds:schemaRefs>
</ds:datastoreItem>
</file>

<file path=customXml/itemProps2.xml><?xml version="1.0" encoding="utf-8"?>
<ds:datastoreItem xmlns:ds="http://schemas.openxmlformats.org/officeDocument/2006/customXml" ds:itemID="{856B15CC-4EB4-46A3-AAD1-C77BB63F9B4B}">
  <ds:schemaRefs>
    <ds:schemaRef ds:uri="http://schemas.openxmlformats.org/package/2006/metadata/core-properties"/>
    <ds:schemaRef ds:uri="http://schemas.microsoft.com/office/2006/documentManagement/types"/>
    <ds:schemaRef ds:uri="e2ca8578-af05-43e6-81ae-8fea2e094a91"/>
    <ds:schemaRef ds:uri="http://purl.org/dc/elements/1.1/"/>
    <ds:schemaRef ds:uri="http://schemas.microsoft.com/office/2006/metadata/properties"/>
    <ds:schemaRef ds:uri="http://schemas.microsoft.com/office/infopath/2007/PartnerControls"/>
    <ds:schemaRef ds:uri="http://purl.org/dc/terms/"/>
    <ds:schemaRef ds:uri="4af00708-ea93-45c0-8bc9-484580222292"/>
    <ds:schemaRef ds:uri="http://www.w3.org/XML/1998/namespace"/>
    <ds:schemaRef ds:uri="http://purl.org/dc/dcmitype/"/>
  </ds:schemaRefs>
</ds:datastoreItem>
</file>

<file path=customXml/itemProps3.xml><?xml version="1.0" encoding="utf-8"?>
<ds:datastoreItem xmlns:ds="http://schemas.openxmlformats.org/officeDocument/2006/customXml" ds:itemID="{4920D249-6EDF-48B1-9D23-D2C69502E7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f00708-ea93-45c0-8bc9-484580222292"/>
    <ds:schemaRef ds:uri="e2ca8578-af05-43e6-81ae-8fea2e094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7468F80-6CFE-4348-8C9E-477A044DFAE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958</vt:i4>
      </vt:variant>
    </vt:vector>
  </HeadingPairs>
  <TitlesOfParts>
    <vt:vector size="972" baseType="lpstr">
      <vt:lpstr>Instructions</vt:lpstr>
      <vt:lpstr>Lighting Qualifications</vt:lpstr>
      <vt:lpstr>Project Input</vt:lpstr>
      <vt:lpstr>Custom Hours</vt:lpstr>
      <vt:lpstr>Fixture Table</vt:lpstr>
      <vt:lpstr>Review</vt:lpstr>
      <vt:lpstr>Tables &amp; Ranges</vt:lpstr>
      <vt:lpstr>Summary_Pre</vt:lpstr>
      <vt:lpstr>Summary Post</vt:lpstr>
      <vt:lpstr>Summary</vt:lpstr>
      <vt:lpstr>APTracks Summary</vt:lpstr>
      <vt:lpstr>GECo Outputs</vt:lpstr>
      <vt:lpstr>Test List</vt:lpstr>
      <vt:lpstr>Change Log</vt:lpstr>
      <vt:lpstr>Avg_KWh_Rate</vt:lpstr>
      <vt:lpstr>Cell_Protect</vt:lpstr>
      <vt:lpstr>CF_Contols</vt:lpstr>
      <vt:lpstr>GECO_ELEC_RATIO</vt:lpstr>
      <vt:lpstr>GECO_GAS_RATIO</vt:lpstr>
      <vt:lpstr>kWh_Incentive_Rate</vt:lpstr>
      <vt:lpstr>Max_Incentive</vt:lpstr>
      <vt:lpstr>Measure1_Age</vt:lpstr>
      <vt:lpstr>Measure1_Comments</vt:lpstr>
      <vt:lpstr>Measure1_Cost</vt:lpstr>
      <vt:lpstr>Measure1_DemandSavings</vt:lpstr>
      <vt:lpstr>Measure1_Description</vt:lpstr>
      <vt:lpstr>Measure1_Efficiency</vt:lpstr>
      <vt:lpstr>Measure1_ElectricCostSavings</vt:lpstr>
      <vt:lpstr>Measure1_Incentive</vt:lpstr>
      <vt:lpstr>Measure1_kWhSavings</vt:lpstr>
      <vt:lpstr>Measure1_Payback</vt:lpstr>
      <vt:lpstr>Measure1_Quantity</vt:lpstr>
      <vt:lpstr>Measure1_Replaced</vt:lpstr>
      <vt:lpstr>Measure1_SerialNumber</vt:lpstr>
      <vt:lpstr>Measure1_ShortDescription</vt:lpstr>
      <vt:lpstr>Measure1_Size</vt:lpstr>
      <vt:lpstr>Measure1_Status</vt:lpstr>
      <vt:lpstr>Measure1_Type</vt:lpstr>
      <vt:lpstr>Measure1_UsefulLife</vt:lpstr>
      <vt:lpstr>Measure10_Age</vt:lpstr>
      <vt:lpstr>Measure10_Comments</vt:lpstr>
      <vt:lpstr>Measure10_Cost</vt:lpstr>
      <vt:lpstr>Measure10_DemandSavings</vt:lpstr>
      <vt:lpstr>Measure10_Description</vt:lpstr>
      <vt:lpstr>Measure10_Efficiency</vt:lpstr>
      <vt:lpstr>Measure10_ElectricCostSavings</vt:lpstr>
      <vt:lpstr>Measure10_Incentive</vt:lpstr>
      <vt:lpstr>Measure10_kWhSavings</vt:lpstr>
      <vt:lpstr>Measure10_Payback</vt:lpstr>
      <vt:lpstr>Measure10_Quantity</vt:lpstr>
      <vt:lpstr>Measure10_Replaced</vt:lpstr>
      <vt:lpstr>Measure10_SerialNumber</vt:lpstr>
      <vt:lpstr>Measure10_ShortDescription</vt:lpstr>
      <vt:lpstr>Measure10_Size</vt:lpstr>
      <vt:lpstr>Measure10_Status</vt:lpstr>
      <vt:lpstr>Measure10_Type</vt:lpstr>
      <vt:lpstr>Measure10_UsefulLife</vt:lpstr>
      <vt:lpstr>Measure11_Age</vt:lpstr>
      <vt:lpstr>Measure11_CNC</vt:lpstr>
      <vt:lpstr>Measure11_Comments</vt:lpstr>
      <vt:lpstr>Measure11_Cost</vt:lpstr>
      <vt:lpstr>Measure11_DemandSavings</vt:lpstr>
      <vt:lpstr>Measure11_Description</vt:lpstr>
      <vt:lpstr>Measure11_Efficiency</vt:lpstr>
      <vt:lpstr>Measure11_ElectricCostSavings</vt:lpstr>
      <vt:lpstr>Measure11_Incentive</vt:lpstr>
      <vt:lpstr>Measure11_kWhSavings</vt:lpstr>
      <vt:lpstr>Measure11_Payback</vt:lpstr>
      <vt:lpstr>Measure11_Quantity</vt:lpstr>
      <vt:lpstr>Measure11_Replaced</vt:lpstr>
      <vt:lpstr>Measure11_SerialNumber</vt:lpstr>
      <vt:lpstr>Measure11_ShortDescription</vt:lpstr>
      <vt:lpstr>Measure11_Size</vt:lpstr>
      <vt:lpstr>Measure11_Status</vt:lpstr>
      <vt:lpstr>Measure11_Type</vt:lpstr>
      <vt:lpstr>Measure11_UsefulLife</vt:lpstr>
      <vt:lpstr>Measure12_Age</vt:lpstr>
      <vt:lpstr>Measure12_CNC</vt:lpstr>
      <vt:lpstr>Measure12_Comments</vt:lpstr>
      <vt:lpstr>Measure12_Cost</vt:lpstr>
      <vt:lpstr>Measure12_DemandSavings</vt:lpstr>
      <vt:lpstr>Measure12_Description</vt:lpstr>
      <vt:lpstr>Measure12_Efficiency</vt:lpstr>
      <vt:lpstr>Measure12_ElectricCostSavings</vt:lpstr>
      <vt:lpstr>Measure12_Incentive</vt:lpstr>
      <vt:lpstr>Measure12_kWhSavings</vt:lpstr>
      <vt:lpstr>Measure12_Payback</vt:lpstr>
      <vt:lpstr>Measure12_Quantity</vt:lpstr>
      <vt:lpstr>Measure12_Replaced</vt:lpstr>
      <vt:lpstr>Measure12_SerialNumber</vt:lpstr>
      <vt:lpstr>Measure12_ShortDescription</vt:lpstr>
      <vt:lpstr>Measure12_Size</vt:lpstr>
      <vt:lpstr>Measure12_Status</vt:lpstr>
      <vt:lpstr>Measure12_Type</vt:lpstr>
      <vt:lpstr>Measure12_UsefulLife</vt:lpstr>
      <vt:lpstr>Measure13_Age</vt:lpstr>
      <vt:lpstr>Measure13_CNC</vt:lpstr>
      <vt:lpstr>Measure13_Comments</vt:lpstr>
      <vt:lpstr>Measure13_Cost</vt:lpstr>
      <vt:lpstr>Measure13_DemandSavings</vt:lpstr>
      <vt:lpstr>Measure13_Description</vt:lpstr>
      <vt:lpstr>Measure13_Efficiency</vt:lpstr>
      <vt:lpstr>Measure13_ElectricCostSavings</vt:lpstr>
      <vt:lpstr>Measure13_Incentive</vt:lpstr>
      <vt:lpstr>Measure13_kWhSavings</vt:lpstr>
      <vt:lpstr>Measure13_Payback</vt:lpstr>
      <vt:lpstr>Measure13_Quantity</vt:lpstr>
      <vt:lpstr>Measure13_Replaced</vt:lpstr>
      <vt:lpstr>Measure13_SerialNumber</vt:lpstr>
      <vt:lpstr>Measure13_ShortDescription</vt:lpstr>
      <vt:lpstr>Measure13_Size</vt:lpstr>
      <vt:lpstr>Measure13_Status</vt:lpstr>
      <vt:lpstr>Measure13_Type</vt:lpstr>
      <vt:lpstr>Measure13_UsefulLife</vt:lpstr>
      <vt:lpstr>Measure14_Age</vt:lpstr>
      <vt:lpstr>Measure14_CNC</vt:lpstr>
      <vt:lpstr>Measure14_Comments</vt:lpstr>
      <vt:lpstr>Measure14_Cost</vt:lpstr>
      <vt:lpstr>Measure14_DemandSavings</vt:lpstr>
      <vt:lpstr>Measure14_Description</vt:lpstr>
      <vt:lpstr>Measure14_Efficiency</vt:lpstr>
      <vt:lpstr>Measure14_ElectricCostSavings</vt:lpstr>
      <vt:lpstr>Measure14_Incentive</vt:lpstr>
      <vt:lpstr>Measure14_kWhSavings</vt:lpstr>
      <vt:lpstr>Measure14_Payback</vt:lpstr>
      <vt:lpstr>Measure14_Quantity</vt:lpstr>
      <vt:lpstr>Measure14_Replaced</vt:lpstr>
      <vt:lpstr>Measure14_SerialNumber</vt:lpstr>
      <vt:lpstr>Measure14_ShortDescription</vt:lpstr>
      <vt:lpstr>Measure14_Size</vt:lpstr>
      <vt:lpstr>Measure14_Status</vt:lpstr>
      <vt:lpstr>Measure14_Type</vt:lpstr>
      <vt:lpstr>Measure14_UsefulLife</vt:lpstr>
      <vt:lpstr>Measure15_Age</vt:lpstr>
      <vt:lpstr>Measure15_CNC</vt:lpstr>
      <vt:lpstr>Measure15_Comments</vt:lpstr>
      <vt:lpstr>Measure15_Cost</vt:lpstr>
      <vt:lpstr>Measure15_DemandSavings</vt:lpstr>
      <vt:lpstr>Measure15_Description</vt:lpstr>
      <vt:lpstr>Measure15_Efficiency</vt:lpstr>
      <vt:lpstr>Measure15_ElectricCostSavings</vt:lpstr>
      <vt:lpstr>Measure15_Incentive</vt:lpstr>
      <vt:lpstr>Measure15_kWhSavings</vt:lpstr>
      <vt:lpstr>Measure15_Payback</vt:lpstr>
      <vt:lpstr>Measure15_Quantity</vt:lpstr>
      <vt:lpstr>Measure15_Replaced</vt:lpstr>
      <vt:lpstr>Measure15_SerialNumber</vt:lpstr>
      <vt:lpstr>Measure15_ShortDescription</vt:lpstr>
      <vt:lpstr>Measure15_Size</vt:lpstr>
      <vt:lpstr>Measure15_Status</vt:lpstr>
      <vt:lpstr>Measure15_Type</vt:lpstr>
      <vt:lpstr>Measure15_UsefulLife</vt:lpstr>
      <vt:lpstr>Measure16_Age</vt:lpstr>
      <vt:lpstr>Measure16_CNC</vt:lpstr>
      <vt:lpstr>Measure16_Comments</vt:lpstr>
      <vt:lpstr>Measure16_Cost</vt:lpstr>
      <vt:lpstr>Measure16_DemandSavings</vt:lpstr>
      <vt:lpstr>Measure16_Description</vt:lpstr>
      <vt:lpstr>Measure16_Efficiency</vt:lpstr>
      <vt:lpstr>Measure16_ElectricCostSavings</vt:lpstr>
      <vt:lpstr>Measure16_Incentive</vt:lpstr>
      <vt:lpstr>Measure16_kWhSavings</vt:lpstr>
      <vt:lpstr>Measure16_Payback</vt:lpstr>
      <vt:lpstr>Measure16_Quantity</vt:lpstr>
      <vt:lpstr>Measure16_Replaced</vt:lpstr>
      <vt:lpstr>Measure16_SerialNumber</vt:lpstr>
      <vt:lpstr>Measure16_ShortDescription</vt:lpstr>
      <vt:lpstr>Measure16_Size</vt:lpstr>
      <vt:lpstr>Measure16_Status</vt:lpstr>
      <vt:lpstr>Measure16_Type</vt:lpstr>
      <vt:lpstr>Measure16_UsefulLife</vt:lpstr>
      <vt:lpstr>Measure17_Age</vt:lpstr>
      <vt:lpstr>Measure17_CNC</vt:lpstr>
      <vt:lpstr>Measure17_Comments</vt:lpstr>
      <vt:lpstr>Measure17_Cost</vt:lpstr>
      <vt:lpstr>Measure17_DemandSavings</vt:lpstr>
      <vt:lpstr>Measure17_Description</vt:lpstr>
      <vt:lpstr>Measure17_Efficiency</vt:lpstr>
      <vt:lpstr>Measure17_ElectricCostSavings</vt:lpstr>
      <vt:lpstr>Measure17_Incentive</vt:lpstr>
      <vt:lpstr>Measure17_kWhSavings</vt:lpstr>
      <vt:lpstr>Measure17_Payback</vt:lpstr>
      <vt:lpstr>Measure17_Quantity</vt:lpstr>
      <vt:lpstr>Measure17_Replaced</vt:lpstr>
      <vt:lpstr>Measure17_SerialNumber</vt:lpstr>
      <vt:lpstr>Measure17_ShortDescription</vt:lpstr>
      <vt:lpstr>Measure17_Size</vt:lpstr>
      <vt:lpstr>Measure17_Status</vt:lpstr>
      <vt:lpstr>Measure17_Type</vt:lpstr>
      <vt:lpstr>Measure17_UsefulLife</vt:lpstr>
      <vt:lpstr>Measure18_Age</vt:lpstr>
      <vt:lpstr>Measure18_CNC</vt:lpstr>
      <vt:lpstr>Measure18_Comments</vt:lpstr>
      <vt:lpstr>Measure18_Cost</vt:lpstr>
      <vt:lpstr>Measure18_DemandSavings</vt:lpstr>
      <vt:lpstr>Measure18_Description</vt:lpstr>
      <vt:lpstr>Measure18_Efficiency</vt:lpstr>
      <vt:lpstr>Measure18_ElectricCostSavings</vt:lpstr>
      <vt:lpstr>Measure18_Incentive</vt:lpstr>
      <vt:lpstr>Measure18_kWhSavings</vt:lpstr>
      <vt:lpstr>Measure18_Payback</vt:lpstr>
      <vt:lpstr>Measure18_Quantity</vt:lpstr>
      <vt:lpstr>Measure18_Replaced</vt:lpstr>
      <vt:lpstr>Measure18_SerialNumber</vt:lpstr>
      <vt:lpstr>Measure18_ShortDescription</vt:lpstr>
      <vt:lpstr>Measure18_Size</vt:lpstr>
      <vt:lpstr>Measure18_Status</vt:lpstr>
      <vt:lpstr>Measure18_Type</vt:lpstr>
      <vt:lpstr>Measure18_UsefulLife</vt:lpstr>
      <vt:lpstr>Measure19_Age</vt:lpstr>
      <vt:lpstr>Measure19_CNC</vt:lpstr>
      <vt:lpstr>Measure19_Comments</vt:lpstr>
      <vt:lpstr>Measure19_Cost</vt:lpstr>
      <vt:lpstr>Measure19_DemandSavings</vt:lpstr>
      <vt:lpstr>Measure19_Description</vt:lpstr>
      <vt:lpstr>Measure19_Efficiency</vt:lpstr>
      <vt:lpstr>Measure19_ElectricCostSavings</vt:lpstr>
      <vt:lpstr>Measure19_Incentive</vt:lpstr>
      <vt:lpstr>Measure19_kWhSavings</vt:lpstr>
      <vt:lpstr>Measure19_Payback</vt:lpstr>
      <vt:lpstr>Measure19_Quantity</vt:lpstr>
      <vt:lpstr>Measure19_Replaced</vt:lpstr>
      <vt:lpstr>Measure19_SerialNumber</vt:lpstr>
      <vt:lpstr>Measure19_ShortDescription</vt:lpstr>
      <vt:lpstr>Measure19_Size</vt:lpstr>
      <vt:lpstr>Measure19_Status</vt:lpstr>
      <vt:lpstr>Measure19_Type</vt:lpstr>
      <vt:lpstr>Measure19_UsefulLife</vt:lpstr>
      <vt:lpstr>Measure2_Age</vt:lpstr>
      <vt:lpstr>Measure2_Comments</vt:lpstr>
      <vt:lpstr>Measure2_Cost</vt:lpstr>
      <vt:lpstr>Measure2_DemandSavings</vt:lpstr>
      <vt:lpstr>Measure2_Description</vt:lpstr>
      <vt:lpstr>Measure2_Efficiency</vt:lpstr>
      <vt:lpstr>Measure2_ElectricCostSavings</vt:lpstr>
      <vt:lpstr>Measure2_Incentive</vt:lpstr>
      <vt:lpstr>Measure2_kWhSavings</vt:lpstr>
      <vt:lpstr>Measure2_Payback</vt:lpstr>
      <vt:lpstr>Measure2_Quantity</vt:lpstr>
      <vt:lpstr>Measure2_Replaced</vt:lpstr>
      <vt:lpstr>Measure2_SerialNumber</vt:lpstr>
      <vt:lpstr>Measure2_ShortDescription</vt:lpstr>
      <vt:lpstr>Measure2_Size</vt:lpstr>
      <vt:lpstr>Measure2_Status</vt:lpstr>
      <vt:lpstr>Measure2_Type</vt:lpstr>
      <vt:lpstr>Measure2_UsefulLife</vt:lpstr>
      <vt:lpstr>Measure20_Age</vt:lpstr>
      <vt:lpstr>Measure20_CNC</vt:lpstr>
      <vt:lpstr>Measure20_Comments</vt:lpstr>
      <vt:lpstr>Measure20_Cost</vt:lpstr>
      <vt:lpstr>Measure20_DemandSavings</vt:lpstr>
      <vt:lpstr>Measure20_Description</vt:lpstr>
      <vt:lpstr>Measure20_Efficiency</vt:lpstr>
      <vt:lpstr>Measure20_ElectricCostSavings</vt:lpstr>
      <vt:lpstr>Measure20_Incentive</vt:lpstr>
      <vt:lpstr>Measure20_kWhSavings</vt:lpstr>
      <vt:lpstr>Measure20_Payback</vt:lpstr>
      <vt:lpstr>Measure20_Quantity</vt:lpstr>
      <vt:lpstr>Measure20_Replaced</vt:lpstr>
      <vt:lpstr>Measure20_SerialNumber</vt:lpstr>
      <vt:lpstr>Measure20_ShortDescription</vt:lpstr>
      <vt:lpstr>Measure20_Size</vt:lpstr>
      <vt:lpstr>Measure20_Status</vt:lpstr>
      <vt:lpstr>Measure20_Type</vt:lpstr>
      <vt:lpstr>Measure20_UsefulLife</vt:lpstr>
      <vt:lpstr>Measure21_Age</vt:lpstr>
      <vt:lpstr>Measure21_CNC</vt:lpstr>
      <vt:lpstr>Measure21_Comments</vt:lpstr>
      <vt:lpstr>Measure21_Cost</vt:lpstr>
      <vt:lpstr>Measure21_DemandSavings</vt:lpstr>
      <vt:lpstr>Measure21_Description</vt:lpstr>
      <vt:lpstr>Measure21_Efficiency</vt:lpstr>
      <vt:lpstr>Measure21_ElectricCostSavings</vt:lpstr>
      <vt:lpstr>Measure21_Incentive</vt:lpstr>
      <vt:lpstr>Measure21_kWhSavings</vt:lpstr>
      <vt:lpstr>Measure21_Payback</vt:lpstr>
      <vt:lpstr>Measure21_Quantity</vt:lpstr>
      <vt:lpstr>Measure21_Replaced</vt:lpstr>
      <vt:lpstr>Measure21_SerialNumber</vt:lpstr>
      <vt:lpstr>Measure21_ShortDescription</vt:lpstr>
      <vt:lpstr>Measure21_Size</vt:lpstr>
      <vt:lpstr>Measure21_Status</vt:lpstr>
      <vt:lpstr>Measure21_Type</vt:lpstr>
      <vt:lpstr>Measure21_UsefulLife</vt:lpstr>
      <vt:lpstr>Measure22_Age</vt:lpstr>
      <vt:lpstr>Measure22_CNC</vt:lpstr>
      <vt:lpstr>Measure22_Comments</vt:lpstr>
      <vt:lpstr>Measure22_Cost</vt:lpstr>
      <vt:lpstr>Measure22_DemandSavings</vt:lpstr>
      <vt:lpstr>Measure22_Description</vt:lpstr>
      <vt:lpstr>Measure22_Efficiency</vt:lpstr>
      <vt:lpstr>Measure22_ElectricCostSavings</vt:lpstr>
      <vt:lpstr>Measure22_Incentive</vt:lpstr>
      <vt:lpstr>Measure22_kWhSavings</vt:lpstr>
      <vt:lpstr>Measure22_Payback</vt:lpstr>
      <vt:lpstr>Measure22_Quantity</vt:lpstr>
      <vt:lpstr>Measure22_Replaced</vt:lpstr>
      <vt:lpstr>Measure22_SerialNumber</vt:lpstr>
      <vt:lpstr>Measure22_ShortDescription</vt:lpstr>
      <vt:lpstr>Measure22_Size</vt:lpstr>
      <vt:lpstr>Measure22_Status</vt:lpstr>
      <vt:lpstr>Measure22_Type</vt:lpstr>
      <vt:lpstr>Measure22_UsefulLife</vt:lpstr>
      <vt:lpstr>Measure23_Age</vt:lpstr>
      <vt:lpstr>Measure23_CNC</vt:lpstr>
      <vt:lpstr>Measure23_Comments</vt:lpstr>
      <vt:lpstr>Measure23_Cost</vt:lpstr>
      <vt:lpstr>Measure23_DemandSavings</vt:lpstr>
      <vt:lpstr>Measure23_Description</vt:lpstr>
      <vt:lpstr>Measure23_Efficiency</vt:lpstr>
      <vt:lpstr>Measure23_ElectricCostSavings</vt:lpstr>
      <vt:lpstr>Measure23_Incentive</vt:lpstr>
      <vt:lpstr>Measure23_kWhSavings</vt:lpstr>
      <vt:lpstr>Measure23_Payback</vt:lpstr>
      <vt:lpstr>Measure23_Quantity</vt:lpstr>
      <vt:lpstr>Measure23_Replaced</vt:lpstr>
      <vt:lpstr>Measure23_SerialNumber</vt:lpstr>
      <vt:lpstr>Measure23_ShortDescription</vt:lpstr>
      <vt:lpstr>Measure23_Size</vt:lpstr>
      <vt:lpstr>Measure23_Status</vt:lpstr>
      <vt:lpstr>Measure23_Type</vt:lpstr>
      <vt:lpstr>Measure23_UsefulLife</vt:lpstr>
      <vt:lpstr>Measure24_Age</vt:lpstr>
      <vt:lpstr>Measure24_CNC</vt:lpstr>
      <vt:lpstr>Measure24_Comments</vt:lpstr>
      <vt:lpstr>Measure24_Cost</vt:lpstr>
      <vt:lpstr>Measure24_DemandSavings</vt:lpstr>
      <vt:lpstr>Measure24_Description</vt:lpstr>
      <vt:lpstr>Measure24_Efficiency</vt:lpstr>
      <vt:lpstr>Measure24_ElectricCostSavings</vt:lpstr>
      <vt:lpstr>Measure24_Incentive</vt:lpstr>
      <vt:lpstr>Measure24_kWhSavings</vt:lpstr>
      <vt:lpstr>Measure24_Payback</vt:lpstr>
      <vt:lpstr>Measure24_Quantity</vt:lpstr>
      <vt:lpstr>Measure24_Replaced</vt:lpstr>
      <vt:lpstr>Measure24_SerialNumber</vt:lpstr>
      <vt:lpstr>Measure24_ShortDescription</vt:lpstr>
      <vt:lpstr>Measure24_Size</vt:lpstr>
      <vt:lpstr>Measure24_Status</vt:lpstr>
      <vt:lpstr>Measure24_Type</vt:lpstr>
      <vt:lpstr>Measure24_UsefulLife</vt:lpstr>
      <vt:lpstr>Measure25_Age</vt:lpstr>
      <vt:lpstr>Measure25_CNC</vt:lpstr>
      <vt:lpstr>Measure25_Comments</vt:lpstr>
      <vt:lpstr>Measure25_Cost</vt:lpstr>
      <vt:lpstr>Measure25_DemandSavings</vt:lpstr>
      <vt:lpstr>Measure25_Description</vt:lpstr>
      <vt:lpstr>Measure25_Efficiency</vt:lpstr>
      <vt:lpstr>Measure25_ElectricCostSavings</vt:lpstr>
      <vt:lpstr>Measure25_Incentive</vt:lpstr>
      <vt:lpstr>Measure25_kWhSavings</vt:lpstr>
      <vt:lpstr>Measure25_Payback</vt:lpstr>
      <vt:lpstr>Measure25_Quantity</vt:lpstr>
      <vt:lpstr>Measure25_Replaced</vt:lpstr>
      <vt:lpstr>Measure25_SerialNumber</vt:lpstr>
      <vt:lpstr>Measure25_ShortDescription</vt:lpstr>
      <vt:lpstr>Measure25_Size</vt:lpstr>
      <vt:lpstr>Measure25_Status</vt:lpstr>
      <vt:lpstr>Measure25_Type</vt:lpstr>
      <vt:lpstr>Measure25_UsefulLife</vt:lpstr>
      <vt:lpstr>Measure26_Age</vt:lpstr>
      <vt:lpstr>Measure26_CNC</vt:lpstr>
      <vt:lpstr>Measure26_Comments</vt:lpstr>
      <vt:lpstr>Measure26_Cost</vt:lpstr>
      <vt:lpstr>Measure26_DemandSavings</vt:lpstr>
      <vt:lpstr>Measure26_Description</vt:lpstr>
      <vt:lpstr>Measure26_Efficiency</vt:lpstr>
      <vt:lpstr>Measure26_ElectricCostSavings</vt:lpstr>
      <vt:lpstr>Measure26_Incentive</vt:lpstr>
      <vt:lpstr>Measure26_kWhSavings</vt:lpstr>
      <vt:lpstr>Measure26_Payback</vt:lpstr>
      <vt:lpstr>Measure26_Quantity</vt:lpstr>
      <vt:lpstr>Measure26_Replaced</vt:lpstr>
      <vt:lpstr>Measure26_SerialNumber</vt:lpstr>
      <vt:lpstr>Measure26_ShortDescription</vt:lpstr>
      <vt:lpstr>Measure26_Size</vt:lpstr>
      <vt:lpstr>Measure26_Status</vt:lpstr>
      <vt:lpstr>Measure26_Type</vt:lpstr>
      <vt:lpstr>Measure26_UsefulLife</vt:lpstr>
      <vt:lpstr>Measure27_Age</vt:lpstr>
      <vt:lpstr>Measure27_CNC</vt:lpstr>
      <vt:lpstr>Measure27_Comments</vt:lpstr>
      <vt:lpstr>Measure27_Cost</vt:lpstr>
      <vt:lpstr>Measure27_DemandSavings</vt:lpstr>
      <vt:lpstr>Measure27_Description</vt:lpstr>
      <vt:lpstr>Measure27_Efficiency</vt:lpstr>
      <vt:lpstr>Measure27_ElectricCostSavings</vt:lpstr>
      <vt:lpstr>Measure27_Incentive</vt:lpstr>
      <vt:lpstr>Measure27_kWhSavings</vt:lpstr>
      <vt:lpstr>Measure27_Payback</vt:lpstr>
      <vt:lpstr>Measure27_Quantity</vt:lpstr>
      <vt:lpstr>Measure27_Replaced</vt:lpstr>
      <vt:lpstr>Measure27_SerialNumber</vt:lpstr>
      <vt:lpstr>Measure27_ShortDescription</vt:lpstr>
      <vt:lpstr>Measure27_Size</vt:lpstr>
      <vt:lpstr>Measure27_Status</vt:lpstr>
      <vt:lpstr>Measure27_Type</vt:lpstr>
      <vt:lpstr>Measure27_UsefulLife</vt:lpstr>
      <vt:lpstr>Measure28_Age</vt:lpstr>
      <vt:lpstr>Measure28_CNC</vt:lpstr>
      <vt:lpstr>Measure28_Comments</vt:lpstr>
      <vt:lpstr>Measure28_Cost</vt:lpstr>
      <vt:lpstr>Measure28_DemandSavings</vt:lpstr>
      <vt:lpstr>Measure28_Description</vt:lpstr>
      <vt:lpstr>Measure28_Efficiency</vt:lpstr>
      <vt:lpstr>Measure28_ElectricCostSavings</vt:lpstr>
      <vt:lpstr>Measure28_Incentive</vt:lpstr>
      <vt:lpstr>Measure28_kWhSavings</vt:lpstr>
      <vt:lpstr>Measure28_Payback</vt:lpstr>
      <vt:lpstr>Measure28_Quantity</vt:lpstr>
      <vt:lpstr>Measure28_Replaced</vt:lpstr>
      <vt:lpstr>Measure28_SerialNumber</vt:lpstr>
      <vt:lpstr>Measure28_ShortDescription</vt:lpstr>
      <vt:lpstr>Measure28_Size</vt:lpstr>
      <vt:lpstr>Measure28_Status</vt:lpstr>
      <vt:lpstr>Measure28_Type</vt:lpstr>
      <vt:lpstr>Measure28_UsefulLife</vt:lpstr>
      <vt:lpstr>Measure29_Age</vt:lpstr>
      <vt:lpstr>Measure29_CNC</vt:lpstr>
      <vt:lpstr>Measure29_Comments</vt:lpstr>
      <vt:lpstr>Measure29_Cost</vt:lpstr>
      <vt:lpstr>Measure29_DemandSavings</vt:lpstr>
      <vt:lpstr>Measure29_Description</vt:lpstr>
      <vt:lpstr>Measure29_Efficiency</vt:lpstr>
      <vt:lpstr>Measure29_ElectricCostSavings</vt:lpstr>
      <vt:lpstr>Measure29_Incentive</vt:lpstr>
      <vt:lpstr>Measure29_kWhSavings</vt:lpstr>
      <vt:lpstr>Measure29_Payback</vt:lpstr>
      <vt:lpstr>Measure29_Quantity</vt:lpstr>
      <vt:lpstr>Measure29_Replaced</vt:lpstr>
      <vt:lpstr>Measure29_SerialNumber</vt:lpstr>
      <vt:lpstr>Measure29_ShortDescription</vt:lpstr>
      <vt:lpstr>Measure29_Size</vt:lpstr>
      <vt:lpstr>Measure29_Status</vt:lpstr>
      <vt:lpstr>Measure29_Type</vt:lpstr>
      <vt:lpstr>Measure29_UsefulLife</vt:lpstr>
      <vt:lpstr>Measure3_Age</vt:lpstr>
      <vt:lpstr>Measure3_Comments</vt:lpstr>
      <vt:lpstr>Measure3_Cost</vt:lpstr>
      <vt:lpstr>Measure3_DemandSavings</vt:lpstr>
      <vt:lpstr>Measure3_Description</vt:lpstr>
      <vt:lpstr>Measure3_Efficiency</vt:lpstr>
      <vt:lpstr>Measure3_ElectricCostSavings</vt:lpstr>
      <vt:lpstr>Measure3_Incentive</vt:lpstr>
      <vt:lpstr>Measure3_kWhSavings</vt:lpstr>
      <vt:lpstr>Measure3_Payback</vt:lpstr>
      <vt:lpstr>Measure3_Quantity</vt:lpstr>
      <vt:lpstr>Measure3_Replaced</vt:lpstr>
      <vt:lpstr>Measure3_SerialNumber</vt:lpstr>
      <vt:lpstr>Measure3_ShortDescription</vt:lpstr>
      <vt:lpstr>Measure3_Size</vt:lpstr>
      <vt:lpstr>Measure3_Status</vt:lpstr>
      <vt:lpstr>Measure3_Type</vt:lpstr>
      <vt:lpstr>Measure3_UsefulLife</vt:lpstr>
      <vt:lpstr>Measure30_Age</vt:lpstr>
      <vt:lpstr>Measure30_Comments</vt:lpstr>
      <vt:lpstr>Measure30_Cost</vt:lpstr>
      <vt:lpstr>Measure30_DemandSavings</vt:lpstr>
      <vt:lpstr>Measure30_Description</vt:lpstr>
      <vt:lpstr>Measure30_Efficiency</vt:lpstr>
      <vt:lpstr>Measure30_ElectricCostSavings</vt:lpstr>
      <vt:lpstr>Measure30_Incentive</vt:lpstr>
      <vt:lpstr>Measure30_kWhSavings</vt:lpstr>
      <vt:lpstr>Measure30_Payback</vt:lpstr>
      <vt:lpstr>Measure30_Quantity</vt:lpstr>
      <vt:lpstr>Measure30_Replaced</vt:lpstr>
      <vt:lpstr>Measure30_SerialNumber</vt:lpstr>
      <vt:lpstr>Measure30_ShortDescription</vt:lpstr>
      <vt:lpstr>Measure30_Size</vt:lpstr>
      <vt:lpstr>Measure30_Status</vt:lpstr>
      <vt:lpstr>Measure30_Type</vt:lpstr>
      <vt:lpstr>Measure30_UsefulLife</vt:lpstr>
      <vt:lpstr>Measure31_Age</vt:lpstr>
      <vt:lpstr>Measure31_CNC</vt:lpstr>
      <vt:lpstr>Measure31_Comments</vt:lpstr>
      <vt:lpstr>Measure31_Cost</vt:lpstr>
      <vt:lpstr>Measure31_DemandSavings</vt:lpstr>
      <vt:lpstr>Measure31_Description</vt:lpstr>
      <vt:lpstr>Measure31_Efficiency</vt:lpstr>
      <vt:lpstr>Measure31_ElectricCostSavings</vt:lpstr>
      <vt:lpstr>Measure31_Incentive</vt:lpstr>
      <vt:lpstr>Measure31_kWhSavings</vt:lpstr>
      <vt:lpstr>Measure31_Payback</vt:lpstr>
      <vt:lpstr>Measure31_Quantity</vt:lpstr>
      <vt:lpstr>Measure31_Replaced</vt:lpstr>
      <vt:lpstr>Measure31_SerialNumber</vt:lpstr>
      <vt:lpstr>Measure31_ShortDescription</vt:lpstr>
      <vt:lpstr>Measure31_Size</vt:lpstr>
      <vt:lpstr>Measure31_Status</vt:lpstr>
      <vt:lpstr>Measure31_Type</vt:lpstr>
      <vt:lpstr>Measure31_UsefulLife</vt:lpstr>
      <vt:lpstr>Measure32_Age</vt:lpstr>
      <vt:lpstr>Measure32_CNC</vt:lpstr>
      <vt:lpstr>Measure32_Comments</vt:lpstr>
      <vt:lpstr>Measure32_Cost</vt:lpstr>
      <vt:lpstr>Measure32_DemandSavings</vt:lpstr>
      <vt:lpstr>Measure32_Description</vt:lpstr>
      <vt:lpstr>Measure32_Efficiency</vt:lpstr>
      <vt:lpstr>Measure32_ElectricCostSavings</vt:lpstr>
      <vt:lpstr>Measure32_Incentive</vt:lpstr>
      <vt:lpstr>Measure32_kWhSavings</vt:lpstr>
      <vt:lpstr>Measure32_Payback</vt:lpstr>
      <vt:lpstr>Measure32_Quantity</vt:lpstr>
      <vt:lpstr>Measure32_Replaced</vt:lpstr>
      <vt:lpstr>Measure32_SerialNumber</vt:lpstr>
      <vt:lpstr>Measure32_ShortDescription</vt:lpstr>
      <vt:lpstr>Measure32_Size</vt:lpstr>
      <vt:lpstr>Measure32_Status</vt:lpstr>
      <vt:lpstr>Measure32_Type</vt:lpstr>
      <vt:lpstr>Measure32_UsefulLife</vt:lpstr>
      <vt:lpstr>Measure33_Age</vt:lpstr>
      <vt:lpstr>Measure33_CNC</vt:lpstr>
      <vt:lpstr>Measure33_Comments</vt:lpstr>
      <vt:lpstr>Measure33_Cost</vt:lpstr>
      <vt:lpstr>Measure33_DemandSavings</vt:lpstr>
      <vt:lpstr>Measure33_Description</vt:lpstr>
      <vt:lpstr>Measure33_Efficiency</vt:lpstr>
      <vt:lpstr>Measure33_ElectricCostSavings</vt:lpstr>
      <vt:lpstr>Measure33_Incentive</vt:lpstr>
      <vt:lpstr>Measure33_kWhSavings</vt:lpstr>
      <vt:lpstr>Measure33_Payback</vt:lpstr>
      <vt:lpstr>Measure33_Quantity</vt:lpstr>
      <vt:lpstr>Measure33_Replaced</vt:lpstr>
      <vt:lpstr>Measure33_SerialNumber</vt:lpstr>
      <vt:lpstr>Measure33_ShortDescription</vt:lpstr>
      <vt:lpstr>Measure33_Size</vt:lpstr>
      <vt:lpstr>Measure33_Status</vt:lpstr>
      <vt:lpstr>Measure33_Type</vt:lpstr>
      <vt:lpstr>Measure33_UsefulLife</vt:lpstr>
      <vt:lpstr>Measure34_Age</vt:lpstr>
      <vt:lpstr>Measure34_CNC</vt:lpstr>
      <vt:lpstr>Measure34_Comments</vt:lpstr>
      <vt:lpstr>Measure34_Cost</vt:lpstr>
      <vt:lpstr>Measure34_DemandSavings</vt:lpstr>
      <vt:lpstr>Measure34_Description</vt:lpstr>
      <vt:lpstr>Measure34_Efficiency</vt:lpstr>
      <vt:lpstr>Measure34_ElectricCostSavings</vt:lpstr>
      <vt:lpstr>Measure34_Incentive</vt:lpstr>
      <vt:lpstr>Measure34_kWhSavings</vt:lpstr>
      <vt:lpstr>Measure34_Payback</vt:lpstr>
      <vt:lpstr>Measure34_Quantity</vt:lpstr>
      <vt:lpstr>Measure34_Replaced</vt:lpstr>
      <vt:lpstr>Measure34_SerialNumber</vt:lpstr>
      <vt:lpstr>Measure34_ShortDescription</vt:lpstr>
      <vt:lpstr>Measure34_Size</vt:lpstr>
      <vt:lpstr>Measure34_Status</vt:lpstr>
      <vt:lpstr>Measure34_Type</vt:lpstr>
      <vt:lpstr>Measure34_UsefulLife</vt:lpstr>
      <vt:lpstr>Measure35_Age</vt:lpstr>
      <vt:lpstr>Measure35_CNC</vt:lpstr>
      <vt:lpstr>Measure35_Comments</vt:lpstr>
      <vt:lpstr>Measure35_Cost</vt:lpstr>
      <vt:lpstr>Measure35_DemandSavings</vt:lpstr>
      <vt:lpstr>Measure35_Description</vt:lpstr>
      <vt:lpstr>Measure35_Efficiency</vt:lpstr>
      <vt:lpstr>Measure35_ElectricCostSavings</vt:lpstr>
      <vt:lpstr>Measure35_Incentive</vt:lpstr>
      <vt:lpstr>Measure35_kWhSavings</vt:lpstr>
      <vt:lpstr>Measure35_Payback</vt:lpstr>
      <vt:lpstr>Measure35_Quantity</vt:lpstr>
      <vt:lpstr>Measure35_Replaced</vt:lpstr>
      <vt:lpstr>Measure35_SerialNumber</vt:lpstr>
      <vt:lpstr>Measure35_ShortDescription</vt:lpstr>
      <vt:lpstr>Measure35_Size</vt:lpstr>
      <vt:lpstr>Measure35_Status</vt:lpstr>
      <vt:lpstr>Measure35_Type</vt:lpstr>
      <vt:lpstr>Measure35_UsefulLife</vt:lpstr>
      <vt:lpstr>Measure36_Age</vt:lpstr>
      <vt:lpstr>Measure36_CNC</vt:lpstr>
      <vt:lpstr>Measure36_Comments</vt:lpstr>
      <vt:lpstr>Measure36_Cost</vt:lpstr>
      <vt:lpstr>Measure36_DemandSavings</vt:lpstr>
      <vt:lpstr>Measure36_Description</vt:lpstr>
      <vt:lpstr>Measure36_Efficiency</vt:lpstr>
      <vt:lpstr>Measure36_ElectricCostSavings</vt:lpstr>
      <vt:lpstr>Measure36_Incentive</vt:lpstr>
      <vt:lpstr>Measure36_kWhSavings</vt:lpstr>
      <vt:lpstr>Measure36_Payback</vt:lpstr>
      <vt:lpstr>Measure36_Quantity</vt:lpstr>
      <vt:lpstr>Measure36_Replaced</vt:lpstr>
      <vt:lpstr>Measure36_SerialNumber</vt:lpstr>
      <vt:lpstr>Measure36_ShortDescription</vt:lpstr>
      <vt:lpstr>Measure36_Size</vt:lpstr>
      <vt:lpstr>Measure36_Status</vt:lpstr>
      <vt:lpstr>Measure36_Type</vt:lpstr>
      <vt:lpstr>Measure36_UsefulLife</vt:lpstr>
      <vt:lpstr>Measure37_Age</vt:lpstr>
      <vt:lpstr>Measure37_CNC</vt:lpstr>
      <vt:lpstr>Measure37_Comments</vt:lpstr>
      <vt:lpstr>Measure37_Cost</vt:lpstr>
      <vt:lpstr>Measure37_DemandSavings</vt:lpstr>
      <vt:lpstr>Measure37_Description</vt:lpstr>
      <vt:lpstr>Measure37_Efficiency</vt:lpstr>
      <vt:lpstr>Measure37_ElectricCostSavings</vt:lpstr>
      <vt:lpstr>Measure37_Incentive</vt:lpstr>
      <vt:lpstr>Measure37_kWhSavings</vt:lpstr>
      <vt:lpstr>Measure37_Payback</vt:lpstr>
      <vt:lpstr>Measure37_Quantity</vt:lpstr>
      <vt:lpstr>Measure37_Replaced</vt:lpstr>
      <vt:lpstr>Measure37_SerialNumber</vt:lpstr>
      <vt:lpstr>Measure37_ShortDescription</vt:lpstr>
      <vt:lpstr>Measure37_Size</vt:lpstr>
      <vt:lpstr>Measure37_Status</vt:lpstr>
      <vt:lpstr>Measure37_Type</vt:lpstr>
      <vt:lpstr>Measure37_UsefulLife</vt:lpstr>
      <vt:lpstr>Measure38_Age</vt:lpstr>
      <vt:lpstr>Measure38_CNC</vt:lpstr>
      <vt:lpstr>Measure38_Comments</vt:lpstr>
      <vt:lpstr>Measure38_Cost</vt:lpstr>
      <vt:lpstr>Measure38_DemandSavings</vt:lpstr>
      <vt:lpstr>Measure38_Description</vt:lpstr>
      <vt:lpstr>Measure38_Efficiency</vt:lpstr>
      <vt:lpstr>Measure38_ElectricCostSavings</vt:lpstr>
      <vt:lpstr>Measure38_Incentive</vt:lpstr>
      <vt:lpstr>Measure38_kWhSavings</vt:lpstr>
      <vt:lpstr>Measure38_Payback</vt:lpstr>
      <vt:lpstr>Measure38_Quantity</vt:lpstr>
      <vt:lpstr>Measure38_Replaced</vt:lpstr>
      <vt:lpstr>Measure38_SerialNumber</vt:lpstr>
      <vt:lpstr>Measure38_ShortDescription</vt:lpstr>
      <vt:lpstr>Measure38_Size</vt:lpstr>
      <vt:lpstr>Measure38_Status</vt:lpstr>
      <vt:lpstr>Measure38_Type</vt:lpstr>
      <vt:lpstr>Measure38_UsefulLife</vt:lpstr>
      <vt:lpstr>Measure39_Age</vt:lpstr>
      <vt:lpstr>Measure39_CNC</vt:lpstr>
      <vt:lpstr>Measure39_Comments</vt:lpstr>
      <vt:lpstr>Measure39_Cost</vt:lpstr>
      <vt:lpstr>Measure39_DemandSavings</vt:lpstr>
      <vt:lpstr>Measure39_Description</vt:lpstr>
      <vt:lpstr>Measure39_Efficiency</vt:lpstr>
      <vt:lpstr>Measure39_ElectricCostSavings</vt:lpstr>
      <vt:lpstr>Measure39_Incentive</vt:lpstr>
      <vt:lpstr>Measure39_kWhSavings</vt:lpstr>
      <vt:lpstr>Measure39_Payback</vt:lpstr>
      <vt:lpstr>Measure39_Quantity</vt:lpstr>
      <vt:lpstr>Measure39_Replaced</vt:lpstr>
      <vt:lpstr>Measure39_SerialNumber</vt:lpstr>
      <vt:lpstr>Measure39_ShortDescription</vt:lpstr>
      <vt:lpstr>Measure39_Size</vt:lpstr>
      <vt:lpstr>Measure39_Status</vt:lpstr>
      <vt:lpstr>Measure39_Type</vt:lpstr>
      <vt:lpstr>Measure39_UsefulLife</vt:lpstr>
      <vt:lpstr>Measure4_Age</vt:lpstr>
      <vt:lpstr>Measure4_CNC</vt:lpstr>
      <vt:lpstr>Measure4_Comments</vt:lpstr>
      <vt:lpstr>Measure4_Cost</vt:lpstr>
      <vt:lpstr>Measure4_DemandSavings</vt:lpstr>
      <vt:lpstr>Measure4_Description</vt:lpstr>
      <vt:lpstr>Measure4_Efficiency</vt:lpstr>
      <vt:lpstr>Measure4_ElectricCostSavings</vt:lpstr>
      <vt:lpstr>Measure4_Incentive</vt:lpstr>
      <vt:lpstr>Measure4_kWhSavings</vt:lpstr>
      <vt:lpstr>Measure4_Payback</vt:lpstr>
      <vt:lpstr>Measure4_Quantity</vt:lpstr>
      <vt:lpstr>Measure4_Replaced</vt:lpstr>
      <vt:lpstr>Measure4_SerialNumber</vt:lpstr>
      <vt:lpstr>Measure4_ShortDescription</vt:lpstr>
      <vt:lpstr>Measure4_Size</vt:lpstr>
      <vt:lpstr>Measure4_Status</vt:lpstr>
      <vt:lpstr>Measure4_Type</vt:lpstr>
      <vt:lpstr>Measure4_UsefulLife</vt:lpstr>
      <vt:lpstr>Measure40_Age</vt:lpstr>
      <vt:lpstr>Measure40_Comments</vt:lpstr>
      <vt:lpstr>Measure40_Cost</vt:lpstr>
      <vt:lpstr>Measure40_DemandSavings</vt:lpstr>
      <vt:lpstr>Measure40_Description</vt:lpstr>
      <vt:lpstr>Measure40_Efficiency</vt:lpstr>
      <vt:lpstr>Measure40_ElectricCostSavings</vt:lpstr>
      <vt:lpstr>Measure40_Incentive</vt:lpstr>
      <vt:lpstr>Measure40_kWhSavings</vt:lpstr>
      <vt:lpstr>Measure40_Payback</vt:lpstr>
      <vt:lpstr>Measure40_Quantity</vt:lpstr>
      <vt:lpstr>Measure40_Replaced</vt:lpstr>
      <vt:lpstr>Measure40_SerialNumber</vt:lpstr>
      <vt:lpstr>Measure40_ShortDescription</vt:lpstr>
      <vt:lpstr>Measure40_Size</vt:lpstr>
      <vt:lpstr>Measure40_Status</vt:lpstr>
      <vt:lpstr>Measure40_Type</vt:lpstr>
      <vt:lpstr>Measure40_UsefulLife</vt:lpstr>
      <vt:lpstr>Measure41_Age</vt:lpstr>
      <vt:lpstr>Measure41_CNC</vt:lpstr>
      <vt:lpstr>Measure41_Comments</vt:lpstr>
      <vt:lpstr>Measure41_Cost</vt:lpstr>
      <vt:lpstr>Measure41_DemandSavings</vt:lpstr>
      <vt:lpstr>Measure41_Description</vt:lpstr>
      <vt:lpstr>Measure41_Efficiency</vt:lpstr>
      <vt:lpstr>Measure41_ElectricCostSavings</vt:lpstr>
      <vt:lpstr>Measure41_Incentive</vt:lpstr>
      <vt:lpstr>Measure41_kWhSavings</vt:lpstr>
      <vt:lpstr>Measure41_Payback</vt:lpstr>
      <vt:lpstr>Measure41_Quantity</vt:lpstr>
      <vt:lpstr>Measure41_Replaced</vt:lpstr>
      <vt:lpstr>Measure41_SerialNumber</vt:lpstr>
      <vt:lpstr>Measure41_ShortDescription</vt:lpstr>
      <vt:lpstr>Measure41_Size</vt:lpstr>
      <vt:lpstr>Measure41_Status</vt:lpstr>
      <vt:lpstr>Measure41_Type</vt:lpstr>
      <vt:lpstr>Measure41_UsefulLife</vt:lpstr>
      <vt:lpstr>Measure42_Age</vt:lpstr>
      <vt:lpstr>Measure42_CNC</vt:lpstr>
      <vt:lpstr>Measure42_Comments</vt:lpstr>
      <vt:lpstr>Measure42_Cost</vt:lpstr>
      <vt:lpstr>Measure42_DemandSavings</vt:lpstr>
      <vt:lpstr>Measure42_Description</vt:lpstr>
      <vt:lpstr>Measure42_Efficiency</vt:lpstr>
      <vt:lpstr>Measure42_ElectricCostSavings</vt:lpstr>
      <vt:lpstr>Measure42_Incentive</vt:lpstr>
      <vt:lpstr>Measure42_kWhSavings</vt:lpstr>
      <vt:lpstr>Measure42_Payback</vt:lpstr>
      <vt:lpstr>Measure42_Quantity</vt:lpstr>
      <vt:lpstr>Measure42_Replaced</vt:lpstr>
      <vt:lpstr>Measure42_SerialNumber</vt:lpstr>
      <vt:lpstr>Measure42_ShortDescription</vt:lpstr>
      <vt:lpstr>Measure42_Size</vt:lpstr>
      <vt:lpstr>Measure42_Status</vt:lpstr>
      <vt:lpstr>Measure42_Type</vt:lpstr>
      <vt:lpstr>Measure42_UsefulLife</vt:lpstr>
      <vt:lpstr>Measure43_Age</vt:lpstr>
      <vt:lpstr>Measure43_CNC</vt:lpstr>
      <vt:lpstr>Measure43_Comments</vt:lpstr>
      <vt:lpstr>Measure43_Cost</vt:lpstr>
      <vt:lpstr>Measure43_DemandSavings</vt:lpstr>
      <vt:lpstr>Measure43_Description</vt:lpstr>
      <vt:lpstr>Measure43_Efficiency</vt:lpstr>
      <vt:lpstr>Measure43_ElectricCostSavings</vt:lpstr>
      <vt:lpstr>Measure43_Incentive</vt:lpstr>
      <vt:lpstr>Measure43_kWhSavings</vt:lpstr>
      <vt:lpstr>Measure43_Payback</vt:lpstr>
      <vt:lpstr>Measure43_Quantity</vt:lpstr>
      <vt:lpstr>Measure43_Replaced</vt:lpstr>
      <vt:lpstr>Measure43_SerialNumber</vt:lpstr>
      <vt:lpstr>Measure43_ShortDescription</vt:lpstr>
      <vt:lpstr>Measure43_Size</vt:lpstr>
      <vt:lpstr>Measure43_Status</vt:lpstr>
      <vt:lpstr>Measure43_Type</vt:lpstr>
      <vt:lpstr>Measure43_UsefulLife</vt:lpstr>
      <vt:lpstr>Measure44_Age</vt:lpstr>
      <vt:lpstr>Measure44_CNC</vt:lpstr>
      <vt:lpstr>Measure44_Comments</vt:lpstr>
      <vt:lpstr>Measure44_Cost</vt:lpstr>
      <vt:lpstr>Measure44_DemandSavings</vt:lpstr>
      <vt:lpstr>Measure44_Description</vt:lpstr>
      <vt:lpstr>Measure44_Efficiency</vt:lpstr>
      <vt:lpstr>Measure44_ElectricCostSavings</vt:lpstr>
      <vt:lpstr>Measure44_Incentive</vt:lpstr>
      <vt:lpstr>Measure44_kWhSavings</vt:lpstr>
      <vt:lpstr>Measure44_Payback</vt:lpstr>
      <vt:lpstr>Measure44_Quantity</vt:lpstr>
      <vt:lpstr>Measure44_Replaced</vt:lpstr>
      <vt:lpstr>Measure44_SerialNumber</vt:lpstr>
      <vt:lpstr>Measure44_ShortDescription</vt:lpstr>
      <vt:lpstr>Measure44_Size</vt:lpstr>
      <vt:lpstr>Measure44_Status</vt:lpstr>
      <vt:lpstr>Measure44_Type</vt:lpstr>
      <vt:lpstr>Measure44_UsefulLife</vt:lpstr>
      <vt:lpstr>Measure45_Age</vt:lpstr>
      <vt:lpstr>Measure45_CNC</vt:lpstr>
      <vt:lpstr>Measure45_Comments</vt:lpstr>
      <vt:lpstr>Measure45_Cost</vt:lpstr>
      <vt:lpstr>Measure45_DemandSavings</vt:lpstr>
      <vt:lpstr>Measure45_Description</vt:lpstr>
      <vt:lpstr>Measure45_Efficiency</vt:lpstr>
      <vt:lpstr>Measure45_ElectricCostSavings</vt:lpstr>
      <vt:lpstr>Measure45_Incentive</vt:lpstr>
      <vt:lpstr>Measure45_kWhSavings</vt:lpstr>
      <vt:lpstr>Measure45_Payback</vt:lpstr>
      <vt:lpstr>Measure45_Quantity</vt:lpstr>
      <vt:lpstr>Measure45_Replaced</vt:lpstr>
      <vt:lpstr>Measure45_SerialNumber</vt:lpstr>
      <vt:lpstr>Measure45_ShortDescription</vt:lpstr>
      <vt:lpstr>Measure45_Size</vt:lpstr>
      <vt:lpstr>Measure45_Status</vt:lpstr>
      <vt:lpstr>Measure45_Type</vt:lpstr>
      <vt:lpstr>Measure45_UsefulLife</vt:lpstr>
      <vt:lpstr>Measure46_Age</vt:lpstr>
      <vt:lpstr>Measure46_CNC</vt:lpstr>
      <vt:lpstr>Measure46_Comments</vt:lpstr>
      <vt:lpstr>Measure46_Cost</vt:lpstr>
      <vt:lpstr>Measure46_DemandSavings</vt:lpstr>
      <vt:lpstr>Measure46_Description</vt:lpstr>
      <vt:lpstr>Measure46_Efficiency</vt:lpstr>
      <vt:lpstr>Measure46_ElectricCostSavings</vt:lpstr>
      <vt:lpstr>Measure46_Incentive</vt:lpstr>
      <vt:lpstr>Measure46_kWhSavings</vt:lpstr>
      <vt:lpstr>Measure46_Payback</vt:lpstr>
      <vt:lpstr>Measure46_Quantity</vt:lpstr>
      <vt:lpstr>Measure46_Replaced</vt:lpstr>
      <vt:lpstr>Measure46_SerialNumber</vt:lpstr>
      <vt:lpstr>Measure46_ShortDescription</vt:lpstr>
      <vt:lpstr>Measure46_Size</vt:lpstr>
      <vt:lpstr>Measure46_Status</vt:lpstr>
      <vt:lpstr>Measure46_Type</vt:lpstr>
      <vt:lpstr>Measure46_UsefulLife</vt:lpstr>
      <vt:lpstr>Measure47_Age</vt:lpstr>
      <vt:lpstr>Measure47_CNC</vt:lpstr>
      <vt:lpstr>Measure47_Comments</vt:lpstr>
      <vt:lpstr>Measure47_Cost</vt:lpstr>
      <vt:lpstr>Measure47_DemandSavings</vt:lpstr>
      <vt:lpstr>Measure47_Description</vt:lpstr>
      <vt:lpstr>Measure47_Efficiency</vt:lpstr>
      <vt:lpstr>Measure47_ElectricCostSavings</vt:lpstr>
      <vt:lpstr>Measure47_Incentive</vt:lpstr>
      <vt:lpstr>Measure47_kWhSavings</vt:lpstr>
      <vt:lpstr>Measure47_Payback</vt:lpstr>
      <vt:lpstr>Measure47_Quantity</vt:lpstr>
      <vt:lpstr>Measure47_Replaced</vt:lpstr>
      <vt:lpstr>Measure47_SerialNumber</vt:lpstr>
      <vt:lpstr>Measure47_ShortDescription</vt:lpstr>
      <vt:lpstr>Measure47_Size</vt:lpstr>
      <vt:lpstr>Measure47_Status</vt:lpstr>
      <vt:lpstr>Measure47_Type</vt:lpstr>
      <vt:lpstr>Measure47_UsefulLife</vt:lpstr>
      <vt:lpstr>Measure48_Age</vt:lpstr>
      <vt:lpstr>Measure48_CNC</vt:lpstr>
      <vt:lpstr>Measure48_Comments</vt:lpstr>
      <vt:lpstr>Measure48_Cost</vt:lpstr>
      <vt:lpstr>Measure48_DemandSavings</vt:lpstr>
      <vt:lpstr>Measure48_Description</vt:lpstr>
      <vt:lpstr>Measure48_Efficiency</vt:lpstr>
      <vt:lpstr>Measure48_ElectricCostSavings</vt:lpstr>
      <vt:lpstr>Measure48_Incentive</vt:lpstr>
      <vt:lpstr>Measure48_kWhSavings</vt:lpstr>
      <vt:lpstr>Measure48_Payback</vt:lpstr>
      <vt:lpstr>Measure48_Quantity</vt:lpstr>
      <vt:lpstr>Measure48_Replaced</vt:lpstr>
      <vt:lpstr>Measure48_SerialNumber</vt:lpstr>
      <vt:lpstr>Measure48_ShortDescription</vt:lpstr>
      <vt:lpstr>Measure48_Size</vt:lpstr>
      <vt:lpstr>Measure48_Status</vt:lpstr>
      <vt:lpstr>Measure48_Type</vt:lpstr>
      <vt:lpstr>Measure48_UsefulLife</vt:lpstr>
      <vt:lpstr>Measure49_Age</vt:lpstr>
      <vt:lpstr>Measure49_CNC</vt:lpstr>
      <vt:lpstr>Measure49_Comments</vt:lpstr>
      <vt:lpstr>Measure49_Cost</vt:lpstr>
      <vt:lpstr>Measure49_DemandSavings</vt:lpstr>
      <vt:lpstr>Measure49_Description</vt:lpstr>
      <vt:lpstr>Measure49_Efficiency</vt:lpstr>
      <vt:lpstr>Measure49_ElectricCostSavings</vt:lpstr>
      <vt:lpstr>Measure49_Incentive</vt:lpstr>
      <vt:lpstr>Measure49_kWhSavings</vt:lpstr>
      <vt:lpstr>Measure49_Payback</vt:lpstr>
      <vt:lpstr>Measure49_Quantity</vt:lpstr>
      <vt:lpstr>Measure49_Replaced</vt:lpstr>
      <vt:lpstr>Measure49_SerialNumber</vt:lpstr>
      <vt:lpstr>Measure49_ShortDescription</vt:lpstr>
      <vt:lpstr>Measure49_Size</vt:lpstr>
      <vt:lpstr>Measure49_Status</vt:lpstr>
      <vt:lpstr>Measure49_Type</vt:lpstr>
      <vt:lpstr>Measure49_UsefulLife</vt:lpstr>
      <vt:lpstr>Measure5_Age</vt:lpstr>
      <vt:lpstr>Measure5_CNC</vt:lpstr>
      <vt:lpstr>Measure5_Comments</vt:lpstr>
      <vt:lpstr>Measure5_Cost</vt:lpstr>
      <vt:lpstr>Measure5_DemandSavings</vt:lpstr>
      <vt:lpstr>Measure5_Description</vt:lpstr>
      <vt:lpstr>Measure5_Efficiency</vt:lpstr>
      <vt:lpstr>Measure5_ElectricCostSavings</vt:lpstr>
      <vt:lpstr>Measure5_Incentive</vt:lpstr>
      <vt:lpstr>Measure5_kWhSavings</vt:lpstr>
      <vt:lpstr>Measure5_Payback</vt:lpstr>
      <vt:lpstr>Measure5_Quantity</vt:lpstr>
      <vt:lpstr>Measure5_Replaced</vt:lpstr>
      <vt:lpstr>Measure5_SerialNumber</vt:lpstr>
      <vt:lpstr>Measure5_ShortDescription</vt:lpstr>
      <vt:lpstr>Measure5_Size</vt:lpstr>
      <vt:lpstr>Measure5_Status</vt:lpstr>
      <vt:lpstr>Measure5_Type</vt:lpstr>
      <vt:lpstr>Measure5_UsefulLife</vt:lpstr>
      <vt:lpstr>Measure50_Age</vt:lpstr>
      <vt:lpstr>Measure50_Comments</vt:lpstr>
      <vt:lpstr>Measure50_Cost</vt:lpstr>
      <vt:lpstr>Measure50_DemandSavings</vt:lpstr>
      <vt:lpstr>Measure50_Description</vt:lpstr>
      <vt:lpstr>Measure50_Efficiency</vt:lpstr>
      <vt:lpstr>Measure50_ElectricCostSavings</vt:lpstr>
      <vt:lpstr>Measure50_Incentive</vt:lpstr>
      <vt:lpstr>Measure50_kWhSavings</vt:lpstr>
      <vt:lpstr>Measure50_Payback</vt:lpstr>
      <vt:lpstr>Measure50_Quantity</vt:lpstr>
      <vt:lpstr>Measure50_Replaced</vt:lpstr>
      <vt:lpstr>Measure50_SerialNumber</vt:lpstr>
      <vt:lpstr>Measure50_ShortDescription</vt:lpstr>
      <vt:lpstr>Measure50_Size</vt:lpstr>
      <vt:lpstr>Measure50_Status</vt:lpstr>
      <vt:lpstr>Measure50_Type</vt:lpstr>
      <vt:lpstr>Measure50_UsefulLife</vt:lpstr>
      <vt:lpstr>Measure6_Age</vt:lpstr>
      <vt:lpstr>Measure6_CNC</vt:lpstr>
      <vt:lpstr>Measure6_Comments</vt:lpstr>
      <vt:lpstr>Measure6_Cost</vt:lpstr>
      <vt:lpstr>Measure6_DemandSavings</vt:lpstr>
      <vt:lpstr>Measure6_Description</vt:lpstr>
      <vt:lpstr>Measure6_Efficiency</vt:lpstr>
      <vt:lpstr>Measure6_ElectricCostSavings</vt:lpstr>
      <vt:lpstr>Measure6_Incentive</vt:lpstr>
      <vt:lpstr>Measure6_kWhSavings</vt:lpstr>
      <vt:lpstr>Measure6_Payback</vt:lpstr>
      <vt:lpstr>Measure6_Quantity</vt:lpstr>
      <vt:lpstr>Measure6_Replaced</vt:lpstr>
      <vt:lpstr>Measure6_SerialNumber</vt:lpstr>
      <vt:lpstr>Measure6_ShortDescription</vt:lpstr>
      <vt:lpstr>Measure6_Size</vt:lpstr>
      <vt:lpstr>Measure6_Status</vt:lpstr>
      <vt:lpstr>Measure6_Type</vt:lpstr>
      <vt:lpstr>Measure6_UsefulLife</vt:lpstr>
      <vt:lpstr>Measure7_Age</vt:lpstr>
      <vt:lpstr>Measure7_CNC</vt:lpstr>
      <vt:lpstr>Measure7_Comments</vt:lpstr>
      <vt:lpstr>Measure7_Cost</vt:lpstr>
      <vt:lpstr>Measure7_DemandSavings</vt:lpstr>
      <vt:lpstr>Measure7_Description</vt:lpstr>
      <vt:lpstr>Measure7_Efficiency</vt:lpstr>
      <vt:lpstr>Measure7_ElectricCostSavings</vt:lpstr>
      <vt:lpstr>Measure7_Incentive</vt:lpstr>
      <vt:lpstr>Measure7_kWhSavings</vt:lpstr>
      <vt:lpstr>Measure7_Payback</vt:lpstr>
      <vt:lpstr>Measure7_Quantity</vt:lpstr>
      <vt:lpstr>Measure7_Replaced</vt:lpstr>
      <vt:lpstr>Measure7_SerialNumber</vt:lpstr>
      <vt:lpstr>Measure7_ShortDescription</vt:lpstr>
      <vt:lpstr>Measure7_Size</vt:lpstr>
      <vt:lpstr>Measure7_Status</vt:lpstr>
      <vt:lpstr>Measure7_Type</vt:lpstr>
      <vt:lpstr>Measure7_UsefulLife</vt:lpstr>
      <vt:lpstr>Measure8_Age</vt:lpstr>
      <vt:lpstr>Measure8_CNC</vt:lpstr>
      <vt:lpstr>Measure8_Comments</vt:lpstr>
      <vt:lpstr>Measure8_Cost</vt:lpstr>
      <vt:lpstr>Measure8_DemandSavings</vt:lpstr>
      <vt:lpstr>Measure8_Description</vt:lpstr>
      <vt:lpstr>Measure8_Efficiency</vt:lpstr>
      <vt:lpstr>Measure8_ElectricCostSavings</vt:lpstr>
      <vt:lpstr>Measure8_Incentive</vt:lpstr>
      <vt:lpstr>Measure8_kWhSavings</vt:lpstr>
      <vt:lpstr>Measure8_Payback</vt:lpstr>
      <vt:lpstr>Measure8_Quantity</vt:lpstr>
      <vt:lpstr>Measure8_Replaced</vt:lpstr>
      <vt:lpstr>Measure8_SerialNumber</vt:lpstr>
      <vt:lpstr>Measure8_ShortDescription</vt:lpstr>
      <vt:lpstr>Measure8_Size</vt:lpstr>
      <vt:lpstr>Measure8_Status</vt:lpstr>
      <vt:lpstr>Measure8_Type</vt:lpstr>
      <vt:lpstr>Measure8_UsefulLife</vt:lpstr>
      <vt:lpstr>Measure9_Age</vt:lpstr>
      <vt:lpstr>Measure9_CNC</vt:lpstr>
      <vt:lpstr>Measure9_Comments</vt:lpstr>
      <vt:lpstr>Measure9_Cost</vt:lpstr>
      <vt:lpstr>Measure9_DemandSavings</vt:lpstr>
      <vt:lpstr>Measure9_Description</vt:lpstr>
      <vt:lpstr>Measure9_Efficiency</vt:lpstr>
      <vt:lpstr>Measure9_ElectricCostSavings</vt:lpstr>
      <vt:lpstr>Measure9_Incentive</vt:lpstr>
      <vt:lpstr>Measure9_kWhSavings</vt:lpstr>
      <vt:lpstr>Measure9_Payback</vt:lpstr>
      <vt:lpstr>Measure9_Quantity</vt:lpstr>
      <vt:lpstr>Measure9_Replaced</vt:lpstr>
      <vt:lpstr>Measure9_SerialNumber</vt:lpstr>
      <vt:lpstr>Measure9_ShortDescription</vt:lpstr>
      <vt:lpstr>Measure9_Size</vt:lpstr>
      <vt:lpstr>Measure9_Status</vt:lpstr>
      <vt:lpstr>Measure9_Type</vt:lpstr>
      <vt:lpstr>Measure9_UsefulLife</vt:lpstr>
      <vt:lpstr>Pres.</vt:lpstr>
      <vt:lpstr>Retrofit</vt:lpstr>
      <vt:lpstr>Total_Cost</vt:lpstr>
      <vt:lpstr>Total_DemandSavings</vt:lpstr>
      <vt:lpstr>Total_ElectricCostSavings</vt:lpstr>
      <vt:lpstr>Total_Incentive</vt:lpstr>
      <vt:lpstr>Total_kWhSavings</vt:lpstr>
      <vt:lpstr>Validate</vt:lpstr>
    </vt:vector>
  </TitlesOfParts>
  <Company>Chicago Bridge &amp; Iron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Kurtz, Spencer</dc:creator>
  <cp:lastModifiedBy>Pedro-Egbe, Mobuayo</cp:lastModifiedBy>
  <cp:lastPrinted>2018-07-24T19:44:47Z</cp:lastPrinted>
  <dcterms:created xsi:type="dcterms:W3CDTF">2017-02-10T15:53:55Z</dcterms:created>
  <dcterms:modified xsi:type="dcterms:W3CDTF">2019-03-20T15:24:55Z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0x01010064F7DFD4F981FE4DA208DFDD3EEA3498</vt:lpwstr>
  </property>
</Properties>
</file>